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zimmerman/Desktop/Data Projects/OT Data Analysis/data/"/>
    </mc:Choice>
  </mc:AlternateContent>
  <xr:revisionPtr revIDLastSave="0" documentId="13_ncr:1_{140BB329-24CC-B841-8A27-C02681DC4774}" xr6:coauthVersionLast="47" xr6:coauthVersionMax="47" xr10:uidLastSave="{00000000-0000-0000-0000-000000000000}"/>
  <bookViews>
    <workbookView xWindow="5120" yWindow="660" windowWidth="23520" windowHeight="15960" xr2:uid="{00000000-000D-0000-FFFF-FFFF00000000}"/>
  </bookViews>
  <sheets>
    <sheet name="Data" sheetId="1" r:id="rId1"/>
    <sheet name="Helpful T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21" i="1" l="1"/>
  <c r="AR821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2" i="1"/>
  <c r="AR822" i="1"/>
  <c r="AM823" i="1"/>
  <c r="AR823" i="1"/>
  <c r="AM824" i="1"/>
  <c r="AR824" i="1"/>
  <c r="AM825" i="1"/>
  <c r="AR825" i="1"/>
  <c r="W825" i="1"/>
  <c r="D825" i="1"/>
  <c r="Z825" i="1" s="1"/>
  <c r="Q825" i="1"/>
  <c r="R825" i="1"/>
  <c r="T825" i="1"/>
  <c r="U825" i="1"/>
  <c r="AE825" i="1"/>
  <c r="AX825" i="1" s="1"/>
  <c r="AI825" i="1"/>
  <c r="AK825" i="1"/>
  <c r="AL825" i="1"/>
  <c r="AN825" i="1"/>
  <c r="AP825" i="1"/>
  <c r="AQ825" i="1"/>
  <c r="AU825" i="1"/>
  <c r="D824" i="1"/>
  <c r="AT824" i="1" s="1" a="1"/>
  <c r="AT824" i="1" s="1"/>
  <c r="Q824" i="1"/>
  <c r="R824" i="1"/>
  <c r="T824" i="1"/>
  <c r="U824" i="1"/>
  <c r="AE824" i="1"/>
  <c r="AI824" i="1"/>
  <c r="AK824" i="1"/>
  <c r="AL824" i="1"/>
  <c r="AN824" i="1"/>
  <c r="AP824" i="1"/>
  <c r="AQ824" i="1"/>
  <c r="AU824" i="1"/>
  <c r="AX824" i="1"/>
  <c r="Z823" i="1"/>
  <c r="X823" i="1"/>
  <c r="W823" i="1"/>
  <c r="D823" i="1"/>
  <c r="V823" i="1" s="1"/>
  <c r="Q823" i="1"/>
  <c r="R823" i="1"/>
  <c r="T823" i="1"/>
  <c r="U823" i="1"/>
  <c r="AE823" i="1"/>
  <c r="AX823" i="1" s="1"/>
  <c r="AH823" i="1"/>
  <c r="AI823" i="1"/>
  <c r="AK823" i="1"/>
  <c r="AL823" i="1"/>
  <c r="AN823" i="1"/>
  <c r="AP823" i="1"/>
  <c r="AQ823" i="1"/>
  <c r="AT823" i="1" a="1"/>
  <c r="AT823" i="1" s="1"/>
  <c r="AU82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D822" i="1"/>
  <c r="X822" i="1" s="1"/>
  <c r="Q822" i="1"/>
  <c r="R822" i="1"/>
  <c r="T822" i="1"/>
  <c r="U822" i="1"/>
  <c r="AE822" i="1"/>
  <c r="AX822" i="1" s="1"/>
  <c r="AK822" i="1"/>
  <c r="AL822" i="1"/>
  <c r="AN822" i="1"/>
  <c r="AP822" i="1"/>
  <c r="AQ822" i="1"/>
  <c r="AU822" i="1"/>
  <c r="AQ821" i="1"/>
  <c r="AP821" i="1"/>
  <c r="AI2" i="1"/>
  <c r="AE821" i="1"/>
  <c r="AX821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2" i="1"/>
  <c r="D821" i="1"/>
  <c r="X821" i="1" s="1"/>
  <c r="Q821" i="1"/>
  <c r="R821" i="1"/>
  <c r="T821" i="1"/>
  <c r="U821" i="1"/>
  <c r="AK821" i="1"/>
  <c r="AL821" i="1"/>
  <c r="AN821" i="1"/>
  <c r="AU821" i="1"/>
  <c r="W822" i="1" l="1"/>
  <c r="Y823" i="1"/>
  <c r="Y824" i="1"/>
  <c r="V822" i="1"/>
  <c r="Z824" i="1"/>
  <c r="V825" i="1"/>
  <c r="X825" i="1"/>
  <c r="Y822" i="1"/>
  <c r="AS822" i="1" a="1"/>
  <c r="AS822" i="1" s="1"/>
  <c r="Z822" i="1"/>
  <c r="V824" i="1"/>
  <c r="Y825" i="1"/>
  <c r="W824" i="1"/>
  <c r="X824" i="1"/>
  <c r="AT825" i="1" a="1"/>
  <c r="AT825" i="1" s="1"/>
  <c r="AH825" i="1"/>
  <c r="AJ825" i="1"/>
  <c r="AS825" i="1" a="1"/>
  <c r="AS825" i="1" s="1"/>
  <c r="AS824" i="1" a="1"/>
  <c r="AS824" i="1" s="1"/>
  <c r="AV824" i="1" s="1"/>
  <c r="AH824" i="1"/>
  <c r="AJ824" i="1"/>
  <c r="AS823" i="1" a="1"/>
  <c r="AS823" i="1" s="1"/>
  <c r="AV823" i="1" s="1"/>
  <c r="AJ823" i="1"/>
  <c r="AJ822" i="1"/>
  <c r="AH822" i="1"/>
  <c r="AT822" i="1" a="1"/>
  <c r="AT822" i="1" s="1"/>
  <c r="AV822" i="1" s="1"/>
  <c r="AT821" i="1" a="1"/>
  <c r="AT821" i="1" s="1"/>
  <c r="Y821" i="1"/>
  <c r="Z821" i="1"/>
  <c r="AS821" i="1" a="1"/>
  <c r="AS821" i="1" s="1"/>
  <c r="V821" i="1"/>
  <c r="AJ821" i="1"/>
  <c r="AH821" i="1"/>
  <c r="W821" i="1"/>
  <c r="AV825" i="1" l="1"/>
  <c r="AV8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P790" i="1"/>
  <c r="AQ790" i="1"/>
  <c r="AP791" i="1"/>
  <c r="AQ791" i="1"/>
  <c r="AP792" i="1"/>
  <c r="AQ792" i="1"/>
  <c r="AP793" i="1"/>
  <c r="AQ793" i="1"/>
  <c r="AP794" i="1"/>
  <c r="AQ794" i="1"/>
  <c r="AP795" i="1"/>
  <c r="AQ795" i="1"/>
  <c r="AP796" i="1"/>
  <c r="AQ796" i="1"/>
  <c r="AP797" i="1"/>
  <c r="AQ797" i="1"/>
  <c r="AP798" i="1"/>
  <c r="AQ798" i="1"/>
  <c r="AP799" i="1"/>
  <c r="AQ799" i="1"/>
  <c r="AP800" i="1"/>
  <c r="AQ800" i="1"/>
  <c r="AP801" i="1"/>
  <c r="AQ801" i="1"/>
  <c r="AP802" i="1"/>
  <c r="AQ802" i="1"/>
  <c r="AP803" i="1"/>
  <c r="AQ803" i="1"/>
  <c r="AP804" i="1"/>
  <c r="AQ804" i="1"/>
  <c r="AP805" i="1"/>
  <c r="AQ805" i="1"/>
  <c r="AP806" i="1"/>
  <c r="AQ806" i="1"/>
  <c r="AP807" i="1"/>
  <c r="AQ807" i="1"/>
  <c r="AP808" i="1"/>
  <c r="AQ808" i="1"/>
  <c r="AP809" i="1"/>
  <c r="AQ809" i="1"/>
  <c r="AP810" i="1"/>
  <c r="AQ810" i="1"/>
  <c r="AP811" i="1"/>
  <c r="AQ811" i="1"/>
  <c r="AP812" i="1"/>
  <c r="AQ812" i="1"/>
  <c r="AP813" i="1"/>
  <c r="AQ813" i="1"/>
  <c r="AP814" i="1"/>
  <c r="AQ814" i="1"/>
  <c r="AP815" i="1"/>
  <c r="AQ815" i="1"/>
  <c r="AP816" i="1"/>
  <c r="AQ816" i="1"/>
  <c r="AP817" i="1"/>
  <c r="AQ817" i="1"/>
  <c r="AP818" i="1"/>
  <c r="AQ818" i="1"/>
  <c r="AP819" i="1"/>
  <c r="AQ819" i="1"/>
  <c r="AP820" i="1"/>
  <c r="AQ820" i="1"/>
  <c r="AQ789" i="1"/>
  <c r="AP789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O825" i="1" l="1"/>
  <c r="AO824" i="1"/>
  <c r="AO823" i="1"/>
  <c r="AO822" i="1"/>
  <c r="AO821" i="1"/>
  <c r="AO524" i="1"/>
  <c r="AO218" i="1"/>
  <c r="AO703" i="1"/>
  <c r="AO579" i="1"/>
  <c r="AO555" i="1"/>
  <c r="AO283" i="1"/>
  <c r="AO19" i="1"/>
  <c r="AO489" i="1"/>
  <c r="AO421" i="1"/>
  <c r="AO53" i="1"/>
  <c r="AO356" i="1"/>
  <c r="AO180" i="1"/>
  <c r="AO100" i="1"/>
  <c r="AO459" i="1"/>
  <c r="AO147" i="1"/>
  <c r="AO610" i="1"/>
  <c r="AO386" i="1"/>
  <c r="AO641" i="1"/>
  <c r="AO751" i="1"/>
  <c r="AO321" i="1"/>
  <c r="AO735" i="1"/>
  <c r="AO719" i="1"/>
  <c r="AO253" i="1"/>
  <c r="AO767" i="1"/>
  <c r="AO678" i="1"/>
  <c r="AO670" i="1"/>
  <c r="AO598" i="1"/>
  <c r="AO566" i="1"/>
  <c r="AO534" i="1"/>
  <c r="AO815" i="1"/>
  <c r="AO687" i="1"/>
  <c r="AO799" i="1"/>
  <c r="AO663" i="1"/>
  <c r="AO816" i="1"/>
  <c r="AO808" i="1"/>
  <c r="AO800" i="1"/>
  <c r="AO792" i="1"/>
  <c r="AO784" i="1"/>
  <c r="AO776" i="1"/>
  <c r="AO768" i="1"/>
  <c r="AO760" i="1"/>
  <c r="AO752" i="1"/>
  <c r="AO744" i="1"/>
  <c r="AO736" i="1"/>
  <c r="AO728" i="1"/>
  <c r="AO720" i="1"/>
  <c r="AO712" i="1"/>
  <c r="AO704" i="1"/>
  <c r="AO696" i="1"/>
  <c r="AO688" i="1"/>
  <c r="AO680" i="1"/>
  <c r="AO672" i="1"/>
  <c r="AO664" i="1"/>
  <c r="AO656" i="1"/>
  <c r="AO432" i="1"/>
  <c r="AO347" i="1"/>
  <c r="AO793" i="1"/>
  <c r="AO546" i="1"/>
  <c r="AO205" i="1"/>
  <c r="AO642" i="1"/>
  <c r="AO587" i="1"/>
  <c r="AO556" i="1"/>
  <c r="AO525" i="1"/>
  <c r="AO498" i="1"/>
  <c r="AO460" i="1"/>
  <c r="AO425" i="1"/>
  <c r="AO395" i="1"/>
  <c r="AO357" i="1"/>
  <c r="AO322" i="1"/>
  <c r="AO292" i="1"/>
  <c r="AO219" i="1"/>
  <c r="AO189" i="1"/>
  <c r="AO20" i="1"/>
  <c r="AO783" i="1"/>
  <c r="AO807" i="1"/>
  <c r="AO791" i="1"/>
  <c r="AO775" i="1"/>
  <c r="AO759" i="1"/>
  <c r="AO743" i="1"/>
  <c r="AO727" i="1"/>
  <c r="AO711" i="1"/>
  <c r="AO695" i="1"/>
  <c r="AO679" i="1"/>
  <c r="AO671" i="1"/>
  <c r="AO560" i="1"/>
  <c r="AO464" i="1"/>
  <c r="AO682" i="1"/>
  <c r="AO282" i="1"/>
  <c r="AO782" i="1"/>
  <c r="AO710" i="1"/>
  <c r="AO574" i="1"/>
  <c r="AO494" i="1"/>
  <c r="AO414" i="1"/>
  <c r="AO611" i="1"/>
  <c r="AO257" i="1"/>
  <c r="AO148" i="1"/>
  <c r="AO101" i="1"/>
  <c r="AO67" i="1"/>
  <c r="AO416" i="1"/>
  <c r="AO408" i="1"/>
  <c r="AO400" i="1"/>
  <c r="AO392" i="1"/>
  <c r="AO384" i="1"/>
  <c r="AO376" i="1"/>
  <c r="AO368" i="1"/>
  <c r="AO360" i="1"/>
  <c r="AO352" i="1"/>
  <c r="AO344" i="1"/>
  <c r="AO336" i="1"/>
  <c r="AO328" i="1"/>
  <c r="AO320" i="1"/>
  <c r="AO312" i="1"/>
  <c r="AO304" i="1"/>
  <c r="AO296" i="1"/>
  <c r="AO288" i="1"/>
  <c r="AO280" i="1"/>
  <c r="AO272" i="1"/>
  <c r="AO264" i="1"/>
  <c r="AO256" i="1"/>
  <c r="AO248" i="1"/>
  <c r="AO240" i="1"/>
  <c r="AO232" i="1"/>
  <c r="AO224" i="1"/>
  <c r="AO216" i="1"/>
  <c r="AO564" i="1"/>
  <c r="AO618" i="1"/>
  <c r="AO669" i="1"/>
  <c r="AO596" i="1"/>
  <c r="AO650" i="1"/>
  <c r="AO586" i="1"/>
  <c r="AO660" i="1"/>
  <c r="AO554" i="1"/>
  <c r="AO628" i="1"/>
  <c r="AO444" i="1"/>
  <c r="AO341" i="1"/>
  <c r="AO241" i="1"/>
  <c r="AO66" i="1"/>
  <c r="AO2" i="1"/>
  <c r="AO640" i="1"/>
  <c r="AO592" i="1"/>
  <c r="AO536" i="1"/>
  <c r="AO504" i="1"/>
  <c r="AO448" i="1"/>
  <c r="AO794" i="1"/>
  <c r="AO730" i="1"/>
  <c r="AO547" i="1"/>
  <c r="AO420" i="1"/>
  <c r="AO244" i="1"/>
  <c r="AO133" i="1"/>
  <c r="AO5" i="1"/>
  <c r="AO655" i="1"/>
  <c r="AO647" i="1"/>
  <c r="AO639" i="1"/>
  <c r="AO631" i="1"/>
  <c r="AO623" i="1"/>
  <c r="AO615" i="1"/>
  <c r="AO607" i="1"/>
  <c r="AO599" i="1"/>
  <c r="AO591" i="1"/>
  <c r="AO583" i="1"/>
  <c r="AO575" i="1"/>
  <c r="AO567" i="1"/>
  <c r="AO559" i="1"/>
  <c r="AO551" i="1"/>
  <c r="AO543" i="1"/>
  <c r="AO535" i="1"/>
  <c r="AO527" i="1"/>
  <c r="AO519" i="1"/>
  <c r="AO511" i="1"/>
  <c r="AO503" i="1"/>
  <c r="AO495" i="1"/>
  <c r="AO487" i="1"/>
  <c r="AO479" i="1"/>
  <c r="AO471" i="1"/>
  <c r="AO463" i="1"/>
  <c r="AO455" i="1"/>
  <c r="AO447" i="1"/>
  <c r="AO439" i="1"/>
  <c r="AO431" i="1"/>
  <c r="AO423" i="1"/>
  <c r="AO415" i="1"/>
  <c r="AO407" i="1"/>
  <c r="AO399" i="1"/>
  <c r="AO391" i="1"/>
  <c r="AO383" i="1"/>
  <c r="AO375" i="1"/>
  <c r="AO367" i="1"/>
  <c r="AO359" i="1"/>
  <c r="AO351" i="1"/>
  <c r="AO343" i="1"/>
  <c r="AO335" i="1"/>
  <c r="AO327" i="1"/>
  <c r="AO319" i="1"/>
  <c r="AO311" i="1"/>
  <c r="AO303" i="1"/>
  <c r="AO295" i="1"/>
  <c r="AO287" i="1"/>
  <c r="AO279" i="1"/>
  <c r="AO271" i="1"/>
  <c r="AO263" i="1"/>
  <c r="AO255" i="1"/>
  <c r="AO247" i="1"/>
  <c r="AO239" i="1"/>
  <c r="AO231" i="1"/>
  <c r="AO568" i="1"/>
  <c r="AO472" i="1"/>
  <c r="AO714" i="1"/>
  <c r="AO385" i="1"/>
  <c r="AO745" i="1"/>
  <c r="AO484" i="1"/>
  <c r="AO243" i="1"/>
  <c r="AO798" i="1"/>
  <c r="AO726" i="1"/>
  <c r="AO622" i="1"/>
  <c r="AO518" i="1"/>
  <c r="AO446" i="1"/>
  <c r="AO398" i="1"/>
  <c r="AO366" i="1"/>
  <c r="AO358" i="1"/>
  <c r="AO350" i="1"/>
  <c r="AO342" i="1"/>
  <c r="AO334" i="1"/>
  <c r="AO326" i="1"/>
  <c r="AO318" i="1"/>
  <c r="AO310" i="1"/>
  <c r="AO302" i="1"/>
  <c r="AO294" i="1"/>
  <c r="AO286" i="1"/>
  <c r="AO278" i="1"/>
  <c r="AO270" i="1"/>
  <c r="AO262" i="1"/>
  <c r="AO254" i="1"/>
  <c r="AO246" i="1"/>
  <c r="AO238" i="1"/>
  <c r="AO230" i="1"/>
  <c r="AO576" i="1"/>
  <c r="AO480" i="1"/>
  <c r="AO698" i="1"/>
  <c r="AO777" i="1"/>
  <c r="AO514" i="1"/>
  <c r="AO178" i="1"/>
  <c r="AO790" i="1"/>
  <c r="AO718" i="1"/>
  <c r="AO606" i="1"/>
  <c r="AO510" i="1"/>
  <c r="AO406" i="1"/>
  <c r="AO653" i="1"/>
  <c r="AO410" i="1"/>
  <c r="AO165" i="1"/>
  <c r="AO797" i="1"/>
  <c r="AO741" i="1"/>
  <c r="AO637" i="1"/>
  <c r="AO517" i="1"/>
  <c r="AO413" i="1"/>
  <c r="AO309" i="1"/>
  <c r="AO285" i="1"/>
  <c r="AO221" i="1"/>
  <c r="AO173" i="1"/>
  <c r="AO157" i="1"/>
  <c r="AO141" i="1"/>
  <c r="AO125" i="1"/>
  <c r="AO109" i="1"/>
  <c r="AO93" i="1"/>
  <c r="AO77" i="1"/>
  <c r="AO61" i="1"/>
  <c r="AO45" i="1"/>
  <c r="AO29" i="1"/>
  <c r="AO11" i="1"/>
  <c r="AO632" i="1"/>
  <c r="AO608" i="1"/>
  <c r="AO552" i="1"/>
  <c r="AO520" i="1"/>
  <c r="AO496" i="1"/>
  <c r="AO424" i="1"/>
  <c r="AO762" i="1"/>
  <c r="AO578" i="1"/>
  <c r="AO450" i="1"/>
  <c r="AO179" i="1"/>
  <c r="AO809" i="1"/>
  <c r="AO713" i="1"/>
  <c r="AO661" i="1"/>
  <c r="AO601" i="1"/>
  <c r="AO411" i="1"/>
  <c r="AO308" i="1"/>
  <c r="AO51" i="1"/>
  <c r="AO814" i="1"/>
  <c r="AO758" i="1"/>
  <c r="AO734" i="1"/>
  <c r="AO694" i="1"/>
  <c r="AO638" i="1"/>
  <c r="AO614" i="1"/>
  <c r="AO558" i="1"/>
  <c r="AO526" i="1"/>
  <c r="AO478" i="1"/>
  <c r="AO454" i="1"/>
  <c r="AO422" i="1"/>
  <c r="AO390" i="1"/>
  <c r="AO629" i="1"/>
  <c r="AO513" i="1"/>
  <c r="AO372" i="1"/>
  <c r="AO269" i="1"/>
  <c r="AO131" i="1"/>
  <c r="AO3" i="1"/>
  <c r="AO789" i="1"/>
  <c r="AO765" i="1"/>
  <c r="AO733" i="1"/>
  <c r="AO709" i="1"/>
  <c r="AO685" i="1"/>
  <c r="AO613" i="1"/>
  <c r="AO549" i="1"/>
  <c r="AO493" i="1"/>
  <c r="AO453" i="1"/>
  <c r="AO389" i="1"/>
  <c r="AO349" i="1"/>
  <c r="AO325" i="1"/>
  <c r="AO301" i="1"/>
  <c r="AO261" i="1"/>
  <c r="AO245" i="1"/>
  <c r="AO237" i="1"/>
  <c r="AO197" i="1"/>
  <c r="AO181" i="1"/>
  <c r="AO652" i="1"/>
  <c r="AO621" i="1"/>
  <c r="AO597" i="1"/>
  <c r="AO537" i="1"/>
  <c r="AO509" i="1"/>
  <c r="AO474" i="1"/>
  <c r="AO436" i="1"/>
  <c r="AO409" i="1"/>
  <c r="AO371" i="1"/>
  <c r="AO333" i="1"/>
  <c r="AO306" i="1"/>
  <c r="AO268" i="1"/>
  <c r="AO233" i="1"/>
  <c r="AO203" i="1"/>
  <c r="AO164" i="1"/>
  <c r="AO117" i="1"/>
  <c r="AO83" i="1"/>
  <c r="AO36" i="1"/>
  <c r="AO648" i="1"/>
  <c r="AO616" i="1"/>
  <c r="AO584" i="1"/>
  <c r="AO528" i="1"/>
  <c r="AO488" i="1"/>
  <c r="AO440" i="1"/>
  <c r="AO778" i="1"/>
  <c r="AO662" i="1"/>
  <c r="AO609" i="1"/>
  <c r="AO485" i="1"/>
  <c r="AO217" i="1"/>
  <c r="AO52" i="1"/>
  <c r="AO729" i="1"/>
  <c r="AO681" i="1"/>
  <c r="AO630" i="1"/>
  <c r="AO449" i="1"/>
  <c r="AO346" i="1"/>
  <c r="AO85" i="1"/>
  <c r="AO806" i="1"/>
  <c r="AO766" i="1"/>
  <c r="AO742" i="1"/>
  <c r="AO686" i="1"/>
  <c r="AO646" i="1"/>
  <c r="AO582" i="1"/>
  <c r="AO542" i="1"/>
  <c r="AO486" i="1"/>
  <c r="AO462" i="1"/>
  <c r="AO430" i="1"/>
  <c r="AO374" i="1"/>
  <c r="AO569" i="1"/>
  <c r="AO475" i="1"/>
  <c r="AO345" i="1"/>
  <c r="AO242" i="1"/>
  <c r="AO84" i="1"/>
  <c r="AO813" i="1"/>
  <c r="AO781" i="1"/>
  <c r="AO757" i="1"/>
  <c r="AO725" i="1"/>
  <c r="AO701" i="1"/>
  <c r="AO677" i="1"/>
  <c r="AO581" i="1"/>
  <c r="AO541" i="1"/>
  <c r="AO477" i="1"/>
  <c r="AO429" i="1"/>
  <c r="AO365" i="1"/>
  <c r="AO818" i="1"/>
  <c r="AO802" i="1"/>
  <c r="AO786" i="1"/>
  <c r="AO770" i="1"/>
  <c r="AO754" i="1"/>
  <c r="AO738" i="1"/>
  <c r="AO722" i="1"/>
  <c r="AO706" i="1"/>
  <c r="AO690" i="1"/>
  <c r="AO673" i="1"/>
  <c r="AO651" i="1"/>
  <c r="AO620" i="1"/>
  <c r="AO589" i="1"/>
  <c r="AO565" i="1"/>
  <c r="AO500" i="1"/>
  <c r="AO473" i="1"/>
  <c r="AO435" i="1"/>
  <c r="AO397" i="1"/>
  <c r="AO370" i="1"/>
  <c r="AO332" i="1"/>
  <c r="AO297" i="1"/>
  <c r="AO267" i="1"/>
  <c r="AO229" i="1"/>
  <c r="AO194" i="1"/>
  <c r="AO163" i="1"/>
  <c r="AO116" i="1"/>
  <c r="AO69" i="1"/>
  <c r="AO35" i="1"/>
  <c r="AO624" i="1"/>
  <c r="AO600" i="1"/>
  <c r="AO544" i="1"/>
  <c r="AO512" i="1"/>
  <c r="AO456" i="1"/>
  <c r="AO810" i="1"/>
  <c r="AO746" i="1"/>
  <c r="AO633" i="1"/>
  <c r="AO523" i="1"/>
  <c r="AO317" i="1"/>
  <c r="AO99" i="1"/>
  <c r="AO761" i="1"/>
  <c r="AO697" i="1"/>
  <c r="AO577" i="1"/>
  <c r="AO381" i="1"/>
  <c r="AO281" i="1"/>
  <c r="AO132" i="1"/>
  <c r="AO4" i="1"/>
  <c r="AO774" i="1"/>
  <c r="AO750" i="1"/>
  <c r="AO702" i="1"/>
  <c r="AO654" i="1"/>
  <c r="AO590" i="1"/>
  <c r="AO550" i="1"/>
  <c r="AO502" i="1"/>
  <c r="AO470" i="1"/>
  <c r="AO438" i="1"/>
  <c r="AO382" i="1"/>
  <c r="AO545" i="1"/>
  <c r="AO445" i="1"/>
  <c r="AO307" i="1"/>
  <c r="AO204" i="1"/>
  <c r="AO37" i="1"/>
  <c r="AO805" i="1"/>
  <c r="AO773" i="1"/>
  <c r="AO749" i="1"/>
  <c r="AO717" i="1"/>
  <c r="AO693" i="1"/>
  <c r="AO645" i="1"/>
  <c r="AO605" i="1"/>
  <c r="AO573" i="1"/>
  <c r="AO501" i="1"/>
  <c r="AO437" i="1"/>
  <c r="AO373" i="1"/>
  <c r="AO817" i="1"/>
  <c r="AO801" i="1"/>
  <c r="AO785" i="1"/>
  <c r="AO769" i="1"/>
  <c r="AO753" i="1"/>
  <c r="AO737" i="1"/>
  <c r="AO721" i="1"/>
  <c r="AO705" i="1"/>
  <c r="AO689" i="1"/>
  <c r="AO643" i="1"/>
  <c r="AO619" i="1"/>
  <c r="AO588" i="1"/>
  <c r="AO557" i="1"/>
  <c r="AO533" i="1"/>
  <c r="AO499" i="1"/>
  <c r="AO461" i="1"/>
  <c r="AO434" i="1"/>
  <c r="AO396" i="1"/>
  <c r="AO361" i="1"/>
  <c r="AO331" i="1"/>
  <c r="AO293" i="1"/>
  <c r="AO258" i="1"/>
  <c r="AO228" i="1"/>
  <c r="AO193" i="1"/>
  <c r="AO149" i="1"/>
  <c r="AO115" i="1"/>
  <c r="AO68" i="1"/>
  <c r="AO21" i="1"/>
  <c r="AO497" i="1"/>
  <c r="AO394" i="1"/>
  <c r="AO291" i="1"/>
  <c r="AO188" i="1"/>
  <c r="AO130" i="1"/>
  <c r="AO819" i="1"/>
  <c r="AO811" i="1"/>
  <c r="AO803" i="1"/>
  <c r="AO795" i="1"/>
  <c r="AO787" i="1"/>
  <c r="AO779" i="1"/>
  <c r="AO771" i="1"/>
  <c r="AO763" i="1"/>
  <c r="AO755" i="1"/>
  <c r="AO747" i="1"/>
  <c r="AO739" i="1"/>
  <c r="AO731" i="1"/>
  <c r="AO723" i="1"/>
  <c r="AO715" i="1"/>
  <c r="AO707" i="1"/>
  <c r="AO699" i="1"/>
  <c r="AO691" i="1"/>
  <c r="AO683" i="1"/>
  <c r="AO674" i="1"/>
  <c r="AO665" i="1"/>
  <c r="AO644" i="1"/>
  <c r="AO634" i="1"/>
  <c r="AO612" i="1"/>
  <c r="AO602" i="1"/>
  <c r="AO580" i="1"/>
  <c r="AO570" i="1"/>
  <c r="AO548" i="1"/>
  <c r="AO538" i="1"/>
  <c r="AO515" i="1"/>
  <c r="AO490" i="1"/>
  <c r="AO476" i="1"/>
  <c r="AO465" i="1"/>
  <c r="AO451" i="1"/>
  <c r="AO426" i="1"/>
  <c r="AO412" i="1"/>
  <c r="AO401" i="1"/>
  <c r="AO387" i="1"/>
  <c r="AO362" i="1"/>
  <c r="AO348" i="1"/>
  <c r="AO337" i="1"/>
  <c r="AO323" i="1"/>
  <c r="AO298" i="1"/>
  <c r="AO284" i="1"/>
  <c r="AO273" i="1"/>
  <c r="AO259" i="1"/>
  <c r="AO234" i="1"/>
  <c r="AO220" i="1"/>
  <c r="AO209" i="1"/>
  <c r="AO195" i="1"/>
  <c r="AO170" i="1"/>
  <c r="AO154" i="1"/>
  <c r="AO138" i="1"/>
  <c r="AO122" i="1"/>
  <c r="AO106" i="1"/>
  <c r="AO90" i="1"/>
  <c r="AO74" i="1"/>
  <c r="AO58" i="1"/>
  <c r="AO42" i="1"/>
  <c r="AO26" i="1"/>
  <c r="AO10" i="1"/>
  <c r="AO208" i="1"/>
  <c r="AO200" i="1"/>
  <c r="AO192" i="1"/>
  <c r="AO184" i="1"/>
  <c r="AO176" i="1"/>
  <c r="AO168" i="1"/>
  <c r="AO160" i="1"/>
  <c r="AO152" i="1"/>
  <c r="AO144" i="1"/>
  <c r="AO136" i="1"/>
  <c r="AO128" i="1"/>
  <c r="AO120" i="1"/>
  <c r="AO112" i="1"/>
  <c r="AO104" i="1"/>
  <c r="AO96" i="1"/>
  <c r="AO88" i="1"/>
  <c r="AO80" i="1"/>
  <c r="AO72" i="1"/>
  <c r="AO64" i="1"/>
  <c r="AO56" i="1"/>
  <c r="AO48" i="1"/>
  <c r="AO40" i="1"/>
  <c r="AO32" i="1"/>
  <c r="AO24" i="1"/>
  <c r="AO16" i="1"/>
  <c r="AO8" i="1"/>
  <c r="AO223" i="1"/>
  <c r="AO215" i="1"/>
  <c r="AO207" i="1"/>
  <c r="AO199" i="1"/>
  <c r="AO191" i="1"/>
  <c r="AO183" i="1"/>
  <c r="AO175" i="1"/>
  <c r="AO167" i="1"/>
  <c r="AO159" i="1"/>
  <c r="AO151" i="1"/>
  <c r="AO143" i="1"/>
  <c r="AO135" i="1"/>
  <c r="AO127" i="1"/>
  <c r="AO119" i="1"/>
  <c r="AO111" i="1"/>
  <c r="AO103" i="1"/>
  <c r="AO95" i="1"/>
  <c r="AO87" i="1"/>
  <c r="AO79" i="1"/>
  <c r="AO71" i="1"/>
  <c r="AO63" i="1"/>
  <c r="AO55" i="1"/>
  <c r="AO47" i="1"/>
  <c r="AO39" i="1"/>
  <c r="AO31" i="1"/>
  <c r="AO23" i="1"/>
  <c r="AO15" i="1"/>
  <c r="AO7" i="1"/>
  <c r="AO222" i="1"/>
  <c r="AO214" i="1"/>
  <c r="AO206" i="1"/>
  <c r="AO198" i="1"/>
  <c r="AO190" i="1"/>
  <c r="AO182" i="1"/>
  <c r="AO174" i="1"/>
  <c r="AO166" i="1"/>
  <c r="AO158" i="1"/>
  <c r="AO150" i="1"/>
  <c r="AO142" i="1"/>
  <c r="AO134" i="1"/>
  <c r="AO126" i="1"/>
  <c r="AO118" i="1"/>
  <c r="AO110" i="1"/>
  <c r="AO102" i="1"/>
  <c r="AO94" i="1"/>
  <c r="AO86" i="1"/>
  <c r="AO78" i="1"/>
  <c r="AO70" i="1"/>
  <c r="AO62" i="1"/>
  <c r="AO54" i="1"/>
  <c r="AO46" i="1"/>
  <c r="AO38" i="1"/>
  <c r="AO30" i="1"/>
  <c r="AO22" i="1"/>
  <c r="AO14" i="1"/>
  <c r="AO6" i="1"/>
  <c r="AO522" i="1"/>
  <c r="AO469" i="1"/>
  <c r="AO405" i="1"/>
  <c r="AO355" i="1"/>
  <c r="AO305" i="1"/>
  <c r="AO266" i="1"/>
  <c r="AO202" i="1"/>
  <c r="AO146" i="1"/>
  <c r="AO82" i="1"/>
  <c r="AO34" i="1"/>
  <c r="AO9" i="1"/>
  <c r="AO668" i="1"/>
  <c r="AO659" i="1"/>
  <c r="AO649" i="1"/>
  <c r="AO627" i="1"/>
  <c r="AO617" i="1"/>
  <c r="AO595" i="1"/>
  <c r="AO585" i="1"/>
  <c r="AO563" i="1"/>
  <c r="AO553" i="1"/>
  <c r="AO531" i="1"/>
  <c r="AO521" i="1"/>
  <c r="AO507" i="1"/>
  <c r="AO482" i="1"/>
  <c r="AO468" i="1"/>
  <c r="AO457" i="1"/>
  <c r="AO443" i="1"/>
  <c r="AO418" i="1"/>
  <c r="AO404" i="1"/>
  <c r="AO393" i="1"/>
  <c r="AO379" i="1"/>
  <c r="AO354" i="1"/>
  <c r="AO340" i="1"/>
  <c r="AO329" i="1"/>
  <c r="AO315" i="1"/>
  <c r="AO290" i="1"/>
  <c r="AO276" i="1"/>
  <c r="AO265" i="1"/>
  <c r="AO251" i="1"/>
  <c r="AO226" i="1"/>
  <c r="AO212" i="1"/>
  <c r="AO201" i="1"/>
  <c r="AO187" i="1"/>
  <c r="AO13" i="1"/>
  <c r="AO532" i="1"/>
  <c r="AO483" i="1"/>
  <c r="AO433" i="1"/>
  <c r="AO380" i="1"/>
  <c r="AO330" i="1"/>
  <c r="AO277" i="1"/>
  <c r="AO227" i="1"/>
  <c r="AO177" i="1"/>
  <c r="AO114" i="1"/>
  <c r="AO18" i="1"/>
  <c r="AO676" i="1"/>
  <c r="AO667" i="1"/>
  <c r="AO658" i="1"/>
  <c r="AO636" i="1"/>
  <c r="AO626" i="1"/>
  <c r="AO604" i="1"/>
  <c r="AO594" i="1"/>
  <c r="AO572" i="1"/>
  <c r="AO562" i="1"/>
  <c r="AO540" i="1"/>
  <c r="AO530" i="1"/>
  <c r="AO506" i="1"/>
  <c r="AO492" i="1"/>
  <c r="AO481" i="1"/>
  <c r="AO467" i="1"/>
  <c r="AO442" i="1"/>
  <c r="AO428" i="1"/>
  <c r="AO417" i="1"/>
  <c r="AO403" i="1"/>
  <c r="AO378" i="1"/>
  <c r="AO364" i="1"/>
  <c r="AO353" i="1"/>
  <c r="AO339" i="1"/>
  <c r="AO314" i="1"/>
  <c r="AO300" i="1"/>
  <c r="AO289" i="1"/>
  <c r="AO275" i="1"/>
  <c r="AO250" i="1"/>
  <c r="AO236" i="1"/>
  <c r="AO225" i="1"/>
  <c r="AO211" i="1"/>
  <c r="AO186" i="1"/>
  <c r="AO172" i="1"/>
  <c r="AO156" i="1"/>
  <c r="AO140" i="1"/>
  <c r="AO124" i="1"/>
  <c r="AO108" i="1"/>
  <c r="AO92" i="1"/>
  <c r="AO76" i="1"/>
  <c r="AO60" i="1"/>
  <c r="AO44" i="1"/>
  <c r="AO28" i="1"/>
  <c r="AO12" i="1"/>
  <c r="AO508" i="1"/>
  <c r="AO458" i="1"/>
  <c r="AO419" i="1"/>
  <c r="AO369" i="1"/>
  <c r="AO316" i="1"/>
  <c r="AO252" i="1"/>
  <c r="AO213" i="1"/>
  <c r="AO162" i="1"/>
  <c r="AO98" i="1"/>
  <c r="AO50" i="1"/>
  <c r="AO820" i="1"/>
  <c r="AO812" i="1"/>
  <c r="AO804" i="1"/>
  <c r="AO796" i="1"/>
  <c r="AO788" i="1"/>
  <c r="AO780" i="1"/>
  <c r="AO772" i="1"/>
  <c r="AO764" i="1"/>
  <c r="AO756" i="1"/>
  <c r="AO748" i="1"/>
  <c r="AO740" i="1"/>
  <c r="AO732" i="1"/>
  <c r="AO724" i="1"/>
  <c r="AO716" i="1"/>
  <c r="AO708" i="1"/>
  <c r="AO700" i="1"/>
  <c r="AO692" i="1"/>
  <c r="AO684" i="1"/>
  <c r="AO675" i="1"/>
  <c r="AO666" i="1"/>
  <c r="AO657" i="1"/>
  <c r="AO635" i="1"/>
  <c r="AO625" i="1"/>
  <c r="AO603" i="1"/>
  <c r="AO593" i="1"/>
  <c r="AO571" i="1"/>
  <c r="AO561" i="1"/>
  <c r="AO539" i="1"/>
  <c r="AO529" i="1"/>
  <c r="AO516" i="1"/>
  <c r="AO505" i="1"/>
  <c r="AO491" i="1"/>
  <c r="AO466" i="1"/>
  <c r="AO452" i="1"/>
  <c r="AO441" i="1"/>
  <c r="AO427" i="1"/>
  <c r="AO402" i="1"/>
  <c r="AO388" i="1"/>
  <c r="AO377" i="1"/>
  <c r="AO363" i="1"/>
  <c r="AO338" i="1"/>
  <c r="AO324" i="1"/>
  <c r="AO313" i="1"/>
  <c r="AO299" i="1"/>
  <c r="AO274" i="1"/>
  <c r="AO260" i="1"/>
  <c r="AO249" i="1"/>
  <c r="AO235" i="1"/>
  <c r="AO210" i="1"/>
  <c r="AO196" i="1"/>
  <c r="AO185" i="1"/>
  <c r="AO171" i="1"/>
  <c r="AO155" i="1"/>
  <c r="AO139" i="1"/>
  <c r="AO123" i="1"/>
  <c r="AO107" i="1"/>
  <c r="AO91" i="1"/>
  <c r="AO75" i="1"/>
  <c r="AO59" i="1"/>
  <c r="AO43" i="1"/>
  <c r="AO27" i="1"/>
  <c r="AO169" i="1"/>
  <c r="AO161" i="1"/>
  <c r="AO153" i="1"/>
  <c r="AO145" i="1"/>
  <c r="AO137" i="1"/>
  <c r="AO129" i="1"/>
  <c r="AO121" i="1"/>
  <c r="AO113" i="1"/>
  <c r="AO105" i="1"/>
  <c r="AO97" i="1"/>
  <c r="AO89" i="1"/>
  <c r="AO81" i="1"/>
  <c r="AO73" i="1"/>
  <c r="AO65" i="1"/>
  <c r="AO57" i="1"/>
  <c r="AO49" i="1"/>
  <c r="AO41" i="1"/>
  <c r="AO33" i="1"/>
  <c r="AO25" i="1"/>
  <c r="AO17" i="1"/>
  <c r="AB15" i="1" l="1"/>
  <c r="AB14" i="1"/>
  <c r="AB13" i="1"/>
  <c r="AB12" i="1"/>
  <c r="AB9" i="1"/>
  <c r="AB10" i="1"/>
  <c r="AB11" i="1"/>
  <c r="AB8" i="1"/>
  <c r="AB3" i="1"/>
  <c r="AB4" i="1"/>
  <c r="AB5" i="1"/>
  <c r="AB6" i="1"/>
  <c r="AB7" i="1"/>
  <c r="AB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2" i="1"/>
  <c r="R2" i="1"/>
  <c r="R3" i="1"/>
  <c r="AJ3" i="1" s="1"/>
  <c r="R4" i="1"/>
  <c r="AJ4" i="1" s="1"/>
  <c r="R5" i="1"/>
  <c r="AJ5" i="1" s="1"/>
  <c r="R6" i="1"/>
  <c r="AJ6" i="1" s="1"/>
  <c r="R7" i="1"/>
  <c r="AJ7" i="1" s="1"/>
  <c r="R8" i="1"/>
  <c r="AJ8" i="1" s="1"/>
  <c r="R9" i="1"/>
  <c r="AJ9" i="1" s="1"/>
  <c r="R10" i="1"/>
  <c r="AJ10" i="1" s="1"/>
  <c r="R11" i="1"/>
  <c r="AJ11" i="1" s="1"/>
  <c r="R12" i="1"/>
  <c r="AJ12" i="1" s="1"/>
  <c r="R13" i="1"/>
  <c r="AJ13" i="1" s="1"/>
  <c r="R14" i="1"/>
  <c r="AJ14" i="1" s="1"/>
  <c r="R15" i="1"/>
  <c r="AJ15" i="1" s="1"/>
  <c r="R16" i="1"/>
  <c r="AJ16" i="1" s="1"/>
  <c r="R17" i="1"/>
  <c r="AJ17" i="1" s="1"/>
  <c r="R18" i="1"/>
  <c r="AJ18" i="1" s="1"/>
  <c r="R19" i="1"/>
  <c r="AJ19" i="1" s="1"/>
  <c r="R20" i="1"/>
  <c r="AJ20" i="1" s="1"/>
  <c r="R21" i="1"/>
  <c r="AJ21" i="1" s="1"/>
  <c r="R22" i="1"/>
  <c r="AJ22" i="1" s="1"/>
  <c r="R23" i="1"/>
  <c r="AJ23" i="1" s="1"/>
  <c r="R24" i="1"/>
  <c r="AJ24" i="1" s="1"/>
  <c r="R25" i="1"/>
  <c r="AJ25" i="1" s="1"/>
  <c r="R26" i="1"/>
  <c r="AJ26" i="1" s="1"/>
  <c r="R27" i="1"/>
  <c r="AJ27" i="1" s="1"/>
  <c r="R28" i="1"/>
  <c r="AJ28" i="1" s="1"/>
  <c r="R29" i="1"/>
  <c r="AJ29" i="1" s="1"/>
  <c r="R30" i="1"/>
  <c r="AJ30" i="1" s="1"/>
  <c r="R31" i="1"/>
  <c r="AJ31" i="1" s="1"/>
  <c r="R32" i="1"/>
  <c r="AJ32" i="1" s="1"/>
  <c r="R33" i="1"/>
  <c r="AJ33" i="1" s="1"/>
  <c r="R34" i="1"/>
  <c r="AJ34" i="1" s="1"/>
  <c r="R35" i="1"/>
  <c r="AJ35" i="1" s="1"/>
  <c r="R36" i="1"/>
  <c r="AJ36" i="1" s="1"/>
  <c r="R37" i="1"/>
  <c r="AJ37" i="1" s="1"/>
  <c r="R38" i="1"/>
  <c r="AJ38" i="1" s="1"/>
  <c r="R39" i="1"/>
  <c r="AJ39" i="1" s="1"/>
  <c r="R40" i="1"/>
  <c r="AJ40" i="1" s="1"/>
  <c r="R41" i="1"/>
  <c r="AJ41" i="1" s="1"/>
  <c r="R42" i="1"/>
  <c r="AJ42" i="1" s="1"/>
  <c r="R43" i="1"/>
  <c r="AJ43" i="1" s="1"/>
  <c r="R44" i="1"/>
  <c r="AJ44" i="1" s="1"/>
  <c r="R45" i="1"/>
  <c r="AJ45" i="1" s="1"/>
  <c r="R46" i="1"/>
  <c r="AJ46" i="1" s="1"/>
  <c r="R47" i="1"/>
  <c r="AJ47" i="1" s="1"/>
  <c r="R48" i="1"/>
  <c r="AJ48" i="1" s="1"/>
  <c r="R49" i="1"/>
  <c r="AJ49" i="1" s="1"/>
  <c r="R50" i="1"/>
  <c r="AJ50" i="1" s="1"/>
  <c r="R51" i="1"/>
  <c r="AJ51" i="1" s="1"/>
  <c r="R52" i="1"/>
  <c r="AJ52" i="1" s="1"/>
  <c r="R53" i="1"/>
  <c r="AJ53" i="1" s="1"/>
  <c r="R54" i="1"/>
  <c r="AJ54" i="1" s="1"/>
  <c r="R55" i="1"/>
  <c r="AJ55" i="1" s="1"/>
  <c r="R56" i="1"/>
  <c r="AJ56" i="1" s="1"/>
  <c r="R57" i="1"/>
  <c r="AJ57" i="1" s="1"/>
  <c r="R58" i="1"/>
  <c r="AJ58" i="1" s="1"/>
  <c r="R59" i="1"/>
  <c r="AJ59" i="1" s="1"/>
  <c r="R60" i="1"/>
  <c r="AJ60" i="1" s="1"/>
  <c r="R61" i="1"/>
  <c r="AJ61" i="1" s="1"/>
  <c r="R62" i="1"/>
  <c r="AJ62" i="1" s="1"/>
  <c r="R63" i="1"/>
  <c r="AJ63" i="1" s="1"/>
  <c r="R64" i="1"/>
  <c r="AJ64" i="1" s="1"/>
  <c r="R65" i="1"/>
  <c r="AJ65" i="1" s="1"/>
  <c r="R66" i="1"/>
  <c r="AJ66" i="1" s="1"/>
  <c r="R67" i="1"/>
  <c r="AJ67" i="1" s="1"/>
  <c r="R68" i="1"/>
  <c r="AJ68" i="1" s="1"/>
  <c r="R69" i="1"/>
  <c r="AJ69" i="1" s="1"/>
  <c r="R70" i="1"/>
  <c r="AJ70" i="1" s="1"/>
  <c r="R71" i="1"/>
  <c r="AJ71" i="1" s="1"/>
  <c r="R72" i="1"/>
  <c r="AJ72" i="1" s="1"/>
  <c r="R73" i="1"/>
  <c r="AJ73" i="1" s="1"/>
  <c r="R74" i="1"/>
  <c r="AJ74" i="1" s="1"/>
  <c r="R75" i="1"/>
  <c r="AJ75" i="1" s="1"/>
  <c r="R76" i="1"/>
  <c r="AJ76" i="1" s="1"/>
  <c r="R77" i="1"/>
  <c r="AJ77" i="1" s="1"/>
  <c r="R78" i="1"/>
  <c r="AJ78" i="1" s="1"/>
  <c r="R79" i="1"/>
  <c r="AJ79" i="1" s="1"/>
  <c r="R80" i="1"/>
  <c r="AJ80" i="1" s="1"/>
  <c r="R81" i="1"/>
  <c r="AJ81" i="1" s="1"/>
  <c r="R82" i="1"/>
  <c r="AJ82" i="1" s="1"/>
  <c r="R83" i="1"/>
  <c r="AJ83" i="1" s="1"/>
  <c r="R84" i="1"/>
  <c r="AJ84" i="1" s="1"/>
  <c r="R85" i="1"/>
  <c r="AJ85" i="1" s="1"/>
  <c r="R86" i="1"/>
  <c r="AJ86" i="1" s="1"/>
  <c r="R87" i="1"/>
  <c r="AJ87" i="1" s="1"/>
  <c r="R88" i="1"/>
  <c r="AJ88" i="1" s="1"/>
  <c r="R89" i="1"/>
  <c r="AJ89" i="1" s="1"/>
  <c r="R90" i="1"/>
  <c r="AJ90" i="1" s="1"/>
  <c r="R91" i="1"/>
  <c r="AJ91" i="1" s="1"/>
  <c r="R92" i="1"/>
  <c r="AJ92" i="1" s="1"/>
  <c r="R93" i="1"/>
  <c r="AJ93" i="1" s="1"/>
  <c r="R94" i="1"/>
  <c r="AJ94" i="1" s="1"/>
  <c r="R95" i="1"/>
  <c r="AJ95" i="1" s="1"/>
  <c r="R96" i="1"/>
  <c r="AJ96" i="1" s="1"/>
  <c r="R97" i="1"/>
  <c r="AJ97" i="1" s="1"/>
  <c r="R98" i="1"/>
  <c r="AJ98" i="1" s="1"/>
  <c r="R99" i="1"/>
  <c r="AJ99" i="1" s="1"/>
  <c r="R100" i="1"/>
  <c r="AJ100" i="1" s="1"/>
  <c r="R101" i="1"/>
  <c r="AJ101" i="1" s="1"/>
  <c r="R102" i="1"/>
  <c r="AJ102" i="1" s="1"/>
  <c r="R103" i="1"/>
  <c r="AJ103" i="1" s="1"/>
  <c r="R104" i="1"/>
  <c r="AJ104" i="1" s="1"/>
  <c r="R105" i="1"/>
  <c r="AJ105" i="1" s="1"/>
  <c r="R106" i="1"/>
  <c r="AJ106" i="1" s="1"/>
  <c r="R107" i="1"/>
  <c r="AJ107" i="1" s="1"/>
  <c r="R108" i="1"/>
  <c r="AJ108" i="1" s="1"/>
  <c r="R109" i="1"/>
  <c r="AJ109" i="1" s="1"/>
  <c r="R110" i="1"/>
  <c r="AJ110" i="1" s="1"/>
  <c r="R111" i="1"/>
  <c r="AJ111" i="1" s="1"/>
  <c r="R112" i="1"/>
  <c r="AJ112" i="1" s="1"/>
  <c r="R113" i="1"/>
  <c r="AJ113" i="1" s="1"/>
  <c r="R114" i="1"/>
  <c r="AJ114" i="1" s="1"/>
  <c r="R115" i="1"/>
  <c r="AJ115" i="1" s="1"/>
  <c r="R116" i="1"/>
  <c r="AJ116" i="1" s="1"/>
  <c r="R117" i="1"/>
  <c r="AJ117" i="1" s="1"/>
  <c r="R118" i="1"/>
  <c r="AJ118" i="1" s="1"/>
  <c r="R119" i="1"/>
  <c r="AJ119" i="1" s="1"/>
  <c r="R120" i="1"/>
  <c r="AJ120" i="1" s="1"/>
  <c r="R121" i="1"/>
  <c r="AJ121" i="1" s="1"/>
  <c r="R122" i="1"/>
  <c r="AJ122" i="1" s="1"/>
  <c r="R123" i="1"/>
  <c r="AJ123" i="1" s="1"/>
  <c r="R124" i="1"/>
  <c r="AJ124" i="1" s="1"/>
  <c r="R125" i="1"/>
  <c r="AJ125" i="1" s="1"/>
  <c r="R126" i="1"/>
  <c r="AJ126" i="1" s="1"/>
  <c r="R127" i="1"/>
  <c r="AJ127" i="1" s="1"/>
  <c r="R128" i="1"/>
  <c r="AJ128" i="1" s="1"/>
  <c r="R129" i="1"/>
  <c r="AJ129" i="1" s="1"/>
  <c r="R130" i="1"/>
  <c r="AJ130" i="1" s="1"/>
  <c r="R131" i="1"/>
  <c r="AJ131" i="1" s="1"/>
  <c r="R132" i="1"/>
  <c r="AJ132" i="1" s="1"/>
  <c r="R133" i="1"/>
  <c r="AJ133" i="1" s="1"/>
  <c r="R134" i="1"/>
  <c r="AJ134" i="1" s="1"/>
  <c r="R135" i="1"/>
  <c r="AJ135" i="1" s="1"/>
  <c r="R136" i="1"/>
  <c r="AJ136" i="1" s="1"/>
  <c r="R137" i="1"/>
  <c r="AJ137" i="1" s="1"/>
  <c r="R138" i="1"/>
  <c r="AJ138" i="1" s="1"/>
  <c r="R139" i="1"/>
  <c r="AJ139" i="1" s="1"/>
  <c r="R140" i="1"/>
  <c r="AJ140" i="1" s="1"/>
  <c r="R141" i="1"/>
  <c r="AJ141" i="1" s="1"/>
  <c r="R142" i="1"/>
  <c r="AJ142" i="1" s="1"/>
  <c r="R143" i="1"/>
  <c r="AJ143" i="1" s="1"/>
  <c r="R144" i="1"/>
  <c r="AJ144" i="1" s="1"/>
  <c r="R145" i="1"/>
  <c r="AJ145" i="1" s="1"/>
  <c r="R146" i="1"/>
  <c r="AJ146" i="1" s="1"/>
  <c r="R147" i="1"/>
  <c r="AJ147" i="1" s="1"/>
  <c r="R148" i="1"/>
  <c r="AJ148" i="1" s="1"/>
  <c r="R149" i="1"/>
  <c r="AJ149" i="1" s="1"/>
  <c r="R150" i="1"/>
  <c r="AJ150" i="1" s="1"/>
  <c r="R151" i="1"/>
  <c r="AJ151" i="1" s="1"/>
  <c r="R152" i="1"/>
  <c r="AJ152" i="1" s="1"/>
  <c r="R153" i="1"/>
  <c r="AJ153" i="1" s="1"/>
  <c r="R154" i="1"/>
  <c r="AJ154" i="1" s="1"/>
  <c r="R155" i="1"/>
  <c r="AJ155" i="1" s="1"/>
  <c r="R156" i="1"/>
  <c r="AJ156" i="1" s="1"/>
  <c r="R157" i="1"/>
  <c r="AJ157" i="1" s="1"/>
  <c r="R158" i="1"/>
  <c r="AJ158" i="1" s="1"/>
  <c r="R159" i="1"/>
  <c r="AJ159" i="1" s="1"/>
  <c r="R160" i="1"/>
  <c r="AJ160" i="1" s="1"/>
  <c r="R161" i="1"/>
  <c r="AJ161" i="1" s="1"/>
  <c r="R162" i="1"/>
  <c r="AJ162" i="1" s="1"/>
  <c r="R163" i="1"/>
  <c r="AJ163" i="1" s="1"/>
  <c r="R164" i="1"/>
  <c r="AJ164" i="1" s="1"/>
  <c r="R165" i="1"/>
  <c r="AJ165" i="1" s="1"/>
  <c r="R166" i="1"/>
  <c r="AJ166" i="1" s="1"/>
  <c r="R167" i="1"/>
  <c r="AJ167" i="1" s="1"/>
  <c r="R168" i="1"/>
  <c r="AJ168" i="1" s="1"/>
  <c r="R169" i="1"/>
  <c r="AJ169" i="1" s="1"/>
  <c r="R170" i="1"/>
  <c r="AJ170" i="1" s="1"/>
  <c r="R171" i="1"/>
  <c r="AJ171" i="1" s="1"/>
  <c r="R172" i="1"/>
  <c r="AJ172" i="1" s="1"/>
  <c r="R173" i="1"/>
  <c r="AJ173" i="1" s="1"/>
  <c r="R174" i="1"/>
  <c r="AJ174" i="1" s="1"/>
  <c r="R175" i="1"/>
  <c r="AJ175" i="1" s="1"/>
  <c r="R176" i="1"/>
  <c r="AJ176" i="1" s="1"/>
  <c r="R177" i="1"/>
  <c r="AJ177" i="1" s="1"/>
  <c r="R178" i="1"/>
  <c r="AJ178" i="1" s="1"/>
  <c r="R179" i="1"/>
  <c r="AJ179" i="1" s="1"/>
  <c r="R180" i="1"/>
  <c r="AJ180" i="1" s="1"/>
  <c r="R181" i="1"/>
  <c r="AJ181" i="1" s="1"/>
  <c r="R182" i="1"/>
  <c r="AJ182" i="1" s="1"/>
  <c r="R183" i="1"/>
  <c r="AJ183" i="1" s="1"/>
  <c r="R184" i="1"/>
  <c r="AJ184" i="1" s="1"/>
  <c r="R185" i="1"/>
  <c r="AJ185" i="1" s="1"/>
  <c r="R186" i="1"/>
  <c r="AJ186" i="1" s="1"/>
  <c r="R187" i="1"/>
  <c r="AJ187" i="1" s="1"/>
  <c r="R188" i="1"/>
  <c r="AJ188" i="1" s="1"/>
  <c r="R189" i="1"/>
  <c r="AJ189" i="1" s="1"/>
  <c r="R190" i="1"/>
  <c r="AJ190" i="1" s="1"/>
  <c r="R191" i="1"/>
  <c r="AJ191" i="1" s="1"/>
  <c r="R192" i="1"/>
  <c r="AJ192" i="1" s="1"/>
  <c r="R193" i="1"/>
  <c r="AJ193" i="1" s="1"/>
  <c r="R194" i="1"/>
  <c r="AJ194" i="1" s="1"/>
  <c r="R195" i="1"/>
  <c r="AJ195" i="1" s="1"/>
  <c r="R196" i="1"/>
  <c r="AJ196" i="1" s="1"/>
  <c r="R197" i="1"/>
  <c r="AJ197" i="1" s="1"/>
  <c r="R198" i="1"/>
  <c r="AJ198" i="1" s="1"/>
  <c r="R199" i="1"/>
  <c r="AJ199" i="1" s="1"/>
  <c r="R200" i="1"/>
  <c r="AJ200" i="1" s="1"/>
  <c r="R201" i="1"/>
  <c r="AJ201" i="1" s="1"/>
  <c r="R202" i="1"/>
  <c r="AJ202" i="1" s="1"/>
  <c r="R203" i="1"/>
  <c r="AJ203" i="1" s="1"/>
  <c r="R204" i="1"/>
  <c r="AJ204" i="1" s="1"/>
  <c r="R205" i="1"/>
  <c r="AJ205" i="1" s="1"/>
  <c r="R206" i="1"/>
  <c r="AJ206" i="1" s="1"/>
  <c r="R207" i="1"/>
  <c r="AJ207" i="1" s="1"/>
  <c r="R208" i="1"/>
  <c r="AJ208" i="1" s="1"/>
  <c r="R209" i="1"/>
  <c r="AJ209" i="1" s="1"/>
  <c r="R210" i="1"/>
  <c r="AJ210" i="1" s="1"/>
  <c r="R211" i="1"/>
  <c r="AJ211" i="1" s="1"/>
  <c r="R212" i="1"/>
  <c r="AJ212" i="1" s="1"/>
  <c r="R213" i="1"/>
  <c r="AJ213" i="1" s="1"/>
  <c r="R214" i="1"/>
  <c r="AJ214" i="1" s="1"/>
  <c r="R215" i="1"/>
  <c r="AJ215" i="1" s="1"/>
  <c r="R216" i="1"/>
  <c r="AJ216" i="1" s="1"/>
  <c r="R217" i="1"/>
  <c r="AJ217" i="1" s="1"/>
  <c r="R218" i="1"/>
  <c r="AJ218" i="1" s="1"/>
  <c r="R219" i="1"/>
  <c r="AJ219" i="1" s="1"/>
  <c r="R220" i="1"/>
  <c r="AJ220" i="1" s="1"/>
  <c r="R221" i="1"/>
  <c r="AJ221" i="1" s="1"/>
  <c r="R222" i="1"/>
  <c r="AJ222" i="1" s="1"/>
  <c r="R223" i="1"/>
  <c r="AJ223" i="1" s="1"/>
  <c r="R224" i="1"/>
  <c r="AJ224" i="1" s="1"/>
  <c r="R225" i="1"/>
  <c r="AJ225" i="1" s="1"/>
  <c r="R226" i="1"/>
  <c r="AJ226" i="1" s="1"/>
  <c r="R227" i="1"/>
  <c r="AJ227" i="1" s="1"/>
  <c r="R228" i="1"/>
  <c r="AJ228" i="1" s="1"/>
  <c r="R229" i="1"/>
  <c r="AJ229" i="1" s="1"/>
  <c r="R230" i="1"/>
  <c r="AJ230" i="1" s="1"/>
  <c r="R231" i="1"/>
  <c r="AJ231" i="1" s="1"/>
  <c r="R232" i="1"/>
  <c r="AJ232" i="1" s="1"/>
  <c r="R233" i="1"/>
  <c r="AJ233" i="1" s="1"/>
  <c r="R234" i="1"/>
  <c r="AJ234" i="1" s="1"/>
  <c r="R235" i="1"/>
  <c r="AJ235" i="1" s="1"/>
  <c r="R236" i="1"/>
  <c r="AJ236" i="1" s="1"/>
  <c r="R237" i="1"/>
  <c r="AJ237" i="1" s="1"/>
  <c r="R238" i="1"/>
  <c r="AJ238" i="1" s="1"/>
  <c r="R239" i="1"/>
  <c r="AJ239" i="1" s="1"/>
  <c r="R240" i="1"/>
  <c r="AJ240" i="1" s="1"/>
  <c r="R241" i="1"/>
  <c r="AJ241" i="1" s="1"/>
  <c r="R242" i="1"/>
  <c r="AJ242" i="1" s="1"/>
  <c r="R243" i="1"/>
  <c r="AJ243" i="1" s="1"/>
  <c r="R244" i="1"/>
  <c r="AJ244" i="1" s="1"/>
  <c r="R245" i="1"/>
  <c r="AJ245" i="1" s="1"/>
  <c r="R246" i="1"/>
  <c r="AJ246" i="1" s="1"/>
  <c r="R247" i="1"/>
  <c r="AJ247" i="1" s="1"/>
  <c r="R248" i="1"/>
  <c r="AJ248" i="1" s="1"/>
  <c r="R249" i="1"/>
  <c r="AJ249" i="1" s="1"/>
  <c r="R250" i="1"/>
  <c r="AJ250" i="1" s="1"/>
  <c r="R251" i="1"/>
  <c r="AJ251" i="1" s="1"/>
  <c r="R252" i="1"/>
  <c r="AJ252" i="1" s="1"/>
  <c r="R253" i="1"/>
  <c r="AJ253" i="1" s="1"/>
  <c r="R254" i="1"/>
  <c r="AJ254" i="1" s="1"/>
  <c r="R255" i="1"/>
  <c r="AJ255" i="1" s="1"/>
  <c r="R256" i="1"/>
  <c r="AJ256" i="1" s="1"/>
  <c r="R257" i="1"/>
  <c r="AJ257" i="1" s="1"/>
  <c r="R258" i="1"/>
  <c r="AJ258" i="1" s="1"/>
  <c r="R259" i="1"/>
  <c r="AJ259" i="1" s="1"/>
  <c r="R260" i="1"/>
  <c r="AJ260" i="1" s="1"/>
  <c r="R261" i="1"/>
  <c r="AJ261" i="1" s="1"/>
  <c r="R262" i="1"/>
  <c r="AJ262" i="1" s="1"/>
  <c r="R263" i="1"/>
  <c r="AJ263" i="1" s="1"/>
  <c r="R264" i="1"/>
  <c r="AJ264" i="1" s="1"/>
  <c r="R265" i="1"/>
  <c r="AJ265" i="1" s="1"/>
  <c r="R266" i="1"/>
  <c r="AJ266" i="1" s="1"/>
  <c r="R267" i="1"/>
  <c r="AJ267" i="1" s="1"/>
  <c r="R268" i="1"/>
  <c r="AJ268" i="1" s="1"/>
  <c r="R269" i="1"/>
  <c r="AJ269" i="1" s="1"/>
  <c r="R270" i="1"/>
  <c r="AJ270" i="1" s="1"/>
  <c r="R271" i="1"/>
  <c r="AJ271" i="1" s="1"/>
  <c r="R272" i="1"/>
  <c r="AJ272" i="1" s="1"/>
  <c r="R273" i="1"/>
  <c r="AJ273" i="1" s="1"/>
  <c r="R274" i="1"/>
  <c r="AJ274" i="1" s="1"/>
  <c r="R275" i="1"/>
  <c r="AJ275" i="1" s="1"/>
  <c r="R276" i="1"/>
  <c r="AJ276" i="1" s="1"/>
  <c r="R277" i="1"/>
  <c r="AJ277" i="1" s="1"/>
  <c r="R278" i="1"/>
  <c r="AJ278" i="1" s="1"/>
  <c r="R279" i="1"/>
  <c r="AJ279" i="1" s="1"/>
  <c r="R280" i="1"/>
  <c r="AJ280" i="1" s="1"/>
  <c r="R281" i="1"/>
  <c r="AJ281" i="1" s="1"/>
  <c r="R282" i="1"/>
  <c r="AJ282" i="1" s="1"/>
  <c r="R283" i="1"/>
  <c r="AJ283" i="1" s="1"/>
  <c r="R284" i="1"/>
  <c r="AJ284" i="1" s="1"/>
  <c r="R285" i="1"/>
  <c r="AJ285" i="1" s="1"/>
  <c r="R286" i="1"/>
  <c r="AJ286" i="1" s="1"/>
  <c r="R287" i="1"/>
  <c r="AJ287" i="1" s="1"/>
  <c r="R288" i="1"/>
  <c r="AJ288" i="1" s="1"/>
  <c r="R289" i="1"/>
  <c r="AJ289" i="1" s="1"/>
  <c r="R290" i="1"/>
  <c r="AJ290" i="1" s="1"/>
  <c r="R291" i="1"/>
  <c r="AJ291" i="1" s="1"/>
  <c r="R292" i="1"/>
  <c r="AJ292" i="1" s="1"/>
  <c r="R293" i="1"/>
  <c r="AJ293" i="1" s="1"/>
  <c r="R294" i="1"/>
  <c r="AJ294" i="1" s="1"/>
  <c r="R295" i="1"/>
  <c r="AJ295" i="1" s="1"/>
  <c r="R296" i="1"/>
  <c r="AJ296" i="1" s="1"/>
  <c r="R297" i="1"/>
  <c r="AJ297" i="1" s="1"/>
  <c r="R298" i="1"/>
  <c r="AJ298" i="1" s="1"/>
  <c r="R299" i="1"/>
  <c r="AJ299" i="1" s="1"/>
  <c r="R300" i="1"/>
  <c r="AJ300" i="1" s="1"/>
  <c r="R301" i="1"/>
  <c r="AJ301" i="1" s="1"/>
  <c r="R302" i="1"/>
  <c r="AJ302" i="1" s="1"/>
  <c r="R303" i="1"/>
  <c r="AJ303" i="1" s="1"/>
  <c r="R304" i="1"/>
  <c r="AJ304" i="1" s="1"/>
  <c r="R305" i="1"/>
  <c r="AJ305" i="1" s="1"/>
  <c r="R306" i="1"/>
  <c r="AJ306" i="1" s="1"/>
  <c r="R307" i="1"/>
  <c r="AJ307" i="1" s="1"/>
  <c r="R308" i="1"/>
  <c r="AJ308" i="1" s="1"/>
  <c r="R309" i="1"/>
  <c r="AJ309" i="1" s="1"/>
  <c r="R310" i="1"/>
  <c r="AJ310" i="1" s="1"/>
  <c r="R311" i="1"/>
  <c r="AJ311" i="1" s="1"/>
  <c r="R312" i="1"/>
  <c r="AJ312" i="1" s="1"/>
  <c r="R313" i="1"/>
  <c r="AJ313" i="1" s="1"/>
  <c r="R314" i="1"/>
  <c r="AJ314" i="1" s="1"/>
  <c r="R315" i="1"/>
  <c r="AJ315" i="1" s="1"/>
  <c r="R316" i="1"/>
  <c r="AJ316" i="1" s="1"/>
  <c r="R317" i="1"/>
  <c r="AJ317" i="1" s="1"/>
  <c r="R318" i="1"/>
  <c r="AJ318" i="1" s="1"/>
  <c r="R319" i="1"/>
  <c r="AJ319" i="1" s="1"/>
  <c r="R320" i="1"/>
  <c r="AJ320" i="1" s="1"/>
  <c r="R321" i="1"/>
  <c r="AJ321" i="1" s="1"/>
  <c r="R322" i="1"/>
  <c r="AJ322" i="1" s="1"/>
  <c r="R323" i="1"/>
  <c r="AJ323" i="1" s="1"/>
  <c r="R324" i="1"/>
  <c r="AJ324" i="1" s="1"/>
  <c r="R325" i="1"/>
  <c r="AJ325" i="1" s="1"/>
  <c r="R326" i="1"/>
  <c r="AJ326" i="1" s="1"/>
  <c r="R327" i="1"/>
  <c r="AJ327" i="1" s="1"/>
  <c r="R328" i="1"/>
  <c r="AJ328" i="1" s="1"/>
  <c r="R329" i="1"/>
  <c r="AJ329" i="1" s="1"/>
  <c r="R330" i="1"/>
  <c r="AJ330" i="1" s="1"/>
  <c r="R331" i="1"/>
  <c r="AJ331" i="1" s="1"/>
  <c r="R332" i="1"/>
  <c r="AJ332" i="1" s="1"/>
  <c r="R333" i="1"/>
  <c r="AJ333" i="1" s="1"/>
  <c r="R334" i="1"/>
  <c r="AJ334" i="1" s="1"/>
  <c r="R335" i="1"/>
  <c r="AJ335" i="1" s="1"/>
  <c r="R336" i="1"/>
  <c r="AJ336" i="1" s="1"/>
  <c r="R337" i="1"/>
  <c r="AJ337" i="1" s="1"/>
  <c r="R338" i="1"/>
  <c r="AJ338" i="1" s="1"/>
  <c r="R339" i="1"/>
  <c r="AJ339" i="1" s="1"/>
  <c r="R340" i="1"/>
  <c r="AJ340" i="1" s="1"/>
  <c r="R341" i="1"/>
  <c r="AJ341" i="1" s="1"/>
  <c r="R342" i="1"/>
  <c r="AJ342" i="1" s="1"/>
  <c r="R343" i="1"/>
  <c r="AJ343" i="1" s="1"/>
  <c r="R344" i="1"/>
  <c r="AJ344" i="1" s="1"/>
  <c r="R345" i="1"/>
  <c r="AJ345" i="1" s="1"/>
  <c r="R346" i="1"/>
  <c r="AJ346" i="1" s="1"/>
  <c r="R347" i="1"/>
  <c r="AJ347" i="1" s="1"/>
  <c r="R348" i="1"/>
  <c r="AJ348" i="1" s="1"/>
  <c r="R349" i="1"/>
  <c r="AJ349" i="1" s="1"/>
  <c r="R350" i="1"/>
  <c r="AJ350" i="1" s="1"/>
  <c r="R351" i="1"/>
  <c r="AJ351" i="1" s="1"/>
  <c r="R352" i="1"/>
  <c r="AJ352" i="1" s="1"/>
  <c r="R353" i="1"/>
  <c r="AJ353" i="1" s="1"/>
  <c r="R354" i="1"/>
  <c r="AJ354" i="1" s="1"/>
  <c r="R355" i="1"/>
  <c r="AJ355" i="1" s="1"/>
  <c r="R356" i="1"/>
  <c r="AJ356" i="1" s="1"/>
  <c r="R357" i="1"/>
  <c r="AJ357" i="1" s="1"/>
  <c r="R358" i="1"/>
  <c r="AJ358" i="1" s="1"/>
  <c r="R359" i="1"/>
  <c r="AJ359" i="1" s="1"/>
  <c r="R360" i="1"/>
  <c r="AJ360" i="1" s="1"/>
  <c r="R361" i="1"/>
  <c r="AJ361" i="1" s="1"/>
  <c r="R362" i="1"/>
  <c r="AJ362" i="1" s="1"/>
  <c r="R363" i="1"/>
  <c r="AJ363" i="1" s="1"/>
  <c r="R364" i="1"/>
  <c r="AJ364" i="1" s="1"/>
  <c r="R365" i="1"/>
  <c r="AJ365" i="1" s="1"/>
  <c r="R366" i="1"/>
  <c r="AJ366" i="1" s="1"/>
  <c r="R367" i="1"/>
  <c r="AJ367" i="1" s="1"/>
  <c r="R368" i="1"/>
  <c r="AJ368" i="1" s="1"/>
  <c r="R369" i="1"/>
  <c r="AJ369" i="1" s="1"/>
  <c r="R370" i="1"/>
  <c r="AJ370" i="1" s="1"/>
  <c r="R371" i="1"/>
  <c r="AJ371" i="1" s="1"/>
  <c r="R372" i="1"/>
  <c r="AJ372" i="1" s="1"/>
  <c r="R373" i="1"/>
  <c r="AJ373" i="1" s="1"/>
  <c r="R374" i="1"/>
  <c r="AJ374" i="1" s="1"/>
  <c r="R375" i="1"/>
  <c r="AJ375" i="1" s="1"/>
  <c r="R376" i="1"/>
  <c r="AJ376" i="1" s="1"/>
  <c r="R377" i="1"/>
  <c r="AJ377" i="1" s="1"/>
  <c r="R378" i="1"/>
  <c r="AJ378" i="1" s="1"/>
  <c r="R379" i="1"/>
  <c r="AJ379" i="1" s="1"/>
  <c r="R380" i="1"/>
  <c r="AJ380" i="1" s="1"/>
  <c r="R381" i="1"/>
  <c r="AJ381" i="1" s="1"/>
  <c r="R382" i="1"/>
  <c r="AJ382" i="1" s="1"/>
  <c r="R383" i="1"/>
  <c r="AJ383" i="1" s="1"/>
  <c r="R384" i="1"/>
  <c r="AJ384" i="1" s="1"/>
  <c r="R385" i="1"/>
  <c r="AJ385" i="1" s="1"/>
  <c r="R386" i="1"/>
  <c r="AJ386" i="1" s="1"/>
  <c r="R387" i="1"/>
  <c r="AJ387" i="1" s="1"/>
  <c r="R388" i="1"/>
  <c r="AJ388" i="1" s="1"/>
  <c r="R389" i="1"/>
  <c r="AJ389" i="1" s="1"/>
  <c r="R390" i="1"/>
  <c r="AJ390" i="1" s="1"/>
  <c r="R391" i="1"/>
  <c r="AJ391" i="1" s="1"/>
  <c r="R392" i="1"/>
  <c r="AJ392" i="1" s="1"/>
  <c r="R393" i="1"/>
  <c r="AJ393" i="1" s="1"/>
  <c r="R394" i="1"/>
  <c r="AJ394" i="1" s="1"/>
  <c r="R395" i="1"/>
  <c r="AJ395" i="1" s="1"/>
  <c r="R396" i="1"/>
  <c r="AJ396" i="1" s="1"/>
  <c r="R397" i="1"/>
  <c r="AJ397" i="1" s="1"/>
  <c r="R398" i="1"/>
  <c r="AJ398" i="1" s="1"/>
  <c r="R399" i="1"/>
  <c r="AJ399" i="1" s="1"/>
  <c r="R400" i="1"/>
  <c r="AJ400" i="1" s="1"/>
  <c r="R401" i="1"/>
  <c r="AJ401" i="1" s="1"/>
  <c r="R402" i="1"/>
  <c r="AJ402" i="1" s="1"/>
  <c r="R403" i="1"/>
  <c r="AJ403" i="1" s="1"/>
  <c r="R404" i="1"/>
  <c r="AJ404" i="1" s="1"/>
  <c r="R405" i="1"/>
  <c r="AJ405" i="1" s="1"/>
  <c r="R406" i="1"/>
  <c r="AJ406" i="1" s="1"/>
  <c r="R407" i="1"/>
  <c r="AJ407" i="1" s="1"/>
  <c r="R408" i="1"/>
  <c r="AJ408" i="1" s="1"/>
  <c r="R409" i="1"/>
  <c r="AJ409" i="1" s="1"/>
  <c r="R410" i="1"/>
  <c r="AJ410" i="1" s="1"/>
  <c r="R411" i="1"/>
  <c r="AJ411" i="1" s="1"/>
  <c r="R412" i="1"/>
  <c r="AJ412" i="1" s="1"/>
  <c r="R413" i="1"/>
  <c r="AJ413" i="1" s="1"/>
  <c r="R414" i="1"/>
  <c r="AJ414" i="1" s="1"/>
  <c r="R415" i="1"/>
  <c r="AJ415" i="1" s="1"/>
  <c r="R416" i="1"/>
  <c r="AJ416" i="1" s="1"/>
  <c r="R417" i="1"/>
  <c r="AJ417" i="1" s="1"/>
  <c r="R418" i="1"/>
  <c r="AJ418" i="1" s="1"/>
  <c r="R419" i="1"/>
  <c r="AJ419" i="1" s="1"/>
  <c r="R420" i="1"/>
  <c r="AJ420" i="1" s="1"/>
  <c r="R421" i="1"/>
  <c r="AJ421" i="1" s="1"/>
  <c r="R422" i="1"/>
  <c r="AJ422" i="1" s="1"/>
  <c r="R423" i="1"/>
  <c r="AJ423" i="1" s="1"/>
  <c r="R424" i="1"/>
  <c r="AJ424" i="1" s="1"/>
  <c r="R425" i="1"/>
  <c r="AJ425" i="1" s="1"/>
  <c r="R426" i="1"/>
  <c r="AJ426" i="1" s="1"/>
  <c r="R427" i="1"/>
  <c r="AJ427" i="1" s="1"/>
  <c r="R428" i="1"/>
  <c r="AJ428" i="1" s="1"/>
  <c r="R429" i="1"/>
  <c r="AJ429" i="1" s="1"/>
  <c r="R430" i="1"/>
  <c r="AJ430" i="1" s="1"/>
  <c r="R431" i="1"/>
  <c r="AJ431" i="1" s="1"/>
  <c r="R432" i="1"/>
  <c r="AJ432" i="1" s="1"/>
  <c r="R433" i="1"/>
  <c r="AJ433" i="1" s="1"/>
  <c r="R434" i="1"/>
  <c r="AJ434" i="1" s="1"/>
  <c r="R435" i="1"/>
  <c r="AJ435" i="1" s="1"/>
  <c r="R436" i="1"/>
  <c r="AJ436" i="1" s="1"/>
  <c r="R437" i="1"/>
  <c r="AJ437" i="1" s="1"/>
  <c r="R438" i="1"/>
  <c r="AJ438" i="1" s="1"/>
  <c r="R439" i="1"/>
  <c r="AJ439" i="1" s="1"/>
  <c r="R440" i="1"/>
  <c r="AJ440" i="1" s="1"/>
  <c r="R441" i="1"/>
  <c r="AJ441" i="1" s="1"/>
  <c r="R442" i="1"/>
  <c r="AJ442" i="1" s="1"/>
  <c r="R443" i="1"/>
  <c r="AJ443" i="1" s="1"/>
  <c r="R444" i="1"/>
  <c r="AJ444" i="1" s="1"/>
  <c r="R445" i="1"/>
  <c r="AJ445" i="1" s="1"/>
  <c r="R446" i="1"/>
  <c r="AJ446" i="1" s="1"/>
  <c r="R447" i="1"/>
  <c r="AJ447" i="1" s="1"/>
  <c r="R448" i="1"/>
  <c r="AJ448" i="1" s="1"/>
  <c r="R449" i="1"/>
  <c r="AJ449" i="1" s="1"/>
  <c r="R450" i="1"/>
  <c r="AJ450" i="1" s="1"/>
  <c r="R451" i="1"/>
  <c r="AJ451" i="1" s="1"/>
  <c r="R452" i="1"/>
  <c r="AJ452" i="1" s="1"/>
  <c r="R453" i="1"/>
  <c r="AJ453" i="1" s="1"/>
  <c r="R454" i="1"/>
  <c r="AJ454" i="1" s="1"/>
  <c r="R455" i="1"/>
  <c r="AJ455" i="1" s="1"/>
  <c r="R456" i="1"/>
  <c r="AJ456" i="1" s="1"/>
  <c r="R457" i="1"/>
  <c r="AJ457" i="1" s="1"/>
  <c r="R458" i="1"/>
  <c r="AJ458" i="1" s="1"/>
  <c r="R459" i="1"/>
  <c r="AJ459" i="1" s="1"/>
  <c r="R460" i="1"/>
  <c r="AJ460" i="1" s="1"/>
  <c r="R461" i="1"/>
  <c r="AJ461" i="1" s="1"/>
  <c r="R462" i="1"/>
  <c r="AJ462" i="1" s="1"/>
  <c r="R463" i="1"/>
  <c r="AJ463" i="1" s="1"/>
  <c r="R464" i="1"/>
  <c r="AJ464" i="1" s="1"/>
  <c r="R465" i="1"/>
  <c r="AJ465" i="1" s="1"/>
  <c r="R466" i="1"/>
  <c r="AJ466" i="1" s="1"/>
  <c r="R467" i="1"/>
  <c r="AJ467" i="1" s="1"/>
  <c r="R468" i="1"/>
  <c r="AJ468" i="1" s="1"/>
  <c r="R469" i="1"/>
  <c r="AJ469" i="1" s="1"/>
  <c r="R470" i="1"/>
  <c r="AJ470" i="1" s="1"/>
  <c r="R471" i="1"/>
  <c r="AJ471" i="1" s="1"/>
  <c r="R472" i="1"/>
  <c r="AJ472" i="1" s="1"/>
  <c r="R473" i="1"/>
  <c r="AJ473" i="1" s="1"/>
  <c r="R474" i="1"/>
  <c r="AJ474" i="1" s="1"/>
  <c r="R475" i="1"/>
  <c r="AJ475" i="1" s="1"/>
  <c r="R476" i="1"/>
  <c r="AJ476" i="1" s="1"/>
  <c r="R477" i="1"/>
  <c r="AJ477" i="1" s="1"/>
  <c r="R478" i="1"/>
  <c r="AJ478" i="1" s="1"/>
  <c r="R479" i="1"/>
  <c r="AJ479" i="1" s="1"/>
  <c r="R480" i="1"/>
  <c r="AJ480" i="1" s="1"/>
  <c r="R481" i="1"/>
  <c r="AJ481" i="1" s="1"/>
  <c r="R482" i="1"/>
  <c r="AJ482" i="1" s="1"/>
  <c r="R483" i="1"/>
  <c r="AJ483" i="1" s="1"/>
  <c r="R484" i="1"/>
  <c r="AJ484" i="1" s="1"/>
  <c r="R485" i="1"/>
  <c r="AJ485" i="1" s="1"/>
  <c r="R486" i="1"/>
  <c r="AJ486" i="1" s="1"/>
  <c r="R487" i="1"/>
  <c r="AJ487" i="1" s="1"/>
  <c r="R488" i="1"/>
  <c r="AJ488" i="1" s="1"/>
  <c r="R489" i="1"/>
  <c r="AJ489" i="1" s="1"/>
  <c r="R490" i="1"/>
  <c r="AJ490" i="1" s="1"/>
  <c r="R491" i="1"/>
  <c r="AJ491" i="1" s="1"/>
  <c r="R492" i="1"/>
  <c r="AJ492" i="1" s="1"/>
  <c r="R493" i="1"/>
  <c r="AJ493" i="1" s="1"/>
  <c r="R494" i="1"/>
  <c r="AJ494" i="1" s="1"/>
  <c r="R495" i="1"/>
  <c r="AJ495" i="1" s="1"/>
  <c r="R496" i="1"/>
  <c r="AJ496" i="1" s="1"/>
  <c r="R497" i="1"/>
  <c r="AJ497" i="1" s="1"/>
  <c r="R498" i="1"/>
  <c r="AJ498" i="1" s="1"/>
  <c r="R499" i="1"/>
  <c r="AJ499" i="1" s="1"/>
  <c r="R500" i="1"/>
  <c r="AJ500" i="1" s="1"/>
  <c r="R501" i="1"/>
  <c r="AJ501" i="1" s="1"/>
  <c r="R502" i="1"/>
  <c r="AJ502" i="1" s="1"/>
  <c r="R503" i="1"/>
  <c r="AJ503" i="1" s="1"/>
  <c r="R504" i="1"/>
  <c r="AJ504" i="1" s="1"/>
  <c r="R505" i="1"/>
  <c r="AJ505" i="1" s="1"/>
  <c r="R506" i="1"/>
  <c r="AJ506" i="1" s="1"/>
  <c r="R507" i="1"/>
  <c r="AJ507" i="1" s="1"/>
  <c r="R508" i="1"/>
  <c r="AJ508" i="1" s="1"/>
  <c r="R509" i="1"/>
  <c r="AJ509" i="1" s="1"/>
  <c r="R510" i="1"/>
  <c r="AJ510" i="1" s="1"/>
  <c r="R511" i="1"/>
  <c r="AJ511" i="1" s="1"/>
  <c r="R512" i="1"/>
  <c r="AJ512" i="1" s="1"/>
  <c r="R513" i="1"/>
  <c r="AJ513" i="1" s="1"/>
  <c r="R514" i="1"/>
  <c r="AJ514" i="1" s="1"/>
  <c r="R515" i="1"/>
  <c r="AJ515" i="1" s="1"/>
  <c r="R516" i="1"/>
  <c r="AJ516" i="1" s="1"/>
  <c r="R517" i="1"/>
  <c r="AJ517" i="1" s="1"/>
  <c r="R518" i="1"/>
  <c r="AJ518" i="1" s="1"/>
  <c r="R519" i="1"/>
  <c r="AJ519" i="1" s="1"/>
  <c r="R520" i="1"/>
  <c r="AJ520" i="1" s="1"/>
  <c r="R521" i="1"/>
  <c r="AJ521" i="1" s="1"/>
  <c r="R522" i="1"/>
  <c r="AJ522" i="1" s="1"/>
  <c r="R523" i="1"/>
  <c r="AJ523" i="1" s="1"/>
  <c r="R524" i="1"/>
  <c r="AJ524" i="1" s="1"/>
  <c r="R525" i="1"/>
  <c r="AJ525" i="1" s="1"/>
  <c r="R526" i="1"/>
  <c r="AJ526" i="1" s="1"/>
  <c r="R527" i="1"/>
  <c r="AJ527" i="1" s="1"/>
  <c r="R528" i="1"/>
  <c r="AJ528" i="1" s="1"/>
  <c r="R529" i="1"/>
  <c r="AJ529" i="1" s="1"/>
  <c r="R530" i="1"/>
  <c r="AJ530" i="1" s="1"/>
  <c r="R531" i="1"/>
  <c r="AJ531" i="1" s="1"/>
  <c r="R532" i="1"/>
  <c r="AJ532" i="1" s="1"/>
  <c r="R533" i="1"/>
  <c r="AJ533" i="1" s="1"/>
  <c r="R534" i="1"/>
  <c r="AJ534" i="1" s="1"/>
  <c r="R535" i="1"/>
  <c r="AJ535" i="1" s="1"/>
  <c r="R536" i="1"/>
  <c r="AJ536" i="1" s="1"/>
  <c r="R537" i="1"/>
  <c r="AJ537" i="1" s="1"/>
  <c r="R538" i="1"/>
  <c r="AJ538" i="1" s="1"/>
  <c r="R539" i="1"/>
  <c r="AJ539" i="1" s="1"/>
  <c r="R540" i="1"/>
  <c r="AJ540" i="1" s="1"/>
  <c r="R541" i="1"/>
  <c r="AJ541" i="1" s="1"/>
  <c r="R542" i="1"/>
  <c r="AJ542" i="1" s="1"/>
  <c r="R543" i="1"/>
  <c r="AJ543" i="1" s="1"/>
  <c r="R544" i="1"/>
  <c r="AJ544" i="1" s="1"/>
  <c r="R545" i="1"/>
  <c r="AJ545" i="1" s="1"/>
  <c r="R546" i="1"/>
  <c r="AJ546" i="1" s="1"/>
  <c r="R547" i="1"/>
  <c r="AJ547" i="1" s="1"/>
  <c r="R548" i="1"/>
  <c r="AJ548" i="1" s="1"/>
  <c r="R549" i="1"/>
  <c r="AJ549" i="1" s="1"/>
  <c r="R550" i="1"/>
  <c r="AJ550" i="1" s="1"/>
  <c r="R551" i="1"/>
  <c r="AJ551" i="1" s="1"/>
  <c r="R552" i="1"/>
  <c r="AJ552" i="1" s="1"/>
  <c r="R553" i="1"/>
  <c r="AJ553" i="1" s="1"/>
  <c r="R554" i="1"/>
  <c r="AJ554" i="1" s="1"/>
  <c r="R555" i="1"/>
  <c r="AJ555" i="1" s="1"/>
  <c r="R556" i="1"/>
  <c r="AJ556" i="1" s="1"/>
  <c r="R557" i="1"/>
  <c r="AJ557" i="1" s="1"/>
  <c r="R558" i="1"/>
  <c r="AJ558" i="1" s="1"/>
  <c r="R559" i="1"/>
  <c r="AJ559" i="1" s="1"/>
  <c r="R560" i="1"/>
  <c r="AJ560" i="1" s="1"/>
  <c r="R561" i="1"/>
  <c r="AJ561" i="1" s="1"/>
  <c r="R562" i="1"/>
  <c r="AJ562" i="1" s="1"/>
  <c r="R563" i="1"/>
  <c r="AJ563" i="1" s="1"/>
  <c r="R564" i="1"/>
  <c r="AJ564" i="1" s="1"/>
  <c r="R565" i="1"/>
  <c r="AJ565" i="1" s="1"/>
  <c r="R566" i="1"/>
  <c r="AJ566" i="1" s="1"/>
  <c r="R567" i="1"/>
  <c r="AJ567" i="1" s="1"/>
  <c r="R568" i="1"/>
  <c r="AJ568" i="1" s="1"/>
  <c r="R569" i="1"/>
  <c r="AJ569" i="1" s="1"/>
  <c r="R570" i="1"/>
  <c r="AJ570" i="1" s="1"/>
  <c r="R571" i="1"/>
  <c r="AJ571" i="1" s="1"/>
  <c r="R572" i="1"/>
  <c r="AJ572" i="1" s="1"/>
  <c r="R573" i="1"/>
  <c r="AJ573" i="1" s="1"/>
  <c r="R574" i="1"/>
  <c r="AJ574" i="1" s="1"/>
  <c r="R575" i="1"/>
  <c r="AJ575" i="1" s="1"/>
  <c r="R576" i="1"/>
  <c r="AJ576" i="1" s="1"/>
  <c r="R577" i="1"/>
  <c r="AJ577" i="1" s="1"/>
  <c r="R578" i="1"/>
  <c r="AJ578" i="1" s="1"/>
  <c r="R579" i="1"/>
  <c r="AJ579" i="1" s="1"/>
  <c r="R580" i="1"/>
  <c r="AJ580" i="1" s="1"/>
  <c r="R581" i="1"/>
  <c r="AJ581" i="1" s="1"/>
  <c r="R582" i="1"/>
  <c r="AJ582" i="1" s="1"/>
  <c r="R583" i="1"/>
  <c r="AJ583" i="1" s="1"/>
  <c r="R584" i="1"/>
  <c r="AJ584" i="1" s="1"/>
  <c r="R585" i="1"/>
  <c r="AJ585" i="1" s="1"/>
  <c r="R586" i="1"/>
  <c r="AJ586" i="1" s="1"/>
  <c r="R587" i="1"/>
  <c r="AJ587" i="1" s="1"/>
  <c r="R588" i="1"/>
  <c r="AJ588" i="1" s="1"/>
  <c r="R589" i="1"/>
  <c r="AJ589" i="1" s="1"/>
  <c r="R590" i="1"/>
  <c r="AJ590" i="1" s="1"/>
  <c r="R591" i="1"/>
  <c r="AJ591" i="1" s="1"/>
  <c r="R592" i="1"/>
  <c r="AJ592" i="1" s="1"/>
  <c r="R593" i="1"/>
  <c r="AJ593" i="1" s="1"/>
  <c r="R594" i="1"/>
  <c r="AJ594" i="1" s="1"/>
  <c r="R595" i="1"/>
  <c r="AJ595" i="1" s="1"/>
  <c r="R596" i="1"/>
  <c r="AJ596" i="1" s="1"/>
  <c r="R597" i="1"/>
  <c r="AJ597" i="1" s="1"/>
  <c r="R598" i="1"/>
  <c r="AJ598" i="1" s="1"/>
  <c r="R599" i="1"/>
  <c r="AJ599" i="1" s="1"/>
  <c r="R600" i="1"/>
  <c r="AJ600" i="1" s="1"/>
  <c r="R601" i="1"/>
  <c r="AJ601" i="1" s="1"/>
  <c r="R602" i="1"/>
  <c r="AJ602" i="1" s="1"/>
  <c r="R603" i="1"/>
  <c r="AJ603" i="1" s="1"/>
  <c r="R604" i="1"/>
  <c r="AJ604" i="1" s="1"/>
  <c r="R605" i="1"/>
  <c r="AJ605" i="1" s="1"/>
  <c r="R606" i="1"/>
  <c r="AJ606" i="1" s="1"/>
  <c r="R607" i="1"/>
  <c r="AJ607" i="1" s="1"/>
  <c r="R608" i="1"/>
  <c r="AJ608" i="1" s="1"/>
  <c r="R609" i="1"/>
  <c r="AJ609" i="1" s="1"/>
  <c r="R610" i="1"/>
  <c r="AJ610" i="1" s="1"/>
  <c r="R611" i="1"/>
  <c r="AJ611" i="1" s="1"/>
  <c r="R612" i="1"/>
  <c r="AJ612" i="1" s="1"/>
  <c r="R613" i="1"/>
  <c r="AJ613" i="1" s="1"/>
  <c r="R614" i="1"/>
  <c r="AJ614" i="1" s="1"/>
  <c r="R615" i="1"/>
  <c r="AJ615" i="1" s="1"/>
  <c r="R616" i="1"/>
  <c r="AJ616" i="1" s="1"/>
  <c r="R617" i="1"/>
  <c r="AJ617" i="1" s="1"/>
  <c r="R618" i="1"/>
  <c r="AJ618" i="1" s="1"/>
  <c r="R619" i="1"/>
  <c r="AJ619" i="1" s="1"/>
  <c r="R620" i="1"/>
  <c r="AJ620" i="1" s="1"/>
  <c r="R621" i="1"/>
  <c r="AJ621" i="1" s="1"/>
  <c r="R622" i="1"/>
  <c r="AJ622" i="1" s="1"/>
  <c r="R623" i="1"/>
  <c r="AJ623" i="1" s="1"/>
  <c r="R624" i="1"/>
  <c r="AJ624" i="1" s="1"/>
  <c r="R625" i="1"/>
  <c r="AJ625" i="1" s="1"/>
  <c r="R626" i="1"/>
  <c r="AJ626" i="1" s="1"/>
  <c r="R627" i="1"/>
  <c r="AJ627" i="1" s="1"/>
  <c r="R628" i="1"/>
  <c r="AJ628" i="1" s="1"/>
  <c r="R629" i="1"/>
  <c r="AJ629" i="1" s="1"/>
  <c r="R630" i="1"/>
  <c r="AJ630" i="1" s="1"/>
  <c r="R631" i="1"/>
  <c r="AJ631" i="1" s="1"/>
  <c r="R632" i="1"/>
  <c r="AJ632" i="1" s="1"/>
  <c r="R633" i="1"/>
  <c r="AJ633" i="1" s="1"/>
  <c r="R634" i="1"/>
  <c r="AJ634" i="1" s="1"/>
  <c r="R635" i="1"/>
  <c r="AJ635" i="1" s="1"/>
  <c r="R636" i="1"/>
  <c r="AJ636" i="1" s="1"/>
  <c r="R637" i="1"/>
  <c r="AJ637" i="1" s="1"/>
  <c r="R638" i="1"/>
  <c r="AJ638" i="1" s="1"/>
  <c r="R639" i="1"/>
  <c r="AJ639" i="1" s="1"/>
  <c r="R640" i="1"/>
  <c r="AJ640" i="1" s="1"/>
  <c r="R641" i="1"/>
  <c r="AJ641" i="1" s="1"/>
  <c r="R642" i="1"/>
  <c r="AJ642" i="1" s="1"/>
  <c r="R643" i="1"/>
  <c r="AJ643" i="1" s="1"/>
  <c r="R644" i="1"/>
  <c r="AJ644" i="1" s="1"/>
  <c r="R645" i="1"/>
  <c r="AJ645" i="1" s="1"/>
  <c r="R646" i="1"/>
  <c r="AJ646" i="1" s="1"/>
  <c r="R647" i="1"/>
  <c r="AJ647" i="1" s="1"/>
  <c r="R648" i="1"/>
  <c r="AJ648" i="1" s="1"/>
  <c r="R649" i="1"/>
  <c r="AJ649" i="1" s="1"/>
  <c r="R650" i="1"/>
  <c r="AJ650" i="1" s="1"/>
  <c r="R651" i="1"/>
  <c r="AJ651" i="1" s="1"/>
  <c r="R652" i="1"/>
  <c r="AJ652" i="1" s="1"/>
  <c r="R653" i="1"/>
  <c r="AJ653" i="1" s="1"/>
  <c r="R654" i="1"/>
  <c r="AJ654" i="1" s="1"/>
  <c r="R655" i="1"/>
  <c r="AJ655" i="1" s="1"/>
  <c r="R656" i="1"/>
  <c r="AJ656" i="1" s="1"/>
  <c r="R657" i="1"/>
  <c r="AJ657" i="1" s="1"/>
  <c r="R658" i="1"/>
  <c r="AJ658" i="1" s="1"/>
  <c r="R659" i="1"/>
  <c r="AJ659" i="1" s="1"/>
  <c r="R660" i="1"/>
  <c r="AJ660" i="1" s="1"/>
  <c r="R661" i="1"/>
  <c r="AJ661" i="1" s="1"/>
  <c r="R662" i="1"/>
  <c r="AJ662" i="1" s="1"/>
  <c r="R663" i="1"/>
  <c r="AJ663" i="1" s="1"/>
  <c r="R664" i="1"/>
  <c r="AJ664" i="1" s="1"/>
  <c r="R665" i="1"/>
  <c r="AJ665" i="1" s="1"/>
  <c r="R666" i="1"/>
  <c r="AJ666" i="1" s="1"/>
  <c r="R667" i="1"/>
  <c r="AJ667" i="1" s="1"/>
  <c r="R668" i="1"/>
  <c r="AJ668" i="1" s="1"/>
  <c r="R669" i="1"/>
  <c r="AJ669" i="1" s="1"/>
  <c r="R670" i="1"/>
  <c r="AJ670" i="1" s="1"/>
  <c r="R671" i="1"/>
  <c r="AJ671" i="1" s="1"/>
  <c r="R672" i="1"/>
  <c r="AJ672" i="1" s="1"/>
  <c r="R673" i="1"/>
  <c r="AJ673" i="1" s="1"/>
  <c r="R674" i="1"/>
  <c r="AJ674" i="1" s="1"/>
  <c r="R675" i="1"/>
  <c r="AJ675" i="1" s="1"/>
  <c r="R676" i="1"/>
  <c r="AJ676" i="1" s="1"/>
  <c r="R677" i="1"/>
  <c r="AJ677" i="1" s="1"/>
  <c r="R678" i="1"/>
  <c r="AJ678" i="1" s="1"/>
  <c r="R679" i="1"/>
  <c r="AJ679" i="1" s="1"/>
  <c r="R680" i="1"/>
  <c r="AJ680" i="1" s="1"/>
  <c r="R681" i="1"/>
  <c r="AJ681" i="1" s="1"/>
  <c r="R682" i="1"/>
  <c r="AJ682" i="1" s="1"/>
  <c r="R683" i="1"/>
  <c r="AJ683" i="1" s="1"/>
  <c r="R684" i="1"/>
  <c r="AJ684" i="1" s="1"/>
  <c r="R685" i="1"/>
  <c r="AJ685" i="1" s="1"/>
  <c r="R686" i="1"/>
  <c r="AJ686" i="1" s="1"/>
  <c r="R687" i="1"/>
  <c r="AJ687" i="1" s="1"/>
  <c r="R688" i="1"/>
  <c r="AJ688" i="1" s="1"/>
  <c r="R689" i="1"/>
  <c r="AJ689" i="1" s="1"/>
  <c r="R690" i="1"/>
  <c r="AJ690" i="1" s="1"/>
  <c r="R691" i="1"/>
  <c r="AJ691" i="1" s="1"/>
  <c r="R692" i="1"/>
  <c r="AJ692" i="1" s="1"/>
  <c r="R693" i="1"/>
  <c r="AJ693" i="1" s="1"/>
  <c r="R694" i="1"/>
  <c r="AJ694" i="1" s="1"/>
  <c r="R695" i="1"/>
  <c r="AJ695" i="1" s="1"/>
  <c r="R696" i="1"/>
  <c r="AJ696" i="1" s="1"/>
  <c r="R697" i="1"/>
  <c r="AJ697" i="1" s="1"/>
  <c r="R698" i="1"/>
  <c r="AJ698" i="1" s="1"/>
  <c r="R699" i="1"/>
  <c r="AJ699" i="1" s="1"/>
  <c r="R700" i="1"/>
  <c r="AJ700" i="1" s="1"/>
  <c r="R701" i="1"/>
  <c r="AJ701" i="1" s="1"/>
  <c r="R702" i="1"/>
  <c r="AJ702" i="1" s="1"/>
  <c r="R703" i="1"/>
  <c r="AJ703" i="1" s="1"/>
  <c r="R704" i="1"/>
  <c r="AJ704" i="1" s="1"/>
  <c r="R705" i="1"/>
  <c r="AJ705" i="1" s="1"/>
  <c r="R706" i="1"/>
  <c r="AJ706" i="1" s="1"/>
  <c r="R707" i="1"/>
  <c r="AJ707" i="1" s="1"/>
  <c r="R708" i="1"/>
  <c r="AJ708" i="1" s="1"/>
  <c r="R709" i="1"/>
  <c r="AJ709" i="1" s="1"/>
  <c r="R710" i="1"/>
  <c r="AJ710" i="1" s="1"/>
  <c r="R711" i="1"/>
  <c r="AJ711" i="1" s="1"/>
  <c r="R712" i="1"/>
  <c r="AJ712" i="1" s="1"/>
  <c r="R713" i="1"/>
  <c r="AJ713" i="1" s="1"/>
  <c r="R714" i="1"/>
  <c r="AJ714" i="1" s="1"/>
  <c r="R715" i="1"/>
  <c r="AJ715" i="1" s="1"/>
  <c r="R716" i="1"/>
  <c r="AJ716" i="1" s="1"/>
  <c r="R717" i="1"/>
  <c r="AJ717" i="1" s="1"/>
  <c r="R718" i="1"/>
  <c r="AJ718" i="1" s="1"/>
  <c r="R719" i="1"/>
  <c r="AJ719" i="1" s="1"/>
  <c r="R720" i="1"/>
  <c r="AJ720" i="1" s="1"/>
  <c r="R721" i="1"/>
  <c r="AJ721" i="1" s="1"/>
  <c r="R722" i="1"/>
  <c r="AJ722" i="1" s="1"/>
  <c r="R723" i="1"/>
  <c r="AJ723" i="1" s="1"/>
  <c r="R724" i="1"/>
  <c r="AJ724" i="1" s="1"/>
  <c r="R725" i="1"/>
  <c r="AJ725" i="1" s="1"/>
  <c r="R726" i="1"/>
  <c r="AJ726" i="1" s="1"/>
  <c r="R727" i="1"/>
  <c r="AJ727" i="1" s="1"/>
  <c r="R728" i="1"/>
  <c r="AJ728" i="1" s="1"/>
  <c r="R729" i="1"/>
  <c r="AJ729" i="1" s="1"/>
  <c r="R730" i="1"/>
  <c r="AJ730" i="1" s="1"/>
  <c r="R731" i="1"/>
  <c r="AJ731" i="1" s="1"/>
  <c r="R732" i="1"/>
  <c r="AJ732" i="1" s="1"/>
  <c r="R733" i="1"/>
  <c r="AJ733" i="1" s="1"/>
  <c r="R734" i="1"/>
  <c r="AJ734" i="1" s="1"/>
  <c r="R735" i="1"/>
  <c r="AJ735" i="1" s="1"/>
  <c r="R736" i="1"/>
  <c r="AJ736" i="1" s="1"/>
  <c r="R737" i="1"/>
  <c r="AJ737" i="1" s="1"/>
  <c r="R738" i="1"/>
  <c r="AJ738" i="1" s="1"/>
  <c r="R739" i="1"/>
  <c r="AJ739" i="1" s="1"/>
  <c r="R740" i="1"/>
  <c r="AJ740" i="1" s="1"/>
  <c r="R741" i="1"/>
  <c r="AJ741" i="1" s="1"/>
  <c r="R742" i="1"/>
  <c r="AJ742" i="1" s="1"/>
  <c r="R743" i="1"/>
  <c r="AJ743" i="1" s="1"/>
  <c r="R744" i="1"/>
  <c r="AJ744" i="1" s="1"/>
  <c r="R745" i="1"/>
  <c r="AJ745" i="1" s="1"/>
  <c r="R746" i="1"/>
  <c r="AJ746" i="1" s="1"/>
  <c r="R747" i="1"/>
  <c r="AJ747" i="1" s="1"/>
  <c r="R748" i="1"/>
  <c r="AJ748" i="1" s="1"/>
  <c r="R749" i="1"/>
  <c r="AJ749" i="1" s="1"/>
  <c r="R750" i="1"/>
  <c r="AJ750" i="1" s="1"/>
  <c r="R751" i="1"/>
  <c r="AJ751" i="1" s="1"/>
  <c r="R752" i="1"/>
  <c r="AJ752" i="1" s="1"/>
  <c r="R753" i="1"/>
  <c r="AJ753" i="1" s="1"/>
  <c r="R754" i="1"/>
  <c r="AJ754" i="1" s="1"/>
  <c r="R755" i="1"/>
  <c r="AJ755" i="1" s="1"/>
  <c r="R756" i="1"/>
  <c r="AJ756" i="1" s="1"/>
  <c r="R757" i="1"/>
  <c r="AJ757" i="1" s="1"/>
  <c r="R758" i="1"/>
  <c r="AJ758" i="1" s="1"/>
  <c r="R759" i="1"/>
  <c r="AJ759" i="1" s="1"/>
  <c r="R760" i="1"/>
  <c r="AJ760" i="1" s="1"/>
  <c r="R761" i="1"/>
  <c r="AJ761" i="1" s="1"/>
  <c r="R762" i="1"/>
  <c r="AJ762" i="1" s="1"/>
  <c r="R763" i="1"/>
  <c r="AJ763" i="1" s="1"/>
  <c r="R764" i="1"/>
  <c r="AJ764" i="1" s="1"/>
  <c r="R765" i="1"/>
  <c r="AJ765" i="1" s="1"/>
  <c r="R766" i="1"/>
  <c r="AJ766" i="1" s="1"/>
  <c r="R767" i="1"/>
  <c r="AJ767" i="1" s="1"/>
  <c r="R768" i="1"/>
  <c r="AJ768" i="1" s="1"/>
  <c r="R769" i="1"/>
  <c r="AJ769" i="1" s="1"/>
  <c r="R770" i="1"/>
  <c r="AJ770" i="1" s="1"/>
  <c r="R771" i="1"/>
  <c r="AJ771" i="1" s="1"/>
  <c r="R772" i="1"/>
  <c r="AJ772" i="1" s="1"/>
  <c r="R773" i="1"/>
  <c r="AJ773" i="1" s="1"/>
  <c r="R774" i="1"/>
  <c r="AJ774" i="1" s="1"/>
  <c r="R775" i="1"/>
  <c r="AJ775" i="1" s="1"/>
  <c r="R776" i="1"/>
  <c r="AJ776" i="1" s="1"/>
  <c r="R777" i="1"/>
  <c r="AJ777" i="1" s="1"/>
  <c r="R778" i="1"/>
  <c r="AJ778" i="1" s="1"/>
  <c r="R779" i="1"/>
  <c r="AJ779" i="1" s="1"/>
  <c r="R780" i="1"/>
  <c r="AJ780" i="1" s="1"/>
  <c r="R781" i="1"/>
  <c r="AJ781" i="1" s="1"/>
  <c r="R782" i="1"/>
  <c r="AJ782" i="1" s="1"/>
  <c r="R783" i="1"/>
  <c r="AJ783" i="1" s="1"/>
  <c r="R784" i="1"/>
  <c r="AJ784" i="1" s="1"/>
  <c r="R785" i="1"/>
  <c r="AJ785" i="1" s="1"/>
  <c r="R786" i="1"/>
  <c r="AJ786" i="1" s="1"/>
  <c r="R787" i="1"/>
  <c r="AJ787" i="1" s="1"/>
  <c r="R788" i="1"/>
  <c r="AJ788" i="1" s="1"/>
  <c r="R789" i="1"/>
  <c r="AJ789" i="1" s="1"/>
  <c r="R790" i="1"/>
  <c r="AJ790" i="1" s="1"/>
  <c r="R791" i="1"/>
  <c r="AJ791" i="1" s="1"/>
  <c r="R792" i="1"/>
  <c r="AJ792" i="1" s="1"/>
  <c r="R793" i="1"/>
  <c r="AJ793" i="1" s="1"/>
  <c r="R794" i="1"/>
  <c r="AJ794" i="1" s="1"/>
  <c r="R795" i="1"/>
  <c r="AJ795" i="1" s="1"/>
  <c r="R796" i="1"/>
  <c r="AJ796" i="1" s="1"/>
  <c r="R797" i="1"/>
  <c r="AJ797" i="1" s="1"/>
  <c r="R798" i="1"/>
  <c r="AJ798" i="1" s="1"/>
  <c r="R799" i="1"/>
  <c r="AJ799" i="1" s="1"/>
  <c r="R800" i="1"/>
  <c r="AJ800" i="1" s="1"/>
  <c r="R801" i="1"/>
  <c r="AJ801" i="1" s="1"/>
  <c r="R802" i="1"/>
  <c r="AJ802" i="1" s="1"/>
  <c r="R803" i="1"/>
  <c r="AJ803" i="1" s="1"/>
  <c r="R804" i="1"/>
  <c r="AJ804" i="1" s="1"/>
  <c r="R805" i="1"/>
  <c r="AJ805" i="1" s="1"/>
  <c r="R806" i="1"/>
  <c r="AJ806" i="1" s="1"/>
  <c r="R807" i="1"/>
  <c r="AJ807" i="1" s="1"/>
  <c r="R808" i="1"/>
  <c r="AJ808" i="1" s="1"/>
  <c r="R809" i="1"/>
  <c r="AJ809" i="1" s="1"/>
  <c r="R810" i="1"/>
  <c r="AJ810" i="1" s="1"/>
  <c r="R811" i="1"/>
  <c r="AJ811" i="1" s="1"/>
  <c r="R812" i="1"/>
  <c r="AJ812" i="1" s="1"/>
  <c r="R813" i="1"/>
  <c r="AJ813" i="1" s="1"/>
  <c r="R814" i="1"/>
  <c r="AJ814" i="1" s="1"/>
  <c r="R815" i="1"/>
  <c r="R816" i="1"/>
  <c r="R817" i="1"/>
  <c r="R818" i="1"/>
  <c r="R819" i="1"/>
  <c r="R82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AD825" i="1" l="1"/>
  <c r="AD823" i="1"/>
  <c r="AD824" i="1"/>
  <c r="AC824" i="1"/>
  <c r="B824" i="1"/>
  <c r="AB824" i="1" s="1"/>
  <c r="AC825" i="1"/>
  <c r="B825" i="1"/>
  <c r="AB825" i="1" s="1"/>
  <c r="AC823" i="1"/>
  <c r="B823" i="1"/>
  <c r="AB823" i="1" s="1"/>
  <c r="AD822" i="1"/>
  <c r="AC822" i="1"/>
  <c r="B822" i="1"/>
  <c r="AB822" i="1" s="1"/>
  <c r="B821" i="1"/>
  <c r="AB821" i="1" s="1"/>
  <c r="AC821" i="1"/>
  <c r="AD821" i="1"/>
  <c r="AJ2" i="1"/>
  <c r="AJ818" i="1"/>
  <c r="AJ817" i="1"/>
  <c r="AJ816" i="1"/>
  <c r="AJ815" i="1"/>
  <c r="AJ820" i="1"/>
  <c r="AJ819" i="1"/>
  <c r="AT819" i="1" a="1"/>
  <c r="AT819" i="1" s="1"/>
  <c r="AS819" i="1" a="1"/>
  <c r="AS819" i="1" s="1"/>
  <c r="AT811" i="1" a="1"/>
  <c r="AT811" i="1" s="1"/>
  <c r="AS811" i="1" a="1"/>
  <c r="AS811" i="1" s="1"/>
  <c r="AT803" i="1" a="1"/>
  <c r="AT803" i="1" s="1"/>
  <c r="AS803" i="1" a="1"/>
  <c r="AS803" i="1" s="1"/>
  <c r="AT795" i="1" a="1"/>
  <c r="AT795" i="1" s="1"/>
  <c r="AS795" i="1" a="1"/>
  <c r="AS795" i="1" s="1"/>
  <c r="AT787" i="1" a="1"/>
  <c r="AT787" i="1" s="1"/>
  <c r="AS787" i="1" a="1"/>
  <c r="AS787" i="1" s="1"/>
  <c r="AT779" i="1" a="1"/>
  <c r="AT779" i="1" s="1"/>
  <c r="AS779" i="1" a="1"/>
  <c r="AS779" i="1" s="1"/>
  <c r="AT771" i="1" a="1"/>
  <c r="AT771" i="1" s="1"/>
  <c r="AS771" i="1" a="1"/>
  <c r="AS771" i="1" s="1"/>
  <c r="AT763" i="1" a="1"/>
  <c r="AT763" i="1" s="1"/>
  <c r="AS763" i="1" a="1"/>
  <c r="AS763" i="1" s="1"/>
  <c r="AT755" i="1" a="1"/>
  <c r="AT755" i="1" s="1"/>
  <c r="AS755" i="1" a="1"/>
  <c r="AS755" i="1" s="1"/>
  <c r="AT747" i="1" a="1"/>
  <c r="AT747" i="1" s="1"/>
  <c r="AS747" i="1" a="1"/>
  <c r="AS747" i="1" s="1"/>
  <c r="AT739" i="1" a="1"/>
  <c r="AT739" i="1" s="1"/>
  <c r="AS739" i="1" a="1"/>
  <c r="AS739" i="1" s="1"/>
  <c r="AT731" i="1" a="1"/>
  <c r="AT731" i="1" s="1"/>
  <c r="AS731" i="1" a="1"/>
  <c r="AS731" i="1" s="1"/>
  <c r="AT723" i="1" a="1"/>
  <c r="AT723" i="1" s="1"/>
  <c r="AS723" i="1" a="1"/>
  <c r="AS723" i="1" s="1"/>
  <c r="AT715" i="1" a="1"/>
  <c r="AT715" i="1" s="1"/>
  <c r="AS715" i="1" a="1"/>
  <c r="AS715" i="1" s="1"/>
  <c r="AT707" i="1" a="1"/>
  <c r="AT707" i="1" s="1"/>
  <c r="AS707" i="1" a="1"/>
  <c r="AS707" i="1" s="1"/>
  <c r="AT699" i="1" a="1"/>
  <c r="AT699" i="1" s="1"/>
  <c r="AS699" i="1" a="1"/>
  <c r="AS699" i="1" s="1"/>
  <c r="AT691" i="1" a="1"/>
  <c r="AT691" i="1" s="1"/>
  <c r="AS691" i="1" a="1"/>
  <c r="AS691" i="1" s="1"/>
  <c r="AT683" i="1" a="1"/>
  <c r="AT683" i="1" s="1"/>
  <c r="AS683" i="1" a="1"/>
  <c r="AS683" i="1" s="1"/>
  <c r="AT675" i="1" a="1"/>
  <c r="AT675" i="1" s="1"/>
  <c r="AS675" i="1" a="1"/>
  <c r="AS675" i="1" s="1"/>
  <c r="AT667" i="1" a="1"/>
  <c r="AT667" i="1" s="1"/>
  <c r="AS667" i="1" a="1"/>
  <c r="AS667" i="1" s="1"/>
  <c r="AS659" i="1" a="1"/>
  <c r="AS659" i="1" s="1"/>
  <c r="AT659" i="1" a="1"/>
  <c r="AT659" i="1" s="1"/>
  <c r="AT651" i="1" a="1"/>
  <c r="AT651" i="1" s="1"/>
  <c r="AS651" i="1" a="1"/>
  <c r="AS651" i="1" s="1"/>
  <c r="AS643" i="1" a="1"/>
  <c r="AS643" i="1" s="1"/>
  <c r="AT643" i="1" a="1"/>
  <c r="AT643" i="1" s="1"/>
  <c r="AT635" i="1" a="1"/>
  <c r="AT635" i="1" s="1"/>
  <c r="AS635" i="1" a="1"/>
  <c r="AS635" i="1" s="1"/>
  <c r="AT627" i="1" a="1"/>
  <c r="AT627" i="1" s="1"/>
  <c r="AS627" i="1" a="1"/>
  <c r="AS627" i="1" s="1"/>
  <c r="AT619" i="1" a="1"/>
  <c r="AT619" i="1" s="1"/>
  <c r="AS619" i="1" a="1"/>
  <c r="AS619" i="1" s="1"/>
  <c r="AS611" i="1" a="1"/>
  <c r="AS611" i="1" s="1"/>
  <c r="AT611" i="1" a="1"/>
  <c r="AT611" i="1" s="1"/>
  <c r="AT603" i="1" a="1"/>
  <c r="AT603" i="1" s="1"/>
  <c r="AS603" i="1" a="1"/>
  <c r="AS603" i="1" s="1"/>
  <c r="AS595" i="1" a="1"/>
  <c r="AS595" i="1" s="1"/>
  <c r="AT595" i="1" a="1"/>
  <c r="AT595" i="1" s="1"/>
  <c r="AT587" i="1" a="1"/>
  <c r="AT587" i="1" s="1"/>
  <c r="AS587" i="1" a="1"/>
  <c r="AS587" i="1" s="1"/>
  <c r="AT579" i="1" a="1"/>
  <c r="AT579" i="1" s="1"/>
  <c r="AS579" i="1" a="1"/>
  <c r="AS579" i="1" s="1"/>
  <c r="AT571" i="1" a="1"/>
  <c r="AT571" i="1" s="1"/>
  <c r="AS571" i="1" a="1"/>
  <c r="AS571" i="1" s="1"/>
  <c r="AT563" i="1" a="1"/>
  <c r="AT563" i="1" s="1"/>
  <c r="AS563" i="1" a="1"/>
  <c r="AS563" i="1" s="1"/>
  <c r="AT555" i="1" a="1"/>
  <c r="AT555" i="1" s="1"/>
  <c r="AS555" i="1" a="1"/>
  <c r="AS555" i="1" s="1"/>
  <c r="AT547" i="1" a="1"/>
  <c r="AT547" i="1" s="1"/>
  <c r="AS547" i="1" a="1"/>
  <c r="AS547" i="1" s="1"/>
  <c r="AT539" i="1" a="1"/>
  <c r="AT539" i="1" s="1"/>
  <c r="AS539" i="1" a="1"/>
  <c r="AS539" i="1" s="1"/>
  <c r="AT531" i="1" a="1"/>
  <c r="AT531" i="1" s="1"/>
  <c r="AS531" i="1" a="1"/>
  <c r="AS531" i="1" s="1"/>
  <c r="AT523" i="1" a="1"/>
  <c r="AT523" i="1" s="1"/>
  <c r="AS523" i="1" a="1"/>
  <c r="AS523" i="1" s="1"/>
  <c r="AT515" i="1" a="1"/>
  <c r="AT515" i="1" s="1"/>
  <c r="AS515" i="1" a="1"/>
  <c r="AS515" i="1" s="1"/>
  <c r="AT507" i="1" a="1"/>
  <c r="AT507" i="1" s="1"/>
  <c r="AS507" i="1" a="1"/>
  <c r="AS507" i="1" s="1"/>
  <c r="AT499" i="1" a="1"/>
  <c r="AT499" i="1" s="1"/>
  <c r="AS499" i="1" a="1"/>
  <c r="AS499" i="1" s="1"/>
  <c r="AT491" i="1" a="1"/>
  <c r="AT491" i="1" s="1"/>
  <c r="AS491" i="1" a="1"/>
  <c r="AS491" i="1" s="1"/>
  <c r="AT483" i="1" a="1"/>
  <c r="AT483" i="1" s="1"/>
  <c r="AS483" i="1" a="1"/>
  <c r="AS483" i="1" s="1"/>
  <c r="AT475" i="1" a="1"/>
  <c r="AT475" i="1" s="1"/>
  <c r="AS475" i="1" a="1"/>
  <c r="AS475" i="1" s="1"/>
  <c r="AT467" i="1" a="1"/>
  <c r="AT467" i="1" s="1"/>
  <c r="AS467" i="1" a="1"/>
  <c r="AS467" i="1" s="1"/>
  <c r="AT459" i="1" a="1"/>
  <c r="AT459" i="1" s="1"/>
  <c r="AS459" i="1" a="1"/>
  <c r="AS459" i="1" s="1"/>
  <c r="AT451" i="1" a="1"/>
  <c r="AT451" i="1" s="1"/>
  <c r="AS451" i="1" a="1"/>
  <c r="AS451" i="1" s="1"/>
  <c r="AT443" i="1" a="1"/>
  <c r="AT443" i="1" s="1"/>
  <c r="AS443" i="1" a="1"/>
  <c r="AS443" i="1" s="1"/>
  <c r="AT435" i="1" a="1"/>
  <c r="AT435" i="1" s="1"/>
  <c r="AS435" i="1" a="1"/>
  <c r="AS435" i="1" s="1"/>
  <c r="AT427" i="1" a="1"/>
  <c r="AT427" i="1" s="1"/>
  <c r="AS427" i="1" a="1"/>
  <c r="AS427" i="1" s="1"/>
  <c r="AT419" i="1" a="1"/>
  <c r="AT419" i="1" s="1"/>
  <c r="AS419" i="1" a="1"/>
  <c r="AS419" i="1" s="1"/>
  <c r="AT411" i="1" a="1"/>
  <c r="AT411" i="1" s="1"/>
  <c r="AS411" i="1" a="1"/>
  <c r="AS411" i="1" s="1"/>
  <c r="AT403" i="1" a="1"/>
  <c r="AT403" i="1" s="1"/>
  <c r="AS403" i="1" a="1"/>
  <c r="AS403" i="1" s="1"/>
  <c r="AT395" i="1" a="1"/>
  <c r="AT395" i="1" s="1"/>
  <c r="AS395" i="1" a="1"/>
  <c r="AS395" i="1" s="1"/>
  <c r="AT387" i="1" a="1"/>
  <c r="AT387" i="1" s="1"/>
  <c r="AS387" i="1" a="1"/>
  <c r="AS387" i="1" s="1"/>
  <c r="AT379" i="1" a="1"/>
  <c r="AT379" i="1" s="1"/>
  <c r="AS379" i="1" a="1"/>
  <c r="AS379" i="1" s="1"/>
  <c r="AT371" i="1" a="1"/>
  <c r="AT371" i="1" s="1"/>
  <c r="AS371" i="1" a="1"/>
  <c r="AS371" i="1" s="1"/>
  <c r="AT363" i="1" a="1"/>
  <c r="AT363" i="1" s="1"/>
  <c r="AS363" i="1" a="1"/>
  <c r="AS363" i="1" s="1"/>
  <c r="AT355" i="1" a="1"/>
  <c r="AT355" i="1" s="1"/>
  <c r="AS355" i="1" a="1"/>
  <c r="AS355" i="1" s="1"/>
  <c r="AT347" i="1" a="1"/>
  <c r="AT347" i="1" s="1"/>
  <c r="AS347" i="1" a="1"/>
  <c r="AS347" i="1" s="1"/>
  <c r="AT339" i="1" a="1"/>
  <c r="AT339" i="1" s="1"/>
  <c r="AS339" i="1" a="1"/>
  <c r="AS339" i="1" s="1"/>
  <c r="AT331" i="1" a="1"/>
  <c r="AT331" i="1" s="1"/>
  <c r="AS331" i="1" a="1"/>
  <c r="AS331" i="1" s="1"/>
  <c r="AT323" i="1" a="1"/>
  <c r="AT323" i="1" s="1"/>
  <c r="AS323" i="1" a="1"/>
  <c r="AS323" i="1" s="1"/>
  <c r="AT315" i="1" a="1"/>
  <c r="AT315" i="1" s="1"/>
  <c r="AS315" i="1" a="1"/>
  <c r="AS315" i="1" s="1"/>
  <c r="AT307" i="1" a="1"/>
  <c r="AT307" i="1" s="1"/>
  <c r="AS307" i="1" a="1"/>
  <c r="AS307" i="1" s="1"/>
  <c r="AT299" i="1" a="1"/>
  <c r="AT299" i="1" s="1"/>
  <c r="AS299" i="1" a="1"/>
  <c r="AS299" i="1" s="1"/>
  <c r="AT291" i="1" a="1"/>
  <c r="AT291" i="1" s="1"/>
  <c r="AS291" i="1" a="1"/>
  <c r="AS291" i="1" s="1"/>
  <c r="AT283" i="1" a="1"/>
  <c r="AT283" i="1" s="1"/>
  <c r="AS283" i="1" a="1"/>
  <c r="AS283" i="1" s="1"/>
  <c r="AT275" i="1" a="1"/>
  <c r="AT275" i="1" s="1"/>
  <c r="AS275" i="1" a="1"/>
  <c r="AS275" i="1" s="1"/>
  <c r="AT267" i="1" a="1"/>
  <c r="AT267" i="1" s="1"/>
  <c r="AS267" i="1" a="1"/>
  <c r="AS267" i="1" s="1"/>
  <c r="AT259" i="1" a="1"/>
  <c r="AT259" i="1" s="1"/>
  <c r="AS259" i="1" a="1"/>
  <c r="AS259" i="1" s="1"/>
  <c r="AT251" i="1" a="1"/>
  <c r="AT251" i="1" s="1"/>
  <c r="AS251" i="1" a="1"/>
  <c r="AS251" i="1" s="1"/>
  <c r="AT243" i="1" a="1"/>
  <c r="AT243" i="1" s="1"/>
  <c r="AS243" i="1" a="1"/>
  <c r="AS243" i="1" s="1"/>
  <c r="AT235" i="1" a="1"/>
  <c r="AT235" i="1" s="1"/>
  <c r="AS235" i="1" a="1"/>
  <c r="AS235" i="1" s="1"/>
  <c r="AT227" i="1" a="1"/>
  <c r="AT227" i="1" s="1"/>
  <c r="AS227" i="1" a="1"/>
  <c r="AS227" i="1" s="1"/>
  <c r="AT219" i="1" a="1"/>
  <c r="AT219" i="1" s="1"/>
  <c r="AS219" i="1" a="1"/>
  <c r="AS219" i="1" s="1"/>
  <c r="AT211" i="1" a="1"/>
  <c r="AT211" i="1" s="1"/>
  <c r="AS211" i="1" a="1"/>
  <c r="AS211" i="1" s="1"/>
  <c r="AT203" i="1" a="1"/>
  <c r="AT203" i="1" s="1"/>
  <c r="AS203" i="1" a="1"/>
  <c r="AS203" i="1" s="1"/>
  <c r="AS195" i="1" a="1"/>
  <c r="AS195" i="1" s="1"/>
  <c r="AT195" i="1" a="1"/>
  <c r="AT195" i="1" s="1"/>
  <c r="AT187" i="1" a="1"/>
  <c r="AT187" i="1" s="1"/>
  <c r="AS187" i="1" a="1"/>
  <c r="AS187" i="1" s="1"/>
  <c r="AT179" i="1" a="1"/>
  <c r="AT179" i="1" s="1"/>
  <c r="AS179" i="1" a="1"/>
  <c r="AS179" i="1" s="1"/>
  <c r="AT171" i="1" a="1"/>
  <c r="AT171" i="1" s="1"/>
  <c r="AS171" i="1" a="1"/>
  <c r="AS171" i="1" s="1"/>
  <c r="AT163" i="1" a="1"/>
  <c r="AT163" i="1" s="1"/>
  <c r="AS163" i="1" a="1"/>
  <c r="AS163" i="1" s="1"/>
  <c r="AT155" i="1" a="1"/>
  <c r="AT155" i="1" s="1"/>
  <c r="AS155" i="1" a="1"/>
  <c r="AS155" i="1" s="1"/>
  <c r="AT147" i="1" a="1"/>
  <c r="AT147" i="1" s="1"/>
  <c r="AS147" i="1" a="1"/>
  <c r="AS147" i="1" s="1"/>
  <c r="AT139" i="1" a="1"/>
  <c r="AT139" i="1" s="1"/>
  <c r="AS139" i="1" a="1"/>
  <c r="AS139" i="1" s="1"/>
  <c r="AT131" i="1" a="1"/>
  <c r="AT131" i="1" s="1"/>
  <c r="AS131" i="1" a="1"/>
  <c r="AS131" i="1" s="1"/>
  <c r="AT123" i="1" a="1"/>
  <c r="AT123" i="1" s="1"/>
  <c r="AS123" i="1" a="1"/>
  <c r="AS123" i="1" s="1"/>
  <c r="AT115" i="1" a="1"/>
  <c r="AT115" i="1" s="1"/>
  <c r="AS115" i="1" a="1"/>
  <c r="AS115" i="1" s="1"/>
  <c r="AT107" i="1" a="1"/>
  <c r="AT107" i="1" s="1"/>
  <c r="AS107" i="1" a="1"/>
  <c r="AS107" i="1" s="1"/>
  <c r="AT99" i="1" a="1"/>
  <c r="AT99" i="1" s="1"/>
  <c r="AS99" i="1" a="1"/>
  <c r="AS99" i="1" s="1"/>
  <c r="AT91" i="1" a="1"/>
  <c r="AT91" i="1" s="1"/>
  <c r="AS91" i="1" a="1"/>
  <c r="AS91" i="1" s="1"/>
  <c r="AT83" i="1" a="1"/>
  <c r="AT83" i="1" s="1"/>
  <c r="AS83" i="1" a="1"/>
  <c r="AS83" i="1" s="1"/>
  <c r="AT75" i="1" a="1"/>
  <c r="AT75" i="1" s="1"/>
  <c r="AS75" i="1" a="1"/>
  <c r="AS75" i="1" s="1"/>
  <c r="AT67" i="1" a="1"/>
  <c r="AT67" i="1" s="1"/>
  <c r="AS67" i="1" a="1"/>
  <c r="AS67" i="1" s="1"/>
  <c r="AT59" i="1" a="1"/>
  <c r="AT59" i="1" s="1"/>
  <c r="AS59" i="1" a="1"/>
  <c r="AS59" i="1" s="1"/>
  <c r="AT51" i="1" a="1"/>
  <c r="AT51" i="1" s="1"/>
  <c r="AS51" i="1" a="1"/>
  <c r="AS51" i="1" s="1"/>
  <c r="AT43" i="1" a="1"/>
  <c r="AT43" i="1" s="1"/>
  <c r="AS43" i="1" a="1"/>
  <c r="AS43" i="1" s="1"/>
  <c r="AT35" i="1" a="1"/>
  <c r="AT35" i="1" s="1"/>
  <c r="AS35" i="1" a="1"/>
  <c r="AS35" i="1" s="1"/>
  <c r="AT27" i="1" a="1"/>
  <c r="AT27" i="1" s="1"/>
  <c r="AS27" i="1" a="1"/>
  <c r="AS27" i="1" s="1"/>
  <c r="AT19" i="1" a="1"/>
  <c r="AT19" i="1" s="1"/>
  <c r="AS19" i="1" a="1"/>
  <c r="AS19" i="1" s="1"/>
  <c r="AT11" i="1" a="1"/>
  <c r="AT11" i="1" s="1"/>
  <c r="AS11" i="1" a="1"/>
  <c r="AS11" i="1" s="1"/>
  <c r="AT3" i="1" a="1"/>
  <c r="AT3" i="1" s="1"/>
  <c r="AS3" i="1" a="1"/>
  <c r="AS3" i="1" s="1"/>
  <c r="AT818" i="1" a="1"/>
  <c r="AT818" i="1" s="1"/>
  <c r="AS818" i="1" a="1"/>
  <c r="AS818" i="1" s="1"/>
  <c r="AT810" i="1" a="1"/>
  <c r="AT810" i="1" s="1"/>
  <c r="AS810" i="1" a="1"/>
  <c r="AS810" i="1" s="1"/>
  <c r="AT802" i="1" a="1"/>
  <c r="AT802" i="1" s="1"/>
  <c r="AS802" i="1" a="1"/>
  <c r="AS802" i="1" s="1"/>
  <c r="AT794" i="1" a="1"/>
  <c r="AT794" i="1" s="1"/>
  <c r="AS794" i="1" a="1"/>
  <c r="AS794" i="1" s="1"/>
  <c r="AT786" i="1" a="1"/>
  <c r="AT786" i="1" s="1"/>
  <c r="AS786" i="1" a="1"/>
  <c r="AS786" i="1" s="1"/>
  <c r="AT778" i="1" a="1"/>
  <c r="AT778" i="1" s="1"/>
  <c r="AS778" i="1" a="1"/>
  <c r="AS778" i="1" s="1"/>
  <c r="AT770" i="1" a="1"/>
  <c r="AT770" i="1" s="1"/>
  <c r="AS770" i="1" a="1"/>
  <c r="AS770" i="1" s="1"/>
  <c r="AT762" i="1" a="1"/>
  <c r="AT762" i="1" s="1"/>
  <c r="AS762" i="1" a="1"/>
  <c r="AS762" i="1" s="1"/>
  <c r="AS754" i="1" a="1"/>
  <c r="AS754" i="1" s="1"/>
  <c r="AT754" i="1" a="1"/>
  <c r="AT754" i="1" s="1"/>
  <c r="AT746" i="1" a="1"/>
  <c r="AT746" i="1" s="1"/>
  <c r="AS746" i="1" a="1"/>
  <c r="AS746" i="1" s="1"/>
  <c r="AT738" i="1" a="1"/>
  <c r="AT738" i="1" s="1"/>
  <c r="AS738" i="1" a="1"/>
  <c r="AS738" i="1" s="1"/>
  <c r="AT730" i="1" a="1"/>
  <c r="AT730" i="1" s="1"/>
  <c r="AS730" i="1" a="1"/>
  <c r="AS730" i="1" s="1"/>
  <c r="AT722" i="1" a="1"/>
  <c r="AT722" i="1" s="1"/>
  <c r="AS722" i="1" a="1"/>
  <c r="AS722" i="1" s="1"/>
  <c r="AT714" i="1" a="1"/>
  <c r="AT714" i="1" s="1"/>
  <c r="AS714" i="1" a="1"/>
  <c r="AS714" i="1" s="1"/>
  <c r="AT706" i="1" a="1"/>
  <c r="AT706" i="1" s="1"/>
  <c r="AS706" i="1" a="1"/>
  <c r="AS706" i="1" s="1"/>
  <c r="AT698" i="1" a="1"/>
  <c r="AT698" i="1" s="1"/>
  <c r="AS698" i="1" a="1"/>
  <c r="AS698" i="1" s="1"/>
  <c r="AT690" i="1" a="1"/>
  <c r="AT690" i="1" s="1"/>
  <c r="AS690" i="1" a="1"/>
  <c r="AS690" i="1" s="1"/>
  <c r="AS682" i="1" a="1"/>
  <c r="AS682" i="1" s="1"/>
  <c r="AT682" i="1" a="1"/>
  <c r="AT682" i="1" s="1"/>
  <c r="AT674" i="1" a="1"/>
  <c r="AT674" i="1" s="1"/>
  <c r="AS674" i="1" a="1"/>
  <c r="AS674" i="1" s="1"/>
  <c r="AT666" i="1" a="1"/>
  <c r="AT666" i="1" s="1"/>
  <c r="AS666" i="1" a="1"/>
  <c r="AS666" i="1" s="1"/>
  <c r="AT658" i="1" a="1"/>
  <c r="AT658" i="1" s="1"/>
  <c r="AS658" i="1" a="1"/>
  <c r="AS658" i="1" s="1"/>
  <c r="AT650" i="1" a="1"/>
  <c r="AT650" i="1" s="1"/>
  <c r="AS650" i="1" a="1"/>
  <c r="AS650" i="1" s="1"/>
  <c r="AT642" i="1" a="1"/>
  <c r="AT642" i="1" s="1"/>
  <c r="AS642" i="1" a="1"/>
  <c r="AS642" i="1" s="1"/>
  <c r="AT634" i="1" a="1"/>
  <c r="AT634" i="1" s="1"/>
  <c r="AS634" i="1" a="1"/>
  <c r="AS634" i="1" s="1"/>
  <c r="AT626" i="1" a="1"/>
  <c r="AT626" i="1" s="1"/>
  <c r="AS626" i="1" a="1"/>
  <c r="AS626" i="1" s="1"/>
  <c r="AT618" i="1" a="1"/>
  <c r="AT618" i="1" s="1"/>
  <c r="AS618" i="1" a="1"/>
  <c r="AS618" i="1" s="1"/>
  <c r="AT610" i="1" a="1"/>
  <c r="AT610" i="1" s="1"/>
  <c r="AS610" i="1" a="1"/>
  <c r="AS610" i="1" s="1"/>
  <c r="AT602" i="1" a="1"/>
  <c r="AT602" i="1" s="1"/>
  <c r="AS602" i="1" a="1"/>
  <c r="AS602" i="1" s="1"/>
  <c r="AT594" i="1" a="1"/>
  <c r="AT594" i="1" s="1"/>
  <c r="AS594" i="1" a="1"/>
  <c r="AS594" i="1" s="1"/>
  <c r="AT586" i="1" a="1"/>
  <c r="AT586" i="1" s="1"/>
  <c r="AS586" i="1" a="1"/>
  <c r="AS586" i="1" s="1"/>
  <c r="AT578" i="1" a="1"/>
  <c r="AT578" i="1" s="1"/>
  <c r="AS578" i="1" a="1"/>
  <c r="AS578" i="1" s="1"/>
  <c r="AT570" i="1" a="1"/>
  <c r="AT570" i="1" s="1"/>
  <c r="AS570" i="1" a="1"/>
  <c r="AS570" i="1" s="1"/>
  <c r="AT562" i="1" a="1"/>
  <c r="AT562" i="1" s="1"/>
  <c r="AS562" i="1" a="1"/>
  <c r="AS562" i="1" s="1"/>
  <c r="AT554" i="1" a="1"/>
  <c r="AT554" i="1" s="1"/>
  <c r="AS554" i="1" a="1"/>
  <c r="AS554" i="1" s="1"/>
  <c r="AT546" i="1" a="1"/>
  <c r="AT546" i="1" s="1"/>
  <c r="AS546" i="1" a="1"/>
  <c r="AS546" i="1" s="1"/>
  <c r="AT538" i="1" a="1"/>
  <c r="AT538" i="1" s="1"/>
  <c r="AS538" i="1" a="1"/>
  <c r="AS538" i="1" s="1"/>
  <c r="AT530" i="1" a="1"/>
  <c r="AT530" i="1" s="1"/>
  <c r="AS530" i="1" a="1"/>
  <c r="AS530" i="1" s="1"/>
  <c r="AT522" i="1" a="1"/>
  <c r="AT522" i="1" s="1"/>
  <c r="AS522" i="1" a="1"/>
  <c r="AS522" i="1" s="1"/>
  <c r="AT514" i="1" a="1"/>
  <c r="AT514" i="1" s="1"/>
  <c r="AS514" i="1" a="1"/>
  <c r="AS514" i="1" s="1"/>
  <c r="AT506" i="1" a="1"/>
  <c r="AT506" i="1" s="1"/>
  <c r="AS506" i="1" a="1"/>
  <c r="AS506" i="1" s="1"/>
  <c r="AT498" i="1" a="1"/>
  <c r="AT498" i="1" s="1"/>
  <c r="AS498" i="1" a="1"/>
  <c r="AS498" i="1" s="1"/>
  <c r="AT490" i="1" a="1"/>
  <c r="AT490" i="1" s="1"/>
  <c r="AS490" i="1" a="1"/>
  <c r="AS490" i="1" s="1"/>
  <c r="AT482" i="1" a="1"/>
  <c r="AT482" i="1" s="1"/>
  <c r="AS482" i="1" a="1"/>
  <c r="AS482" i="1" s="1"/>
  <c r="AT474" i="1" a="1"/>
  <c r="AT474" i="1" s="1"/>
  <c r="AS474" i="1" a="1"/>
  <c r="AS474" i="1" s="1"/>
  <c r="AT466" i="1" a="1"/>
  <c r="AT466" i="1" s="1"/>
  <c r="AS466" i="1" a="1"/>
  <c r="AS466" i="1" s="1"/>
  <c r="AT458" i="1" a="1"/>
  <c r="AT458" i="1" s="1"/>
  <c r="AS458" i="1" a="1"/>
  <c r="AS458" i="1" s="1"/>
  <c r="AT450" i="1" a="1"/>
  <c r="AT450" i="1" s="1"/>
  <c r="AS450" i="1" a="1"/>
  <c r="AS450" i="1" s="1"/>
  <c r="AT442" i="1" a="1"/>
  <c r="AT442" i="1" s="1"/>
  <c r="AS442" i="1" a="1"/>
  <c r="AS442" i="1" s="1"/>
  <c r="AT434" i="1" a="1"/>
  <c r="AT434" i="1" s="1"/>
  <c r="AS434" i="1" a="1"/>
  <c r="AS434" i="1" s="1"/>
  <c r="AT426" i="1" a="1"/>
  <c r="AT426" i="1" s="1"/>
  <c r="AS426" i="1" a="1"/>
  <c r="AS426" i="1" s="1"/>
  <c r="AT418" i="1" a="1"/>
  <c r="AT418" i="1" s="1"/>
  <c r="AS418" i="1" a="1"/>
  <c r="AS418" i="1" s="1"/>
  <c r="AT410" i="1" a="1"/>
  <c r="AT410" i="1" s="1"/>
  <c r="AS410" i="1" a="1"/>
  <c r="AS410" i="1" s="1"/>
  <c r="AT402" i="1" a="1"/>
  <c r="AT402" i="1" s="1"/>
  <c r="AS402" i="1" a="1"/>
  <c r="AS402" i="1" s="1"/>
  <c r="AT394" i="1" a="1"/>
  <c r="AT394" i="1" s="1"/>
  <c r="AS394" i="1" a="1"/>
  <c r="AS394" i="1" s="1"/>
  <c r="AT386" i="1" a="1"/>
  <c r="AT386" i="1" s="1"/>
  <c r="AS386" i="1" a="1"/>
  <c r="AS386" i="1" s="1"/>
  <c r="AT378" i="1" a="1"/>
  <c r="AT378" i="1" s="1"/>
  <c r="AS378" i="1" a="1"/>
  <c r="AS378" i="1" s="1"/>
  <c r="AT370" i="1" a="1"/>
  <c r="AT370" i="1" s="1"/>
  <c r="AS370" i="1" a="1"/>
  <c r="AS370" i="1" s="1"/>
  <c r="AT362" i="1" a="1"/>
  <c r="AT362" i="1" s="1"/>
  <c r="AS362" i="1" a="1"/>
  <c r="AS362" i="1" s="1"/>
  <c r="AT354" i="1" a="1"/>
  <c r="AT354" i="1" s="1"/>
  <c r="AS354" i="1" a="1"/>
  <c r="AS354" i="1" s="1"/>
  <c r="AT346" i="1" a="1"/>
  <c r="AT346" i="1" s="1"/>
  <c r="AS346" i="1" a="1"/>
  <c r="AS346" i="1" s="1"/>
  <c r="AT338" i="1" a="1"/>
  <c r="AT338" i="1" s="1"/>
  <c r="AS338" i="1" a="1"/>
  <c r="AS338" i="1" s="1"/>
  <c r="AT330" i="1" a="1"/>
  <c r="AT330" i="1" s="1"/>
  <c r="AS330" i="1" a="1"/>
  <c r="AS330" i="1" s="1"/>
  <c r="AT322" i="1" a="1"/>
  <c r="AT322" i="1" s="1"/>
  <c r="AS322" i="1" a="1"/>
  <c r="AS322" i="1" s="1"/>
  <c r="AT314" i="1" a="1"/>
  <c r="AT314" i="1" s="1"/>
  <c r="AS314" i="1" a="1"/>
  <c r="AS314" i="1" s="1"/>
  <c r="AT306" i="1" a="1"/>
  <c r="AT306" i="1" s="1"/>
  <c r="AS306" i="1" a="1"/>
  <c r="AS306" i="1" s="1"/>
  <c r="AT298" i="1" a="1"/>
  <c r="AT298" i="1" s="1"/>
  <c r="AS298" i="1" a="1"/>
  <c r="AS298" i="1" s="1"/>
  <c r="AT290" i="1" a="1"/>
  <c r="AT290" i="1" s="1"/>
  <c r="AS290" i="1" a="1"/>
  <c r="AS290" i="1" s="1"/>
  <c r="AT282" i="1" a="1"/>
  <c r="AT282" i="1" s="1"/>
  <c r="AS282" i="1" a="1"/>
  <c r="AS282" i="1" s="1"/>
  <c r="AT274" i="1" a="1"/>
  <c r="AT274" i="1" s="1"/>
  <c r="AS274" i="1" a="1"/>
  <c r="AS274" i="1" s="1"/>
  <c r="AT266" i="1" a="1"/>
  <c r="AT266" i="1" s="1"/>
  <c r="AS266" i="1" a="1"/>
  <c r="AS266" i="1" s="1"/>
  <c r="AT258" i="1" a="1"/>
  <c r="AT258" i="1" s="1"/>
  <c r="AS258" i="1" a="1"/>
  <c r="AS258" i="1" s="1"/>
  <c r="AT250" i="1" a="1"/>
  <c r="AT250" i="1" s="1"/>
  <c r="AS250" i="1" a="1"/>
  <c r="AS250" i="1" s="1"/>
  <c r="AT242" i="1" a="1"/>
  <c r="AT242" i="1" s="1"/>
  <c r="AS242" i="1" a="1"/>
  <c r="AS242" i="1" s="1"/>
  <c r="AT234" i="1" a="1"/>
  <c r="AT234" i="1" s="1"/>
  <c r="AS234" i="1" a="1"/>
  <c r="AS234" i="1" s="1"/>
  <c r="AT226" i="1" a="1"/>
  <c r="AT226" i="1" s="1"/>
  <c r="AS226" i="1" a="1"/>
  <c r="AS226" i="1" s="1"/>
  <c r="AT218" i="1" a="1"/>
  <c r="AT218" i="1" s="1"/>
  <c r="AS218" i="1" a="1"/>
  <c r="AS218" i="1" s="1"/>
  <c r="AT210" i="1" a="1"/>
  <c r="AT210" i="1" s="1"/>
  <c r="AS210" i="1" a="1"/>
  <c r="AS210" i="1" s="1"/>
  <c r="AT202" i="1" a="1"/>
  <c r="AT202" i="1" s="1"/>
  <c r="AS202" i="1" a="1"/>
  <c r="AS202" i="1" s="1"/>
  <c r="AT194" i="1" a="1"/>
  <c r="AT194" i="1" s="1"/>
  <c r="AS194" i="1" a="1"/>
  <c r="AS194" i="1" s="1"/>
  <c r="AT186" i="1" a="1"/>
  <c r="AT186" i="1" s="1"/>
  <c r="AS186" i="1" a="1"/>
  <c r="AS186" i="1" s="1"/>
  <c r="AT178" i="1" a="1"/>
  <c r="AT178" i="1" s="1"/>
  <c r="AS178" i="1" a="1"/>
  <c r="AS178" i="1" s="1"/>
  <c r="AT170" i="1" a="1"/>
  <c r="AT170" i="1" s="1"/>
  <c r="AS170" i="1" a="1"/>
  <c r="AS170" i="1" s="1"/>
  <c r="AT162" i="1" a="1"/>
  <c r="AT162" i="1" s="1"/>
  <c r="AS162" i="1" a="1"/>
  <c r="AS162" i="1" s="1"/>
  <c r="AT154" i="1" a="1"/>
  <c r="AT154" i="1" s="1"/>
  <c r="AS154" i="1" a="1"/>
  <c r="AS154" i="1" s="1"/>
  <c r="AT146" i="1" a="1"/>
  <c r="AT146" i="1" s="1"/>
  <c r="AS146" i="1" a="1"/>
  <c r="AS146" i="1" s="1"/>
  <c r="AT138" i="1" a="1"/>
  <c r="AT138" i="1" s="1"/>
  <c r="AS138" i="1" a="1"/>
  <c r="AS138" i="1" s="1"/>
  <c r="AT130" i="1" a="1"/>
  <c r="AT130" i="1" s="1"/>
  <c r="AS130" i="1" a="1"/>
  <c r="AS130" i="1" s="1"/>
  <c r="AT122" i="1" a="1"/>
  <c r="AT122" i="1" s="1"/>
  <c r="AS122" i="1" a="1"/>
  <c r="AS122" i="1" s="1"/>
  <c r="AT114" i="1" a="1"/>
  <c r="AT114" i="1" s="1"/>
  <c r="AS114" i="1" a="1"/>
  <c r="AS114" i="1" s="1"/>
  <c r="AT106" i="1" a="1"/>
  <c r="AT106" i="1" s="1"/>
  <c r="AS106" i="1" a="1"/>
  <c r="AS106" i="1" s="1"/>
  <c r="AT98" i="1" a="1"/>
  <c r="AT98" i="1" s="1"/>
  <c r="AS98" i="1" a="1"/>
  <c r="AS98" i="1" s="1"/>
  <c r="AT90" i="1" a="1"/>
  <c r="AT90" i="1" s="1"/>
  <c r="AS90" i="1" a="1"/>
  <c r="AS90" i="1" s="1"/>
  <c r="AT82" i="1" a="1"/>
  <c r="AT82" i="1" s="1"/>
  <c r="AS82" i="1" a="1"/>
  <c r="AS82" i="1" s="1"/>
  <c r="AS74" i="1" a="1"/>
  <c r="AS74" i="1" s="1"/>
  <c r="AT74" i="1" a="1"/>
  <c r="AT74" i="1" s="1"/>
  <c r="AT66" i="1" a="1"/>
  <c r="AT66" i="1" s="1"/>
  <c r="AS66" i="1" a="1"/>
  <c r="AS66" i="1" s="1"/>
  <c r="AT58" i="1" a="1"/>
  <c r="AT58" i="1" s="1"/>
  <c r="AS58" i="1" a="1"/>
  <c r="AS58" i="1" s="1"/>
  <c r="AT50" i="1" a="1"/>
  <c r="AT50" i="1" s="1"/>
  <c r="AS50" i="1" a="1"/>
  <c r="AS50" i="1" s="1"/>
  <c r="AT42" i="1" a="1"/>
  <c r="AT42" i="1" s="1"/>
  <c r="AS42" i="1" a="1"/>
  <c r="AS42" i="1" s="1"/>
  <c r="AT34" i="1" a="1"/>
  <c r="AT34" i="1" s="1"/>
  <c r="AS34" i="1" a="1"/>
  <c r="AS34" i="1" s="1"/>
  <c r="AT26" i="1" a="1"/>
  <c r="AT26" i="1" s="1"/>
  <c r="AS26" i="1" a="1"/>
  <c r="AS26" i="1" s="1"/>
  <c r="AS18" i="1" a="1"/>
  <c r="AS18" i="1" s="1"/>
  <c r="AT18" i="1" a="1"/>
  <c r="AT18" i="1" s="1"/>
  <c r="AT10" i="1" a="1"/>
  <c r="AT10" i="1" s="1"/>
  <c r="AS10" i="1" a="1"/>
  <c r="AS10" i="1" s="1"/>
  <c r="AT2" i="1" a="1"/>
  <c r="AT2" i="1" s="1"/>
  <c r="AS2" i="1" a="1"/>
  <c r="AS2" i="1" s="1"/>
  <c r="AT817" i="1" a="1"/>
  <c r="AT817" i="1" s="1"/>
  <c r="AS817" i="1" a="1"/>
  <c r="AS817" i="1" s="1"/>
  <c r="AT809" i="1" a="1"/>
  <c r="AT809" i="1" s="1"/>
  <c r="AS809" i="1" a="1"/>
  <c r="AS809" i="1" s="1"/>
  <c r="AT801" i="1" a="1"/>
  <c r="AT801" i="1" s="1"/>
  <c r="AS801" i="1" a="1"/>
  <c r="AS801" i="1" s="1"/>
  <c r="AT793" i="1" a="1"/>
  <c r="AT793" i="1" s="1"/>
  <c r="AS793" i="1" a="1"/>
  <c r="AS793" i="1" s="1"/>
  <c r="AT785" i="1" a="1"/>
  <c r="AT785" i="1" s="1"/>
  <c r="AS785" i="1" a="1"/>
  <c r="AS785" i="1" s="1"/>
  <c r="AT777" i="1" a="1"/>
  <c r="AT777" i="1" s="1"/>
  <c r="AS777" i="1" a="1"/>
  <c r="AS777" i="1" s="1"/>
  <c r="AT769" i="1" a="1"/>
  <c r="AT769" i="1" s="1"/>
  <c r="AS769" i="1" a="1"/>
  <c r="AS769" i="1" s="1"/>
  <c r="AT761" i="1" a="1"/>
  <c r="AT761" i="1" s="1"/>
  <c r="AS761" i="1" a="1"/>
  <c r="AS761" i="1" s="1"/>
  <c r="AT753" i="1" a="1"/>
  <c r="AT753" i="1" s="1"/>
  <c r="AS753" i="1" a="1"/>
  <c r="AS753" i="1" s="1"/>
  <c r="AT745" i="1" a="1"/>
  <c r="AT745" i="1" s="1"/>
  <c r="AS745" i="1" a="1"/>
  <c r="AS745" i="1" s="1"/>
  <c r="AT737" i="1" a="1"/>
  <c r="AT737" i="1" s="1"/>
  <c r="AS737" i="1" a="1"/>
  <c r="AS737" i="1" s="1"/>
  <c r="AT729" i="1" a="1"/>
  <c r="AT729" i="1" s="1"/>
  <c r="AS729" i="1" a="1"/>
  <c r="AS729" i="1" s="1"/>
  <c r="AT721" i="1" a="1"/>
  <c r="AT721" i="1" s="1"/>
  <c r="AS721" i="1" a="1"/>
  <c r="AS721" i="1" s="1"/>
  <c r="AT713" i="1" a="1"/>
  <c r="AT713" i="1" s="1"/>
  <c r="AS713" i="1" a="1"/>
  <c r="AS713" i="1" s="1"/>
  <c r="AT705" i="1" a="1"/>
  <c r="AT705" i="1" s="1"/>
  <c r="AS705" i="1" a="1"/>
  <c r="AS705" i="1" s="1"/>
  <c r="AT697" i="1" a="1"/>
  <c r="AT697" i="1" s="1"/>
  <c r="AS697" i="1" a="1"/>
  <c r="AS697" i="1" s="1"/>
  <c r="AT689" i="1" a="1"/>
  <c r="AT689" i="1" s="1"/>
  <c r="AS689" i="1" a="1"/>
  <c r="AS689" i="1" s="1"/>
  <c r="AT681" i="1" a="1"/>
  <c r="AT681" i="1" s="1"/>
  <c r="AS681" i="1" a="1"/>
  <c r="AS681" i="1" s="1"/>
  <c r="AT673" i="1" a="1"/>
  <c r="AT673" i="1" s="1"/>
  <c r="AS673" i="1" a="1"/>
  <c r="AS673" i="1" s="1"/>
  <c r="AT665" i="1" a="1"/>
  <c r="AT665" i="1" s="1"/>
  <c r="AS665" i="1" a="1"/>
  <c r="AS665" i="1" s="1"/>
  <c r="AT657" i="1" a="1"/>
  <c r="AT657" i="1" s="1"/>
  <c r="AS657" i="1" a="1"/>
  <c r="AS657" i="1" s="1"/>
  <c r="AT649" i="1" a="1"/>
  <c r="AT649" i="1" s="1"/>
  <c r="AS649" i="1" a="1"/>
  <c r="AS649" i="1" s="1"/>
  <c r="AT641" i="1" a="1"/>
  <c r="AT641" i="1" s="1"/>
  <c r="AS641" i="1" a="1"/>
  <c r="AS641" i="1" s="1"/>
  <c r="AT633" i="1" a="1"/>
  <c r="AT633" i="1" s="1"/>
  <c r="AS633" i="1" a="1"/>
  <c r="AS633" i="1" s="1"/>
  <c r="AT625" i="1" a="1"/>
  <c r="AT625" i="1" s="1"/>
  <c r="AS625" i="1" a="1"/>
  <c r="AS625" i="1" s="1"/>
  <c r="AT617" i="1" a="1"/>
  <c r="AT617" i="1" s="1"/>
  <c r="AS617" i="1" a="1"/>
  <c r="AS617" i="1" s="1"/>
  <c r="AT609" i="1" a="1"/>
  <c r="AT609" i="1" s="1"/>
  <c r="AS609" i="1" a="1"/>
  <c r="AS609" i="1" s="1"/>
  <c r="AT601" i="1" a="1"/>
  <c r="AT601" i="1" s="1"/>
  <c r="AS601" i="1" a="1"/>
  <c r="AS601" i="1" s="1"/>
  <c r="AT593" i="1" a="1"/>
  <c r="AT593" i="1" s="1"/>
  <c r="AS593" i="1" a="1"/>
  <c r="AS593" i="1" s="1"/>
  <c r="AT585" i="1" a="1"/>
  <c r="AT585" i="1" s="1"/>
  <c r="AS585" i="1" a="1"/>
  <c r="AS585" i="1" s="1"/>
  <c r="AT577" i="1" a="1"/>
  <c r="AT577" i="1" s="1"/>
  <c r="AS577" i="1" a="1"/>
  <c r="AS577" i="1" s="1"/>
  <c r="AT569" i="1" a="1"/>
  <c r="AT569" i="1" s="1"/>
  <c r="AS569" i="1" a="1"/>
  <c r="AS569" i="1" s="1"/>
  <c r="AT561" i="1" a="1"/>
  <c r="AT561" i="1" s="1"/>
  <c r="AS561" i="1" a="1"/>
  <c r="AS561" i="1" s="1"/>
  <c r="AT553" i="1" a="1"/>
  <c r="AT553" i="1" s="1"/>
  <c r="AS553" i="1" a="1"/>
  <c r="AS553" i="1" s="1"/>
  <c r="AT545" i="1" a="1"/>
  <c r="AT545" i="1" s="1"/>
  <c r="AS545" i="1" a="1"/>
  <c r="AS545" i="1" s="1"/>
  <c r="AT537" i="1" a="1"/>
  <c r="AT537" i="1" s="1"/>
  <c r="AS537" i="1" a="1"/>
  <c r="AS537" i="1" s="1"/>
  <c r="AT529" i="1" a="1"/>
  <c r="AT529" i="1" s="1"/>
  <c r="AS529" i="1" a="1"/>
  <c r="AS529" i="1" s="1"/>
  <c r="AT521" i="1" a="1"/>
  <c r="AT521" i="1" s="1"/>
  <c r="AS521" i="1" a="1"/>
  <c r="AS521" i="1" s="1"/>
  <c r="AT513" i="1" a="1"/>
  <c r="AT513" i="1" s="1"/>
  <c r="AS513" i="1" a="1"/>
  <c r="AS513" i="1" s="1"/>
  <c r="AT505" i="1" a="1"/>
  <c r="AT505" i="1" s="1"/>
  <c r="AS505" i="1" a="1"/>
  <c r="AS505" i="1" s="1"/>
  <c r="AT497" i="1" a="1"/>
  <c r="AT497" i="1" s="1"/>
  <c r="AS497" i="1" a="1"/>
  <c r="AS497" i="1" s="1"/>
  <c r="AT489" i="1" a="1"/>
  <c r="AT489" i="1" s="1"/>
  <c r="AS489" i="1" a="1"/>
  <c r="AS489" i="1" s="1"/>
  <c r="AT481" i="1" a="1"/>
  <c r="AT481" i="1" s="1"/>
  <c r="AS481" i="1" a="1"/>
  <c r="AS481" i="1" s="1"/>
  <c r="AT473" i="1" a="1"/>
  <c r="AT473" i="1" s="1"/>
  <c r="AS473" i="1" a="1"/>
  <c r="AS473" i="1" s="1"/>
  <c r="AT465" i="1" a="1"/>
  <c r="AT465" i="1" s="1"/>
  <c r="AS465" i="1" a="1"/>
  <c r="AS465" i="1" s="1"/>
  <c r="AT457" i="1" a="1"/>
  <c r="AT457" i="1" s="1"/>
  <c r="AS457" i="1" a="1"/>
  <c r="AS457" i="1" s="1"/>
  <c r="AT449" i="1" a="1"/>
  <c r="AT449" i="1" s="1"/>
  <c r="AS449" i="1" a="1"/>
  <c r="AS449" i="1" s="1"/>
  <c r="AT441" i="1" a="1"/>
  <c r="AT441" i="1" s="1"/>
  <c r="AS441" i="1" a="1"/>
  <c r="AS441" i="1" s="1"/>
  <c r="AS433" i="1" a="1"/>
  <c r="AS433" i="1" s="1"/>
  <c r="AT433" i="1" a="1"/>
  <c r="AT433" i="1" s="1"/>
  <c r="AT425" i="1" a="1"/>
  <c r="AT425" i="1" s="1"/>
  <c r="AS425" i="1" a="1"/>
  <c r="AS425" i="1" s="1"/>
  <c r="AT417" i="1" a="1"/>
  <c r="AT417" i="1" s="1"/>
  <c r="AS417" i="1" a="1"/>
  <c r="AS417" i="1" s="1"/>
  <c r="AT409" i="1" a="1"/>
  <c r="AT409" i="1" s="1"/>
  <c r="AS409" i="1" a="1"/>
  <c r="AS409" i="1" s="1"/>
  <c r="AT401" i="1" a="1"/>
  <c r="AT401" i="1" s="1"/>
  <c r="AS401" i="1" a="1"/>
  <c r="AS401" i="1" s="1"/>
  <c r="AT393" i="1" a="1"/>
  <c r="AT393" i="1" s="1"/>
  <c r="AS393" i="1" a="1"/>
  <c r="AS393" i="1" s="1"/>
  <c r="AT385" i="1" a="1"/>
  <c r="AT385" i="1" s="1"/>
  <c r="AS385" i="1" a="1"/>
  <c r="AS385" i="1" s="1"/>
  <c r="AT377" i="1" a="1"/>
  <c r="AT377" i="1" s="1"/>
  <c r="AS377" i="1" a="1"/>
  <c r="AS377" i="1" s="1"/>
  <c r="AT369" i="1" a="1"/>
  <c r="AT369" i="1" s="1"/>
  <c r="AS369" i="1" a="1"/>
  <c r="AS369" i="1" s="1"/>
  <c r="AT361" i="1" a="1"/>
  <c r="AT361" i="1" s="1"/>
  <c r="AS361" i="1" a="1"/>
  <c r="AS361" i="1" s="1"/>
  <c r="AS353" i="1" a="1"/>
  <c r="AS353" i="1" s="1"/>
  <c r="AT353" i="1" a="1"/>
  <c r="AT353" i="1" s="1"/>
  <c r="AT345" i="1" a="1"/>
  <c r="AT345" i="1" s="1"/>
  <c r="AS345" i="1" a="1"/>
  <c r="AS345" i="1" s="1"/>
  <c r="AT337" i="1" a="1"/>
  <c r="AT337" i="1" s="1"/>
  <c r="AS337" i="1" a="1"/>
  <c r="AS337" i="1" s="1"/>
  <c r="AT329" i="1" a="1"/>
  <c r="AT329" i="1" s="1"/>
  <c r="AS329" i="1" a="1"/>
  <c r="AS329" i="1" s="1"/>
  <c r="AT321" i="1" a="1"/>
  <c r="AT321" i="1" s="1"/>
  <c r="AS321" i="1" a="1"/>
  <c r="AS321" i="1" s="1"/>
  <c r="AT313" i="1" a="1"/>
  <c r="AT313" i="1" s="1"/>
  <c r="AS313" i="1" a="1"/>
  <c r="AS313" i="1" s="1"/>
  <c r="AT305" i="1" a="1"/>
  <c r="AT305" i="1" s="1"/>
  <c r="AS305" i="1" a="1"/>
  <c r="AS305" i="1" s="1"/>
  <c r="AT297" i="1" a="1"/>
  <c r="AT297" i="1" s="1"/>
  <c r="AS297" i="1" a="1"/>
  <c r="AS297" i="1" s="1"/>
  <c r="AT289" i="1" a="1"/>
  <c r="AT289" i="1" s="1"/>
  <c r="AS289" i="1" a="1"/>
  <c r="AS289" i="1" s="1"/>
  <c r="AT281" i="1" a="1"/>
  <c r="AT281" i="1" s="1"/>
  <c r="AS281" i="1" a="1"/>
  <c r="AS281" i="1" s="1"/>
  <c r="AT273" i="1" a="1"/>
  <c r="AT273" i="1" s="1"/>
  <c r="AS273" i="1" a="1"/>
  <c r="AS273" i="1" s="1"/>
  <c r="AT265" i="1" a="1"/>
  <c r="AT265" i="1" s="1"/>
  <c r="AS265" i="1" a="1"/>
  <c r="AS265" i="1" s="1"/>
  <c r="AT257" i="1" a="1"/>
  <c r="AT257" i="1" s="1"/>
  <c r="AS257" i="1" a="1"/>
  <c r="AS257" i="1" s="1"/>
  <c r="AT249" i="1" a="1"/>
  <c r="AT249" i="1" s="1"/>
  <c r="AS249" i="1" a="1"/>
  <c r="AS249" i="1" s="1"/>
  <c r="AT241" i="1" a="1"/>
  <c r="AT241" i="1" s="1"/>
  <c r="AS241" i="1" a="1"/>
  <c r="AS241" i="1" s="1"/>
  <c r="AT233" i="1" a="1"/>
  <c r="AT233" i="1" s="1"/>
  <c r="AS233" i="1" a="1"/>
  <c r="AS233" i="1" s="1"/>
  <c r="AT225" i="1" a="1"/>
  <c r="AT225" i="1" s="1"/>
  <c r="AS225" i="1" a="1"/>
  <c r="AS225" i="1" s="1"/>
  <c r="AT217" i="1" a="1"/>
  <c r="AT217" i="1" s="1"/>
  <c r="AS217" i="1" a="1"/>
  <c r="AS217" i="1" s="1"/>
  <c r="AT209" i="1" a="1"/>
  <c r="AT209" i="1" s="1"/>
  <c r="AS209" i="1" a="1"/>
  <c r="AS209" i="1" s="1"/>
  <c r="AT201" i="1" a="1"/>
  <c r="AT201" i="1" s="1"/>
  <c r="AS201" i="1" a="1"/>
  <c r="AS201" i="1" s="1"/>
  <c r="AT193" i="1" a="1"/>
  <c r="AT193" i="1" s="1"/>
  <c r="AS193" i="1" a="1"/>
  <c r="AS193" i="1" s="1"/>
  <c r="AT185" i="1" a="1"/>
  <c r="AT185" i="1" s="1"/>
  <c r="AS185" i="1" a="1"/>
  <c r="AS185" i="1" s="1"/>
  <c r="AT177" i="1" a="1"/>
  <c r="AT177" i="1" s="1"/>
  <c r="AS177" i="1" a="1"/>
  <c r="AS177" i="1" s="1"/>
  <c r="AT169" i="1" a="1"/>
  <c r="AT169" i="1" s="1"/>
  <c r="AS169" i="1" a="1"/>
  <c r="AS169" i="1" s="1"/>
  <c r="AT161" i="1" a="1"/>
  <c r="AT161" i="1" s="1"/>
  <c r="AS161" i="1" a="1"/>
  <c r="AS161" i="1" s="1"/>
  <c r="AT153" i="1" a="1"/>
  <c r="AT153" i="1" s="1"/>
  <c r="AS153" i="1" a="1"/>
  <c r="AS153" i="1" s="1"/>
  <c r="AT145" i="1" a="1"/>
  <c r="AT145" i="1" s="1"/>
  <c r="AS145" i="1" a="1"/>
  <c r="AS145" i="1" s="1"/>
  <c r="AT137" i="1" a="1"/>
  <c r="AT137" i="1" s="1"/>
  <c r="AS137" i="1" a="1"/>
  <c r="AS137" i="1" s="1"/>
  <c r="AT129" i="1" a="1"/>
  <c r="AT129" i="1" s="1"/>
  <c r="AS129" i="1" a="1"/>
  <c r="AS129" i="1" s="1"/>
  <c r="AT121" i="1" a="1"/>
  <c r="AT121" i="1" s="1"/>
  <c r="AS121" i="1" a="1"/>
  <c r="AS121" i="1" s="1"/>
  <c r="AT113" i="1" a="1"/>
  <c r="AT113" i="1" s="1"/>
  <c r="AS113" i="1" a="1"/>
  <c r="AS113" i="1" s="1"/>
  <c r="AS105" i="1" a="1"/>
  <c r="AS105" i="1" s="1"/>
  <c r="AT105" i="1" a="1"/>
  <c r="AT105" i="1" s="1"/>
  <c r="AT97" i="1" a="1"/>
  <c r="AT97" i="1" s="1"/>
  <c r="AS97" i="1" a="1"/>
  <c r="AS97" i="1" s="1"/>
  <c r="AT89" i="1" a="1"/>
  <c r="AT89" i="1" s="1"/>
  <c r="AS89" i="1" a="1"/>
  <c r="AS89" i="1" s="1"/>
  <c r="AT81" i="1" a="1"/>
  <c r="AT81" i="1" s="1"/>
  <c r="AS81" i="1" a="1"/>
  <c r="AS81" i="1" s="1"/>
  <c r="AT73" i="1" a="1"/>
  <c r="AT73" i="1" s="1"/>
  <c r="AS73" i="1" a="1"/>
  <c r="AS73" i="1" s="1"/>
  <c r="AT65" i="1" a="1"/>
  <c r="AT65" i="1" s="1"/>
  <c r="AS65" i="1" a="1"/>
  <c r="AS65" i="1" s="1"/>
  <c r="AT57" i="1" a="1"/>
  <c r="AT57" i="1" s="1"/>
  <c r="AS57" i="1" a="1"/>
  <c r="AS57" i="1" s="1"/>
  <c r="AT49" i="1" a="1"/>
  <c r="AT49" i="1" s="1"/>
  <c r="AS49" i="1" a="1"/>
  <c r="AS49" i="1" s="1"/>
  <c r="AT41" i="1" a="1"/>
  <c r="AT41" i="1" s="1"/>
  <c r="AS41" i="1" a="1"/>
  <c r="AS41" i="1" s="1"/>
  <c r="AT33" i="1" a="1"/>
  <c r="AT33" i="1" s="1"/>
  <c r="AS33" i="1" a="1"/>
  <c r="AS33" i="1" s="1"/>
  <c r="AS25" i="1" a="1"/>
  <c r="AS25" i="1" s="1"/>
  <c r="AT25" i="1" a="1"/>
  <c r="AT25" i="1" s="1"/>
  <c r="AT17" i="1" a="1"/>
  <c r="AT17" i="1" s="1"/>
  <c r="AS17" i="1" a="1"/>
  <c r="AS17" i="1" s="1"/>
  <c r="AT9" i="1" a="1"/>
  <c r="AT9" i="1" s="1"/>
  <c r="AS9" i="1" a="1"/>
  <c r="AS9" i="1" s="1"/>
  <c r="AT816" i="1" a="1"/>
  <c r="AT816" i="1" s="1"/>
  <c r="AS816" i="1" a="1"/>
  <c r="AS816" i="1" s="1"/>
  <c r="AT808" i="1" a="1"/>
  <c r="AT808" i="1" s="1"/>
  <c r="AS808" i="1" a="1"/>
  <c r="AS808" i="1" s="1"/>
  <c r="AT800" i="1" a="1"/>
  <c r="AT800" i="1" s="1"/>
  <c r="AS800" i="1" a="1"/>
  <c r="AS800" i="1" s="1"/>
  <c r="AT792" i="1" a="1"/>
  <c r="AT792" i="1" s="1"/>
  <c r="AS792" i="1" a="1"/>
  <c r="AS792" i="1" s="1"/>
  <c r="AT784" i="1" a="1"/>
  <c r="AT784" i="1" s="1"/>
  <c r="AS784" i="1" a="1"/>
  <c r="AS784" i="1" s="1"/>
  <c r="AT776" i="1" a="1"/>
  <c r="AT776" i="1" s="1"/>
  <c r="AS776" i="1" a="1"/>
  <c r="AS776" i="1" s="1"/>
  <c r="AT768" i="1" a="1"/>
  <c r="AT768" i="1" s="1"/>
  <c r="AS768" i="1" a="1"/>
  <c r="AS768" i="1" s="1"/>
  <c r="AT760" i="1" a="1"/>
  <c r="AT760" i="1" s="1"/>
  <c r="AS760" i="1" a="1"/>
  <c r="AS760" i="1" s="1"/>
  <c r="AT752" i="1" a="1"/>
  <c r="AT752" i="1" s="1"/>
  <c r="AS752" i="1" a="1"/>
  <c r="AS752" i="1" s="1"/>
  <c r="AT744" i="1" a="1"/>
  <c r="AT744" i="1" s="1"/>
  <c r="AS744" i="1" a="1"/>
  <c r="AS744" i="1" s="1"/>
  <c r="AT736" i="1" a="1"/>
  <c r="AT736" i="1" s="1"/>
  <c r="AS736" i="1" a="1"/>
  <c r="AS736" i="1" s="1"/>
  <c r="AT728" i="1" a="1"/>
  <c r="AT728" i="1" s="1"/>
  <c r="AS728" i="1" a="1"/>
  <c r="AS728" i="1" s="1"/>
  <c r="AT720" i="1" a="1"/>
  <c r="AT720" i="1" s="1"/>
  <c r="AS720" i="1" a="1"/>
  <c r="AS720" i="1" s="1"/>
  <c r="AT712" i="1" a="1"/>
  <c r="AT712" i="1" s="1"/>
  <c r="AS712" i="1" a="1"/>
  <c r="AS712" i="1" s="1"/>
  <c r="AT704" i="1" a="1"/>
  <c r="AT704" i="1" s="1"/>
  <c r="AS704" i="1" a="1"/>
  <c r="AS704" i="1" s="1"/>
  <c r="AT696" i="1" a="1"/>
  <c r="AT696" i="1" s="1"/>
  <c r="AS696" i="1" a="1"/>
  <c r="AS696" i="1" s="1"/>
  <c r="AT688" i="1" a="1"/>
  <c r="AT688" i="1" s="1"/>
  <c r="AS688" i="1" a="1"/>
  <c r="AS688" i="1" s="1"/>
  <c r="AT680" i="1" a="1"/>
  <c r="AT680" i="1" s="1"/>
  <c r="AS680" i="1" a="1"/>
  <c r="AS680" i="1" s="1"/>
  <c r="AT672" i="1" a="1"/>
  <c r="AT672" i="1" s="1"/>
  <c r="AS672" i="1" a="1"/>
  <c r="AS672" i="1" s="1"/>
  <c r="AT664" i="1" a="1"/>
  <c r="AT664" i="1" s="1"/>
  <c r="AS664" i="1" a="1"/>
  <c r="AS664" i="1" s="1"/>
  <c r="AT656" i="1" a="1"/>
  <c r="AT656" i="1" s="1"/>
  <c r="AS656" i="1" a="1"/>
  <c r="AS656" i="1" s="1"/>
  <c r="AT648" i="1" a="1"/>
  <c r="AT648" i="1" s="1"/>
  <c r="AS648" i="1" a="1"/>
  <c r="AS648" i="1" s="1"/>
  <c r="AT640" i="1" a="1"/>
  <c r="AT640" i="1" s="1"/>
  <c r="AS640" i="1" a="1"/>
  <c r="AS640" i="1" s="1"/>
  <c r="AT632" i="1" a="1"/>
  <c r="AT632" i="1" s="1"/>
  <c r="AS632" i="1" a="1"/>
  <c r="AS632" i="1" s="1"/>
  <c r="AT624" i="1" a="1"/>
  <c r="AT624" i="1" s="1"/>
  <c r="AS624" i="1" a="1"/>
  <c r="AS624" i="1" s="1"/>
  <c r="AT616" i="1" a="1"/>
  <c r="AT616" i="1" s="1"/>
  <c r="AS616" i="1" a="1"/>
  <c r="AS616" i="1" s="1"/>
  <c r="AS608" i="1" a="1"/>
  <c r="AS608" i="1" s="1"/>
  <c r="AT608" i="1" a="1"/>
  <c r="AT608" i="1" s="1"/>
  <c r="AT600" i="1" a="1"/>
  <c r="AT600" i="1" s="1"/>
  <c r="AS600" i="1" a="1"/>
  <c r="AS600" i="1" s="1"/>
  <c r="AT592" i="1" a="1"/>
  <c r="AT592" i="1" s="1"/>
  <c r="AS592" i="1" a="1"/>
  <c r="AS592" i="1" s="1"/>
  <c r="AT584" i="1" a="1"/>
  <c r="AT584" i="1" s="1"/>
  <c r="AS584" i="1" a="1"/>
  <c r="AS584" i="1" s="1"/>
  <c r="AS576" i="1" a="1"/>
  <c r="AS576" i="1" s="1"/>
  <c r="AT576" i="1" a="1"/>
  <c r="AT576" i="1" s="1"/>
  <c r="AT568" i="1" a="1"/>
  <c r="AT568" i="1" s="1"/>
  <c r="AS568" i="1" a="1"/>
  <c r="AS568" i="1" s="1"/>
  <c r="AT560" i="1" a="1"/>
  <c r="AT560" i="1" s="1"/>
  <c r="AS560" i="1" a="1"/>
  <c r="AS560" i="1" s="1"/>
  <c r="AT552" i="1" a="1"/>
  <c r="AT552" i="1" s="1"/>
  <c r="AS552" i="1" a="1"/>
  <c r="AS552" i="1" s="1"/>
  <c r="AT544" i="1" a="1"/>
  <c r="AT544" i="1" s="1"/>
  <c r="AS544" i="1" a="1"/>
  <c r="AS544" i="1" s="1"/>
  <c r="AT536" i="1" a="1"/>
  <c r="AT536" i="1" s="1"/>
  <c r="AS536" i="1" a="1"/>
  <c r="AS536" i="1" s="1"/>
  <c r="AT528" i="1" a="1"/>
  <c r="AT528" i="1" s="1"/>
  <c r="AS528" i="1" a="1"/>
  <c r="AS528" i="1" s="1"/>
  <c r="AT520" i="1" a="1"/>
  <c r="AT520" i="1" s="1"/>
  <c r="AS520" i="1" a="1"/>
  <c r="AS520" i="1" s="1"/>
  <c r="AT512" i="1" a="1"/>
  <c r="AT512" i="1" s="1"/>
  <c r="AS512" i="1" a="1"/>
  <c r="AS512" i="1" s="1"/>
  <c r="AT504" i="1" a="1"/>
  <c r="AT504" i="1" s="1"/>
  <c r="AS504" i="1" a="1"/>
  <c r="AS504" i="1" s="1"/>
  <c r="AT496" i="1" a="1"/>
  <c r="AT496" i="1" s="1"/>
  <c r="AS496" i="1" a="1"/>
  <c r="AS496" i="1" s="1"/>
  <c r="AT488" i="1" a="1"/>
  <c r="AT488" i="1" s="1"/>
  <c r="AS488" i="1" a="1"/>
  <c r="AS488" i="1" s="1"/>
  <c r="AT480" i="1" a="1"/>
  <c r="AT480" i="1" s="1"/>
  <c r="AS480" i="1" a="1"/>
  <c r="AS480" i="1" s="1"/>
  <c r="AT472" i="1" a="1"/>
  <c r="AT472" i="1" s="1"/>
  <c r="AS472" i="1" a="1"/>
  <c r="AS472" i="1" s="1"/>
  <c r="AT464" i="1" a="1"/>
  <c r="AT464" i="1" s="1"/>
  <c r="AS464" i="1" a="1"/>
  <c r="AS464" i="1" s="1"/>
  <c r="AT456" i="1" a="1"/>
  <c r="AT456" i="1" s="1"/>
  <c r="AS456" i="1" a="1"/>
  <c r="AS456" i="1" s="1"/>
  <c r="AT448" i="1" a="1"/>
  <c r="AT448" i="1" s="1"/>
  <c r="AS448" i="1" a="1"/>
  <c r="AS448" i="1" s="1"/>
  <c r="AT440" i="1" a="1"/>
  <c r="AT440" i="1" s="1"/>
  <c r="AS440" i="1" a="1"/>
  <c r="AS440" i="1" s="1"/>
  <c r="AT432" i="1" a="1"/>
  <c r="AT432" i="1" s="1"/>
  <c r="AS432" i="1" a="1"/>
  <c r="AS432" i="1" s="1"/>
  <c r="AT424" i="1" a="1"/>
  <c r="AT424" i="1" s="1"/>
  <c r="AS424" i="1" a="1"/>
  <c r="AS424" i="1" s="1"/>
  <c r="AT416" i="1" a="1"/>
  <c r="AT416" i="1" s="1"/>
  <c r="AS416" i="1" a="1"/>
  <c r="AS416" i="1" s="1"/>
  <c r="AT408" i="1" a="1"/>
  <c r="AT408" i="1" s="1"/>
  <c r="AS408" i="1" a="1"/>
  <c r="AS408" i="1" s="1"/>
  <c r="AT400" i="1" a="1"/>
  <c r="AT400" i="1" s="1"/>
  <c r="AS400" i="1" a="1"/>
  <c r="AS400" i="1" s="1"/>
  <c r="AT392" i="1" a="1"/>
  <c r="AT392" i="1" s="1"/>
  <c r="AS392" i="1" a="1"/>
  <c r="AS392" i="1" s="1"/>
  <c r="AT384" i="1" a="1"/>
  <c r="AT384" i="1" s="1"/>
  <c r="AS384" i="1" a="1"/>
  <c r="AS384" i="1" s="1"/>
  <c r="AT376" i="1" a="1"/>
  <c r="AT376" i="1" s="1"/>
  <c r="AS376" i="1" a="1"/>
  <c r="AS376" i="1" s="1"/>
  <c r="AT368" i="1" a="1"/>
  <c r="AT368" i="1" s="1"/>
  <c r="AS368" i="1" a="1"/>
  <c r="AS368" i="1" s="1"/>
  <c r="AT360" i="1" a="1"/>
  <c r="AT360" i="1" s="1"/>
  <c r="AS360" i="1" a="1"/>
  <c r="AS360" i="1" s="1"/>
  <c r="AT352" i="1" a="1"/>
  <c r="AT352" i="1" s="1"/>
  <c r="AS352" i="1" a="1"/>
  <c r="AS352" i="1" s="1"/>
  <c r="AT344" i="1" a="1"/>
  <c r="AT344" i="1" s="1"/>
  <c r="AS344" i="1" a="1"/>
  <c r="AS344" i="1" s="1"/>
  <c r="AT336" i="1" a="1"/>
  <c r="AT336" i="1" s="1"/>
  <c r="AS336" i="1" a="1"/>
  <c r="AS336" i="1" s="1"/>
  <c r="AT328" i="1" a="1"/>
  <c r="AT328" i="1" s="1"/>
  <c r="AS328" i="1" a="1"/>
  <c r="AS328" i="1" s="1"/>
  <c r="AT320" i="1" a="1"/>
  <c r="AT320" i="1" s="1"/>
  <c r="AS320" i="1" a="1"/>
  <c r="AS320" i="1" s="1"/>
  <c r="AT312" i="1" a="1"/>
  <c r="AT312" i="1" s="1"/>
  <c r="AS312" i="1" a="1"/>
  <c r="AS312" i="1" s="1"/>
  <c r="AT304" i="1" a="1"/>
  <c r="AT304" i="1" s="1"/>
  <c r="AS304" i="1" a="1"/>
  <c r="AS304" i="1" s="1"/>
  <c r="AT296" i="1" a="1"/>
  <c r="AT296" i="1" s="1"/>
  <c r="AS296" i="1" a="1"/>
  <c r="AS296" i="1" s="1"/>
  <c r="AT288" i="1" a="1"/>
  <c r="AT288" i="1" s="1"/>
  <c r="AS288" i="1" a="1"/>
  <c r="AS288" i="1" s="1"/>
  <c r="AT280" i="1" a="1"/>
  <c r="AT280" i="1" s="1"/>
  <c r="AS280" i="1" a="1"/>
  <c r="AS280" i="1" s="1"/>
  <c r="AT272" i="1" a="1"/>
  <c r="AT272" i="1" s="1"/>
  <c r="AS272" i="1" a="1"/>
  <c r="AS272" i="1" s="1"/>
  <c r="AT264" i="1" a="1"/>
  <c r="AT264" i="1" s="1"/>
  <c r="AS264" i="1" a="1"/>
  <c r="AS264" i="1" s="1"/>
  <c r="AT256" i="1" a="1"/>
  <c r="AT256" i="1" s="1"/>
  <c r="AS256" i="1" a="1"/>
  <c r="AS256" i="1" s="1"/>
  <c r="AT248" i="1" a="1"/>
  <c r="AT248" i="1" s="1"/>
  <c r="AS248" i="1" a="1"/>
  <c r="AS248" i="1" s="1"/>
  <c r="AS240" i="1" a="1"/>
  <c r="AS240" i="1" s="1"/>
  <c r="AT240" i="1" a="1"/>
  <c r="AT240" i="1" s="1"/>
  <c r="AT232" i="1" a="1"/>
  <c r="AT232" i="1" s="1"/>
  <c r="AS232" i="1" a="1"/>
  <c r="AS232" i="1" s="1"/>
  <c r="AT224" i="1" a="1"/>
  <c r="AT224" i="1" s="1"/>
  <c r="AS224" i="1" a="1"/>
  <c r="AS224" i="1" s="1"/>
  <c r="AT216" i="1" a="1"/>
  <c r="AT216" i="1" s="1"/>
  <c r="AS216" i="1" a="1"/>
  <c r="AS216" i="1" s="1"/>
  <c r="AT208" i="1" a="1"/>
  <c r="AT208" i="1" s="1"/>
  <c r="AS208" i="1" a="1"/>
  <c r="AS208" i="1" s="1"/>
  <c r="AT200" i="1" a="1"/>
  <c r="AT200" i="1" s="1"/>
  <c r="AS200" i="1" a="1"/>
  <c r="AS200" i="1" s="1"/>
  <c r="AT192" i="1" a="1"/>
  <c r="AT192" i="1" s="1"/>
  <c r="AS192" i="1" a="1"/>
  <c r="AS192" i="1" s="1"/>
  <c r="AT184" i="1" a="1"/>
  <c r="AT184" i="1" s="1"/>
  <c r="AS184" i="1" a="1"/>
  <c r="AS184" i="1" s="1"/>
  <c r="AT176" i="1" a="1"/>
  <c r="AT176" i="1" s="1"/>
  <c r="AS176" i="1" a="1"/>
  <c r="AS176" i="1" s="1"/>
  <c r="AT168" i="1" a="1"/>
  <c r="AT168" i="1" s="1"/>
  <c r="AS168" i="1" a="1"/>
  <c r="AS168" i="1" s="1"/>
  <c r="AT160" i="1" a="1"/>
  <c r="AT160" i="1" s="1"/>
  <c r="AS160" i="1" a="1"/>
  <c r="AS160" i="1" s="1"/>
  <c r="AT152" i="1" a="1"/>
  <c r="AT152" i="1" s="1"/>
  <c r="AS152" i="1" a="1"/>
  <c r="AS152" i="1" s="1"/>
  <c r="AT144" i="1" a="1"/>
  <c r="AT144" i="1" s="1"/>
  <c r="AS144" i="1" a="1"/>
  <c r="AS144" i="1" s="1"/>
  <c r="AT136" i="1" a="1"/>
  <c r="AT136" i="1" s="1"/>
  <c r="AS136" i="1" a="1"/>
  <c r="AS136" i="1" s="1"/>
  <c r="AT128" i="1" a="1"/>
  <c r="AT128" i="1" s="1"/>
  <c r="AS128" i="1" a="1"/>
  <c r="AS128" i="1" s="1"/>
  <c r="AT120" i="1" a="1"/>
  <c r="AT120" i="1" s="1"/>
  <c r="AS120" i="1" a="1"/>
  <c r="AS120" i="1" s="1"/>
  <c r="AT112" i="1" a="1"/>
  <c r="AT112" i="1" s="1"/>
  <c r="AS112" i="1" a="1"/>
  <c r="AS112" i="1" s="1"/>
  <c r="AT104" i="1" a="1"/>
  <c r="AT104" i="1" s="1"/>
  <c r="AS104" i="1" a="1"/>
  <c r="AS104" i="1" s="1"/>
  <c r="AT96" i="1" a="1"/>
  <c r="AT96" i="1" s="1"/>
  <c r="AS96" i="1" a="1"/>
  <c r="AS96" i="1" s="1"/>
  <c r="AS88" i="1" a="1"/>
  <c r="AS88" i="1" s="1"/>
  <c r="AT88" i="1" a="1"/>
  <c r="AT88" i="1" s="1"/>
  <c r="AT80" i="1" a="1"/>
  <c r="AT80" i="1" s="1"/>
  <c r="AS80" i="1" a="1"/>
  <c r="AS80" i="1" s="1"/>
  <c r="AT72" i="1" a="1"/>
  <c r="AT72" i="1" s="1"/>
  <c r="AS72" i="1" a="1"/>
  <c r="AS72" i="1" s="1"/>
  <c r="AT64" i="1" a="1"/>
  <c r="AT64" i="1" s="1"/>
  <c r="AS64" i="1" a="1"/>
  <c r="AS64" i="1" s="1"/>
  <c r="AT56" i="1" a="1"/>
  <c r="AT56" i="1" s="1"/>
  <c r="AS56" i="1" a="1"/>
  <c r="AS56" i="1" s="1"/>
  <c r="AT48" i="1" a="1"/>
  <c r="AT48" i="1" s="1"/>
  <c r="AS48" i="1" a="1"/>
  <c r="AS48" i="1" s="1"/>
  <c r="AT40" i="1" a="1"/>
  <c r="AT40" i="1" s="1"/>
  <c r="AS40" i="1" a="1"/>
  <c r="AS40" i="1" s="1"/>
  <c r="AT32" i="1" a="1"/>
  <c r="AT32" i="1" s="1"/>
  <c r="AS32" i="1" a="1"/>
  <c r="AS32" i="1" s="1"/>
  <c r="AT24" i="1" a="1"/>
  <c r="AT24" i="1" s="1"/>
  <c r="AS24" i="1" a="1"/>
  <c r="AS24" i="1" s="1"/>
  <c r="AT16" i="1" a="1"/>
  <c r="AT16" i="1" s="1"/>
  <c r="AS16" i="1" a="1"/>
  <c r="AS16" i="1" s="1"/>
  <c r="AT8" i="1" a="1"/>
  <c r="AT8" i="1" s="1"/>
  <c r="AS8" i="1" a="1"/>
  <c r="AS8" i="1" s="1"/>
  <c r="AT815" i="1" a="1"/>
  <c r="AT815" i="1" s="1"/>
  <c r="AS815" i="1" a="1"/>
  <c r="AS815" i="1" s="1"/>
  <c r="AT807" i="1" a="1"/>
  <c r="AT807" i="1" s="1"/>
  <c r="AS807" i="1" a="1"/>
  <c r="AS807" i="1" s="1"/>
  <c r="AT799" i="1" a="1"/>
  <c r="AT799" i="1" s="1"/>
  <c r="AS799" i="1" a="1"/>
  <c r="AS799" i="1" s="1"/>
  <c r="AT791" i="1" a="1"/>
  <c r="AT791" i="1" s="1"/>
  <c r="AS791" i="1" a="1"/>
  <c r="AS791" i="1" s="1"/>
  <c r="AT783" i="1" a="1"/>
  <c r="AT783" i="1" s="1"/>
  <c r="AS783" i="1" a="1"/>
  <c r="AS783" i="1" s="1"/>
  <c r="AT775" i="1" a="1"/>
  <c r="AT775" i="1" s="1"/>
  <c r="AS775" i="1" a="1"/>
  <c r="AS775" i="1" s="1"/>
  <c r="AT767" i="1" a="1"/>
  <c r="AT767" i="1" s="1"/>
  <c r="AS767" i="1" a="1"/>
  <c r="AS767" i="1" s="1"/>
  <c r="AT759" i="1" a="1"/>
  <c r="AT759" i="1" s="1"/>
  <c r="AS759" i="1" a="1"/>
  <c r="AS759" i="1" s="1"/>
  <c r="AT751" i="1" a="1"/>
  <c r="AT751" i="1" s="1"/>
  <c r="AS751" i="1" a="1"/>
  <c r="AS751" i="1" s="1"/>
  <c r="AT743" i="1" a="1"/>
  <c r="AT743" i="1" s="1"/>
  <c r="AS743" i="1" a="1"/>
  <c r="AS743" i="1" s="1"/>
  <c r="AT735" i="1" a="1"/>
  <c r="AT735" i="1" s="1"/>
  <c r="AS735" i="1" a="1"/>
  <c r="AS735" i="1" s="1"/>
  <c r="AT727" i="1" a="1"/>
  <c r="AT727" i="1" s="1"/>
  <c r="AS727" i="1" a="1"/>
  <c r="AS727" i="1" s="1"/>
  <c r="AT719" i="1" a="1"/>
  <c r="AT719" i="1" s="1"/>
  <c r="AS719" i="1" a="1"/>
  <c r="AS719" i="1" s="1"/>
  <c r="AT711" i="1" a="1"/>
  <c r="AT711" i="1" s="1"/>
  <c r="AS711" i="1" a="1"/>
  <c r="AS711" i="1" s="1"/>
  <c r="AS703" i="1" a="1"/>
  <c r="AS703" i="1" s="1"/>
  <c r="AT703" i="1" a="1"/>
  <c r="AT703" i="1" s="1"/>
  <c r="AT695" i="1" a="1"/>
  <c r="AT695" i="1" s="1"/>
  <c r="AS695" i="1" a="1"/>
  <c r="AS695" i="1" s="1"/>
  <c r="AT687" i="1" a="1"/>
  <c r="AT687" i="1" s="1"/>
  <c r="AS687" i="1" a="1"/>
  <c r="AS687" i="1" s="1"/>
  <c r="AT679" i="1" a="1"/>
  <c r="AT679" i="1" s="1"/>
  <c r="AS679" i="1" a="1"/>
  <c r="AS679" i="1" s="1"/>
  <c r="AT671" i="1" a="1"/>
  <c r="AT671" i="1" s="1"/>
  <c r="AS671" i="1" a="1"/>
  <c r="AS671" i="1" s="1"/>
  <c r="AT663" i="1" a="1"/>
  <c r="AT663" i="1" s="1"/>
  <c r="AS663" i="1" a="1"/>
  <c r="AS663" i="1" s="1"/>
  <c r="AT655" i="1" a="1"/>
  <c r="AT655" i="1" s="1"/>
  <c r="AS655" i="1" a="1"/>
  <c r="AS655" i="1" s="1"/>
  <c r="AT647" i="1" a="1"/>
  <c r="AT647" i="1" s="1"/>
  <c r="AS647" i="1" a="1"/>
  <c r="AS647" i="1" s="1"/>
  <c r="AT639" i="1" a="1"/>
  <c r="AT639" i="1" s="1"/>
  <c r="AS639" i="1" a="1"/>
  <c r="AS639" i="1" s="1"/>
  <c r="AT631" i="1" a="1"/>
  <c r="AT631" i="1" s="1"/>
  <c r="AS631" i="1" a="1"/>
  <c r="AS631" i="1" s="1"/>
  <c r="AT623" i="1" a="1"/>
  <c r="AT623" i="1" s="1"/>
  <c r="AS623" i="1" a="1"/>
  <c r="AS623" i="1" s="1"/>
  <c r="AT615" i="1" a="1"/>
  <c r="AT615" i="1" s="1"/>
  <c r="AS615" i="1" a="1"/>
  <c r="AS615" i="1" s="1"/>
  <c r="AT607" i="1" a="1"/>
  <c r="AT607" i="1" s="1"/>
  <c r="AS607" i="1" a="1"/>
  <c r="AS607" i="1" s="1"/>
  <c r="AT599" i="1" a="1"/>
  <c r="AT599" i="1" s="1"/>
  <c r="AS599" i="1" a="1"/>
  <c r="AS599" i="1" s="1"/>
  <c r="AT591" i="1" a="1"/>
  <c r="AT591" i="1" s="1"/>
  <c r="AS591" i="1" a="1"/>
  <c r="AS591" i="1" s="1"/>
  <c r="AT583" i="1" a="1"/>
  <c r="AT583" i="1" s="1"/>
  <c r="AS583" i="1" a="1"/>
  <c r="AS583" i="1" s="1"/>
  <c r="AT575" i="1" a="1"/>
  <c r="AT575" i="1" s="1"/>
  <c r="AS575" i="1" a="1"/>
  <c r="AS575" i="1" s="1"/>
  <c r="AT567" i="1" a="1"/>
  <c r="AT567" i="1" s="1"/>
  <c r="AS567" i="1" a="1"/>
  <c r="AS567" i="1" s="1"/>
  <c r="AT559" i="1" a="1"/>
  <c r="AT559" i="1" s="1"/>
  <c r="AS559" i="1" a="1"/>
  <c r="AS559" i="1" s="1"/>
  <c r="AT551" i="1" a="1"/>
  <c r="AT551" i="1" s="1"/>
  <c r="AS551" i="1" a="1"/>
  <c r="AS551" i="1" s="1"/>
  <c r="AT543" i="1" a="1"/>
  <c r="AT543" i="1" s="1"/>
  <c r="AS543" i="1" a="1"/>
  <c r="AS543" i="1" s="1"/>
  <c r="AT535" i="1" a="1"/>
  <c r="AT535" i="1" s="1"/>
  <c r="AS535" i="1" a="1"/>
  <c r="AS535" i="1" s="1"/>
  <c r="AT527" i="1" a="1"/>
  <c r="AT527" i="1" s="1"/>
  <c r="AS527" i="1" a="1"/>
  <c r="AS527" i="1" s="1"/>
  <c r="AT519" i="1" a="1"/>
  <c r="AT519" i="1" s="1"/>
  <c r="AS519" i="1" a="1"/>
  <c r="AS519" i="1" s="1"/>
  <c r="AT511" i="1" a="1"/>
  <c r="AT511" i="1" s="1"/>
  <c r="AS511" i="1" a="1"/>
  <c r="AS511" i="1" s="1"/>
  <c r="AT503" i="1" a="1"/>
  <c r="AT503" i="1" s="1"/>
  <c r="AS503" i="1" a="1"/>
  <c r="AS503" i="1" s="1"/>
  <c r="AT495" i="1" a="1"/>
  <c r="AT495" i="1" s="1"/>
  <c r="AS495" i="1" a="1"/>
  <c r="AS495" i="1" s="1"/>
  <c r="AT487" i="1" a="1"/>
  <c r="AT487" i="1" s="1"/>
  <c r="AS487" i="1" a="1"/>
  <c r="AS487" i="1" s="1"/>
  <c r="AT479" i="1" a="1"/>
  <c r="AT479" i="1" s="1"/>
  <c r="AS479" i="1" a="1"/>
  <c r="AS479" i="1" s="1"/>
  <c r="AT471" i="1" a="1"/>
  <c r="AT471" i="1" s="1"/>
  <c r="AS471" i="1" a="1"/>
  <c r="AS471" i="1" s="1"/>
  <c r="AT463" i="1" a="1"/>
  <c r="AT463" i="1" s="1"/>
  <c r="AS463" i="1" a="1"/>
  <c r="AS463" i="1" s="1"/>
  <c r="AT455" i="1" a="1"/>
  <c r="AT455" i="1" s="1"/>
  <c r="AS455" i="1" a="1"/>
  <c r="AS455" i="1" s="1"/>
  <c r="AT447" i="1" a="1"/>
  <c r="AT447" i="1" s="1"/>
  <c r="AS447" i="1" a="1"/>
  <c r="AS447" i="1" s="1"/>
  <c r="AT439" i="1" a="1"/>
  <c r="AT439" i="1" s="1"/>
  <c r="AS439" i="1" a="1"/>
  <c r="AS439" i="1" s="1"/>
  <c r="AT431" i="1" a="1"/>
  <c r="AT431" i="1" s="1"/>
  <c r="AS431" i="1" a="1"/>
  <c r="AS431" i="1" s="1"/>
  <c r="AT423" i="1" a="1"/>
  <c r="AT423" i="1" s="1"/>
  <c r="AS423" i="1" a="1"/>
  <c r="AS423" i="1" s="1"/>
  <c r="AT415" i="1" a="1"/>
  <c r="AT415" i="1" s="1"/>
  <c r="AS415" i="1" a="1"/>
  <c r="AS415" i="1" s="1"/>
  <c r="AT407" i="1" a="1"/>
  <c r="AT407" i="1" s="1"/>
  <c r="AS407" i="1" a="1"/>
  <c r="AS407" i="1" s="1"/>
  <c r="AT399" i="1" a="1"/>
  <c r="AT399" i="1" s="1"/>
  <c r="AS399" i="1" a="1"/>
  <c r="AS399" i="1" s="1"/>
  <c r="AT391" i="1" a="1"/>
  <c r="AT391" i="1" s="1"/>
  <c r="AS391" i="1" a="1"/>
  <c r="AS391" i="1" s="1"/>
  <c r="AT383" i="1" a="1"/>
  <c r="AT383" i="1" s="1"/>
  <c r="AS383" i="1" a="1"/>
  <c r="AS383" i="1" s="1"/>
  <c r="AT375" i="1" a="1"/>
  <c r="AT375" i="1" s="1"/>
  <c r="AS375" i="1" a="1"/>
  <c r="AS375" i="1" s="1"/>
  <c r="AT367" i="1" a="1"/>
  <c r="AT367" i="1" s="1"/>
  <c r="AS367" i="1" a="1"/>
  <c r="AS367" i="1" s="1"/>
  <c r="AT359" i="1" a="1"/>
  <c r="AT359" i="1" s="1"/>
  <c r="AS359" i="1" a="1"/>
  <c r="AS359" i="1" s="1"/>
  <c r="AT351" i="1" a="1"/>
  <c r="AT351" i="1" s="1"/>
  <c r="AS351" i="1" a="1"/>
  <c r="AS351" i="1" s="1"/>
  <c r="AT343" i="1" a="1"/>
  <c r="AT343" i="1" s="1"/>
  <c r="AS343" i="1" a="1"/>
  <c r="AS343" i="1" s="1"/>
  <c r="AT335" i="1" a="1"/>
  <c r="AT335" i="1" s="1"/>
  <c r="AS335" i="1" a="1"/>
  <c r="AS335" i="1" s="1"/>
  <c r="AT327" i="1" a="1"/>
  <c r="AT327" i="1" s="1"/>
  <c r="AS327" i="1" a="1"/>
  <c r="AS327" i="1" s="1"/>
  <c r="AT319" i="1" a="1"/>
  <c r="AT319" i="1" s="1"/>
  <c r="AS319" i="1" a="1"/>
  <c r="AS319" i="1" s="1"/>
  <c r="AT311" i="1" a="1"/>
  <c r="AT311" i="1" s="1"/>
  <c r="AS311" i="1" a="1"/>
  <c r="AS311" i="1" s="1"/>
  <c r="AT303" i="1" a="1"/>
  <c r="AT303" i="1" s="1"/>
  <c r="AS303" i="1" a="1"/>
  <c r="AS303" i="1" s="1"/>
  <c r="AT295" i="1" a="1"/>
  <c r="AT295" i="1" s="1"/>
  <c r="AS295" i="1" a="1"/>
  <c r="AS295" i="1" s="1"/>
  <c r="AT287" i="1" a="1"/>
  <c r="AT287" i="1" s="1"/>
  <c r="AS287" i="1" a="1"/>
  <c r="AS287" i="1" s="1"/>
  <c r="AT279" i="1" a="1"/>
  <c r="AT279" i="1" s="1"/>
  <c r="AS279" i="1" a="1"/>
  <c r="AS279" i="1" s="1"/>
  <c r="AT271" i="1" a="1"/>
  <c r="AT271" i="1" s="1"/>
  <c r="AS271" i="1" a="1"/>
  <c r="AS271" i="1" s="1"/>
  <c r="AT263" i="1" a="1"/>
  <c r="AT263" i="1" s="1"/>
  <c r="AS263" i="1" a="1"/>
  <c r="AS263" i="1" s="1"/>
  <c r="AT255" i="1" a="1"/>
  <c r="AT255" i="1" s="1"/>
  <c r="AS255" i="1" a="1"/>
  <c r="AS255" i="1" s="1"/>
  <c r="AT247" i="1" a="1"/>
  <c r="AT247" i="1" s="1"/>
  <c r="AS247" i="1" a="1"/>
  <c r="AS247" i="1" s="1"/>
  <c r="AT239" i="1" a="1"/>
  <c r="AT239" i="1" s="1"/>
  <c r="AS239" i="1" a="1"/>
  <c r="AS239" i="1" s="1"/>
  <c r="AT231" i="1" a="1"/>
  <c r="AT231" i="1" s="1"/>
  <c r="AS231" i="1" a="1"/>
  <c r="AS231" i="1" s="1"/>
  <c r="AT223" i="1" a="1"/>
  <c r="AT223" i="1" s="1"/>
  <c r="AS223" i="1" a="1"/>
  <c r="AS223" i="1" s="1"/>
  <c r="AT215" i="1" a="1"/>
  <c r="AT215" i="1" s="1"/>
  <c r="AS215" i="1" a="1"/>
  <c r="AS215" i="1" s="1"/>
  <c r="AT199" i="1" a="1"/>
  <c r="AT199" i="1" s="1"/>
  <c r="AS199" i="1" a="1"/>
  <c r="AS199" i="1" s="1"/>
  <c r="AT191" i="1" a="1"/>
  <c r="AT191" i="1" s="1"/>
  <c r="AS191" i="1" a="1"/>
  <c r="AS191" i="1" s="1"/>
  <c r="AT183" i="1" a="1"/>
  <c r="AT183" i="1" s="1"/>
  <c r="AS183" i="1" a="1"/>
  <c r="AS183" i="1" s="1"/>
  <c r="AT175" i="1" a="1"/>
  <c r="AT175" i="1" s="1"/>
  <c r="AS175" i="1" a="1"/>
  <c r="AS175" i="1" s="1"/>
  <c r="AT167" i="1" a="1"/>
  <c r="AT167" i="1" s="1"/>
  <c r="AS167" i="1" a="1"/>
  <c r="AS167" i="1" s="1"/>
  <c r="AT159" i="1" a="1"/>
  <c r="AT159" i="1" s="1"/>
  <c r="AS159" i="1" a="1"/>
  <c r="AS159" i="1" s="1"/>
  <c r="AT151" i="1" a="1"/>
  <c r="AT151" i="1" s="1"/>
  <c r="AS151" i="1" a="1"/>
  <c r="AS151" i="1" s="1"/>
  <c r="AT143" i="1" a="1"/>
  <c r="AT143" i="1" s="1"/>
  <c r="AS143" i="1" a="1"/>
  <c r="AS143" i="1" s="1"/>
  <c r="AT135" i="1" a="1"/>
  <c r="AT135" i="1" s="1"/>
  <c r="AS135" i="1" a="1"/>
  <c r="AS135" i="1" s="1"/>
  <c r="AT127" i="1" a="1"/>
  <c r="AT127" i="1" s="1"/>
  <c r="AS127" i="1" a="1"/>
  <c r="AS127" i="1" s="1"/>
  <c r="AT119" i="1" a="1"/>
  <c r="AT119" i="1" s="1"/>
  <c r="AS119" i="1" a="1"/>
  <c r="AS119" i="1" s="1"/>
  <c r="AT111" i="1" a="1"/>
  <c r="AT111" i="1" s="1"/>
  <c r="AS111" i="1" a="1"/>
  <c r="AS111" i="1" s="1"/>
  <c r="AT103" i="1" a="1"/>
  <c r="AT103" i="1" s="1"/>
  <c r="AS103" i="1" a="1"/>
  <c r="AS103" i="1" s="1"/>
  <c r="AT95" i="1" a="1"/>
  <c r="AT95" i="1" s="1"/>
  <c r="AS95" i="1" a="1"/>
  <c r="AS95" i="1" s="1"/>
  <c r="AT87" i="1" a="1"/>
  <c r="AT87" i="1" s="1"/>
  <c r="AS87" i="1" a="1"/>
  <c r="AS87" i="1" s="1"/>
  <c r="AT79" i="1" a="1"/>
  <c r="AT79" i="1" s="1"/>
  <c r="AS79" i="1" a="1"/>
  <c r="AS79" i="1" s="1"/>
  <c r="AT71" i="1" a="1"/>
  <c r="AT71" i="1" s="1"/>
  <c r="AS71" i="1" a="1"/>
  <c r="AS71" i="1" s="1"/>
  <c r="AT63" i="1" a="1"/>
  <c r="AT63" i="1" s="1"/>
  <c r="AS63" i="1" a="1"/>
  <c r="AS63" i="1" s="1"/>
  <c r="AT55" i="1" a="1"/>
  <c r="AT55" i="1" s="1"/>
  <c r="AS55" i="1" a="1"/>
  <c r="AS55" i="1" s="1"/>
  <c r="AT47" i="1" a="1"/>
  <c r="AT47" i="1" s="1"/>
  <c r="AS47" i="1" a="1"/>
  <c r="AS47" i="1" s="1"/>
  <c r="AT39" i="1" a="1"/>
  <c r="AT39" i="1" s="1"/>
  <c r="AS39" i="1" a="1"/>
  <c r="AS39" i="1" s="1"/>
  <c r="AT31" i="1" a="1"/>
  <c r="AT31" i="1" s="1"/>
  <c r="AS31" i="1" a="1"/>
  <c r="AS31" i="1" s="1"/>
  <c r="AT23" i="1" a="1"/>
  <c r="AT23" i="1" s="1"/>
  <c r="AS23" i="1" a="1"/>
  <c r="AS23" i="1" s="1"/>
  <c r="AT15" i="1" a="1"/>
  <c r="AT15" i="1" s="1"/>
  <c r="AS15" i="1" a="1"/>
  <c r="AS15" i="1" s="1"/>
  <c r="AT7" i="1" a="1"/>
  <c r="AT7" i="1" s="1"/>
  <c r="AS7" i="1" a="1"/>
  <c r="AS7" i="1" s="1"/>
  <c r="AT814" i="1" a="1"/>
  <c r="AT814" i="1" s="1"/>
  <c r="AS814" i="1" a="1"/>
  <c r="AS814" i="1" s="1"/>
  <c r="AT806" i="1" a="1"/>
  <c r="AT806" i="1" s="1"/>
  <c r="AS806" i="1" a="1"/>
  <c r="AS806" i="1" s="1"/>
  <c r="AT798" i="1" a="1"/>
  <c r="AT798" i="1" s="1"/>
  <c r="AS798" i="1" a="1"/>
  <c r="AS798" i="1" s="1"/>
  <c r="AT790" i="1" a="1"/>
  <c r="AT790" i="1" s="1"/>
  <c r="AS790" i="1" a="1"/>
  <c r="AS790" i="1" s="1"/>
  <c r="AT782" i="1" a="1"/>
  <c r="AT782" i="1" s="1"/>
  <c r="AS782" i="1" a="1"/>
  <c r="AS782" i="1" s="1"/>
  <c r="AT774" i="1" a="1"/>
  <c r="AT774" i="1" s="1"/>
  <c r="AS774" i="1" a="1"/>
  <c r="AS774" i="1" s="1"/>
  <c r="AT766" i="1" a="1"/>
  <c r="AT766" i="1" s="1"/>
  <c r="AS766" i="1" a="1"/>
  <c r="AS766" i="1" s="1"/>
  <c r="AT758" i="1" a="1"/>
  <c r="AT758" i="1" s="1"/>
  <c r="AS758" i="1" a="1"/>
  <c r="AS758" i="1" s="1"/>
  <c r="AT750" i="1" a="1"/>
  <c r="AT750" i="1" s="1"/>
  <c r="AS750" i="1" a="1"/>
  <c r="AS750" i="1" s="1"/>
  <c r="AT742" i="1" a="1"/>
  <c r="AT742" i="1" s="1"/>
  <c r="AS742" i="1" a="1"/>
  <c r="AS742" i="1" s="1"/>
  <c r="AT734" i="1" a="1"/>
  <c r="AT734" i="1" s="1"/>
  <c r="AS734" i="1" a="1"/>
  <c r="AS734" i="1" s="1"/>
  <c r="AT726" i="1" a="1"/>
  <c r="AT726" i="1" s="1"/>
  <c r="AS726" i="1" a="1"/>
  <c r="AS726" i="1" s="1"/>
  <c r="AT718" i="1" a="1"/>
  <c r="AT718" i="1" s="1"/>
  <c r="AS718" i="1" a="1"/>
  <c r="AS718" i="1" s="1"/>
  <c r="AT710" i="1" a="1"/>
  <c r="AT710" i="1" s="1"/>
  <c r="AS710" i="1" a="1"/>
  <c r="AS710" i="1" s="1"/>
  <c r="AS702" i="1" a="1"/>
  <c r="AS702" i="1" s="1"/>
  <c r="AT702" i="1" a="1"/>
  <c r="AT702" i="1" s="1"/>
  <c r="AT694" i="1" a="1"/>
  <c r="AT694" i="1" s="1"/>
  <c r="AS694" i="1" a="1"/>
  <c r="AS694" i="1" s="1"/>
  <c r="AT686" i="1" a="1"/>
  <c r="AT686" i="1" s="1"/>
  <c r="AS686" i="1" a="1"/>
  <c r="AS686" i="1" s="1"/>
  <c r="AT678" i="1" a="1"/>
  <c r="AT678" i="1" s="1"/>
  <c r="AS678" i="1" a="1"/>
  <c r="AS678" i="1" s="1"/>
  <c r="AT670" i="1" a="1"/>
  <c r="AT670" i="1" s="1"/>
  <c r="AS670" i="1" a="1"/>
  <c r="AS670" i="1" s="1"/>
  <c r="AT662" i="1" a="1"/>
  <c r="AT662" i="1" s="1"/>
  <c r="AS662" i="1" a="1"/>
  <c r="AS662" i="1" s="1"/>
  <c r="AT654" i="1" a="1"/>
  <c r="AT654" i="1" s="1"/>
  <c r="AS654" i="1" a="1"/>
  <c r="AS654" i="1" s="1"/>
  <c r="AT646" i="1" a="1"/>
  <c r="AT646" i="1" s="1"/>
  <c r="AS646" i="1" a="1"/>
  <c r="AS646" i="1" s="1"/>
  <c r="AT638" i="1" a="1"/>
  <c r="AT638" i="1" s="1"/>
  <c r="AS638" i="1" a="1"/>
  <c r="AS638" i="1" s="1"/>
  <c r="AT630" i="1" a="1"/>
  <c r="AT630" i="1" s="1"/>
  <c r="AS630" i="1" a="1"/>
  <c r="AS630" i="1" s="1"/>
  <c r="AT622" i="1" a="1"/>
  <c r="AT622" i="1" s="1"/>
  <c r="AS622" i="1" a="1"/>
  <c r="AS622" i="1" s="1"/>
  <c r="AT614" i="1" a="1"/>
  <c r="AT614" i="1" s="1"/>
  <c r="AS614" i="1" a="1"/>
  <c r="AS614" i="1" s="1"/>
  <c r="AT606" i="1" a="1"/>
  <c r="AT606" i="1" s="1"/>
  <c r="AS606" i="1" a="1"/>
  <c r="AS606" i="1" s="1"/>
  <c r="AT598" i="1" a="1"/>
  <c r="AT598" i="1" s="1"/>
  <c r="AS598" i="1" a="1"/>
  <c r="AS598" i="1" s="1"/>
  <c r="AT590" i="1" a="1"/>
  <c r="AT590" i="1" s="1"/>
  <c r="AS590" i="1" a="1"/>
  <c r="AS590" i="1" s="1"/>
  <c r="AT582" i="1" a="1"/>
  <c r="AT582" i="1" s="1"/>
  <c r="AS582" i="1" a="1"/>
  <c r="AS582" i="1" s="1"/>
  <c r="AT574" i="1" a="1"/>
  <c r="AT574" i="1" s="1"/>
  <c r="AS574" i="1" a="1"/>
  <c r="AS574" i="1" s="1"/>
  <c r="AT566" i="1" a="1"/>
  <c r="AT566" i="1" s="1"/>
  <c r="AS566" i="1" a="1"/>
  <c r="AS566" i="1" s="1"/>
  <c r="AT558" i="1" a="1"/>
  <c r="AT558" i="1" s="1"/>
  <c r="AS558" i="1" a="1"/>
  <c r="AS558" i="1" s="1"/>
  <c r="AT550" i="1" a="1"/>
  <c r="AT550" i="1" s="1"/>
  <c r="AS550" i="1" a="1"/>
  <c r="AS550" i="1" s="1"/>
  <c r="AT542" i="1" a="1"/>
  <c r="AT542" i="1" s="1"/>
  <c r="AS542" i="1" a="1"/>
  <c r="AS542" i="1" s="1"/>
  <c r="AT534" i="1" a="1"/>
  <c r="AT534" i="1" s="1"/>
  <c r="AS534" i="1" a="1"/>
  <c r="AS534" i="1" s="1"/>
  <c r="AT526" i="1" a="1"/>
  <c r="AT526" i="1" s="1"/>
  <c r="AS526" i="1" a="1"/>
  <c r="AS526" i="1" s="1"/>
  <c r="AT518" i="1" a="1"/>
  <c r="AT518" i="1" s="1"/>
  <c r="AS518" i="1" a="1"/>
  <c r="AS518" i="1" s="1"/>
  <c r="AT510" i="1" a="1"/>
  <c r="AT510" i="1" s="1"/>
  <c r="AS510" i="1" a="1"/>
  <c r="AS510" i="1" s="1"/>
  <c r="AT502" i="1" a="1"/>
  <c r="AT502" i="1" s="1"/>
  <c r="AS502" i="1" a="1"/>
  <c r="AS502" i="1" s="1"/>
  <c r="AT494" i="1" a="1"/>
  <c r="AT494" i="1" s="1"/>
  <c r="AS494" i="1" a="1"/>
  <c r="AS494" i="1" s="1"/>
  <c r="AT486" i="1" a="1"/>
  <c r="AT486" i="1" s="1"/>
  <c r="AS486" i="1" a="1"/>
  <c r="AS486" i="1" s="1"/>
  <c r="AT478" i="1" a="1"/>
  <c r="AT478" i="1" s="1"/>
  <c r="AS478" i="1" a="1"/>
  <c r="AS478" i="1" s="1"/>
  <c r="AT470" i="1" a="1"/>
  <c r="AT470" i="1" s="1"/>
  <c r="AS470" i="1" a="1"/>
  <c r="AS470" i="1" s="1"/>
  <c r="AT462" i="1" a="1"/>
  <c r="AT462" i="1" s="1"/>
  <c r="AS462" i="1" a="1"/>
  <c r="AS462" i="1" s="1"/>
  <c r="AT446" i="1" a="1"/>
  <c r="AT446" i="1" s="1"/>
  <c r="AS446" i="1" a="1"/>
  <c r="AS446" i="1" s="1"/>
  <c r="AT438" i="1" a="1"/>
  <c r="AT438" i="1" s="1"/>
  <c r="AS438" i="1" a="1"/>
  <c r="AS438" i="1" s="1"/>
  <c r="AT430" i="1" a="1"/>
  <c r="AT430" i="1" s="1"/>
  <c r="AS430" i="1" a="1"/>
  <c r="AS430" i="1" s="1"/>
  <c r="AT422" i="1" a="1"/>
  <c r="AT422" i="1" s="1"/>
  <c r="AS422" i="1" a="1"/>
  <c r="AS422" i="1" s="1"/>
  <c r="AT414" i="1" a="1"/>
  <c r="AT414" i="1" s="1"/>
  <c r="AS414" i="1" a="1"/>
  <c r="AS414" i="1" s="1"/>
  <c r="AT406" i="1" a="1"/>
  <c r="AT406" i="1" s="1"/>
  <c r="AS406" i="1" a="1"/>
  <c r="AS406" i="1" s="1"/>
  <c r="AT398" i="1" a="1"/>
  <c r="AT398" i="1" s="1"/>
  <c r="AS398" i="1" a="1"/>
  <c r="AS398" i="1" s="1"/>
  <c r="AT390" i="1" a="1"/>
  <c r="AT390" i="1" s="1"/>
  <c r="AS390" i="1" a="1"/>
  <c r="AS390" i="1" s="1"/>
  <c r="AT382" i="1" a="1"/>
  <c r="AT382" i="1" s="1"/>
  <c r="AS382" i="1" a="1"/>
  <c r="AS382" i="1" s="1"/>
  <c r="AT374" i="1" a="1"/>
  <c r="AT374" i="1" s="1"/>
  <c r="AS374" i="1" a="1"/>
  <c r="AS374" i="1" s="1"/>
  <c r="AT366" i="1" a="1"/>
  <c r="AT366" i="1" s="1"/>
  <c r="AS366" i="1" a="1"/>
  <c r="AS366" i="1" s="1"/>
  <c r="AT358" i="1" a="1"/>
  <c r="AT358" i="1" s="1"/>
  <c r="AS358" i="1" a="1"/>
  <c r="AS358" i="1" s="1"/>
  <c r="AT350" i="1" a="1"/>
  <c r="AT350" i="1" s="1"/>
  <c r="AS350" i="1" a="1"/>
  <c r="AS350" i="1" s="1"/>
  <c r="AT342" i="1" a="1"/>
  <c r="AT342" i="1" s="1"/>
  <c r="AS342" i="1" a="1"/>
  <c r="AS342" i="1" s="1"/>
  <c r="AT334" i="1" a="1"/>
  <c r="AT334" i="1" s="1"/>
  <c r="AS334" i="1" a="1"/>
  <c r="AS334" i="1" s="1"/>
  <c r="AT326" i="1" a="1"/>
  <c r="AT326" i="1" s="1"/>
  <c r="AS326" i="1" a="1"/>
  <c r="AS326" i="1" s="1"/>
  <c r="AT318" i="1" a="1"/>
  <c r="AT318" i="1" s="1"/>
  <c r="AS318" i="1" a="1"/>
  <c r="AS318" i="1" s="1"/>
  <c r="AT310" i="1" a="1"/>
  <c r="AT310" i="1" s="1"/>
  <c r="AS310" i="1" a="1"/>
  <c r="AS310" i="1" s="1"/>
  <c r="AT302" i="1" a="1"/>
  <c r="AT302" i="1" s="1"/>
  <c r="AS302" i="1" a="1"/>
  <c r="AS302" i="1" s="1"/>
  <c r="AT294" i="1" a="1"/>
  <c r="AT294" i="1" s="1"/>
  <c r="AS294" i="1" a="1"/>
  <c r="AS294" i="1" s="1"/>
  <c r="AT286" i="1" a="1"/>
  <c r="AT286" i="1" s="1"/>
  <c r="AS286" i="1" a="1"/>
  <c r="AS286" i="1" s="1"/>
  <c r="AT278" i="1" a="1"/>
  <c r="AT278" i="1" s="1"/>
  <c r="AS278" i="1" a="1"/>
  <c r="AS278" i="1" s="1"/>
  <c r="AT270" i="1" a="1"/>
  <c r="AT270" i="1" s="1"/>
  <c r="AS270" i="1" a="1"/>
  <c r="AS270" i="1" s="1"/>
  <c r="AT262" i="1" a="1"/>
  <c r="AT262" i="1" s="1"/>
  <c r="AS262" i="1" a="1"/>
  <c r="AS262" i="1" s="1"/>
  <c r="AT254" i="1" a="1"/>
  <c r="AT254" i="1" s="1"/>
  <c r="AS254" i="1" a="1"/>
  <c r="AS254" i="1" s="1"/>
  <c r="AT246" i="1" a="1"/>
  <c r="AT246" i="1" s="1"/>
  <c r="AS246" i="1" a="1"/>
  <c r="AS246" i="1" s="1"/>
  <c r="AT238" i="1" a="1"/>
  <c r="AT238" i="1" s="1"/>
  <c r="AS238" i="1" a="1"/>
  <c r="AS238" i="1" s="1"/>
  <c r="AT230" i="1" a="1"/>
  <c r="AT230" i="1" s="1"/>
  <c r="AS230" i="1" a="1"/>
  <c r="AS230" i="1" s="1"/>
  <c r="AT222" i="1" a="1"/>
  <c r="AT222" i="1" s="1"/>
  <c r="AS222" i="1" a="1"/>
  <c r="AS222" i="1" s="1"/>
  <c r="AT214" i="1" a="1"/>
  <c r="AT214" i="1" s="1"/>
  <c r="AS214" i="1" a="1"/>
  <c r="AS214" i="1" s="1"/>
  <c r="AT198" i="1" a="1"/>
  <c r="AT198" i="1" s="1"/>
  <c r="AS198" i="1" a="1"/>
  <c r="AS198" i="1" s="1"/>
  <c r="AT190" i="1" a="1"/>
  <c r="AT190" i="1" s="1"/>
  <c r="AS190" i="1" a="1"/>
  <c r="AS190" i="1" s="1"/>
  <c r="AT182" i="1" a="1"/>
  <c r="AT182" i="1" s="1"/>
  <c r="AS182" i="1" a="1"/>
  <c r="AS182" i="1" s="1"/>
  <c r="AT174" i="1" a="1"/>
  <c r="AT174" i="1" s="1"/>
  <c r="AS174" i="1" a="1"/>
  <c r="AS174" i="1" s="1"/>
  <c r="AT166" i="1" a="1"/>
  <c r="AT166" i="1" s="1"/>
  <c r="AS166" i="1" a="1"/>
  <c r="AS166" i="1" s="1"/>
  <c r="AT158" i="1" a="1"/>
  <c r="AT158" i="1" s="1"/>
  <c r="AS158" i="1" a="1"/>
  <c r="AS158" i="1" s="1"/>
  <c r="AT150" i="1" a="1"/>
  <c r="AT150" i="1" s="1"/>
  <c r="AS150" i="1" a="1"/>
  <c r="AS150" i="1" s="1"/>
  <c r="AT142" i="1" a="1"/>
  <c r="AT142" i="1" s="1"/>
  <c r="AS142" i="1" a="1"/>
  <c r="AS142" i="1" s="1"/>
  <c r="AT134" i="1" a="1"/>
  <c r="AT134" i="1" s="1"/>
  <c r="AS134" i="1" a="1"/>
  <c r="AS134" i="1" s="1"/>
  <c r="AT126" i="1" a="1"/>
  <c r="AT126" i="1" s="1"/>
  <c r="AS126" i="1" a="1"/>
  <c r="AS126" i="1" s="1"/>
  <c r="AT118" i="1" a="1"/>
  <c r="AT118" i="1" s="1"/>
  <c r="AS118" i="1" a="1"/>
  <c r="AS118" i="1" s="1"/>
  <c r="AT110" i="1" a="1"/>
  <c r="AT110" i="1" s="1"/>
  <c r="AS110" i="1" a="1"/>
  <c r="AS110" i="1" s="1"/>
  <c r="AT102" i="1" a="1"/>
  <c r="AT102" i="1" s="1"/>
  <c r="AS102" i="1" a="1"/>
  <c r="AS102" i="1" s="1"/>
  <c r="AT94" i="1" a="1"/>
  <c r="AT94" i="1" s="1"/>
  <c r="AS94" i="1" a="1"/>
  <c r="AS94" i="1" s="1"/>
  <c r="AT86" i="1" a="1"/>
  <c r="AT86" i="1" s="1"/>
  <c r="AS86" i="1" a="1"/>
  <c r="AS86" i="1" s="1"/>
  <c r="AT78" i="1" a="1"/>
  <c r="AT78" i="1" s="1"/>
  <c r="AS78" i="1" a="1"/>
  <c r="AS78" i="1" s="1"/>
  <c r="AT70" i="1" a="1"/>
  <c r="AT70" i="1" s="1"/>
  <c r="AS70" i="1" a="1"/>
  <c r="AS70" i="1" s="1"/>
  <c r="AT62" i="1" a="1"/>
  <c r="AT62" i="1" s="1"/>
  <c r="AS62" i="1" a="1"/>
  <c r="AS62" i="1" s="1"/>
  <c r="AT54" i="1" a="1"/>
  <c r="AT54" i="1" s="1"/>
  <c r="AS54" i="1" a="1"/>
  <c r="AS54" i="1" s="1"/>
  <c r="AT46" i="1" a="1"/>
  <c r="AT46" i="1" s="1"/>
  <c r="AS46" i="1" a="1"/>
  <c r="AS46" i="1" s="1"/>
  <c r="AT38" i="1" a="1"/>
  <c r="AT38" i="1" s="1"/>
  <c r="AS38" i="1" a="1"/>
  <c r="AS38" i="1" s="1"/>
  <c r="AT30" i="1" a="1"/>
  <c r="AT30" i="1" s="1"/>
  <c r="AS30" i="1" a="1"/>
  <c r="AS30" i="1" s="1"/>
  <c r="AT22" i="1" a="1"/>
  <c r="AT22" i="1" s="1"/>
  <c r="AS22" i="1" a="1"/>
  <c r="AS22" i="1" s="1"/>
  <c r="AT14" i="1" a="1"/>
  <c r="AT14" i="1" s="1"/>
  <c r="AS14" i="1" a="1"/>
  <c r="AS14" i="1" s="1"/>
  <c r="AT6" i="1" a="1"/>
  <c r="AT6" i="1" s="1"/>
  <c r="AS6" i="1" a="1"/>
  <c r="AS6" i="1" s="1"/>
  <c r="AT813" i="1" a="1"/>
  <c r="AT813" i="1" s="1"/>
  <c r="AS813" i="1" a="1"/>
  <c r="AS813" i="1" s="1"/>
  <c r="AT805" i="1" a="1"/>
  <c r="AT805" i="1" s="1"/>
  <c r="AS805" i="1" a="1"/>
  <c r="AS805" i="1" s="1"/>
  <c r="AT797" i="1" a="1"/>
  <c r="AT797" i="1" s="1"/>
  <c r="AS797" i="1" a="1"/>
  <c r="AS797" i="1" s="1"/>
  <c r="AT789" i="1" a="1"/>
  <c r="AT789" i="1" s="1"/>
  <c r="AS789" i="1" a="1"/>
  <c r="AS789" i="1" s="1"/>
  <c r="AT781" i="1" a="1"/>
  <c r="AT781" i="1" s="1"/>
  <c r="AS781" i="1" a="1"/>
  <c r="AS781" i="1" s="1"/>
  <c r="AT773" i="1" a="1"/>
  <c r="AT773" i="1" s="1"/>
  <c r="AS773" i="1" a="1"/>
  <c r="AS773" i="1" s="1"/>
  <c r="AT765" i="1" a="1"/>
  <c r="AT765" i="1" s="1"/>
  <c r="AS765" i="1" a="1"/>
  <c r="AS765" i="1" s="1"/>
  <c r="AT757" i="1" a="1"/>
  <c r="AT757" i="1" s="1"/>
  <c r="AS757" i="1" a="1"/>
  <c r="AS757" i="1" s="1"/>
  <c r="AT749" i="1" a="1"/>
  <c r="AT749" i="1" s="1"/>
  <c r="AS749" i="1" a="1"/>
  <c r="AS749" i="1" s="1"/>
  <c r="AT741" i="1" a="1"/>
  <c r="AT741" i="1" s="1"/>
  <c r="AS741" i="1" a="1"/>
  <c r="AS741" i="1" s="1"/>
  <c r="AT733" i="1" a="1"/>
  <c r="AT733" i="1" s="1"/>
  <c r="AS733" i="1" a="1"/>
  <c r="AS733" i="1" s="1"/>
  <c r="AT725" i="1" a="1"/>
  <c r="AT725" i="1" s="1"/>
  <c r="AS725" i="1" a="1"/>
  <c r="AS725" i="1" s="1"/>
  <c r="AT717" i="1" a="1"/>
  <c r="AT717" i="1" s="1"/>
  <c r="AS717" i="1" a="1"/>
  <c r="AS717" i="1" s="1"/>
  <c r="AT709" i="1" a="1"/>
  <c r="AT709" i="1" s="1"/>
  <c r="AS709" i="1" a="1"/>
  <c r="AS709" i="1" s="1"/>
  <c r="AS701" i="1" a="1"/>
  <c r="AS701" i="1" s="1"/>
  <c r="AT701" i="1" a="1"/>
  <c r="AT701" i="1" s="1"/>
  <c r="AT693" i="1" a="1"/>
  <c r="AT693" i="1" s="1"/>
  <c r="AS693" i="1" a="1"/>
  <c r="AS693" i="1" s="1"/>
  <c r="AT685" i="1" a="1"/>
  <c r="AT685" i="1" s="1"/>
  <c r="AS685" i="1" a="1"/>
  <c r="AS685" i="1" s="1"/>
  <c r="AT677" i="1" a="1"/>
  <c r="AT677" i="1" s="1"/>
  <c r="AS677" i="1" a="1"/>
  <c r="AS677" i="1" s="1"/>
  <c r="AT669" i="1" a="1"/>
  <c r="AT669" i="1" s="1"/>
  <c r="AS669" i="1" a="1"/>
  <c r="AS669" i="1" s="1"/>
  <c r="AT661" i="1" a="1"/>
  <c r="AT661" i="1" s="1"/>
  <c r="AS661" i="1" a="1"/>
  <c r="AS661" i="1" s="1"/>
  <c r="AT653" i="1" a="1"/>
  <c r="AT653" i="1" s="1"/>
  <c r="AS653" i="1" a="1"/>
  <c r="AS653" i="1" s="1"/>
  <c r="AT645" i="1" a="1"/>
  <c r="AT645" i="1" s="1"/>
  <c r="AS645" i="1" a="1"/>
  <c r="AS645" i="1" s="1"/>
  <c r="AT637" i="1" a="1"/>
  <c r="AT637" i="1" s="1"/>
  <c r="AS637" i="1" a="1"/>
  <c r="AS637" i="1" s="1"/>
  <c r="AT629" i="1" a="1"/>
  <c r="AT629" i="1" s="1"/>
  <c r="AS629" i="1" a="1"/>
  <c r="AS629" i="1" s="1"/>
  <c r="AT621" i="1" a="1"/>
  <c r="AT621" i="1" s="1"/>
  <c r="AS621" i="1" a="1"/>
  <c r="AS621" i="1" s="1"/>
  <c r="AT613" i="1" a="1"/>
  <c r="AT613" i="1" s="1"/>
  <c r="AS613" i="1" a="1"/>
  <c r="AS613" i="1" s="1"/>
  <c r="AT605" i="1" a="1"/>
  <c r="AT605" i="1" s="1"/>
  <c r="AS605" i="1" a="1"/>
  <c r="AS605" i="1" s="1"/>
  <c r="AT597" i="1" a="1"/>
  <c r="AT597" i="1" s="1"/>
  <c r="AS597" i="1" a="1"/>
  <c r="AS597" i="1" s="1"/>
  <c r="AT589" i="1" a="1"/>
  <c r="AT589" i="1" s="1"/>
  <c r="AS589" i="1" a="1"/>
  <c r="AS589" i="1" s="1"/>
  <c r="AT581" i="1" a="1"/>
  <c r="AT581" i="1" s="1"/>
  <c r="AS581" i="1" a="1"/>
  <c r="AS581" i="1" s="1"/>
  <c r="AT573" i="1" a="1"/>
  <c r="AT573" i="1" s="1"/>
  <c r="AS573" i="1" a="1"/>
  <c r="AS573" i="1" s="1"/>
  <c r="AT565" i="1" a="1"/>
  <c r="AT565" i="1" s="1"/>
  <c r="AS565" i="1" a="1"/>
  <c r="AS565" i="1" s="1"/>
  <c r="AS557" i="1" a="1"/>
  <c r="AS557" i="1" s="1"/>
  <c r="AT557" i="1" a="1"/>
  <c r="AT557" i="1" s="1"/>
  <c r="AT549" i="1" a="1"/>
  <c r="AT549" i="1" s="1"/>
  <c r="AS549" i="1" a="1"/>
  <c r="AS549" i="1" s="1"/>
  <c r="AT541" i="1" a="1"/>
  <c r="AT541" i="1" s="1"/>
  <c r="AS541" i="1" a="1"/>
  <c r="AS541" i="1" s="1"/>
  <c r="AT533" i="1" a="1"/>
  <c r="AT533" i="1" s="1"/>
  <c r="AS533" i="1" a="1"/>
  <c r="AS533" i="1" s="1"/>
  <c r="AT525" i="1" a="1"/>
  <c r="AT525" i="1" s="1"/>
  <c r="AS525" i="1" a="1"/>
  <c r="AS525" i="1" s="1"/>
  <c r="AT517" i="1" a="1"/>
  <c r="AT517" i="1" s="1"/>
  <c r="AS517" i="1" a="1"/>
  <c r="AS517" i="1" s="1"/>
  <c r="AT509" i="1" a="1"/>
  <c r="AT509" i="1" s="1"/>
  <c r="AS509" i="1" a="1"/>
  <c r="AS509" i="1" s="1"/>
  <c r="AT501" i="1" a="1"/>
  <c r="AT501" i="1" s="1"/>
  <c r="AS501" i="1" a="1"/>
  <c r="AS501" i="1" s="1"/>
  <c r="AT493" i="1" a="1"/>
  <c r="AT493" i="1" s="1"/>
  <c r="AS493" i="1" a="1"/>
  <c r="AS493" i="1" s="1"/>
  <c r="AT485" i="1" a="1"/>
  <c r="AT485" i="1" s="1"/>
  <c r="AS485" i="1" a="1"/>
  <c r="AS485" i="1" s="1"/>
  <c r="AT469" i="1" a="1"/>
  <c r="AT469" i="1" s="1"/>
  <c r="AS469" i="1" a="1"/>
  <c r="AS469" i="1" s="1"/>
  <c r="AT461" i="1" a="1"/>
  <c r="AT461" i="1" s="1"/>
  <c r="AS461" i="1" a="1"/>
  <c r="AS461" i="1" s="1"/>
  <c r="AT453" i="1" a="1"/>
  <c r="AT453" i="1" s="1"/>
  <c r="AS453" i="1" a="1"/>
  <c r="AS453" i="1" s="1"/>
  <c r="AT445" i="1" a="1"/>
  <c r="AT445" i="1" s="1"/>
  <c r="AS445" i="1" a="1"/>
  <c r="AS445" i="1" s="1"/>
  <c r="AT437" i="1" a="1"/>
  <c r="AT437" i="1" s="1"/>
  <c r="AS437" i="1" a="1"/>
  <c r="AS437" i="1" s="1"/>
  <c r="AT429" i="1" a="1"/>
  <c r="AT429" i="1" s="1"/>
  <c r="AS429" i="1" a="1"/>
  <c r="AS429" i="1" s="1"/>
  <c r="AT421" i="1" a="1"/>
  <c r="AT421" i="1" s="1"/>
  <c r="AS421" i="1" a="1"/>
  <c r="AS421" i="1" s="1"/>
  <c r="AT413" i="1" a="1"/>
  <c r="AT413" i="1" s="1"/>
  <c r="AS413" i="1" a="1"/>
  <c r="AS413" i="1" s="1"/>
  <c r="AT405" i="1" a="1"/>
  <c r="AT405" i="1" s="1"/>
  <c r="AS405" i="1" a="1"/>
  <c r="AS405" i="1" s="1"/>
  <c r="AT397" i="1" a="1"/>
  <c r="AT397" i="1" s="1"/>
  <c r="AS397" i="1" a="1"/>
  <c r="AS397" i="1" s="1"/>
  <c r="AT389" i="1" a="1"/>
  <c r="AT389" i="1" s="1"/>
  <c r="AS389" i="1" a="1"/>
  <c r="AS389" i="1" s="1"/>
  <c r="AT381" i="1" a="1"/>
  <c r="AT381" i="1" s="1"/>
  <c r="AS381" i="1" a="1"/>
  <c r="AS381" i="1" s="1"/>
  <c r="AT373" i="1" a="1"/>
  <c r="AT373" i="1" s="1"/>
  <c r="AS373" i="1" a="1"/>
  <c r="AS373" i="1" s="1"/>
  <c r="AT365" i="1" a="1"/>
  <c r="AT365" i="1" s="1"/>
  <c r="AS365" i="1" a="1"/>
  <c r="AS365" i="1" s="1"/>
  <c r="AT357" i="1" a="1"/>
  <c r="AT357" i="1" s="1"/>
  <c r="AS357" i="1" a="1"/>
  <c r="AS357" i="1" s="1"/>
  <c r="AS349" i="1" a="1"/>
  <c r="AS349" i="1" s="1"/>
  <c r="AT349" i="1" a="1"/>
  <c r="AT349" i="1" s="1"/>
  <c r="AT341" i="1" a="1"/>
  <c r="AT341" i="1" s="1"/>
  <c r="AS341" i="1" a="1"/>
  <c r="AS341" i="1" s="1"/>
  <c r="AT333" i="1" a="1"/>
  <c r="AT333" i="1" s="1"/>
  <c r="AS333" i="1" a="1"/>
  <c r="AS333" i="1" s="1"/>
  <c r="AT325" i="1" a="1"/>
  <c r="AT325" i="1" s="1"/>
  <c r="AS325" i="1" a="1"/>
  <c r="AS325" i="1" s="1"/>
  <c r="AT317" i="1" a="1"/>
  <c r="AT317" i="1" s="1"/>
  <c r="AS317" i="1" a="1"/>
  <c r="AS317" i="1" s="1"/>
  <c r="AT309" i="1" a="1"/>
  <c r="AT309" i="1" s="1"/>
  <c r="AS309" i="1" a="1"/>
  <c r="AS309" i="1" s="1"/>
  <c r="AT301" i="1" a="1"/>
  <c r="AT301" i="1" s="1"/>
  <c r="AS301" i="1" a="1"/>
  <c r="AS301" i="1" s="1"/>
  <c r="AT293" i="1" a="1"/>
  <c r="AT293" i="1" s="1"/>
  <c r="AS293" i="1" a="1"/>
  <c r="AS293" i="1" s="1"/>
  <c r="AT285" i="1" a="1"/>
  <c r="AT285" i="1" s="1"/>
  <c r="AS285" i="1" a="1"/>
  <c r="AS285" i="1" s="1"/>
  <c r="AT277" i="1" a="1"/>
  <c r="AT277" i="1" s="1"/>
  <c r="AS277" i="1" a="1"/>
  <c r="AS277" i="1" s="1"/>
  <c r="AT269" i="1" a="1"/>
  <c r="AT269" i="1" s="1"/>
  <c r="AS269" i="1" a="1"/>
  <c r="AS269" i="1" s="1"/>
  <c r="AT261" i="1" a="1"/>
  <c r="AT261" i="1" s="1"/>
  <c r="AS261" i="1" a="1"/>
  <c r="AS261" i="1" s="1"/>
  <c r="AT253" i="1" a="1"/>
  <c r="AT253" i="1" s="1"/>
  <c r="AS253" i="1" a="1"/>
  <c r="AS253" i="1" s="1"/>
  <c r="AT245" i="1" a="1"/>
  <c r="AT245" i="1" s="1"/>
  <c r="AS245" i="1" a="1"/>
  <c r="AS245" i="1" s="1"/>
  <c r="AT229" i="1" a="1"/>
  <c r="AT229" i="1" s="1"/>
  <c r="AS229" i="1" a="1"/>
  <c r="AS229" i="1" s="1"/>
  <c r="AT221" i="1" a="1"/>
  <c r="AT221" i="1" s="1"/>
  <c r="AS221" i="1" a="1"/>
  <c r="AS221" i="1" s="1"/>
  <c r="AT213" i="1" a="1"/>
  <c r="AT213" i="1" s="1"/>
  <c r="AS213" i="1" a="1"/>
  <c r="AS213" i="1" s="1"/>
  <c r="AT205" i="1" a="1"/>
  <c r="AT205" i="1" s="1"/>
  <c r="AS205" i="1" a="1"/>
  <c r="AS205" i="1" s="1"/>
  <c r="AT197" i="1" a="1"/>
  <c r="AT197" i="1" s="1"/>
  <c r="AS197" i="1" a="1"/>
  <c r="AS197" i="1" s="1"/>
  <c r="AT189" i="1" a="1"/>
  <c r="AT189" i="1" s="1"/>
  <c r="AS189" i="1" a="1"/>
  <c r="AS189" i="1" s="1"/>
  <c r="AT181" i="1" a="1"/>
  <c r="AT181" i="1" s="1"/>
  <c r="AS181" i="1" a="1"/>
  <c r="AS181" i="1" s="1"/>
  <c r="AT173" i="1" a="1"/>
  <c r="AT173" i="1" s="1"/>
  <c r="AS173" i="1" a="1"/>
  <c r="AS173" i="1" s="1"/>
  <c r="AT165" i="1" a="1"/>
  <c r="AT165" i="1" s="1"/>
  <c r="AS165" i="1" a="1"/>
  <c r="AS165" i="1" s="1"/>
  <c r="AT157" i="1" a="1"/>
  <c r="AT157" i="1" s="1"/>
  <c r="AS157" i="1" a="1"/>
  <c r="AS157" i="1" s="1"/>
  <c r="AT149" i="1" a="1"/>
  <c r="AT149" i="1" s="1"/>
  <c r="AS149" i="1" a="1"/>
  <c r="AS149" i="1" s="1"/>
  <c r="AT141" i="1" a="1"/>
  <c r="AT141" i="1" s="1"/>
  <c r="AS141" i="1" a="1"/>
  <c r="AS141" i="1" s="1"/>
  <c r="AT133" i="1" a="1"/>
  <c r="AT133" i="1" s="1"/>
  <c r="AS133" i="1" a="1"/>
  <c r="AS133" i="1" s="1"/>
  <c r="AT125" i="1" a="1"/>
  <c r="AT125" i="1" s="1"/>
  <c r="AS125" i="1" a="1"/>
  <c r="AS125" i="1" s="1"/>
  <c r="AT117" i="1" a="1"/>
  <c r="AT117" i="1" s="1"/>
  <c r="AS117" i="1" a="1"/>
  <c r="AS117" i="1" s="1"/>
  <c r="AT109" i="1" a="1"/>
  <c r="AT109" i="1" s="1"/>
  <c r="AS109" i="1" a="1"/>
  <c r="AS109" i="1" s="1"/>
  <c r="AT101" i="1" a="1"/>
  <c r="AT101" i="1" s="1"/>
  <c r="AS101" i="1" a="1"/>
  <c r="AS101" i="1" s="1"/>
  <c r="AT93" i="1" a="1"/>
  <c r="AT93" i="1" s="1"/>
  <c r="AS93" i="1" a="1"/>
  <c r="AS93" i="1" s="1"/>
  <c r="AT85" i="1" a="1"/>
  <c r="AT85" i="1" s="1"/>
  <c r="AS85" i="1" a="1"/>
  <c r="AS85" i="1" s="1"/>
  <c r="AT77" i="1" a="1"/>
  <c r="AT77" i="1" s="1"/>
  <c r="AS77" i="1" a="1"/>
  <c r="AS77" i="1" s="1"/>
  <c r="AT69" i="1" a="1"/>
  <c r="AT69" i="1" s="1"/>
  <c r="AS69" i="1" a="1"/>
  <c r="AS69" i="1" s="1"/>
  <c r="AT61" i="1" a="1"/>
  <c r="AT61" i="1" s="1"/>
  <c r="AS61" i="1" a="1"/>
  <c r="AS61" i="1" s="1"/>
  <c r="AT53" i="1" a="1"/>
  <c r="AT53" i="1" s="1"/>
  <c r="AS53" i="1" a="1"/>
  <c r="AS53" i="1" s="1"/>
  <c r="AT45" i="1" a="1"/>
  <c r="AT45" i="1" s="1"/>
  <c r="AS45" i="1" a="1"/>
  <c r="AS45" i="1" s="1"/>
  <c r="AT37" i="1" a="1"/>
  <c r="AT37" i="1" s="1"/>
  <c r="AS37" i="1" a="1"/>
  <c r="AS37" i="1" s="1"/>
  <c r="AT29" i="1" a="1"/>
  <c r="AT29" i="1" s="1"/>
  <c r="AS29" i="1" a="1"/>
  <c r="AS29" i="1" s="1"/>
  <c r="AT21" i="1" a="1"/>
  <c r="AT21" i="1" s="1"/>
  <c r="AS21" i="1" a="1"/>
  <c r="AS21" i="1" s="1"/>
  <c r="AT13" i="1" a="1"/>
  <c r="AT13" i="1" s="1"/>
  <c r="AS13" i="1" a="1"/>
  <c r="AS13" i="1" s="1"/>
  <c r="AT5" i="1" a="1"/>
  <c r="AT5" i="1" s="1"/>
  <c r="AS5" i="1" a="1"/>
  <c r="AS5" i="1" s="1"/>
  <c r="AT820" i="1" a="1"/>
  <c r="AT820" i="1" s="1"/>
  <c r="AS820" i="1" a="1"/>
  <c r="AS820" i="1" s="1"/>
  <c r="AT812" i="1" a="1"/>
  <c r="AT812" i="1" s="1"/>
  <c r="AS812" i="1" a="1"/>
  <c r="AS812" i="1" s="1"/>
  <c r="AT804" i="1" a="1"/>
  <c r="AT804" i="1" s="1"/>
  <c r="AS804" i="1" a="1"/>
  <c r="AS804" i="1" s="1"/>
  <c r="AT796" i="1" a="1"/>
  <c r="AT796" i="1" s="1"/>
  <c r="AS796" i="1" a="1"/>
  <c r="AS796" i="1" s="1"/>
  <c r="AS788" i="1" a="1"/>
  <c r="AS788" i="1" s="1"/>
  <c r="AT788" i="1" a="1"/>
  <c r="AT788" i="1" s="1"/>
  <c r="AT780" i="1" a="1"/>
  <c r="AT780" i="1" s="1"/>
  <c r="AS780" i="1" a="1"/>
  <c r="AS780" i="1" s="1"/>
  <c r="AT772" i="1" a="1"/>
  <c r="AT772" i="1" s="1"/>
  <c r="AS772" i="1" a="1"/>
  <c r="AS772" i="1" s="1"/>
  <c r="AT764" i="1" a="1"/>
  <c r="AT764" i="1" s="1"/>
  <c r="AS764" i="1" a="1"/>
  <c r="AS764" i="1" s="1"/>
  <c r="AT756" i="1" a="1"/>
  <c r="AT756" i="1" s="1"/>
  <c r="AS756" i="1" a="1"/>
  <c r="AS756" i="1" s="1"/>
  <c r="AT748" i="1" a="1"/>
  <c r="AT748" i="1" s="1"/>
  <c r="AS748" i="1" a="1"/>
  <c r="AS748" i="1" s="1"/>
  <c r="AT740" i="1" a="1"/>
  <c r="AT740" i="1" s="1"/>
  <c r="AS740" i="1" a="1"/>
  <c r="AS740" i="1" s="1"/>
  <c r="AT732" i="1" a="1"/>
  <c r="AT732" i="1" s="1"/>
  <c r="AS732" i="1" a="1"/>
  <c r="AS732" i="1" s="1"/>
  <c r="AT724" i="1" a="1"/>
  <c r="AT724" i="1" s="1"/>
  <c r="AS724" i="1" a="1"/>
  <c r="AS724" i="1" s="1"/>
  <c r="AT716" i="1" a="1"/>
  <c r="AT716" i="1" s="1"/>
  <c r="AS716" i="1" a="1"/>
  <c r="AS716" i="1" s="1"/>
  <c r="AT708" i="1" a="1"/>
  <c r="AT708" i="1" s="1"/>
  <c r="AS708" i="1" a="1"/>
  <c r="AS708" i="1" s="1"/>
  <c r="AT700" i="1" a="1"/>
  <c r="AT700" i="1" s="1"/>
  <c r="AS700" i="1" a="1"/>
  <c r="AS700" i="1" s="1"/>
  <c r="AT692" i="1" a="1"/>
  <c r="AT692" i="1" s="1"/>
  <c r="AS692" i="1" a="1"/>
  <c r="AS692" i="1" s="1"/>
  <c r="AT684" i="1" a="1"/>
  <c r="AT684" i="1" s="1"/>
  <c r="AS684" i="1" a="1"/>
  <c r="AS684" i="1" s="1"/>
  <c r="AT676" i="1" a="1"/>
  <c r="AT676" i="1" s="1"/>
  <c r="AS676" i="1" a="1"/>
  <c r="AS676" i="1" s="1"/>
  <c r="AT668" i="1" a="1"/>
  <c r="AT668" i="1" s="1"/>
  <c r="AS668" i="1" a="1"/>
  <c r="AS668" i="1" s="1"/>
  <c r="AT660" i="1" a="1"/>
  <c r="AT660" i="1" s="1"/>
  <c r="AS660" i="1" a="1"/>
  <c r="AS660" i="1" s="1"/>
  <c r="AT652" i="1" a="1"/>
  <c r="AT652" i="1" s="1"/>
  <c r="AS652" i="1" a="1"/>
  <c r="AS652" i="1" s="1"/>
  <c r="AT644" i="1" a="1"/>
  <c r="AT644" i="1" s="1"/>
  <c r="AS644" i="1" a="1"/>
  <c r="AS644" i="1" s="1"/>
  <c r="AT636" i="1" a="1"/>
  <c r="AT636" i="1" s="1"/>
  <c r="AS636" i="1" a="1"/>
  <c r="AS636" i="1" s="1"/>
  <c r="AT628" i="1" a="1"/>
  <c r="AT628" i="1" s="1"/>
  <c r="AS628" i="1" a="1"/>
  <c r="AS628" i="1" s="1"/>
  <c r="AT620" i="1" a="1"/>
  <c r="AT620" i="1" s="1"/>
  <c r="AS620" i="1" a="1"/>
  <c r="AS620" i="1" s="1"/>
  <c r="AT612" i="1" a="1"/>
  <c r="AT612" i="1" s="1"/>
  <c r="AS612" i="1" a="1"/>
  <c r="AS612" i="1" s="1"/>
  <c r="AT604" i="1" a="1"/>
  <c r="AT604" i="1" s="1"/>
  <c r="AS604" i="1" a="1"/>
  <c r="AS604" i="1" s="1"/>
  <c r="AT596" i="1" a="1"/>
  <c r="AT596" i="1" s="1"/>
  <c r="AS596" i="1" a="1"/>
  <c r="AS596" i="1" s="1"/>
  <c r="AT588" i="1" a="1"/>
  <c r="AT588" i="1" s="1"/>
  <c r="AS588" i="1" a="1"/>
  <c r="AS588" i="1" s="1"/>
  <c r="AT580" i="1" a="1"/>
  <c r="AT580" i="1" s="1"/>
  <c r="AS580" i="1" a="1"/>
  <c r="AS580" i="1" s="1"/>
  <c r="AT572" i="1" a="1"/>
  <c r="AT572" i="1" s="1"/>
  <c r="AS572" i="1" a="1"/>
  <c r="AS572" i="1" s="1"/>
  <c r="AT564" i="1" a="1"/>
  <c r="AT564" i="1" s="1"/>
  <c r="AS564" i="1" a="1"/>
  <c r="AS564" i="1" s="1"/>
  <c r="AT556" i="1" a="1"/>
  <c r="AT556" i="1" s="1"/>
  <c r="AS556" i="1" a="1"/>
  <c r="AS556" i="1" s="1"/>
  <c r="AT548" i="1" a="1"/>
  <c r="AT548" i="1" s="1"/>
  <c r="AS548" i="1" a="1"/>
  <c r="AS548" i="1" s="1"/>
  <c r="AT540" i="1" a="1"/>
  <c r="AT540" i="1" s="1"/>
  <c r="AS540" i="1" a="1"/>
  <c r="AS540" i="1" s="1"/>
  <c r="AT532" i="1" a="1"/>
  <c r="AT532" i="1" s="1"/>
  <c r="AS532" i="1" a="1"/>
  <c r="AS532" i="1" s="1"/>
  <c r="AT524" i="1" a="1"/>
  <c r="AT524" i="1" s="1"/>
  <c r="AS524" i="1" a="1"/>
  <c r="AS524" i="1" s="1"/>
  <c r="AT516" i="1" a="1"/>
  <c r="AT516" i="1" s="1"/>
  <c r="AS516" i="1" a="1"/>
  <c r="AS516" i="1" s="1"/>
  <c r="AT508" i="1" a="1"/>
  <c r="AT508" i="1" s="1"/>
  <c r="AS508" i="1" a="1"/>
  <c r="AS508" i="1" s="1"/>
  <c r="AT500" i="1" a="1"/>
  <c r="AT500" i="1" s="1"/>
  <c r="AS500" i="1" a="1"/>
  <c r="AS500" i="1" s="1"/>
  <c r="AT492" i="1" a="1"/>
  <c r="AT492" i="1" s="1"/>
  <c r="AS492" i="1" a="1"/>
  <c r="AS492" i="1" s="1"/>
  <c r="AT484" i="1" a="1"/>
  <c r="AT484" i="1" s="1"/>
  <c r="AS484" i="1" a="1"/>
  <c r="AS484" i="1" s="1"/>
  <c r="AT476" i="1" a="1"/>
  <c r="AT476" i="1" s="1"/>
  <c r="AS476" i="1" a="1"/>
  <c r="AS476" i="1" s="1"/>
  <c r="AT468" i="1" a="1"/>
  <c r="AT468" i="1" s="1"/>
  <c r="AS468" i="1" a="1"/>
  <c r="AS468" i="1" s="1"/>
  <c r="AT460" i="1" a="1"/>
  <c r="AT460" i="1" s="1"/>
  <c r="AS460" i="1" a="1"/>
  <c r="AS460" i="1" s="1"/>
  <c r="AT452" i="1" a="1"/>
  <c r="AT452" i="1" s="1"/>
  <c r="AS452" i="1" a="1"/>
  <c r="AS452" i="1" s="1"/>
  <c r="AT444" i="1" a="1"/>
  <c r="AT444" i="1" s="1"/>
  <c r="AS444" i="1" a="1"/>
  <c r="AS444" i="1" s="1"/>
  <c r="AT436" i="1" a="1"/>
  <c r="AT436" i="1" s="1"/>
  <c r="AS436" i="1" a="1"/>
  <c r="AS436" i="1" s="1"/>
  <c r="AT428" i="1" a="1"/>
  <c r="AT428" i="1" s="1"/>
  <c r="AS428" i="1" a="1"/>
  <c r="AS428" i="1" s="1"/>
  <c r="AT420" i="1" a="1"/>
  <c r="AT420" i="1" s="1"/>
  <c r="AS420" i="1" a="1"/>
  <c r="AS420" i="1" s="1"/>
  <c r="AT412" i="1" a="1"/>
  <c r="AT412" i="1" s="1"/>
  <c r="AS412" i="1" a="1"/>
  <c r="AS412" i="1" s="1"/>
  <c r="AT404" i="1" a="1"/>
  <c r="AT404" i="1" s="1"/>
  <c r="AS404" i="1" a="1"/>
  <c r="AS404" i="1" s="1"/>
  <c r="AT396" i="1" a="1"/>
  <c r="AT396" i="1" s="1"/>
  <c r="AS396" i="1" a="1"/>
  <c r="AS396" i="1" s="1"/>
  <c r="AT388" i="1" a="1"/>
  <c r="AT388" i="1" s="1"/>
  <c r="AS388" i="1" a="1"/>
  <c r="AS388" i="1" s="1"/>
  <c r="AT380" i="1" a="1"/>
  <c r="AT380" i="1" s="1"/>
  <c r="AS380" i="1" a="1"/>
  <c r="AS380" i="1" s="1"/>
  <c r="AT372" i="1" a="1"/>
  <c r="AT372" i="1" s="1"/>
  <c r="AS372" i="1" a="1"/>
  <c r="AS372" i="1" s="1"/>
  <c r="AT364" i="1" a="1"/>
  <c r="AT364" i="1" s="1"/>
  <c r="AS364" i="1" a="1"/>
  <c r="AS364" i="1" s="1"/>
  <c r="AT356" i="1" a="1"/>
  <c r="AT356" i="1" s="1"/>
  <c r="AS356" i="1" a="1"/>
  <c r="AS356" i="1" s="1"/>
  <c r="AT348" i="1" a="1"/>
  <c r="AT348" i="1" s="1"/>
  <c r="AS348" i="1" a="1"/>
  <c r="AS348" i="1" s="1"/>
  <c r="AT340" i="1" a="1"/>
  <c r="AT340" i="1" s="1"/>
  <c r="AS340" i="1" a="1"/>
  <c r="AS340" i="1" s="1"/>
  <c r="AT332" i="1" a="1"/>
  <c r="AT332" i="1" s="1"/>
  <c r="AS332" i="1" a="1"/>
  <c r="AS332" i="1" s="1"/>
  <c r="AT324" i="1" a="1"/>
  <c r="AT324" i="1" s="1"/>
  <c r="AS324" i="1" a="1"/>
  <c r="AS324" i="1" s="1"/>
  <c r="AT316" i="1" a="1"/>
  <c r="AT316" i="1" s="1"/>
  <c r="AS316" i="1" a="1"/>
  <c r="AS316" i="1" s="1"/>
  <c r="AT308" i="1" a="1"/>
  <c r="AT308" i="1" s="1"/>
  <c r="AS308" i="1" a="1"/>
  <c r="AS308" i="1" s="1"/>
  <c r="AT300" i="1" a="1"/>
  <c r="AT300" i="1" s="1"/>
  <c r="AS300" i="1" a="1"/>
  <c r="AS300" i="1" s="1"/>
  <c r="AT292" i="1" a="1"/>
  <c r="AT292" i="1" s="1"/>
  <c r="AS292" i="1" a="1"/>
  <c r="AS292" i="1" s="1"/>
  <c r="AT284" i="1" a="1"/>
  <c r="AT284" i="1" s="1"/>
  <c r="AS284" i="1" a="1"/>
  <c r="AS284" i="1" s="1"/>
  <c r="AT276" i="1" a="1"/>
  <c r="AT276" i="1" s="1"/>
  <c r="AS276" i="1" a="1"/>
  <c r="AS276" i="1" s="1"/>
  <c r="AT268" i="1" a="1"/>
  <c r="AT268" i="1" s="1"/>
  <c r="AS268" i="1" a="1"/>
  <c r="AS268" i="1" s="1"/>
  <c r="AT260" i="1" a="1"/>
  <c r="AT260" i="1" s="1"/>
  <c r="AS260" i="1" a="1"/>
  <c r="AS260" i="1" s="1"/>
  <c r="AT252" i="1" a="1"/>
  <c r="AT252" i="1" s="1"/>
  <c r="AS252" i="1" a="1"/>
  <c r="AS252" i="1" s="1"/>
  <c r="AT244" i="1" a="1"/>
  <c r="AT244" i="1" s="1"/>
  <c r="AS244" i="1" a="1"/>
  <c r="AS244" i="1" s="1"/>
  <c r="AT236" i="1" a="1"/>
  <c r="AT236" i="1" s="1"/>
  <c r="AS236" i="1" a="1"/>
  <c r="AS236" i="1" s="1"/>
  <c r="AT228" i="1" a="1"/>
  <c r="AT228" i="1" s="1"/>
  <c r="AS228" i="1" a="1"/>
  <c r="AS228" i="1" s="1"/>
  <c r="AT220" i="1" a="1"/>
  <c r="AT220" i="1" s="1"/>
  <c r="AS220" i="1" a="1"/>
  <c r="AS220" i="1" s="1"/>
  <c r="AT212" i="1" a="1"/>
  <c r="AT212" i="1" s="1"/>
  <c r="AS212" i="1" a="1"/>
  <c r="AS212" i="1" s="1"/>
  <c r="AT204" i="1" a="1"/>
  <c r="AT204" i="1" s="1"/>
  <c r="AS204" i="1" a="1"/>
  <c r="AS204" i="1" s="1"/>
  <c r="AT196" i="1" a="1"/>
  <c r="AT196" i="1" s="1"/>
  <c r="AS196" i="1" a="1"/>
  <c r="AS196" i="1" s="1"/>
  <c r="AT188" i="1" a="1"/>
  <c r="AT188" i="1" s="1"/>
  <c r="AS188" i="1" a="1"/>
  <c r="AS188" i="1" s="1"/>
  <c r="AT180" i="1" a="1"/>
  <c r="AT180" i="1" s="1"/>
  <c r="AS180" i="1" a="1"/>
  <c r="AS180" i="1" s="1"/>
  <c r="AT172" i="1" a="1"/>
  <c r="AT172" i="1" s="1"/>
  <c r="AS172" i="1" a="1"/>
  <c r="AS172" i="1" s="1"/>
  <c r="AT164" i="1" a="1"/>
  <c r="AT164" i="1" s="1"/>
  <c r="AS164" i="1" a="1"/>
  <c r="AS164" i="1" s="1"/>
  <c r="AT156" i="1" a="1"/>
  <c r="AT156" i="1" s="1"/>
  <c r="AS156" i="1" a="1"/>
  <c r="AS156" i="1" s="1"/>
  <c r="AT148" i="1" a="1"/>
  <c r="AT148" i="1" s="1"/>
  <c r="AS148" i="1" a="1"/>
  <c r="AS148" i="1" s="1"/>
  <c r="AT140" i="1" a="1"/>
  <c r="AT140" i="1" s="1"/>
  <c r="AS140" i="1" a="1"/>
  <c r="AS140" i="1" s="1"/>
  <c r="AT132" i="1" a="1"/>
  <c r="AT132" i="1" s="1"/>
  <c r="AS132" i="1" a="1"/>
  <c r="AS132" i="1" s="1"/>
  <c r="AT124" i="1" a="1"/>
  <c r="AT124" i="1" s="1"/>
  <c r="AS124" i="1" a="1"/>
  <c r="AS124" i="1" s="1"/>
  <c r="AT116" i="1" a="1"/>
  <c r="AT116" i="1" s="1"/>
  <c r="AS116" i="1" a="1"/>
  <c r="AS116" i="1" s="1"/>
  <c r="AT108" i="1" a="1"/>
  <c r="AT108" i="1" s="1"/>
  <c r="AS108" i="1" a="1"/>
  <c r="AS108" i="1" s="1"/>
  <c r="AT100" i="1" a="1"/>
  <c r="AT100" i="1" s="1"/>
  <c r="AS100" i="1" a="1"/>
  <c r="AS100" i="1" s="1"/>
  <c r="AT92" i="1" a="1"/>
  <c r="AT92" i="1" s="1"/>
  <c r="AS92" i="1" a="1"/>
  <c r="AS92" i="1" s="1"/>
  <c r="AT84" i="1" a="1"/>
  <c r="AT84" i="1" s="1"/>
  <c r="AS84" i="1" a="1"/>
  <c r="AS84" i="1" s="1"/>
  <c r="AT76" i="1" a="1"/>
  <c r="AT76" i="1" s="1"/>
  <c r="AS76" i="1" a="1"/>
  <c r="AS76" i="1" s="1"/>
  <c r="AT68" i="1" a="1"/>
  <c r="AT68" i="1" s="1"/>
  <c r="AS68" i="1" a="1"/>
  <c r="AS68" i="1" s="1"/>
  <c r="AT60" i="1" a="1"/>
  <c r="AT60" i="1" s="1"/>
  <c r="AS60" i="1" a="1"/>
  <c r="AS60" i="1" s="1"/>
  <c r="AT52" i="1" a="1"/>
  <c r="AT52" i="1" s="1"/>
  <c r="AS52" i="1" a="1"/>
  <c r="AS52" i="1" s="1"/>
  <c r="AT44" i="1" a="1"/>
  <c r="AT44" i="1" s="1"/>
  <c r="AS44" i="1" a="1"/>
  <c r="AS44" i="1" s="1"/>
  <c r="AT36" i="1" a="1"/>
  <c r="AT36" i="1" s="1"/>
  <c r="AS36" i="1" a="1"/>
  <c r="AS36" i="1" s="1"/>
  <c r="AT28" i="1" a="1"/>
  <c r="AT28" i="1" s="1"/>
  <c r="AS28" i="1" a="1"/>
  <c r="AS28" i="1" s="1"/>
  <c r="AT20" i="1" a="1"/>
  <c r="AT20" i="1" s="1"/>
  <c r="AS20" i="1" a="1"/>
  <c r="AS20" i="1" s="1"/>
  <c r="AT12" i="1" a="1"/>
  <c r="AT12" i="1" s="1"/>
  <c r="AS12" i="1" a="1"/>
  <c r="AS12" i="1" s="1"/>
  <c r="AT4" i="1" a="1"/>
  <c r="AT4" i="1" s="1"/>
  <c r="AS4" i="1" a="1"/>
  <c r="AS4" i="1" s="1"/>
  <c r="AH791" i="1"/>
  <c r="AH783" i="1"/>
  <c r="AH775" i="1"/>
  <c r="AH767" i="1"/>
  <c r="AH759" i="1"/>
  <c r="AH751" i="1"/>
  <c r="AH743" i="1"/>
  <c r="AH735" i="1"/>
  <c r="AH727" i="1"/>
  <c r="AH719" i="1"/>
  <c r="AH711" i="1"/>
  <c r="AH703" i="1"/>
  <c r="AH695" i="1"/>
  <c r="AH687" i="1"/>
  <c r="AH679" i="1"/>
  <c r="AH671" i="1"/>
  <c r="AH663" i="1"/>
  <c r="AH655" i="1"/>
  <c r="AH647" i="1"/>
  <c r="AH639" i="1"/>
  <c r="AH631" i="1"/>
  <c r="AH623" i="1"/>
  <c r="AH607" i="1"/>
  <c r="AH599" i="1"/>
  <c r="AH591" i="1"/>
  <c r="AH559" i="1"/>
  <c r="AH543" i="1"/>
  <c r="AH519" i="1"/>
  <c r="AH511" i="1"/>
  <c r="AH503" i="1"/>
  <c r="AH495" i="1"/>
  <c r="AH487" i="1"/>
  <c r="AH479" i="1"/>
  <c r="AH471" i="1"/>
  <c r="AH463" i="1"/>
  <c r="AH455" i="1"/>
  <c r="AH447" i="1"/>
  <c r="AH439" i="1"/>
  <c r="AH431" i="1"/>
  <c r="AH423" i="1"/>
  <c r="AH415" i="1"/>
  <c r="AH367" i="1"/>
  <c r="AH359" i="1"/>
  <c r="AH351" i="1"/>
  <c r="AH335" i="1"/>
  <c r="AH319" i="1"/>
  <c r="AH303" i="1"/>
  <c r="AH295" i="1"/>
  <c r="AH287" i="1"/>
  <c r="AH279" i="1"/>
  <c r="AH271" i="1"/>
  <c r="AH263" i="1"/>
  <c r="AH255" i="1"/>
  <c r="AH239" i="1"/>
  <c r="AH231" i="1"/>
  <c r="AH223" i="1"/>
  <c r="AH215" i="1"/>
  <c r="AH207" i="1"/>
  <c r="AH199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7" i="1"/>
  <c r="AH798" i="1"/>
  <c r="AH758" i="1"/>
  <c r="AH742" i="1"/>
  <c r="AH726" i="1"/>
  <c r="AH694" i="1"/>
  <c r="AH678" i="1"/>
  <c r="AH662" i="1"/>
  <c r="AH646" i="1"/>
  <c r="AH630" i="1"/>
  <c r="AH614" i="1"/>
  <c r="AH598" i="1"/>
  <c r="AH590" i="1"/>
  <c r="AH582" i="1"/>
  <c r="AH558" i="1"/>
  <c r="AH550" i="1"/>
  <c r="AH542" i="1"/>
  <c r="AH534" i="1"/>
  <c r="AH526" i="1"/>
  <c r="AH518" i="1"/>
  <c r="AH510" i="1"/>
  <c r="AH502" i="1"/>
  <c r="AH494" i="1"/>
  <c r="AH486" i="1"/>
  <c r="AH478" i="1"/>
  <c r="AH470" i="1"/>
  <c r="AH462" i="1"/>
  <c r="AH454" i="1"/>
  <c r="AH438" i="1"/>
  <c r="AH430" i="1"/>
  <c r="AH422" i="1"/>
  <c r="AH414" i="1"/>
  <c r="AH406" i="1"/>
  <c r="AH398" i="1"/>
  <c r="AH390" i="1"/>
  <c r="AH382" i="1"/>
  <c r="AH374" i="1"/>
  <c r="AH366" i="1"/>
  <c r="AH358" i="1"/>
  <c r="AH350" i="1"/>
  <c r="AH342" i="1"/>
  <c r="AH334" i="1"/>
  <c r="AH318" i="1"/>
  <c r="AH310" i="1"/>
  <c r="AH294" i="1"/>
  <c r="AH286" i="1"/>
  <c r="AH270" i="1"/>
  <c r="AH262" i="1"/>
  <c r="AH246" i="1"/>
  <c r="AH238" i="1"/>
  <c r="AH230" i="1"/>
  <c r="AH222" i="1"/>
  <c r="AH206" i="1"/>
  <c r="AH198" i="1"/>
  <c r="AH190" i="1"/>
  <c r="AH174" i="1"/>
  <c r="AH166" i="1"/>
  <c r="AH158" i="1"/>
  <c r="AH142" i="1"/>
  <c r="AH134" i="1"/>
  <c r="AH126" i="1"/>
  <c r="AH110" i="1"/>
  <c r="AH102" i="1"/>
  <c r="AH94" i="1"/>
  <c r="AH78" i="1"/>
  <c r="AH70" i="1"/>
  <c r="AH62" i="1"/>
  <c r="AH46" i="1"/>
  <c r="AH38" i="1"/>
  <c r="AH30" i="1"/>
  <c r="AH14" i="1"/>
  <c r="AH6" i="1"/>
  <c r="AH813" i="1"/>
  <c r="AH805" i="1"/>
  <c r="AH789" i="1"/>
  <c r="AH781" i="1"/>
  <c r="AH773" i="1"/>
  <c r="AH765" i="1"/>
  <c r="AH749" i="1"/>
  <c r="AH733" i="1"/>
  <c r="AH717" i="1"/>
  <c r="AH701" i="1"/>
  <c r="AH685" i="1"/>
  <c r="AH669" i="1"/>
  <c r="AH653" i="1"/>
  <c r="AH637" i="1"/>
  <c r="AH621" i="1"/>
  <c r="AH613" i="1"/>
  <c r="AH605" i="1"/>
  <c r="AH597" i="1"/>
  <c r="AH589" i="1"/>
  <c r="AH581" i="1"/>
  <c r="AH573" i="1"/>
  <c r="AH565" i="1"/>
  <c r="AH557" i="1"/>
  <c r="AH549" i="1"/>
  <c r="AH541" i="1"/>
  <c r="AH533" i="1"/>
  <c r="AH525" i="1"/>
  <c r="AH517" i="1"/>
  <c r="AH509" i="1"/>
  <c r="AH501" i="1"/>
  <c r="AH493" i="1"/>
  <c r="AH485" i="1"/>
  <c r="AH477" i="1"/>
  <c r="AH469" i="1"/>
  <c r="AH461" i="1"/>
  <c r="AH453" i="1"/>
  <c r="AH445" i="1"/>
  <c r="AH437" i="1"/>
  <c r="AH429" i="1"/>
  <c r="AH421" i="1"/>
  <c r="AH413" i="1"/>
  <c r="AH405" i="1"/>
  <c r="AH397" i="1"/>
  <c r="AH389" i="1"/>
  <c r="AH381" i="1"/>
  <c r="AH373" i="1"/>
  <c r="AH365" i="1"/>
  <c r="AH357" i="1"/>
  <c r="AH349" i="1"/>
  <c r="AH341" i="1"/>
  <c r="AH333" i="1"/>
  <c r="AH325" i="1"/>
  <c r="AH317" i="1"/>
  <c r="AH309" i="1"/>
  <c r="AH301" i="1"/>
  <c r="AH293" i="1"/>
  <c r="AH285" i="1"/>
  <c r="AH277" i="1"/>
  <c r="AH269" i="1"/>
  <c r="AH261" i="1"/>
  <c r="AH253" i="1"/>
  <c r="AH245" i="1"/>
  <c r="AH237" i="1"/>
  <c r="AH229" i="1"/>
  <c r="AH221" i="1"/>
  <c r="AH213" i="1"/>
  <c r="AH205" i="1"/>
  <c r="AH197" i="1"/>
  <c r="AH189" i="1"/>
  <c r="AH181" i="1"/>
  <c r="AH173" i="1"/>
  <c r="AH165" i="1"/>
  <c r="AH157" i="1"/>
  <c r="AH149" i="1"/>
  <c r="AH141" i="1"/>
  <c r="AH133" i="1"/>
  <c r="AH125" i="1"/>
  <c r="AH117" i="1"/>
  <c r="AH109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820" i="1"/>
  <c r="AH812" i="1"/>
  <c r="AH804" i="1"/>
  <c r="AH788" i="1"/>
  <c r="AH780" i="1"/>
  <c r="AH764" i="1"/>
  <c r="AH748" i="1"/>
  <c r="AH732" i="1"/>
  <c r="AH716" i="1"/>
  <c r="AH700" i="1"/>
  <c r="AH684" i="1"/>
  <c r="AH668" i="1"/>
  <c r="AH652" i="1"/>
  <c r="AH636" i="1"/>
  <c r="AH620" i="1"/>
  <c r="AH612" i="1"/>
  <c r="AH604" i="1"/>
  <c r="AH596" i="1"/>
  <c r="AH588" i="1"/>
  <c r="AH580" i="1"/>
  <c r="AH572" i="1"/>
  <c r="AH564" i="1"/>
  <c r="AH548" i="1"/>
  <c r="AH540" i="1"/>
  <c r="AH532" i="1"/>
  <c r="AH524" i="1"/>
  <c r="AH516" i="1"/>
  <c r="AH508" i="1"/>
  <c r="AH500" i="1"/>
  <c r="AH492" i="1"/>
  <c r="AH476" i="1"/>
  <c r="AH468" i="1"/>
  <c r="AH460" i="1"/>
  <c r="AH452" i="1"/>
  <c r="AH444" i="1"/>
  <c r="AH436" i="1"/>
  <c r="AH420" i="1"/>
  <c r="AH412" i="1"/>
  <c r="AH404" i="1"/>
  <c r="AH396" i="1"/>
  <c r="AH388" i="1"/>
  <c r="AH380" i="1"/>
  <c r="AH372" i="1"/>
  <c r="AH364" i="1"/>
  <c r="AH356" i="1"/>
  <c r="AH348" i="1"/>
  <c r="AH340" i="1"/>
  <c r="AH332" i="1"/>
  <c r="AH324" i="1"/>
  <c r="AH316" i="1"/>
  <c r="AH308" i="1"/>
  <c r="AH300" i="1"/>
  <c r="AH292" i="1"/>
  <c r="AH284" i="1"/>
  <c r="AH276" i="1"/>
  <c r="AH268" i="1"/>
  <c r="AH260" i="1"/>
  <c r="AH252" i="1"/>
  <c r="AH244" i="1"/>
  <c r="AH236" i="1"/>
  <c r="AH228" i="1"/>
  <c r="AH220" i="1"/>
  <c r="AH212" i="1"/>
  <c r="AH204" i="1"/>
  <c r="AH196" i="1"/>
  <c r="AH188" i="1"/>
  <c r="AH180" i="1"/>
  <c r="AH172" i="1"/>
  <c r="AH164" i="1"/>
  <c r="AH156" i="1"/>
  <c r="AH148" i="1"/>
  <c r="AH140" i="1"/>
  <c r="AH132" i="1"/>
  <c r="AH124" i="1"/>
  <c r="AH116" i="1"/>
  <c r="AH108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819" i="1"/>
  <c r="AH811" i="1"/>
  <c r="AH803" i="1"/>
  <c r="AH779" i="1"/>
  <c r="AH763" i="1"/>
  <c r="AH755" i="1"/>
  <c r="AH747" i="1"/>
  <c r="AH739" i="1"/>
  <c r="AH731" i="1"/>
  <c r="AH715" i="1"/>
  <c r="AH707" i="1"/>
  <c r="AH699" i="1"/>
  <c r="AH691" i="1"/>
  <c r="AH683" i="1"/>
  <c r="AH675" i="1"/>
  <c r="AH667" i="1"/>
  <c r="AH659" i="1"/>
  <c r="AH651" i="1"/>
  <c r="AH643" i="1"/>
  <c r="AH635" i="1"/>
  <c r="AH627" i="1"/>
  <c r="AH619" i="1"/>
  <c r="AH603" i="1"/>
  <c r="AH595" i="1"/>
  <c r="AH579" i="1"/>
  <c r="AH571" i="1"/>
  <c r="AH563" i="1"/>
  <c r="AH547" i="1"/>
  <c r="AH539" i="1"/>
  <c r="AH531" i="1"/>
  <c r="AH523" i="1"/>
  <c r="AH515" i="1"/>
  <c r="AH507" i="1"/>
  <c r="AH499" i="1"/>
  <c r="AH491" i="1"/>
  <c r="AH483" i="1"/>
  <c r="AH475" i="1"/>
  <c r="AH467" i="1"/>
  <c r="AH459" i="1"/>
  <c r="AH451" i="1"/>
  <c r="AH443" i="1"/>
  <c r="AH435" i="1"/>
  <c r="AH411" i="1"/>
  <c r="AH403" i="1"/>
  <c r="AH395" i="1"/>
  <c r="AH387" i="1"/>
  <c r="AH379" i="1"/>
  <c r="AH363" i="1"/>
  <c r="AH355" i="1"/>
  <c r="AH347" i="1"/>
  <c r="AH339" i="1"/>
  <c r="AH331" i="1"/>
  <c r="AH323" i="1"/>
  <c r="AH315" i="1"/>
  <c r="AH299" i="1"/>
  <c r="AH291" i="1"/>
  <c r="AH283" i="1"/>
  <c r="AH275" i="1"/>
  <c r="AH267" i="1"/>
  <c r="AH259" i="1"/>
  <c r="AH251" i="1"/>
  <c r="AH243" i="1"/>
  <c r="AH235" i="1"/>
  <c r="AH227" i="1"/>
  <c r="AH219" i="1"/>
  <c r="AH211" i="1"/>
  <c r="AH203" i="1"/>
  <c r="AH195" i="1"/>
  <c r="AH187" i="1"/>
  <c r="AH179" i="1"/>
  <c r="AH171" i="1"/>
  <c r="AH163" i="1"/>
  <c r="AH155" i="1"/>
  <c r="AH139" i="1"/>
  <c r="AH123" i="1"/>
  <c r="AH115" i="1"/>
  <c r="AH107" i="1"/>
  <c r="AH99" i="1"/>
  <c r="AH91" i="1"/>
  <c r="AH75" i="1"/>
  <c r="AH59" i="1"/>
  <c r="AH51" i="1"/>
  <c r="AH43" i="1"/>
  <c r="AH35" i="1"/>
  <c r="AH27" i="1"/>
  <c r="AH11" i="1"/>
  <c r="AH818" i="1"/>
  <c r="AH810" i="1"/>
  <c r="AH802" i="1"/>
  <c r="AH794" i="1"/>
  <c r="AH786" i="1"/>
  <c r="AH778" i="1"/>
  <c r="AH770" i="1"/>
  <c r="AH762" i="1"/>
  <c r="AH754" i="1"/>
  <c r="AH746" i="1"/>
  <c r="AH738" i="1"/>
  <c r="AH730" i="1"/>
  <c r="AH722" i="1"/>
  <c r="AH714" i="1"/>
  <c r="AH706" i="1"/>
  <c r="AH698" i="1"/>
  <c r="AH690" i="1"/>
  <c r="AH682" i="1"/>
  <c r="AH674" i="1"/>
  <c r="AH666" i="1"/>
  <c r="AH658" i="1"/>
  <c r="AH650" i="1"/>
  <c r="AH642" i="1"/>
  <c r="AH634" i="1"/>
  <c r="AH626" i="1"/>
  <c r="AH618" i="1"/>
  <c r="AH602" i="1"/>
  <c r="AH594" i="1"/>
  <c r="AH586" i="1"/>
  <c r="AH578" i="1"/>
  <c r="AH570" i="1"/>
  <c r="AH562" i="1"/>
  <c r="AH554" i="1"/>
  <c r="AH546" i="1"/>
  <c r="AH538" i="1"/>
  <c r="AH530" i="1"/>
  <c r="AH522" i="1"/>
  <c r="AH514" i="1"/>
  <c r="AH506" i="1"/>
  <c r="AH498" i="1"/>
  <c r="AH490" i="1"/>
  <c r="AH482" i="1"/>
  <c r="AH466" i="1"/>
  <c r="AH458" i="1"/>
  <c r="AH450" i="1"/>
  <c r="AH442" i="1"/>
  <c r="AH434" i="1"/>
  <c r="AH426" i="1"/>
  <c r="AH418" i="1"/>
  <c r="AH410" i="1"/>
  <c r="AH402" i="1"/>
  <c r="AH394" i="1"/>
  <c r="AH386" i="1"/>
  <c r="AH378" i="1"/>
  <c r="AH354" i="1"/>
  <c r="AH346" i="1"/>
  <c r="AH330" i="1"/>
  <c r="AH322" i="1"/>
  <c r="AH314" i="1"/>
  <c r="AH306" i="1"/>
  <c r="AH298" i="1"/>
  <c r="AH282" i="1"/>
  <c r="AH274" i="1"/>
  <c r="AH250" i="1"/>
  <c r="AH234" i="1"/>
  <c r="AH226" i="1"/>
  <c r="AH218" i="1"/>
  <c r="AH210" i="1"/>
  <c r="AH202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2" i="1"/>
  <c r="AH817" i="1"/>
  <c r="AH809" i="1"/>
  <c r="AH801" i="1"/>
  <c r="AH793" i="1"/>
  <c r="AH785" i="1"/>
  <c r="AH777" i="1"/>
  <c r="AH769" i="1"/>
  <c r="AH761" i="1"/>
  <c r="AH753" i="1"/>
  <c r="AH745" i="1"/>
  <c r="AH737" i="1"/>
  <c r="AH729" i="1"/>
  <c r="AH721" i="1"/>
  <c r="AH713" i="1"/>
  <c r="AH705" i="1"/>
  <c r="AH697" i="1"/>
  <c r="AH689" i="1"/>
  <c r="AH681" i="1"/>
  <c r="AH673" i="1"/>
  <c r="AH665" i="1"/>
  <c r="AH657" i="1"/>
  <c r="AH649" i="1"/>
  <c r="AH641" i="1"/>
  <c r="AH633" i="1"/>
  <c r="AH625" i="1"/>
  <c r="AH617" i="1"/>
  <c r="AH609" i="1"/>
  <c r="AH601" i="1"/>
  <c r="AH577" i="1"/>
  <c r="AH561" i="1"/>
  <c r="AH553" i="1"/>
  <c r="AH545" i="1"/>
  <c r="AH537" i="1"/>
  <c r="AH521" i="1"/>
  <c r="AH497" i="1"/>
  <c r="AH489" i="1"/>
  <c r="AH481" i="1"/>
  <c r="AH465" i="1"/>
  <c r="AH449" i="1"/>
  <c r="AH441" i="1"/>
  <c r="AH433" i="1"/>
  <c r="AH425" i="1"/>
  <c r="AH409" i="1"/>
  <c r="AH401" i="1"/>
  <c r="AH393" i="1"/>
  <c r="AH385" i="1"/>
  <c r="AH377" i="1"/>
  <c r="AH369" i="1"/>
  <c r="AH361" i="1"/>
  <c r="AH353" i="1"/>
  <c r="AH345" i="1"/>
  <c r="AH337" i="1"/>
  <c r="AH321" i="1"/>
  <c r="AH313" i="1"/>
  <c r="AH305" i="1"/>
  <c r="AH297" i="1"/>
  <c r="AH281" i="1"/>
  <c r="AH273" i="1"/>
  <c r="AH265" i="1"/>
  <c r="AH257" i="1"/>
  <c r="AH249" i="1"/>
  <c r="AH233" i="1"/>
  <c r="AH225" i="1"/>
  <c r="AH217" i="1"/>
  <c r="AH209" i="1"/>
  <c r="AH201" i="1"/>
  <c r="AH193" i="1"/>
  <c r="AH185" i="1"/>
  <c r="AH177" i="1"/>
  <c r="AH169" i="1"/>
  <c r="AH161" i="1"/>
  <c r="AH153" i="1"/>
  <c r="AH145" i="1"/>
  <c r="AH137" i="1"/>
  <c r="AH121" i="1"/>
  <c r="AH113" i="1"/>
  <c r="AH105" i="1"/>
  <c r="AH97" i="1"/>
  <c r="AH89" i="1"/>
  <c r="AH81" i="1"/>
  <c r="AH73" i="1"/>
  <c r="AH57" i="1"/>
  <c r="AH49" i="1"/>
  <c r="AH41" i="1"/>
  <c r="AH33" i="1"/>
  <c r="AH25" i="1"/>
  <c r="AH17" i="1"/>
  <c r="AH9" i="1"/>
  <c r="AH808" i="1"/>
  <c r="AH760" i="1"/>
  <c r="AH744" i="1"/>
  <c r="AH728" i="1"/>
  <c r="AH712" i="1"/>
  <c r="AH696" i="1"/>
  <c r="AH680" i="1"/>
  <c r="AH664" i="1"/>
  <c r="AH648" i="1"/>
  <c r="AH632" i="1"/>
  <c r="AH616" i="1"/>
  <c r="AH608" i="1"/>
  <c r="AH600" i="1"/>
  <c r="AH576" i="1"/>
  <c r="AH568" i="1"/>
  <c r="AH560" i="1"/>
  <c r="AH552" i="1"/>
  <c r="AH544" i="1"/>
  <c r="AH528" i="1"/>
  <c r="AH520" i="1"/>
  <c r="AH504" i="1"/>
  <c r="AH496" i="1"/>
  <c r="AH464" i="1"/>
  <c r="AH440" i="1"/>
  <c r="AH432" i="1"/>
  <c r="AH424" i="1"/>
  <c r="AH408" i="1"/>
  <c r="AH392" i="1"/>
  <c r="AH376" i="1"/>
  <c r="AH368" i="1"/>
  <c r="AH360" i="1"/>
  <c r="AH352" i="1"/>
  <c r="AH344" i="1"/>
  <c r="AH336" i="1"/>
  <c r="AH328" i="1"/>
  <c r="AH312" i="1"/>
  <c r="AH304" i="1"/>
  <c r="AH296" i="1"/>
  <c r="AH288" i="1"/>
  <c r="AH280" i="1"/>
  <c r="AH272" i="1"/>
  <c r="AH264" i="1"/>
  <c r="AH256" i="1"/>
  <c r="AH248" i="1"/>
  <c r="AH240" i="1"/>
  <c r="AH232" i="1"/>
  <c r="AH224" i="1"/>
  <c r="AH200" i="1"/>
  <c r="AH184" i="1"/>
  <c r="AH176" i="1"/>
  <c r="AH168" i="1"/>
  <c r="AH152" i="1"/>
  <c r="AH144" i="1"/>
  <c r="AH136" i="1"/>
  <c r="AH120" i="1"/>
  <c r="AH112" i="1"/>
  <c r="AH104" i="1"/>
  <c r="AH88" i="1"/>
  <c r="AH80" i="1"/>
  <c r="AH72" i="1"/>
  <c r="AH56" i="1"/>
  <c r="AH48" i="1"/>
  <c r="AH40" i="1"/>
  <c r="AH24" i="1"/>
  <c r="AH16" i="1"/>
  <c r="AH8" i="1"/>
  <c r="W815" i="1"/>
  <c r="AH815" i="1"/>
  <c r="W807" i="1"/>
  <c r="AH807" i="1"/>
  <c r="W799" i="1"/>
  <c r="AH799" i="1"/>
  <c r="W615" i="1"/>
  <c r="AH615" i="1"/>
  <c r="W583" i="1"/>
  <c r="AH583" i="1"/>
  <c r="W575" i="1"/>
  <c r="AH575" i="1"/>
  <c r="W567" i="1"/>
  <c r="AH567" i="1"/>
  <c r="W551" i="1"/>
  <c r="AH551" i="1"/>
  <c r="W535" i="1"/>
  <c r="AH535" i="1"/>
  <c r="W527" i="1"/>
  <c r="AH527" i="1"/>
  <c r="W407" i="1"/>
  <c r="AH407" i="1"/>
  <c r="W399" i="1"/>
  <c r="AH399" i="1"/>
  <c r="W391" i="1"/>
  <c r="AH391" i="1"/>
  <c r="W383" i="1"/>
  <c r="AH383" i="1"/>
  <c r="W375" i="1"/>
  <c r="AH375" i="1"/>
  <c r="W343" i="1"/>
  <c r="AH343" i="1"/>
  <c r="W327" i="1"/>
  <c r="AH327" i="1"/>
  <c r="W311" i="1"/>
  <c r="AH311" i="1"/>
  <c r="W247" i="1"/>
  <c r="AH247" i="1"/>
  <c r="W191" i="1"/>
  <c r="AH191" i="1"/>
  <c r="W814" i="1"/>
  <c r="AH814" i="1"/>
  <c r="W806" i="1"/>
  <c r="AH806" i="1"/>
  <c r="W790" i="1"/>
  <c r="AH790" i="1"/>
  <c r="W782" i="1"/>
  <c r="AH782" i="1"/>
  <c r="X774" i="1"/>
  <c r="AH774" i="1"/>
  <c r="W766" i="1"/>
  <c r="AH766" i="1"/>
  <c r="W750" i="1"/>
  <c r="AH750" i="1"/>
  <c r="W734" i="1"/>
  <c r="AH734" i="1"/>
  <c r="W718" i="1"/>
  <c r="AH718" i="1"/>
  <c r="X710" i="1"/>
  <c r="AH710" i="1"/>
  <c r="W702" i="1"/>
  <c r="AH702" i="1"/>
  <c r="W686" i="1"/>
  <c r="AH686" i="1"/>
  <c r="W670" i="1"/>
  <c r="AH670" i="1"/>
  <c r="W654" i="1"/>
  <c r="AH654" i="1"/>
  <c r="W638" i="1"/>
  <c r="AH638" i="1"/>
  <c r="W622" i="1"/>
  <c r="AH622" i="1"/>
  <c r="W606" i="1"/>
  <c r="AH606" i="1"/>
  <c r="W574" i="1"/>
  <c r="AH574" i="1"/>
  <c r="W566" i="1"/>
  <c r="AH566" i="1"/>
  <c r="W446" i="1"/>
  <c r="AH446" i="1"/>
  <c r="W326" i="1"/>
  <c r="AH326" i="1"/>
  <c r="W302" i="1"/>
  <c r="AH302" i="1"/>
  <c r="X278" i="1"/>
  <c r="AH278" i="1"/>
  <c r="X254" i="1"/>
  <c r="AH254" i="1"/>
  <c r="X214" i="1"/>
  <c r="AH214" i="1"/>
  <c r="X182" i="1"/>
  <c r="AH182" i="1"/>
  <c r="X150" i="1"/>
  <c r="AH150" i="1"/>
  <c r="X118" i="1"/>
  <c r="AH118" i="1"/>
  <c r="X86" i="1"/>
  <c r="AH86" i="1"/>
  <c r="X54" i="1"/>
  <c r="AH54" i="1"/>
  <c r="X22" i="1"/>
  <c r="AH22" i="1"/>
  <c r="W797" i="1"/>
  <c r="AH797" i="1"/>
  <c r="W757" i="1"/>
  <c r="AH757" i="1"/>
  <c r="W741" i="1"/>
  <c r="AH741" i="1"/>
  <c r="W725" i="1"/>
  <c r="AH725" i="1"/>
  <c r="W709" i="1"/>
  <c r="AH709" i="1"/>
  <c r="W693" i="1"/>
  <c r="AH693" i="1"/>
  <c r="W677" i="1"/>
  <c r="AH677" i="1"/>
  <c r="W661" i="1"/>
  <c r="AH661" i="1"/>
  <c r="W645" i="1"/>
  <c r="AH645" i="1"/>
  <c r="W629" i="1"/>
  <c r="AH629" i="1"/>
  <c r="W796" i="1"/>
  <c r="AH796" i="1"/>
  <c r="W772" i="1"/>
  <c r="AH772" i="1"/>
  <c r="W756" i="1"/>
  <c r="AH756" i="1"/>
  <c r="W740" i="1"/>
  <c r="AH740" i="1"/>
  <c r="W724" i="1"/>
  <c r="AH724" i="1"/>
  <c r="W708" i="1"/>
  <c r="AH708" i="1"/>
  <c r="W692" i="1"/>
  <c r="AH692" i="1"/>
  <c r="W676" i="1"/>
  <c r="AH676" i="1"/>
  <c r="W660" i="1"/>
  <c r="AH660" i="1"/>
  <c r="W644" i="1"/>
  <c r="AH644" i="1"/>
  <c r="W628" i="1"/>
  <c r="AH628" i="1"/>
  <c r="W556" i="1"/>
  <c r="AH556" i="1"/>
  <c r="W484" i="1"/>
  <c r="AH484" i="1"/>
  <c r="W428" i="1"/>
  <c r="AH428" i="1"/>
  <c r="W795" i="1"/>
  <c r="AH795" i="1"/>
  <c r="X787" i="1"/>
  <c r="AH787" i="1"/>
  <c r="W771" i="1"/>
  <c r="AH771" i="1"/>
  <c r="X723" i="1"/>
  <c r="AH723" i="1"/>
  <c r="W611" i="1"/>
  <c r="AH611" i="1"/>
  <c r="W587" i="1"/>
  <c r="AH587" i="1"/>
  <c r="W555" i="1"/>
  <c r="AH555" i="1"/>
  <c r="W427" i="1"/>
  <c r="AH427" i="1"/>
  <c r="W419" i="1"/>
  <c r="AH419" i="1"/>
  <c r="W371" i="1"/>
  <c r="AH371" i="1"/>
  <c r="W307" i="1"/>
  <c r="AH307" i="1"/>
  <c r="W147" i="1"/>
  <c r="AH147" i="1"/>
  <c r="W131" i="1"/>
  <c r="AH131" i="1"/>
  <c r="W83" i="1"/>
  <c r="AH83" i="1"/>
  <c r="W67" i="1"/>
  <c r="AH67" i="1"/>
  <c r="W19" i="1"/>
  <c r="AH19" i="1"/>
  <c r="W3" i="1"/>
  <c r="AH3" i="1"/>
  <c r="W610" i="1"/>
  <c r="AH610" i="1"/>
  <c r="W474" i="1"/>
  <c r="AH474" i="1"/>
  <c r="W370" i="1"/>
  <c r="AH370" i="1"/>
  <c r="W362" i="1"/>
  <c r="AH362" i="1"/>
  <c r="W338" i="1"/>
  <c r="AH338" i="1"/>
  <c r="W290" i="1"/>
  <c r="AH290" i="1"/>
  <c r="W266" i="1"/>
  <c r="AH266" i="1"/>
  <c r="W258" i="1"/>
  <c r="AH258" i="1"/>
  <c r="W242" i="1"/>
  <c r="AH242" i="1"/>
  <c r="W194" i="1"/>
  <c r="AH194" i="1"/>
  <c r="W593" i="1"/>
  <c r="AH593" i="1"/>
  <c r="W585" i="1"/>
  <c r="AH585" i="1"/>
  <c r="W569" i="1"/>
  <c r="AH569" i="1"/>
  <c r="W529" i="1"/>
  <c r="AH529" i="1"/>
  <c r="W513" i="1"/>
  <c r="AH513" i="1"/>
  <c r="W505" i="1"/>
  <c r="AH505" i="1"/>
  <c r="W473" i="1"/>
  <c r="AH473" i="1"/>
  <c r="W457" i="1"/>
  <c r="AH457" i="1"/>
  <c r="W417" i="1"/>
  <c r="AH417" i="1"/>
  <c r="W329" i="1"/>
  <c r="AH329" i="1"/>
  <c r="W289" i="1"/>
  <c r="AH289" i="1"/>
  <c r="W241" i="1"/>
  <c r="AH241" i="1"/>
  <c r="W129" i="1"/>
  <c r="AH129" i="1"/>
  <c r="W65" i="1"/>
  <c r="AH65" i="1"/>
  <c r="W816" i="1"/>
  <c r="AH816" i="1"/>
  <c r="W800" i="1"/>
  <c r="AH800" i="1"/>
  <c r="W792" i="1"/>
  <c r="AH792" i="1"/>
  <c r="W784" i="1"/>
  <c r="AH784" i="1"/>
  <c r="W776" i="1"/>
  <c r="AH776" i="1"/>
  <c r="W768" i="1"/>
  <c r="AH768" i="1"/>
  <c r="W752" i="1"/>
  <c r="AH752" i="1"/>
  <c r="W736" i="1"/>
  <c r="AH736" i="1"/>
  <c r="W720" i="1"/>
  <c r="AH720" i="1"/>
  <c r="W704" i="1"/>
  <c r="AH704" i="1"/>
  <c r="W688" i="1"/>
  <c r="AH688" i="1"/>
  <c r="W672" i="1"/>
  <c r="AH672" i="1"/>
  <c r="W656" i="1"/>
  <c r="AH656" i="1"/>
  <c r="W640" i="1"/>
  <c r="AH640" i="1"/>
  <c r="W624" i="1"/>
  <c r="AH624" i="1"/>
  <c r="W592" i="1"/>
  <c r="AH592" i="1"/>
  <c r="W584" i="1"/>
  <c r="AH584" i="1"/>
  <c r="W536" i="1"/>
  <c r="AH536" i="1"/>
  <c r="W512" i="1"/>
  <c r="AH512" i="1"/>
  <c r="W488" i="1"/>
  <c r="AH488" i="1"/>
  <c r="W480" i="1"/>
  <c r="AH480" i="1"/>
  <c r="W472" i="1"/>
  <c r="AH472" i="1"/>
  <c r="W456" i="1"/>
  <c r="AH456" i="1"/>
  <c r="W448" i="1"/>
  <c r="AH448" i="1"/>
  <c r="W416" i="1"/>
  <c r="AH416" i="1"/>
  <c r="W400" i="1"/>
  <c r="AH400" i="1"/>
  <c r="W384" i="1"/>
  <c r="AH384" i="1"/>
  <c r="W320" i="1"/>
  <c r="AH320" i="1"/>
  <c r="W216" i="1"/>
  <c r="AH216" i="1"/>
  <c r="W208" i="1"/>
  <c r="AH208" i="1"/>
  <c r="W192" i="1"/>
  <c r="AH192" i="1"/>
  <c r="W160" i="1"/>
  <c r="AH160" i="1"/>
  <c r="W128" i="1"/>
  <c r="AH128" i="1"/>
  <c r="W96" i="1"/>
  <c r="AH96" i="1"/>
  <c r="W64" i="1"/>
  <c r="AH64" i="1"/>
  <c r="W32" i="1"/>
  <c r="AH32" i="1"/>
  <c r="AD803" i="1"/>
  <c r="AC803" i="1"/>
  <c r="AD723" i="1"/>
  <c r="AC723" i="1"/>
  <c r="AD659" i="1"/>
  <c r="AC659" i="1"/>
  <c r="AD802" i="1"/>
  <c r="AC802" i="1"/>
  <c r="AD754" i="1"/>
  <c r="AC754" i="1"/>
  <c r="AD706" i="1"/>
  <c r="AC706" i="1"/>
  <c r="AD666" i="1"/>
  <c r="AC666" i="1"/>
  <c r="AC594" i="1"/>
  <c r="AD594" i="1"/>
  <c r="AD817" i="1"/>
  <c r="AC817" i="1"/>
  <c r="AD769" i="1"/>
  <c r="AC769" i="1"/>
  <c r="AD737" i="1"/>
  <c r="AC737" i="1"/>
  <c r="AD689" i="1"/>
  <c r="AC689" i="1"/>
  <c r="AD649" i="1"/>
  <c r="AC649" i="1"/>
  <c r="AD609" i="1"/>
  <c r="AC609" i="1"/>
  <c r="AD561" i="1"/>
  <c r="AC561" i="1"/>
  <c r="AD521" i="1"/>
  <c r="AC521" i="1"/>
  <c r="AD481" i="1"/>
  <c r="AC481" i="1"/>
  <c r="AD425" i="1"/>
  <c r="AC425" i="1"/>
  <c r="AD393" i="1"/>
  <c r="AC393" i="1"/>
  <c r="AD800" i="1"/>
  <c r="AC800" i="1"/>
  <c r="AD768" i="1"/>
  <c r="AC768" i="1"/>
  <c r="AD736" i="1"/>
  <c r="AC736" i="1"/>
  <c r="AD680" i="1"/>
  <c r="AC680" i="1"/>
  <c r="AC648" i="1"/>
  <c r="AD648" i="1"/>
  <c r="AD616" i="1"/>
  <c r="AC616" i="1"/>
  <c r="AD576" i="1"/>
  <c r="AC576" i="1"/>
  <c r="AC536" i="1"/>
  <c r="AD536" i="1"/>
  <c r="AD504" i="1"/>
  <c r="AC504" i="1"/>
  <c r="AD472" i="1"/>
  <c r="AC472" i="1"/>
  <c r="AD432" i="1"/>
  <c r="AC432" i="1"/>
  <c r="AD400" i="1"/>
  <c r="AC400" i="1"/>
  <c r="AC352" i="1"/>
  <c r="AD352" i="1"/>
  <c r="AD312" i="1"/>
  <c r="AC312" i="1"/>
  <c r="AD200" i="1"/>
  <c r="AC200" i="1"/>
  <c r="AC820" i="1"/>
  <c r="AD820" i="1"/>
  <c r="AD812" i="1"/>
  <c r="AC812" i="1"/>
  <c r="AD804" i="1"/>
  <c r="AC804" i="1"/>
  <c r="AD796" i="1"/>
  <c r="AC796" i="1"/>
  <c r="AD788" i="1"/>
  <c r="AC788" i="1"/>
  <c r="AD780" i="1"/>
  <c r="AC780" i="1"/>
  <c r="AD772" i="1"/>
  <c r="AC772" i="1"/>
  <c r="AD764" i="1"/>
  <c r="AC764" i="1"/>
  <c r="AD756" i="1"/>
  <c r="AC756" i="1"/>
  <c r="AD748" i="1"/>
  <c r="AC748" i="1"/>
  <c r="AD740" i="1"/>
  <c r="AC740" i="1"/>
  <c r="AD732" i="1"/>
  <c r="AC732" i="1"/>
  <c r="AC724" i="1"/>
  <c r="AD724" i="1"/>
  <c r="AD716" i="1"/>
  <c r="AC716" i="1"/>
  <c r="AD708" i="1"/>
  <c r="AC708" i="1"/>
  <c r="AD700" i="1"/>
  <c r="AC700" i="1"/>
  <c r="AD692" i="1"/>
  <c r="AC692" i="1"/>
  <c r="AD684" i="1"/>
  <c r="AC684" i="1"/>
  <c r="AC676" i="1"/>
  <c r="AD676" i="1"/>
  <c r="AD668" i="1"/>
  <c r="AC668" i="1"/>
  <c r="AD660" i="1"/>
  <c r="AC660" i="1"/>
  <c r="AD652" i="1"/>
  <c r="AC652" i="1"/>
  <c r="AD644" i="1"/>
  <c r="AC644" i="1"/>
  <c r="AD636" i="1"/>
  <c r="AC636" i="1"/>
  <c r="AD628" i="1"/>
  <c r="AC628" i="1"/>
  <c r="AC620" i="1"/>
  <c r="AD620" i="1"/>
  <c r="AD612" i="1"/>
  <c r="AC612" i="1"/>
  <c r="AD604" i="1"/>
  <c r="AC604" i="1"/>
  <c r="AD596" i="1"/>
  <c r="AC596" i="1"/>
  <c r="AD588" i="1"/>
  <c r="AC588" i="1"/>
  <c r="AD580" i="1"/>
  <c r="AC580" i="1"/>
  <c r="AD572" i="1"/>
  <c r="AC572" i="1"/>
  <c r="AD564" i="1"/>
  <c r="AC564" i="1"/>
  <c r="AD556" i="1"/>
  <c r="AC556" i="1"/>
  <c r="AD548" i="1"/>
  <c r="AC548" i="1"/>
  <c r="AD540" i="1"/>
  <c r="AC540" i="1"/>
  <c r="AD532" i="1"/>
  <c r="AC532" i="1"/>
  <c r="AD524" i="1"/>
  <c r="AC524" i="1"/>
  <c r="AD516" i="1"/>
  <c r="AC516" i="1"/>
  <c r="AD508" i="1"/>
  <c r="AC508" i="1"/>
  <c r="AD500" i="1"/>
  <c r="AC500" i="1"/>
  <c r="AD492" i="1"/>
  <c r="AC492" i="1"/>
  <c r="AD484" i="1"/>
  <c r="AC484" i="1"/>
  <c r="AD476" i="1"/>
  <c r="AC476" i="1"/>
  <c r="AD468" i="1"/>
  <c r="AC468" i="1"/>
  <c r="AD460" i="1"/>
  <c r="AC460" i="1"/>
  <c r="AD452" i="1"/>
  <c r="AC452" i="1"/>
  <c r="AD444" i="1"/>
  <c r="AC444" i="1"/>
  <c r="AD436" i="1"/>
  <c r="AC436" i="1"/>
  <c r="AD428" i="1"/>
  <c r="AC428" i="1"/>
  <c r="AD420" i="1"/>
  <c r="AC420" i="1"/>
  <c r="AD412" i="1"/>
  <c r="AC412" i="1"/>
  <c r="AD404" i="1"/>
  <c r="AC404" i="1"/>
  <c r="AD396" i="1"/>
  <c r="AC396" i="1"/>
  <c r="AD388" i="1"/>
  <c r="AC388" i="1"/>
  <c r="AD380" i="1"/>
  <c r="AC380" i="1"/>
  <c r="AD372" i="1"/>
  <c r="AC372" i="1"/>
  <c r="AD364" i="1"/>
  <c r="AC364" i="1"/>
  <c r="AD356" i="1"/>
  <c r="AC356" i="1"/>
  <c r="AD348" i="1"/>
  <c r="AC348" i="1"/>
  <c r="AD340" i="1"/>
  <c r="AC340" i="1"/>
  <c r="AD332" i="1"/>
  <c r="AC332" i="1"/>
  <c r="AD324" i="1"/>
  <c r="AC324" i="1"/>
  <c r="AD316" i="1"/>
  <c r="AC316" i="1"/>
  <c r="AD308" i="1"/>
  <c r="AC308" i="1"/>
  <c r="AD300" i="1"/>
  <c r="AC300" i="1"/>
  <c r="AD292" i="1"/>
  <c r="AC292" i="1"/>
  <c r="AD284" i="1"/>
  <c r="AC284" i="1"/>
  <c r="AD276" i="1"/>
  <c r="AC276" i="1"/>
  <c r="AD268" i="1"/>
  <c r="AC268" i="1"/>
  <c r="AD260" i="1"/>
  <c r="AC260" i="1"/>
  <c r="AD252" i="1"/>
  <c r="AC252" i="1"/>
  <c r="AD244" i="1"/>
  <c r="AC244" i="1"/>
  <c r="AD236" i="1"/>
  <c r="AC236" i="1"/>
  <c r="AD228" i="1"/>
  <c r="AC228" i="1"/>
  <c r="AD220" i="1"/>
  <c r="AC220" i="1"/>
  <c r="AD212" i="1"/>
  <c r="AC212" i="1"/>
  <c r="AD204" i="1"/>
  <c r="AC204" i="1"/>
  <c r="AD196" i="1"/>
  <c r="AC196" i="1"/>
  <c r="AD188" i="1"/>
  <c r="AC188" i="1"/>
  <c r="AD180" i="1"/>
  <c r="AC180" i="1"/>
  <c r="AD172" i="1"/>
  <c r="AC172" i="1"/>
  <c r="AD164" i="1"/>
  <c r="AC164" i="1"/>
  <c r="AD156" i="1"/>
  <c r="AC156" i="1"/>
  <c r="AD148" i="1"/>
  <c r="AC148" i="1"/>
  <c r="AD140" i="1"/>
  <c r="AC140" i="1"/>
  <c r="AD132" i="1"/>
  <c r="AC132" i="1"/>
  <c r="AD124" i="1"/>
  <c r="AC124" i="1"/>
  <c r="AD116" i="1"/>
  <c r="AC116" i="1"/>
  <c r="AD108" i="1"/>
  <c r="AC108" i="1"/>
  <c r="AD100" i="1"/>
  <c r="AC100" i="1"/>
  <c r="AD92" i="1"/>
  <c r="AC92" i="1"/>
  <c r="AD84" i="1"/>
  <c r="AC84" i="1"/>
  <c r="AD76" i="1"/>
  <c r="AC76" i="1"/>
  <c r="AD68" i="1"/>
  <c r="AC68" i="1"/>
  <c r="AD60" i="1"/>
  <c r="AC60" i="1"/>
  <c r="AD52" i="1"/>
  <c r="AC52" i="1"/>
  <c r="AD44" i="1"/>
  <c r="AC44" i="1"/>
  <c r="AD36" i="1"/>
  <c r="AC36" i="1"/>
  <c r="AD28" i="1"/>
  <c r="AC28" i="1"/>
  <c r="AD20" i="1"/>
  <c r="AC20" i="1"/>
  <c r="AD12" i="1"/>
  <c r="AC12" i="1"/>
  <c r="AD4" i="1"/>
  <c r="AC4" i="1"/>
  <c r="AD819" i="1"/>
  <c r="AC819" i="1"/>
  <c r="AD747" i="1"/>
  <c r="AC747" i="1"/>
  <c r="AD707" i="1"/>
  <c r="AC707" i="1"/>
  <c r="AD667" i="1"/>
  <c r="AC667" i="1"/>
  <c r="AD635" i="1"/>
  <c r="AC635" i="1"/>
  <c r="AD627" i="1"/>
  <c r="AC627" i="1"/>
  <c r="AD619" i="1"/>
  <c r="AC619" i="1"/>
  <c r="AD611" i="1"/>
  <c r="AC611" i="1"/>
  <c r="AD603" i="1"/>
  <c r="AC603" i="1"/>
  <c r="AD595" i="1"/>
  <c r="AC595" i="1"/>
  <c r="AD587" i="1"/>
  <c r="AC587" i="1"/>
  <c r="AD579" i="1"/>
  <c r="AC579" i="1"/>
  <c r="AD571" i="1"/>
  <c r="AC571" i="1"/>
  <c r="AD563" i="1"/>
  <c r="AC563" i="1"/>
  <c r="AD555" i="1"/>
  <c r="AC555" i="1"/>
  <c r="AD547" i="1"/>
  <c r="AC547" i="1"/>
  <c r="AD539" i="1"/>
  <c r="AC539" i="1"/>
  <c r="AD531" i="1"/>
  <c r="AC531" i="1"/>
  <c r="AD523" i="1"/>
  <c r="AC523" i="1"/>
  <c r="AD515" i="1"/>
  <c r="AC515" i="1"/>
  <c r="AD507" i="1"/>
  <c r="AC507" i="1"/>
  <c r="AD499" i="1"/>
  <c r="AC499" i="1"/>
  <c r="AD491" i="1"/>
  <c r="AC491" i="1"/>
  <c r="AD483" i="1"/>
  <c r="AC483" i="1"/>
  <c r="AD475" i="1"/>
  <c r="AC475" i="1"/>
  <c r="AD467" i="1"/>
  <c r="AC467" i="1"/>
  <c r="AD459" i="1"/>
  <c r="AC459" i="1"/>
  <c r="AD451" i="1"/>
  <c r="AC451" i="1"/>
  <c r="AD443" i="1"/>
  <c r="AC443" i="1"/>
  <c r="AD435" i="1"/>
  <c r="AC435" i="1"/>
  <c r="AD427" i="1"/>
  <c r="AC427" i="1"/>
  <c r="AD419" i="1"/>
  <c r="AC419" i="1"/>
  <c r="AD411" i="1"/>
  <c r="AC411" i="1"/>
  <c r="AD403" i="1"/>
  <c r="AC403" i="1"/>
  <c r="AD395" i="1"/>
  <c r="AC395" i="1"/>
  <c r="AD387" i="1"/>
  <c r="AC387" i="1"/>
  <c r="AD379" i="1"/>
  <c r="AC379" i="1"/>
  <c r="AD371" i="1"/>
  <c r="AC371" i="1"/>
  <c r="AD363" i="1"/>
  <c r="AC363" i="1"/>
  <c r="AD355" i="1"/>
  <c r="AC355" i="1"/>
  <c r="AD347" i="1"/>
  <c r="AC347" i="1"/>
  <c r="AD339" i="1"/>
  <c r="AC339" i="1"/>
  <c r="AD331" i="1"/>
  <c r="AC331" i="1"/>
  <c r="AD323" i="1"/>
  <c r="AC323" i="1"/>
  <c r="AD315" i="1"/>
  <c r="AC315" i="1"/>
  <c r="AD307" i="1"/>
  <c r="AC307" i="1"/>
  <c r="AD299" i="1"/>
  <c r="AC299" i="1"/>
  <c r="AD291" i="1"/>
  <c r="AC291" i="1"/>
  <c r="AD283" i="1"/>
  <c r="AC283" i="1"/>
  <c r="AD275" i="1"/>
  <c r="AC275" i="1"/>
  <c r="AD267" i="1"/>
  <c r="AC267" i="1"/>
  <c r="AD259" i="1"/>
  <c r="AC259" i="1"/>
  <c r="AD251" i="1"/>
  <c r="AC251" i="1"/>
  <c r="AD243" i="1"/>
  <c r="AC243" i="1"/>
  <c r="AD235" i="1"/>
  <c r="AC235" i="1"/>
  <c r="AD227" i="1"/>
  <c r="AC227" i="1"/>
  <c r="AD219" i="1"/>
  <c r="AC219" i="1"/>
  <c r="AD211" i="1"/>
  <c r="AC211" i="1"/>
  <c r="AD203" i="1"/>
  <c r="AC203" i="1"/>
  <c r="AD195" i="1"/>
  <c r="AC195" i="1"/>
  <c r="AD187" i="1"/>
  <c r="AC187" i="1"/>
  <c r="AD179" i="1"/>
  <c r="AC179" i="1"/>
  <c r="AD171" i="1"/>
  <c r="AC171" i="1"/>
  <c r="AD163" i="1"/>
  <c r="AC163" i="1"/>
  <c r="AD155" i="1"/>
  <c r="AC155" i="1"/>
  <c r="AD147" i="1"/>
  <c r="AC147" i="1"/>
  <c r="AD139" i="1"/>
  <c r="AC139" i="1"/>
  <c r="AD131" i="1"/>
  <c r="AC131" i="1"/>
  <c r="AD123" i="1"/>
  <c r="AC123" i="1"/>
  <c r="AD115" i="1"/>
  <c r="AC115" i="1"/>
  <c r="AD107" i="1"/>
  <c r="AC107" i="1"/>
  <c r="AD99" i="1"/>
  <c r="AC99" i="1"/>
  <c r="AD91" i="1"/>
  <c r="AC91" i="1"/>
  <c r="AD83" i="1"/>
  <c r="AC83" i="1"/>
  <c r="AD75" i="1"/>
  <c r="AC75" i="1"/>
  <c r="AD67" i="1"/>
  <c r="AC67" i="1"/>
  <c r="AD59" i="1"/>
  <c r="AC59" i="1"/>
  <c r="AD51" i="1"/>
  <c r="AC51" i="1"/>
  <c r="AD43" i="1"/>
  <c r="AC43" i="1"/>
  <c r="AD35" i="1"/>
  <c r="AC35" i="1"/>
  <c r="AD27" i="1"/>
  <c r="AC27" i="1"/>
  <c r="AD19" i="1"/>
  <c r="AC19" i="1"/>
  <c r="AD11" i="1"/>
  <c r="AC11" i="1"/>
  <c r="AD3" i="1"/>
  <c r="AC3" i="1"/>
  <c r="AC755" i="1"/>
  <c r="AD755" i="1"/>
  <c r="AD683" i="1"/>
  <c r="AC683" i="1"/>
  <c r="AD762" i="1"/>
  <c r="AC762" i="1"/>
  <c r="AD698" i="1"/>
  <c r="AC698" i="1"/>
  <c r="AD634" i="1"/>
  <c r="AC634" i="1"/>
  <c r="AD610" i="1"/>
  <c r="AC610" i="1"/>
  <c r="AD570" i="1"/>
  <c r="AC570" i="1"/>
  <c r="AC562" i="1"/>
  <c r="AD562" i="1"/>
  <c r="AD554" i="1"/>
  <c r="AC554" i="1"/>
  <c r="AD546" i="1"/>
  <c r="AC546" i="1"/>
  <c r="AD538" i="1"/>
  <c r="AC538" i="1"/>
  <c r="AD530" i="1"/>
  <c r="AC530" i="1"/>
  <c r="AD522" i="1"/>
  <c r="AC522" i="1"/>
  <c r="AD514" i="1"/>
  <c r="AC514" i="1"/>
  <c r="AD506" i="1"/>
  <c r="AC506" i="1"/>
  <c r="AD498" i="1"/>
  <c r="AC498" i="1"/>
  <c r="AD490" i="1"/>
  <c r="AC490" i="1"/>
  <c r="AD482" i="1"/>
  <c r="AC482" i="1"/>
  <c r="AD474" i="1"/>
  <c r="AC474" i="1"/>
  <c r="AD466" i="1"/>
  <c r="AC466" i="1"/>
  <c r="AD458" i="1"/>
  <c r="AC458" i="1"/>
  <c r="AD450" i="1"/>
  <c r="AC450" i="1"/>
  <c r="AD442" i="1"/>
  <c r="AC442" i="1"/>
  <c r="AD434" i="1"/>
  <c r="AC434" i="1"/>
  <c r="AD426" i="1"/>
  <c r="AC426" i="1"/>
  <c r="AD418" i="1"/>
  <c r="AC418" i="1"/>
  <c r="AD410" i="1"/>
  <c r="AC410" i="1"/>
  <c r="AD402" i="1"/>
  <c r="AC402" i="1"/>
  <c r="AD394" i="1"/>
  <c r="AC394" i="1"/>
  <c r="AD386" i="1"/>
  <c r="AC386" i="1"/>
  <c r="AD378" i="1"/>
  <c r="AC378" i="1"/>
  <c r="AD370" i="1"/>
  <c r="AC370" i="1"/>
  <c r="AD362" i="1"/>
  <c r="AC362" i="1"/>
  <c r="AD354" i="1"/>
  <c r="AC354" i="1"/>
  <c r="AD346" i="1"/>
  <c r="AC346" i="1"/>
  <c r="AD338" i="1"/>
  <c r="AC338" i="1"/>
  <c r="AD330" i="1"/>
  <c r="AC330" i="1"/>
  <c r="AD322" i="1"/>
  <c r="AC322" i="1"/>
  <c r="AD314" i="1"/>
  <c r="AC314" i="1"/>
  <c r="AD306" i="1"/>
  <c r="AC306" i="1"/>
  <c r="AD298" i="1"/>
  <c r="AC298" i="1"/>
  <c r="AD290" i="1"/>
  <c r="AC290" i="1"/>
  <c r="AD282" i="1"/>
  <c r="AC282" i="1"/>
  <c r="AD274" i="1"/>
  <c r="AC274" i="1"/>
  <c r="AD266" i="1"/>
  <c r="AC266" i="1"/>
  <c r="AD258" i="1"/>
  <c r="AC258" i="1"/>
  <c r="AD250" i="1"/>
  <c r="AC250" i="1"/>
  <c r="AD242" i="1"/>
  <c r="AC242" i="1"/>
  <c r="AD234" i="1"/>
  <c r="AC234" i="1"/>
  <c r="AD226" i="1"/>
  <c r="AC226" i="1"/>
  <c r="AD218" i="1"/>
  <c r="AC218" i="1"/>
  <c r="AD210" i="1"/>
  <c r="AC210" i="1"/>
  <c r="AD202" i="1"/>
  <c r="AC202" i="1"/>
  <c r="AD194" i="1"/>
  <c r="AC194" i="1"/>
  <c r="AD186" i="1"/>
  <c r="AC186" i="1"/>
  <c r="AD178" i="1"/>
  <c r="AC178" i="1"/>
  <c r="AD170" i="1"/>
  <c r="AC170" i="1"/>
  <c r="AD162" i="1"/>
  <c r="AC162" i="1"/>
  <c r="AD154" i="1"/>
  <c r="AC154" i="1"/>
  <c r="AD146" i="1"/>
  <c r="AC146" i="1"/>
  <c r="AD138" i="1"/>
  <c r="AC138" i="1"/>
  <c r="AD130" i="1"/>
  <c r="AC130" i="1"/>
  <c r="AD122" i="1"/>
  <c r="AC122" i="1"/>
  <c r="AD114" i="1"/>
  <c r="AC114" i="1"/>
  <c r="AD106" i="1"/>
  <c r="AC106" i="1"/>
  <c r="AD98" i="1"/>
  <c r="AC98" i="1"/>
  <c r="AD90" i="1"/>
  <c r="AC90" i="1"/>
  <c r="AD82" i="1"/>
  <c r="AC82" i="1"/>
  <c r="AD74" i="1"/>
  <c r="AC74" i="1"/>
  <c r="AD66" i="1"/>
  <c r="AC66" i="1"/>
  <c r="AD58" i="1"/>
  <c r="AC58" i="1"/>
  <c r="AD50" i="1"/>
  <c r="AC50" i="1"/>
  <c r="AD42" i="1"/>
  <c r="AC42" i="1"/>
  <c r="AD34" i="1"/>
  <c r="AC34" i="1"/>
  <c r="AD26" i="1"/>
  <c r="AC26" i="1"/>
  <c r="AD18" i="1"/>
  <c r="AC18" i="1"/>
  <c r="AD10" i="1"/>
  <c r="AC10" i="1"/>
  <c r="AD2" i="1"/>
  <c r="AC2" i="1"/>
  <c r="AC763" i="1"/>
  <c r="AD763" i="1"/>
  <c r="AC699" i="1"/>
  <c r="AD699" i="1"/>
  <c r="AD794" i="1"/>
  <c r="AC794" i="1"/>
  <c r="AD714" i="1"/>
  <c r="AC714" i="1"/>
  <c r="AD626" i="1"/>
  <c r="AC626" i="1"/>
  <c r="AD777" i="1"/>
  <c r="AC777" i="1"/>
  <c r="AD705" i="1"/>
  <c r="AC705" i="1"/>
  <c r="AD657" i="1"/>
  <c r="AC657" i="1"/>
  <c r="AD577" i="1"/>
  <c r="AC577" i="1"/>
  <c r="AD529" i="1"/>
  <c r="AC529" i="1"/>
  <c r="AD457" i="1"/>
  <c r="AC457" i="1"/>
  <c r="AD409" i="1"/>
  <c r="AC409" i="1"/>
  <c r="AD401" i="1"/>
  <c r="AC401" i="1"/>
  <c r="AD361" i="1"/>
  <c r="AC361" i="1"/>
  <c r="AD353" i="1"/>
  <c r="AC353" i="1"/>
  <c r="AD345" i="1"/>
  <c r="AC345" i="1"/>
  <c r="AD337" i="1"/>
  <c r="AC337" i="1"/>
  <c r="AD329" i="1"/>
  <c r="AC329" i="1"/>
  <c r="AD321" i="1"/>
  <c r="AC321" i="1"/>
  <c r="AD313" i="1"/>
  <c r="AC313" i="1"/>
  <c r="AD305" i="1"/>
  <c r="AC305" i="1"/>
  <c r="AD297" i="1"/>
  <c r="AC297" i="1"/>
  <c r="AD289" i="1"/>
  <c r="AC289" i="1"/>
  <c r="AD281" i="1"/>
  <c r="AC281" i="1"/>
  <c r="AD273" i="1"/>
  <c r="AC273" i="1"/>
  <c r="AD265" i="1"/>
  <c r="AC265" i="1"/>
  <c r="AD257" i="1"/>
  <c r="AC257" i="1"/>
  <c r="AD249" i="1"/>
  <c r="AC249" i="1"/>
  <c r="AD241" i="1"/>
  <c r="AC241" i="1"/>
  <c r="AD233" i="1"/>
  <c r="AC233" i="1"/>
  <c r="AD225" i="1"/>
  <c r="AC225" i="1"/>
  <c r="AD217" i="1"/>
  <c r="AC217" i="1"/>
  <c r="AD209" i="1"/>
  <c r="AC209" i="1"/>
  <c r="AD201" i="1"/>
  <c r="AC201" i="1"/>
  <c r="AD193" i="1"/>
  <c r="AC193" i="1"/>
  <c r="AD185" i="1"/>
  <c r="AC185" i="1"/>
  <c r="AD177" i="1"/>
  <c r="AC177" i="1"/>
  <c r="AD169" i="1"/>
  <c r="AC169" i="1"/>
  <c r="AD161" i="1"/>
  <c r="AC161" i="1"/>
  <c r="AD153" i="1"/>
  <c r="AC153" i="1"/>
  <c r="AD145" i="1"/>
  <c r="AC145" i="1"/>
  <c r="AD137" i="1"/>
  <c r="AC137" i="1"/>
  <c r="AC129" i="1"/>
  <c r="AD129" i="1"/>
  <c r="AD121" i="1"/>
  <c r="AC121" i="1"/>
  <c r="AD113" i="1"/>
  <c r="AC113" i="1"/>
  <c r="AD105" i="1"/>
  <c r="AC105" i="1"/>
  <c r="AC97" i="1"/>
  <c r="AD97" i="1"/>
  <c r="AD89" i="1"/>
  <c r="AC89" i="1"/>
  <c r="AD81" i="1"/>
  <c r="AC81" i="1"/>
  <c r="AD73" i="1"/>
  <c r="AC73" i="1"/>
  <c r="AC65" i="1"/>
  <c r="AD65" i="1"/>
  <c r="AD57" i="1"/>
  <c r="AC57" i="1"/>
  <c r="AD49" i="1"/>
  <c r="AC49" i="1"/>
  <c r="AD41" i="1"/>
  <c r="AC41" i="1"/>
  <c r="AC33" i="1"/>
  <c r="AD33" i="1"/>
  <c r="AD25" i="1"/>
  <c r="AC25" i="1"/>
  <c r="AD17" i="1"/>
  <c r="AC17" i="1"/>
  <c r="AD9" i="1"/>
  <c r="AC9" i="1"/>
  <c r="AD771" i="1"/>
  <c r="AC771" i="1"/>
  <c r="AC691" i="1"/>
  <c r="AD691" i="1"/>
  <c r="AC810" i="1"/>
  <c r="AD810" i="1"/>
  <c r="AD722" i="1"/>
  <c r="AC722" i="1"/>
  <c r="AD618" i="1"/>
  <c r="AC618" i="1"/>
  <c r="AD785" i="1"/>
  <c r="AC785" i="1"/>
  <c r="AD697" i="1"/>
  <c r="AC697" i="1"/>
  <c r="AD641" i="1"/>
  <c r="AC641" i="1"/>
  <c r="AD569" i="1"/>
  <c r="AC569" i="1"/>
  <c r="AD449" i="1"/>
  <c r="AC449" i="1"/>
  <c r="AD720" i="1"/>
  <c r="AC720" i="1"/>
  <c r="AD584" i="1"/>
  <c r="AC584" i="1"/>
  <c r="AD464" i="1"/>
  <c r="AC464" i="1"/>
  <c r="AD368" i="1"/>
  <c r="AC368" i="1"/>
  <c r="AD296" i="1"/>
  <c r="AC296" i="1"/>
  <c r="AD272" i="1"/>
  <c r="AC272" i="1"/>
  <c r="AD248" i="1"/>
  <c r="AC248" i="1"/>
  <c r="AD232" i="1"/>
  <c r="AC232" i="1"/>
  <c r="AC224" i="1"/>
  <c r="AD224" i="1"/>
  <c r="AD216" i="1"/>
  <c r="AC216" i="1"/>
  <c r="AD184" i="1"/>
  <c r="AC184" i="1"/>
  <c r="AD168" i="1"/>
  <c r="AC168" i="1"/>
  <c r="AC160" i="1"/>
  <c r="AD160" i="1"/>
  <c r="AD152" i="1"/>
  <c r="AC152" i="1"/>
  <c r="AD144" i="1"/>
  <c r="AC144" i="1"/>
  <c r="AD136" i="1"/>
  <c r="AC136" i="1"/>
  <c r="AD128" i="1"/>
  <c r="AC128" i="1"/>
  <c r="AD120" i="1"/>
  <c r="AC120" i="1"/>
  <c r="AD112" i="1"/>
  <c r="AC112" i="1"/>
  <c r="AD104" i="1"/>
  <c r="AC104" i="1"/>
  <c r="AC96" i="1"/>
  <c r="AD96" i="1"/>
  <c r="AD88" i="1"/>
  <c r="AC88" i="1"/>
  <c r="AD80" i="1"/>
  <c r="AC80" i="1"/>
  <c r="AD72" i="1"/>
  <c r="AC72" i="1"/>
  <c r="AD64" i="1"/>
  <c r="AC64" i="1"/>
  <c r="AD56" i="1"/>
  <c r="AC56" i="1"/>
  <c r="AD48" i="1"/>
  <c r="AC48" i="1"/>
  <c r="AD40" i="1"/>
  <c r="AC40" i="1"/>
  <c r="AC32" i="1"/>
  <c r="AD32" i="1"/>
  <c r="AD24" i="1"/>
  <c r="AC24" i="1"/>
  <c r="AD16" i="1"/>
  <c r="AC16" i="1"/>
  <c r="AD8" i="1"/>
  <c r="AC8" i="1"/>
  <c r="AC795" i="1"/>
  <c r="AD795" i="1"/>
  <c r="AD731" i="1"/>
  <c r="AC731" i="1"/>
  <c r="AD651" i="1"/>
  <c r="AC651" i="1"/>
  <c r="AC818" i="1"/>
  <c r="AD818" i="1"/>
  <c r="AD770" i="1"/>
  <c r="AC770" i="1"/>
  <c r="AD738" i="1"/>
  <c r="AC738" i="1"/>
  <c r="AD682" i="1"/>
  <c r="AC682" i="1"/>
  <c r="AD658" i="1"/>
  <c r="AC658" i="1"/>
  <c r="AD578" i="1"/>
  <c r="AC578" i="1"/>
  <c r="AD793" i="1"/>
  <c r="AC793" i="1"/>
  <c r="AD745" i="1"/>
  <c r="AC745" i="1"/>
  <c r="AD713" i="1"/>
  <c r="AC713" i="1"/>
  <c r="AD665" i="1"/>
  <c r="AC665" i="1"/>
  <c r="AD617" i="1"/>
  <c r="AC617" i="1"/>
  <c r="AD585" i="1"/>
  <c r="AC585" i="1"/>
  <c r="AD537" i="1"/>
  <c r="AC537" i="1"/>
  <c r="AD505" i="1"/>
  <c r="AC505" i="1"/>
  <c r="AD473" i="1"/>
  <c r="AC473" i="1"/>
  <c r="AC433" i="1"/>
  <c r="AD433" i="1"/>
  <c r="AD369" i="1"/>
  <c r="AC369" i="1"/>
  <c r="AD808" i="1"/>
  <c r="AC808" i="1"/>
  <c r="AD776" i="1"/>
  <c r="AC776" i="1"/>
  <c r="AD744" i="1"/>
  <c r="AC744" i="1"/>
  <c r="AD704" i="1"/>
  <c r="AC704" i="1"/>
  <c r="AD672" i="1"/>
  <c r="AC672" i="1"/>
  <c r="AD640" i="1"/>
  <c r="AC640" i="1"/>
  <c r="AD608" i="1"/>
  <c r="AC608" i="1"/>
  <c r="AD568" i="1"/>
  <c r="AC568" i="1"/>
  <c r="AD544" i="1"/>
  <c r="AC544" i="1"/>
  <c r="AD512" i="1"/>
  <c r="AC512" i="1"/>
  <c r="AD480" i="1"/>
  <c r="AC480" i="1"/>
  <c r="AD440" i="1"/>
  <c r="AC440" i="1"/>
  <c r="AC408" i="1"/>
  <c r="AD408" i="1"/>
  <c r="AD376" i="1"/>
  <c r="AC376" i="1"/>
  <c r="AD336" i="1"/>
  <c r="AC336" i="1"/>
  <c r="AD304" i="1"/>
  <c r="AC304" i="1"/>
  <c r="AC288" i="1"/>
  <c r="AD288" i="1"/>
  <c r="AD280" i="1"/>
  <c r="AC280" i="1"/>
  <c r="AD264" i="1"/>
  <c r="AC264" i="1"/>
  <c r="AC256" i="1"/>
  <c r="AD256" i="1"/>
  <c r="AD240" i="1"/>
  <c r="AC240" i="1"/>
  <c r="AD176" i="1"/>
  <c r="AC176" i="1"/>
  <c r="AC815" i="1"/>
  <c r="AD815" i="1"/>
  <c r="AC807" i="1"/>
  <c r="AD807" i="1"/>
  <c r="AD799" i="1"/>
  <c r="AC799" i="1"/>
  <c r="AD791" i="1"/>
  <c r="AC791" i="1"/>
  <c r="AC783" i="1"/>
  <c r="AD783" i="1"/>
  <c r="AC775" i="1"/>
  <c r="AD775" i="1"/>
  <c r="AD767" i="1"/>
  <c r="AC767" i="1"/>
  <c r="AD759" i="1"/>
  <c r="AC759" i="1"/>
  <c r="AD751" i="1"/>
  <c r="AC751" i="1"/>
  <c r="AD743" i="1"/>
  <c r="AC743" i="1"/>
  <c r="AD735" i="1"/>
  <c r="AC735" i="1"/>
  <c r="AC727" i="1"/>
  <c r="AD727" i="1"/>
  <c r="AD719" i="1"/>
  <c r="AC719" i="1"/>
  <c r="AD711" i="1"/>
  <c r="AC711" i="1"/>
  <c r="AD703" i="1"/>
  <c r="AC703" i="1"/>
  <c r="AD695" i="1"/>
  <c r="AC695" i="1"/>
  <c r="AC687" i="1"/>
  <c r="AD687" i="1"/>
  <c r="AD679" i="1"/>
  <c r="AC679" i="1"/>
  <c r="AD671" i="1"/>
  <c r="AC671" i="1"/>
  <c r="AD663" i="1"/>
  <c r="AC663" i="1"/>
  <c r="AD655" i="1"/>
  <c r="AC655" i="1"/>
  <c r="AD647" i="1"/>
  <c r="AC647" i="1"/>
  <c r="AD639" i="1"/>
  <c r="AC639" i="1"/>
  <c r="AD631" i="1"/>
  <c r="AC631" i="1"/>
  <c r="AD623" i="1"/>
  <c r="AC623" i="1"/>
  <c r="AD615" i="1"/>
  <c r="AC615" i="1"/>
  <c r="AD607" i="1"/>
  <c r="AC607" i="1"/>
  <c r="AD599" i="1"/>
  <c r="AC599" i="1"/>
  <c r="AD591" i="1"/>
  <c r="AC591" i="1"/>
  <c r="AC583" i="1"/>
  <c r="AD583" i="1"/>
  <c r="AD575" i="1"/>
  <c r="AC575" i="1"/>
  <c r="AD567" i="1"/>
  <c r="AC567" i="1"/>
  <c r="AC559" i="1"/>
  <c r="AD559" i="1"/>
  <c r="AD551" i="1"/>
  <c r="AC551" i="1"/>
  <c r="AD543" i="1"/>
  <c r="AC543" i="1"/>
  <c r="AD535" i="1"/>
  <c r="AC535" i="1"/>
  <c r="AD527" i="1"/>
  <c r="AC527" i="1"/>
  <c r="AD519" i="1"/>
  <c r="AC519" i="1"/>
  <c r="AC511" i="1"/>
  <c r="AD511" i="1"/>
  <c r="AD503" i="1"/>
  <c r="AC503" i="1"/>
  <c r="AD495" i="1"/>
  <c r="AC495" i="1"/>
  <c r="AC487" i="1"/>
  <c r="AD487" i="1"/>
  <c r="AD479" i="1"/>
  <c r="AC479" i="1"/>
  <c r="AD471" i="1"/>
  <c r="AC471" i="1"/>
  <c r="AD463" i="1"/>
  <c r="AC463" i="1"/>
  <c r="AD455" i="1"/>
  <c r="AC455" i="1"/>
  <c r="AD447" i="1"/>
  <c r="AC447" i="1"/>
  <c r="AD439" i="1"/>
  <c r="AC439" i="1"/>
  <c r="AD431" i="1"/>
  <c r="AC431" i="1"/>
  <c r="AD423" i="1"/>
  <c r="AC423" i="1"/>
  <c r="AD415" i="1"/>
  <c r="AC415" i="1"/>
  <c r="AD407" i="1"/>
  <c r="AC407" i="1"/>
  <c r="AD399" i="1"/>
  <c r="AC399" i="1"/>
  <c r="AD391" i="1"/>
  <c r="AC391" i="1"/>
  <c r="AD383" i="1"/>
  <c r="AC383" i="1"/>
  <c r="AD375" i="1"/>
  <c r="AC375" i="1"/>
  <c r="AD367" i="1"/>
  <c r="AC367" i="1"/>
  <c r="AD359" i="1"/>
  <c r="AC359" i="1"/>
  <c r="AD351" i="1"/>
  <c r="AC351" i="1"/>
  <c r="AD343" i="1"/>
  <c r="AC343" i="1"/>
  <c r="AD335" i="1"/>
  <c r="AC335" i="1"/>
  <c r="AD327" i="1"/>
  <c r="AC327" i="1"/>
  <c r="AD319" i="1"/>
  <c r="AC319" i="1"/>
  <c r="AD311" i="1"/>
  <c r="AC311" i="1"/>
  <c r="AD303" i="1"/>
  <c r="AC303" i="1"/>
  <c r="AD295" i="1"/>
  <c r="AC295" i="1"/>
  <c r="AD287" i="1"/>
  <c r="AC287" i="1"/>
  <c r="AD279" i="1"/>
  <c r="AC279" i="1"/>
  <c r="AD271" i="1"/>
  <c r="AC271" i="1"/>
  <c r="AD263" i="1"/>
  <c r="AC263" i="1"/>
  <c r="AD255" i="1"/>
  <c r="AC255" i="1"/>
  <c r="AD247" i="1"/>
  <c r="AC247" i="1"/>
  <c r="AD239" i="1"/>
  <c r="AC239" i="1"/>
  <c r="AD231" i="1"/>
  <c r="AC231" i="1"/>
  <c r="AD223" i="1"/>
  <c r="AC223" i="1"/>
  <c r="AD215" i="1"/>
  <c r="AC215" i="1"/>
  <c r="AD207" i="1"/>
  <c r="AC207" i="1"/>
  <c r="AD199" i="1"/>
  <c r="AC199" i="1"/>
  <c r="AD191" i="1"/>
  <c r="AC191" i="1"/>
  <c r="AD183" i="1"/>
  <c r="AC183" i="1"/>
  <c r="AD175" i="1"/>
  <c r="AC175" i="1"/>
  <c r="AD167" i="1"/>
  <c r="AC167" i="1"/>
  <c r="AD159" i="1"/>
  <c r="AC159" i="1"/>
  <c r="AD151" i="1"/>
  <c r="AC151" i="1"/>
  <c r="AD143" i="1"/>
  <c r="AC143" i="1"/>
  <c r="AD135" i="1"/>
  <c r="AC135" i="1"/>
  <c r="AD127" i="1"/>
  <c r="AC127" i="1"/>
  <c r="AD119" i="1"/>
  <c r="AC119" i="1"/>
  <c r="AD111" i="1"/>
  <c r="AC111" i="1"/>
  <c r="AD103" i="1"/>
  <c r="AC103" i="1"/>
  <c r="AD95" i="1"/>
  <c r="AC95" i="1"/>
  <c r="AD87" i="1"/>
  <c r="AC87" i="1"/>
  <c r="AD79" i="1"/>
  <c r="AC79" i="1"/>
  <c r="AD71" i="1"/>
  <c r="AC71" i="1"/>
  <c r="AD63" i="1"/>
  <c r="AC63" i="1"/>
  <c r="AD55" i="1"/>
  <c r="AC55" i="1"/>
  <c r="AD47" i="1"/>
  <c r="AC47" i="1"/>
  <c r="AD39" i="1"/>
  <c r="AC39" i="1"/>
  <c r="AD31" i="1"/>
  <c r="AC31" i="1"/>
  <c r="AD23" i="1"/>
  <c r="AC23" i="1"/>
  <c r="AD15" i="1"/>
  <c r="AC15" i="1"/>
  <c r="AD7" i="1"/>
  <c r="AC7" i="1"/>
  <c r="AD787" i="1"/>
  <c r="AC787" i="1"/>
  <c r="AD715" i="1"/>
  <c r="AC715" i="1"/>
  <c r="AD675" i="1"/>
  <c r="AC675" i="1"/>
  <c r="AD786" i="1"/>
  <c r="AC786" i="1"/>
  <c r="AD746" i="1"/>
  <c r="AC746" i="1"/>
  <c r="AD690" i="1"/>
  <c r="AC690" i="1"/>
  <c r="AD650" i="1"/>
  <c r="AC650" i="1"/>
  <c r="AD586" i="1"/>
  <c r="AC586" i="1"/>
  <c r="AD809" i="1"/>
  <c r="AC809" i="1"/>
  <c r="AD761" i="1"/>
  <c r="AC761" i="1"/>
  <c r="AD729" i="1"/>
  <c r="AC729" i="1"/>
  <c r="AD681" i="1"/>
  <c r="AC681" i="1"/>
  <c r="AD633" i="1"/>
  <c r="AC633" i="1"/>
  <c r="AD601" i="1"/>
  <c r="AC601" i="1"/>
  <c r="AD553" i="1"/>
  <c r="AC553" i="1"/>
  <c r="AD513" i="1"/>
  <c r="AC513" i="1"/>
  <c r="AD489" i="1"/>
  <c r="AC489" i="1"/>
  <c r="AD441" i="1"/>
  <c r="AC441" i="1"/>
  <c r="AD377" i="1"/>
  <c r="AC377" i="1"/>
  <c r="AD792" i="1"/>
  <c r="AC792" i="1"/>
  <c r="AD760" i="1"/>
  <c r="AC760" i="1"/>
  <c r="AD728" i="1"/>
  <c r="AC728" i="1"/>
  <c r="AD696" i="1"/>
  <c r="AC696" i="1"/>
  <c r="AD664" i="1"/>
  <c r="AC664" i="1"/>
  <c r="AC632" i="1"/>
  <c r="AD632" i="1"/>
  <c r="AD600" i="1"/>
  <c r="AC600" i="1"/>
  <c r="AD560" i="1"/>
  <c r="AC560" i="1"/>
  <c r="AD528" i="1"/>
  <c r="AC528" i="1"/>
  <c r="AD488" i="1"/>
  <c r="AC488" i="1"/>
  <c r="AD448" i="1"/>
  <c r="AC448" i="1"/>
  <c r="AD416" i="1"/>
  <c r="AC416" i="1"/>
  <c r="AC384" i="1"/>
  <c r="AD384" i="1"/>
  <c r="AD344" i="1"/>
  <c r="AC344" i="1"/>
  <c r="AC320" i="1"/>
  <c r="AD320" i="1"/>
  <c r="AD208" i="1"/>
  <c r="AC208" i="1"/>
  <c r="AD814" i="1"/>
  <c r="AC814" i="1"/>
  <c r="AD806" i="1"/>
  <c r="AC806" i="1"/>
  <c r="AD798" i="1"/>
  <c r="AC798" i="1"/>
  <c r="AD790" i="1"/>
  <c r="AC790" i="1"/>
  <c r="AD782" i="1"/>
  <c r="AC782" i="1"/>
  <c r="AD774" i="1"/>
  <c r="AC774" i="1"/>
  <c r="AC766" i="1"/>
  <c r="AD766" i="1"/>
  <c r="AD758" i="1"/>
  <c r="AC758" i="1"/>
  <c r="AC750" i="1"/>
  <c r="AD750" i="1"/>
  <c r="AD742" i="1"/>
  <c r="AC742" i="1"/>
  <c r="AD734" i="1"/>
  <c r="AC734" i="1"/>
  <c r="AD726" i="1"/>
  <c r="AC726" i="1"/>
  <c r="AD718" i="1"/>
  <c r="AC718" i="1"/>
  <c r="AD710" i="1"/>
  <c r="AC710" i="1"/>
  <c r="AC702" i="1"/>
  <c r="AD702" i="1"/>
  <c r="AD694" i="1"/>
  <c r="AC694" i="1"/>
  <c r="AD686" i="1"/>
  <c r="AC686" i="1"/>
  <c r="AD678" i="1"/>
  <c r="AC678" i="1"/>
  <c r="AD670" i="1"/>
  <c r="AC670" i="1"/>
  <c r="AD662" i="1"/>
  <c r="AC662" i="1"/>
  <c r="AD654" i="1"/>
  <c r="AC654" i="1"/>
  <c r="AD646" i="1"/>
  <c r="AC646" i="1"/>
  <c r="AD638" i="1"/>
  <c r="AC638" i="1"/>
  <c r="AD630" i="1"/>
  <c r="AC630" i="1"/>
  <c r="AD622" i="1"/>
  <c r="AC622" i="1"/>
  <c r="AD614" i="1"/>
  <c r="AC614" i="1"/>
  <c r="AD606" i="1"/>
  <c r="AC606" i="1"/>
  <c r="AD598" i="1"/>
  <c r="AC598" i="1"/>
  <c r="AD590" i="1"/>
  <c r="AC590" i="1"/>
  <c r="AD582" i="1"/>
  <c r="AC582" i="1"/>
  <c r="AD574" i="1"/>
  <c r="AC574" i="1"/>
  <c r="AD566" i="1"/>
  <c r="AC566" i="1"/>
  <c r="AD558" i="1"/>
  <c r="AC558" i="1"/>
  <c r="AD550" i="1"/>
  <c r="AC550" i="1"/>
  <c r="AC542" i="1"/>
  <c r="AD542" i="1"/>
  <c r="AD534" i="1"/>
  <c r="AC534" i="1"/>
  <c r="AD526" i="1"/>
  <c r="AC526" i="1"/>
  <c r="AD518" i="1"/>
  <c r="AC518" i="1"/>
  <c r="AD510" i="1"/>
  <c r="AC510" i="1"/>
  <c r="AD502" i="1"/>
  <c r="AC502" i="1"/>
  <c r="AD494" i="1"/>
  <c r="AC494" i="1"/>
  <c r="AD486" i="1"/>
  <c r="AC486" i="1"/>
  <c r="AD478" i="1"/>
  <c r="AC478" i="1"/>
  <c r="AD470" i="1"/>
  <c r="AC470" i="1"/>
  <c r="AD462" i="1"/>
  <c r="AC462" i="1"/>
  <c r="AD454" i="1"/>
  <c r="AC454" i="1"/>
  <c r="AD446" i="1"/>
  <c r="AC446" i="1"/>
  <c r="AC438" i="1"/>
  <c r="AD438" i="1"/>
  <c r="AD430" i="1"/>
  <c r="AC430" i="1"/>
  <c r="AD422" i="1"/>
  <c r="AC422" i="1"/>
  <c r="AC414" i="1"/>
  <c r="AD414" i="1"/>
  <c r="AD406" i="1"/>
  <c r="AC406" i="1"/>
  <c r="AD398" i="1"/>
  <c r="AC398" i="1"/>
  <c r="AD390" i="1"/>
  <c r="AC390" i="1"/>
  <c r="AC382" i="1"/>
  <c r="AD382" i="1"/>
  <c r="AD374" i="1"/>
  <c r="AC374" i="1"/>
  <c r="AD366" i="1"/>
  <c r="AC366" i="1"/>
  <c r="AD358" i="1"/>
  <c r="AC358" i="1"/>
  <c r="AC350" i="1"/>
  <c r="AD350" i="1"/>
  <c r="AD342" i="1"/>
  <c r="AC342" i="1"/>
  <c r="AD334" i="1"/>
  <c r="AC334" i="1"/>
  <c r="AD326" i="1"/>
  <c r="AC326" i="1"/>
  <c r="AC318" i="1"/>
  <c r="AD318" i="1"/>
  <c r="AD310" i="1"/>
  <c r="AC310" i="1"/>
  <c r="AD302" i="1"/>
  <c r="AC302" i="1"/>
  <c r="AD294" i="1"/>
  <c r="AC294" i="1"/>
  <c r="AC286" i="1"/>
  <c r="AD286" i="1"/>
  <c r="AD278" i="1"/>
  <c r="AC278" i="1"/>
  <c r="AD270" i="1"/>
  <c r="AC270" i="1"/>
  <c r="AD262" i="1"/>
  <c r="AC262" i="1"/>
  <c r="AC254" i="1"/>
  <c r="AD254" i="1"/>
  <c r="AD246" i="1"/>
  <c r="AC246" i="1"/>
  <c r="AD238" i="1"/>
  <c r="AC238" i="1"/>
  <c r="AD230" i="1"/>
  <c r="AC230" i="1"/>
  <c r="AC222" i="1"/>
  <c r="AD222" i="1"/>
  <c r="AD214" i="1"/>
  <c r="AC214" i="1"/>
  <c r="AD206" i="1"/>
  <c r="AC206" i="1"/>
  <c r="AD198" i="1"/>
  <c r="AC198" i="1"/>
  <c r="AC190" i="1"/>
  <c r="AD190" i="1"/>
  <c r="AD182" i="1"/>
  <c r="AC182" i="1"/>
  <c r="AD174" i="1"/>
  <c r="AC174" i="1"/>
  <c r="AD166" i="1"/>
  <c r="AC166" i="1"/>
  <c r="AC158" i="1"/>
  <c r="AD158" i="1"/>
  <c r="AD150" i="1"/>
  <c r="AC150" i="1"/>
  <c r="AD142" i="1"/>
  <c r="AC142" i="1"/>
  <c r="AD134" i="1"/>
  <c r="AC134" i="1"/>
  <c r="AC126" i="1"/>
  <c r="AD126" i="1"/>
  <c r="AD118" i="1"/>
  <c r="AC118" i="1"/>
  <c r="AD110" i="1"/>
  <c r="AC110" i="1"/>
  <c r="AD102" i="1"/>
  <c r="AC102" i="1"/>
  <c r="AD94" i="1"/>
  <c r="AC94" i="1"/>
  <c r="AD86" i="1"/>
  <c r="AC86" i="1"/>
  <c r="AC78" i="1"/>
  <c r="AD78" i="1"/>
  <c r="AD70" i="1"/>
  <c r="AC70" i="1"/>
  <c r="AC62" i="1"/>
  <c r="AD62" i="1"/>
  <c r="AD54" i="1"/>
  <c r="AC54" i="1"/>
  <c r="AD46" i="1"/>
  <c r="AC46" i="1"/>
  <c r="AD38" i="1"/>
  <c r="AC38" i="1"/>
  <c r="AD30" i="1"/>
  <c r="AC30" i="1"/>
  <c r="AD22" i="1"/>
  <c r="AC22" i="1"/>
  <c r="AC14" i="1"/>
  <c r="AD14" i="1"/>
  <c r="AD6" i="1"/>
  <c r="AC6" i="1"/>
  <c r="AD811" i="1"/>
  <c r="AC811" i="1"/>
  <c r="AD779" i="1"/>
  <c r="AC779" i="1"/>
  <c r="AD739" i="1"/>
  <c r="AC739" i="1"/>
  <c r="AD643" i="1"/>
  <c r="AC643" i="1"/>
  <c r="AC778" i="1"/>
  <c r="AD778" i="1"/>
  <c r="AD730" i="1"/>
  <c r="AC730" i="1"/>
  <c r="AC674" i="1"/>
  <c r="AD674" i="1"/>
  <c r="AC642" i="1"/>
  <c r="AD642" i="1"/>
  <c r="AC602" i="1"/>
  <c r="AD602" i="1"/>
  <c r="AD801" i="1"/>
  <c r="AC801" i="1"/>
  <c r="AD753" i="1"/>
  <c r="AC753" i="1"/>
  <c r="AD721" i="1"/>
  <c r="AC721" i="1"/>
  <c r="AD673" i="1"/>
  <c r="AC673" i="1"/>
  <c r="AD625" i="1"/>
  <c r="AC625" i="1"/>
  <c r="AD593" i="1"/>
  <c r="AC593" i="1"/>
  <c r="AD545" i="1"/>
  <c r="AC545" i="1"/>
  <c r="AD497" i="1"/>
  <c r="AC497" i="1"/>
  <c r="AD465" i="1"/>
  <c r="AC465" i="1"/>
  <c r="AD417" i="1"/>
  <c r="AC417" i="1"/>
  <c r="AD385" i="1"/>
  <c r="AC385" i="1"/>
  <c r="AD816" i="1"/>
  <c r="AC816" i="1"/>
  <c r="AD784" i="1"/>
  <c r="AC784" i="1"/>
  <c r="AD752" i="1"/>
  <c r="AC752" i="1"/>
  <c r="AD712" i="1"/>
  <c r="AC712" i="1"/>
  <c r="AD688" i="1"/>
  <c r="AC688" i="1"/>
  <c r="AD656" i="1"/>
  <c r="AC656" i="1"/>
  <c r="AD624" i="1"/>
  <c r="AC624" i="1"/>
  <c r="AD592" i="1"/>
  <c r="AC592" i="1"/>
  <c r="AD552" i="1"/>
  <c r="AC552" i="1"/>
  <c r="AD520" i="1"/>
  <c r="AC520" i="1"/>
  <c r="AD496" i="1"/>
  <c r="AC496" i="1"/>
  <c r="AD456" i="1"/>
  <c r="AC456" i="1"/>
  <c r="AD424" i="1"/>
  <c r="AC424" i="1"/>
  <c r="AD392" i="1"/>
  <c r="AC392" i="1"/>
  <c r="AD360" i="1"/>
  <c r="AC360" i="1"/>
  <c r="AD328" i="1"/>
  <c r="AC328" i="1"/>
  <c r="AC192" i="1"/>
  <c r="AD192" i="1"/>
  <c r="AD813" i="1"/>
  <c r="AC813" i="1"/>
  <c r="AC805" i="1"/>
  <c r="AD805" i="1"/>
  <c r="AD797" i="1"/>
  <c r="AC797" i="1"/>
  <c r="AD789" i="1"/>
  <c r="AC789" i="1"/>
  <c r="AD781" i="1"/>
  <c r="AC781" i="1"/>
  <c r="AD773" i="1"/>
  <c r="AC773" i="1"/>
  <c r="AD765" i="1"/>
  <c r="AC765" i="1"/>
  <c r="AD757" i="1"/>
  <c r="AC757" i="1"/>
  <c r="AD749" i="1"/>
  <c r="AC749" i="1"/>
  <c r="AD741" i="1"/>
  <c r="AC741" i="1"/>
  <c r="AD733" i="1"/>
  <c r="AC733" i="1"/>
  <c r="AC725" i="1"/>
  <c r="AD725" i="1"/>
  <c r="AD717" i="1"/>
  <c r="AC717" i="1"/>
  <c r="AD709" i="1"/>
  <c r="AC709" i="1"/>
  <c r="AD701" i="1"/>
  <c r="AC701" i="1"/>
  <c r="AD693" i="1"/>
  <c r="AC693" i="1"/>
  <c r="AC685" i="1"/>
  <c r="AD685" i="1"/>
  <c r="AD677" i="1"/>
  <c r="AC677" i="1"/>
  <c r="AD669" i="1"/>
  <c r="AC669" i="1"/>
  <c r="AD661" i="1"/>
  <c r="AC661" i="1"/>
  <c r="AD653" i="1"/>
  <c r="AC653" i="1"/>
  <c r="AD645" i="1"/>
  <c r="AC645" i="1"/>
  <c r="AD637" i="1"/>
  <c r="AC637" i="1"/>
  <c r="AD629" i="1"/>
  <c r="AC629" i="1"/>
  <c r="AD621" i="1"/>
  <c r="AC621" i="1"/>
  <c r="AD613" i="1"/>
  <c r="AC613" i="1"/>
  <c r="AD605" i="1"/>
  <c r="AC605" i="1"/>
  <c r="AD597" i="1"/>
  <c r="AC597" i="1"/>
  <c r="AD589" i="1"/>
  <c r="AC589" i="1"/>
  <c r="AD581" i="1"/>
  <c r="AC581" i="1"/>
  <c r="AD573" i="1"/>
  <c r="AC573" i="1"/>
  <c r="AD565" i="1"/>
  <c r="AC565" i="1"/>
  <c r="AD557" i="1"/>
  <c r="AC557" i="1"/>
  <c r="AD549" i="1"/>
  <c r="AC549" i="1"/>
  <c r="AD541" i="1"/>
  <c r="AC541" i="1"/>
  <c r="AD533" i="1"/>
  <c r="AC533" i="1"/>
  <c r="AD525" i="1"/>
  <c r="AC525" i="1"/>
  <c r="AD517" i="1"/>
  <c r="AC517" i="1"/>
  <c r="AD509" i="1"/>
  <c r="AC509" i="1"/>
  <c r="AD501" i="1"/>
  <c r="AC501" i="1"/>
  <c r="AD493" i="1"/>
  <c r="AC493" i="1"/>
  <c r="AD485" i="1"/>
  <c r="AC485" i="1"/>
  <c r="AD477" i="1"/>
  <c r="AC477" i="1"/>
  <c r="AD469" i="1"/>
  <c r="AC469" i="1"/>
  <c r="AD461" i="1"/>
  <c r="AC461" i="1"/>
  <c r="AD453" i="1"/>
  <c r="AC453" i="1"/>
  <c r="AD445" i="1"/>
  <c r="AC445" i="1"/>
  <c r="AD437" i="1"/>
  <c r="AC437" i="1"/>
  <c r="AD429" i="1"/>
  <c r="AC429" i="1"/>
  <c r="AD421" i="1"/>
  <c r="AC421" i="1"/>
  <c r="AD413" i="1"/>
  <c r="AC413" i="1"/>
  <c r="AD405" i="1"/>
  <c r="AC405" i="1"/>
  <c r="AD397" i="1"/>
  <c r="AC397" i="1"/>
  <c r="AD389" i="1"/>
  <c r="AC389" i="1"/>
  <c r="AC381" i="1"/>
  <c r="AD381" i="1"/>
  <c r="AD373" i="1"/>
  <c r="AC373" i="1"/>
  <c r="AD365" i="1"/>
  <c r="AC365" i="1"/>
  <c r="AD357" i="1"/>
  <c r="AC357" i="1"/>
  <c r="AC349" i="1"/>
  <c r="AD349" i="1"/>
  <c r="AD341" i="1"/>
  <c r="AC341" i="1"/>
  <c r="AD333" i="1"/>
  <c r="AC333" i="1"/>
  <c r="AD325" i="1"/>
  <c r="AC325" i="1"/>
  <c r="AC317" i="1"/>
  <c r="AD317" i="1"/>
  <c r="AD309" i="1"/>
  <c r="AC309" i="1"/>
  <c r="AD301" i="1"/>
  <c r="AC301" i="1"/>
  <c r="AD293" i="1"/>
  <c r="AC293" i="1"/>
  <c r="AC285" i="1"/>
  <c r="AD285" i="1"/>
  <c r="AD277" i="1"/>
  <c r="AC277" i="1"/>
  <c r="AD269" i="1"/>
  <c r="AC269" i="1"/>
  <c r="AD261" i="1"/>
  <c r="AC261" i="1"/>
  <c r="AC253" i="1"/>
  <c r="AD253" i="1"/>
  <c r="AD245" i="1"/>
  <c r="AC245" i="1"/>
  <c r="AD237" i="1"/>
  <c r="AC237" i="1"/>
  <c r="AD229" i="1"/>
  <c r="AC229" i="1"/>
  <c r="AC221" i="1"/>
  <c r="AD221" i="1"/>
  <c r="AD213" i="1"/>
  <c r="AC213" i="1"/>
  <c r="AD205" i="1"/>
  <c r="AC205" i="1"/>
  <c r="AD197" i="1"/>
  <c r="AC197" i="1"/>
  <c r="AC189" i="1"/>
  <c r="AD189" i="1"/>
  <c r="AD181" i="1"/>
  <c r="AC181" i="1"/>
  <c r="AD173" i="1"/>
  <c r="AC173" i="1"/>
  <c r="AD165" i="1"/>
  <c r="AC165" i="1"/>
  <c r="AC157" i="1"/>
  <c r="AD157" i="1"/>
  <c r="AD149" i="1"/>
  <c r="AC149" i="1"/>
  <c r="AD141" i="1"/>
  <c r="AC141" i="1"/>
  <c r="AD133" i="1"/>
  <c r="AC133" i="1"/>
  <c r="AC125" i="1"/>
  <c r="AD125" i="1"/>
  <c r="AD117" i="1"/>
  <c r="AC117" i="1"/>
  <c r="AC109" i="1"/>
  <c r="AD109" i="1"/>
  <c r="AD101" i="1"/>
  <c r="AC101" i="1"/>
  <c r="AC93" i="1"/>
  <c r="AD93" i="1"/>
  <c r="AD85" i="1"/>
  <c r="AC85" i="1"/>
  <c r="AC77" i="1"/>
  <c r="AD77" i="1"/>
  <c r="AD69" i="1"/>
  <c r="AC69" i="1"/>
  <c r="AC61" i="1"/>
  <c r="AD61" i="1"/>
  <c r="AD53" i="1"/>
  <c r="AC53" i="1"/>
  <c r="AC45" i="1"/>
  <c r="AD45" i="1"/>
  <c r="AD37" i="1"/>
  <c r="AC37" i="1"/>
  <c r="AC29" i="1"/>
  <c r="AD29" i="1"/>
  <c r="AD21" i="1"/>
  <c r="AC21" i="1"/>
  <c r="AC13" i="1"/>
  <c r="AD13" i="1"/>
  <c r="AD5" i="1"/>
  <c r="AC5" i="1"/>
  <c r="Y814" i="1"/>
  <c r="Z814" i="1"/>
  <c r="X814" i="1"/>
  <c r="Z806" i="1"/>
  <c r="Y806" i="1"/>
  <c r="Y798" i="1"/>
  <c r="Z798" i="1"/>
  <c r="X798" i="1"/>
  <c r="Z790" i="1"/>
  <c r="Y790" i="1"/>
  <c r="Y782" i="1"/>
  <c r="Z782" i="1"/>
  <c r="X782" i="1"/>
  <c r="Z774" i="1"/>
  <c r="Y774" i="1"/>
  <c r="Y766" i="1"/>
  <c r="Z766" i="1"/>
  <c r="X766" i="1"/>
  <c r="Z758" i="1"/>
  <c r="Y758" i="1"/>
  <c r="Y750" i="1"/>
  <c r="Z750" i="1"/>
  <c r="X750" i="1"/>
  <c r="Z742" i="1"/>
  <c r="Y742" i="1"/>
  <c r="Y734" i="1"/>
  <c r="Z734" i="1"/>
  <c r="X734" i="1"/>
  <c r="Z726" i="1"/>
  <c r="Y726" i="1"/>
  <c r="Y718" i="1"/>
  <c r="Z718" i="1"/>
  <c r="X718" i="1"/>
  <c r="Z710" i="1"/>
  <c r="Y710" i="1"/>
  <c r="Y702" i="1"/>
  <c r="Z702" i="1"/>
  <c r="X702" i="1"/>
  <c r="Z694" i="1"/>
  <c r="Y694" i="1"/>
  <c r="Y686" i="1"/>
  <c r="Z686" i="1"/>
  <c r="X686" i="1"/>
  <c r="Z678" i="1"/>
  <c r="Y678" i="1"/>
  <c r="Y670" i="1"/>
  <c r="Z670" i="1"/>
  <c r="X670" i="1"/>
  <c r="Z662" i="1"/>
  <c r="Y662" i="1"/>
  <c r="Z654" i="1"/>
  <c r="Y654" i="1"/>
  <c r="X654" i="1"/>
  <c r="Z646" i="1"/>
  <c r="Y646" i="1"/>
  <c r="X646" i="1"/>
  <c r="Y638" i="1"/>
  <c r="Z638" i="1"/>
  <c r="X638" i="1"/>
  <c r="Z630" i="1"/>
  <c r="Y630" i="1"/>
  <c r="X630" i="1"/>
  <c r="Y622" i="1"/>
  <c r="Z622" i="1"/>
  <c r="X622" i="1"/>
  <c r="Z614" i="1"/>
  <c r="Y614" i="1"/>
  <c r="X614" i="1"/>
  <c r="W614" i="1"/>
  <c r="Y606" i="1"/>
  <c r="Z606" i="1"/>
  <c r="X606" i="1"/>
  <c r="Z598" i="1"/>
  <c r="Y598" i="1"/>
  <c r="W598" i="1"/>
  <c r="X598" i="1"/>
  <c r="Y590" i="1"/>
  <c r="Z590" i="1"/>
  <c r="X590" i="1"/>
  <c r="W590" i="1"/>
  <c r="Z582" i="1"/>
  <c r="Y582" i="1"/>
  <c r="W582" i="1"/>
  <c r="X582" i="1"/>
  <c r="Y574" i="1"/>
  <c r="Z574" i="1"/>
  <c r="X574" i="1"/>
  <c r="Z566" i="1"/>
  <c r="Y566" i="1"/>
  <c r="X566" i="1"/>
  <c r="Y558" i="1"/>
  <c r="Z558" i="1"/>
  <c r="X558" i="1"/>
  <c r="Z550" i="1"/>
  <c r="Y550" i="1"/>
  <c r="W550" i="1"/>
  <c r="X550" i="1"/>
  <c r="Y542" i="1"/>
  <c r="Z542" i="1"/>
  <c r="W542" i="1"/>
  <c r="X542" i="1"/>
  <c r="Z534" i="1"/>
  <c r="Y534" i="1"/>
  <c r="W534" i="1"/>
  <c r="X534" i="1"/>
  <c r="Y526" i="1"/>
  <c r="Z526" i="1"/>
  <c r="W526" i="1"/>
  <c r="X526" i="1"/>
  <c r="Z518" i="1"/>
  <c r="Y518" i="1"/>
  <c r="W518" i="1"/>
  <c r="X518" i="1"/>
  <c r="Y510" i="1"/>
  <c r="Z510" i="1"/>
  <c r="W510" i="1"/>
  <c r="X510" i="1"/>
  <c r="Z502" i="1"/>
  <c r="Y502" i="1"/>
  <c r="W502" i="1"/>
  <c r="X502" i="1"/>
  <c r="Y494" i="1"/>
  <c r="Z494" i="1"/>
  <c r="W494" i="1"/>
  <c r="X494" i="1"/>
  <c r="Z486" i="1"/>
  <c r="Y486" i="1"/>
  <c r="W486" i="1"/>
  <c r="X486" i="1"/>
  <c r="Y478" i="1"/>
  <c r="Z478" i="1"/>
  <c r="W478" i="1"/>
  <c r="X478" i="1"/>
  <c r="Z470" i="1"/>
  <c r="Y470" i="1"/>
  <c r="W470" i="1"/>
  <c r="X470" i="1"/>
  <c r="Y462" i="1"/>
  <c r="Z462" i="1"/>
  <c r="X462" i="1"/>
  <c r="Z454" i="1"/>
  <c r="Y454" i="1"/>
  <c r="W454" i="1"/>
  <c r="X454" i="1"/>
  <c r="Y446" i="1"/>
  <c r="Z446" i="1"/>
  <c r="X446" i="1"/>
  <c r="Z438" i="1"/>
  <c r="Y438" i="1"/>
  <c r="X438" i="1"/>
  <c r="W438" i="1"/>
  <c r="Y430" i="1"/>
  <c r="Z430" i="1"/>
  <c r="X430" i="1"/>
  <c r="Z422" i="1"/>
  <c r="Y422" i="1"/>
  <c r="X422" i="1"/>
  <c r="W422" i="1"/>
  <c r="Y414" i="1"/>
  <c r="Z414" i="1"/>
  <c r="W414" i="1"/>
  <c r="X414" i="1"/>
  <c r="Z406" i="1"/>
  <c r="Y406" i="1"/>
  <c r="X406" i="1"/>
  <c r="W406" i="1"/>
  <c r="Y398" i="1"/>
  <c r="Z398" i="1"/>
  <c r="W398" i="1"/>
  <c r="X398" i="1"/>
  <c r="Z390" i="1"/>
  <c r="Y390" i="1"/>
  <c r="X390" i="1"/>
  <c r="W390" i="1"/>
  <c r="Y382" i="1"/>
  <c r="Z382" i="1"/>
  <c r="X382" i="1"/>
  <c r="W382" i="1"/>
  <c r="Z374" i="1"/>
  <c r="Y374" i="1"/>
  <c r="X374" i="1"/>
  <c r="W374" i="1"/>
  <c r="Y366" i="1"/>
  <c r="Z366" i="1"/>
  <c r="X366" i="1"/>
  <c r="W366" i="1"/>
  <c r="Z358" i="1"/>
  <c r="Y358" i="1"/>
  <c r="X358" i="1"/>
  <c r="W358" i="1"/>
  <c r="Y350" i="1"/>
  <c r="Z350" i="1"/>
  <c r="X350" i="1"/>
  <c r="W350" i="1"/>
  <c r="Z342" i="1"/>
  <c r="Y342" i="1"/>
  <c r="W342" i="1"/>
  <c r="X342" i="1"/>
  <c r="Y334" i="1"/>
  <c r="Z334" i="1"/>
  <c r="X334" i="1"/>
  <c r="W334" i="1"/>
  <c r="Z326" i="1"/>
  <c r="Y326" i="1"/>
  <c r="X326" i="1"/>
  <c r="Y318" i="1"/>
  <c r="Z318" i="1"/>
  <c r="W318" i="1"/>
  <c r="X318" i="1"/>
  <c r="Z310" i="1"/>
  <c r="Y310" i="1"/>
  <c r="X310" i="1"/>
  <c r="W310" i="1"/>
  <c r="Y813" i="1"/>
  <c r="Z813" i="1"/>
  <c r="X813" i="1"/>
  <c r="Y805" i="1"/>
  <c r="Z805" i="1"/>
  <c r="X805" i="1"/>
  <c r="Y797" i="1"/>
  <c r="Z797" i="1"/>
  <c r="X797" i="1"/>
  <c r="Y789" i="1"/>
  <c r="Z789" i="1"/>
  <c r="X789" i="1"/>
  <c r="Y781" i="1"/>
  <c r="Z781" i="1"/>
  <c r="X781" i="1"/>
  <c r="Y773" i="1"/>
  <c r="Z773" i="1"/>
  <c r="X773" i="1"/>
  <c r="Y765" i="1"/>
  <c r="Z765" i="1"/>
  <c r="X765" i="1"/>
  <c r="Y757" i="1"/>
  <c r="Z757" i="1"/>
  <c r="X757" i="1"/>
  <c r="Y749" i="1"/>
  <c r="Z749" i="1"/>
  <c r="X749" i="1"/>
  <c r="Y741" i="1"/>
  <c r="Z741" i="1"/>
  <c r="X741" i="1"/>
  <c r="Y733" i="1"/>
  <c r="Z733" i="1"/>
  <c r="X733" i="1"/>
  <c r="Y725" i="1"/>
  <c r="Z725" i="1"/>
  <c r="X725" i="1"/>
  <c r="Y717" i="1"/>
  <c r="Z717" i="1"/>
  <c r="X717" i="1"/>
  <c r="Y709" i="1"/>
  <c r="Z709" i="1"/>
  <c r="X709" i="1"/>
  <c r="Y701" i="1"/>
  <c r="Z701" i="1"/>
  <c r="X701" i="1"/>
  <c r="Y693" i="1"/>
  <c r="Z693" i="1"/>
  <c r="X693" i="1"/>
  <c r="Y685" i="1"/>
  <c r="Z685" i="1"/>
  <c r="X685" i="1"/>
  <c r="Y677" i="1"/>
  <c r="Z677" i="1"/>
  <c r="X677" i="1"/>
  <c r="Y669" i="1"/>
  <c r="Z669" i="1"/>
  <c r="X669" i="1"/>
  <c r="Z661" i="1"/>
  <c r="Y661" i="1"/>
  <c r="X661" i="1"/>
  <c r="Y653" i="1"/>
  <c r="Z653" i="1"/>
  <c r="X653" i="1"/>
  <c r="Y645" i="1"/>
  <c r="Z645" i="1"/>
  <c r="X645" i="1"/>
  <c r="Z637" i="1"/>
  <c r="Y637" i="1"/>
  <c r="X637" i="1"/>
  <c r="Y629" i="1"/>
  <c r="Z629" i="1"/>
  <c r="X629" i="1"/>
  <c r="Z621" i="1"/>
  <c r="Y621" i="1"/>
  <c r="W621" i="1"/>
  <c r="X621" i="1"/>
  <c r="Y613" i="1"/>
  <c r="Z613" i="1"/>
  <c r="W613" i="1"/>
  <c r="X613" i="1"/>
  <c r="Z605" i="1"/>
  <c r="Y605" i="1"/>
  <c r="W605" i="1"/>
  <c r="X605" i="1"/>
  <c r="Y597" i="1"/>
  <c r="Z597" i="1"/>
  <c r="W597" i="1"/>
  <c r="X597" i="1"/>
  <c r="Z589" i="1"/>
  <c r="Y589" i="1"/>
  <c r="W589" i="1"/>
  <c r="X589" i="1"/>
  <c r="Y581" i="1"/>
  <c r="Z581" i="1"/>
  <c r="W581" i="1"/>
  <c r="X581" i="1"/>
  <c r="Z573" i="1"/>
  <c r="Y573" i="1"/>
  <c r="W573" i="1"/>
  <c r="X573" i="1"/>
  <c r="Y565" i="1"/>
  <c r="Z565" i="1"/>
  <c r="W565" i="1"/>
  <c r="X565" i="1"/>
  <c r="Z557" i="1"/>
  <c r="Y557" i="1"/>
  <c r="W557" i="1"/>
  <c r="X557" i="1"/>
  <c r="Y549" i="1"/>
  <c r="Z549" i="1"/>
  <c r="W549" i="1"/>
  <c r="X549" i="1"/>
  <c r="Z541" i="1"/>
  <c r="Y541" i="1"/>
  <c r="W541" i="1"/>
  <c r="X541" i="1"/>
  <c r="Y533" i="1"/>
  <c r="Z533" i="1"/>
  <c r="W533" i="1"/>
  <c r="X533" i="1"/>
  <c r="Z525" i="1"/>
  <c r="Y525" i="1"/>
  <c r="W525" i="1"/>
  <c r="X525" i="1"/>
  <c r="Y517" i="1"/>
  <c r="Z517" i="1"/>
  <c r="W517" i="1"/>
  <c r="X517" i="1"/>
  <c r="Z509" i="1"/>
  <c r="Y509" i="1"/>
  <c r="W509" i="1"/>
  <c r="X509" i="1"/>
  <c r="Y501" i="1"/>
  <c r="Z501" i="1"/>
  <c r="W501" i="1"/>
  <c r="X501" i="1"/>
  <c r="Z493" i="1"/>
  <c r="Y493" i="1"/>
  <c r="W493" i="1"/>
  <c r="X493" i="1"/>
  <c r="Y485" i="1"/>
  <c r="Z485" i="1"/>
  <c r="W485" i="1"/>
  <c r="X485" i="1"/>
  <c r="Z477" i="1"/>
  <c r="Y477" i="1"/>
  <c r="W477" i="1"/>
  <c r="X477" i="1"/>
  <c r="Y469" i="1"/>
  <c r="Z469" i="1"/>
  <c r="W469" i="1"/>
  <c r="X469" i="1"/>
  <c r="Z461" i="1"/>
  <c r="Y461" i="1"/>
  <c r="W461" i="1"/>
  <c r="X461" i="1"/>
  <c r="Y453" i="1"/>
  <c r="W453" i="1"/>
  <c r="Z453" i="1"/>
  <c r="X453" i="1"/>
  <c r="Z445" i="1"/>
  <c r="Y445" i="1"/>
  <c r="W445" i="1"/>
  <c r="X445" i="1"/>
  <c r="Y437" i="1"/>
  <c r="Z437" i="1"/>
  <c r="W437" i="1"/>
  <c r="X437" i="1"/>
  <c r="Z429" i="1"/>
  <c r="Y429" i="1"/>
  <c r="X429" i="1"/>
  <c r="W429" i="1"/>
  <c r="Y421" i="1"/>
  <c r="W421" i="1"/>
  <c r="X421" i="1"/>
  <c r="Z421" i="1"/>
  <c r="Z413" i="1"/>
  <c r="Y413" i="1"/>
  <c r="W413" i="1"/>
  <c r="X413" i="1"/>
  <c r="Y405" i="1"/>
  <c r="Z405" i="1"/>
  <c r="W405" i="1"/>
  <c r="X405" i="1"/>
  <c r="Z397" i="1"/>
  <c r="Y397" i="1"/>
  <c r="W397" i="1"/>
  <c r="X397" i="1"/>
  <c r="Y389" i="1"/>
  <c r="W389" i="1"/>
  <c r="Z389" i="1"/>
  <c r="X389" i="1"/>
  <c r="Z381" i="1"/>
  <c r="Y381" i="1"/>
  <c r="W381" i="1"/>
  <c r="X381" i="1"/>
  <c r="Y373" i="1"/>
  <c r="Z373" i="1"/>
  <c r="W373" i="1"/>
  <c r="X373" i="1"/>
  <c r="Z365" i="1"/>
  <c r="Y365" i="1"/>
  <c r="X365" i="1"/>
  <c r="W365" i="1"/>
  <c r="Y357" i="1"/>
  <c r="W357" i="1"/>
  <c r="Z357" i="1"/>
  <c r="X357" i="1"/>
  <c r="Z349" i="1"/>
  <c r="Y349" i="1"/>
  <c r="W349" i="1"/>
  <c r="X349" i="1"/>
  <c r="Y341" i="1"/>
  <c r="Z341" i="1"/>
  <c r="W341" i="1"/>
  <c r="X341" i="1"/>
  <c r="Z333" i="1"/>
  <c r="Y333" i="1"/>
  <c r="W333" i="1"/>
  <c r="X333" i="1"/>
  <c r="Y325" i="1"/>
  <c r="W325" i="1"/>
  <c r="X325" i="1"/>
  <c r="Z325" i="1"/>
  <c r="Z317" i="1"/>
  <c r="Y317" i="1"/>
  <c r="W317" i="1"/>
  <c r="X317" i="1"/>
  <c r="Y309" i="1"/>
  <c r="Z309" i="1"/>
  <c r="W309" i="1"/>
  <c r="X309" i="1"/>
  <c r="Z301" i="1"/>
  <c r="Y301" i="1"/>
  <c r="W301" i="1"/>
  <c r="X301" i="1"/>
  <c r="Y293" i="1"/>
  <c r="W293" i="1"/>
  <c r="X293" i="1"/>
  <c r="Z293" i="1"/>
  <c r="Z285" i="1"/>
  <c r="Y285" i="1"/>
  <c r="W285" i="1"/>
  <c r="X285" i="1"/>
  <c r="Y277" i="1"/>
  <c r="Z277" i="1"/>
  <c r="W277" i="1"/>
  <c r="X277" i="1"/>
  <c r="Z269" i="1"/>
  <c r="Y269" i="1"/>
  <c r="W269" i="1"/>
  <c r="X269" i="1"/>
  <c r="Z261" i="1"/>
  <c r="W261" i="1"/>
  <c r="X261" i="1"/>
  <c r="Y261" i="1"/>
  <c r="Z253" i="1"/>
  <c r="Y253" i="1"/>
  <c r="W253" i="1"/>
  <c r="X253" i="1"/>
  <c r="Z245" i="1"/>
  <c r="W245" i="1"/>
  <c r="Y245" i="1"/>
  <c r="X245" i="1"/>
  <c r="Z237" i="1"/>
  <c r="Y237" i="1"/>
  <c r="W237" i="1"/>
  <c r="X237" i="1"/>
  <c r="Y229" i="1"/>
  <c r="W229" i="1"/>
  <c r="X229" i="1"/>
  <c r="Z229" i="1"/>
  <c r="Z221" i="1"/>
  <c r="Y221" i="1"/>
  <c r="W221" i="1"/>
  <c r="X221" i="1"/>
  <c r="Z213" i="1"/>
  <c r="W213" i="1"/>
  <c r="Y213" i="1"/>
  <c r="X213" i="1"/>
  <c r="Z205" i="1"/>
  <c r="Y205" i="1"/>
  <c r="X205" i="1"/>
  <c r="W205" i="1"/>
  <c r="Y197" i="1"/>
  <c r="W197" i="1"/>
  <c r="Z197" i="1"/>
  <c r="X197" i="1"/>
  <c r="Z189" i="1"/>
  <c r="X189" i="1"/>
  <c r="W189" i="1"/>
  <c r="Y189" i="1"/>
  <c r="Y181" i="1"/>
  <c r="Z181" i="1"/>
  <c r="W181" i="1"/>
  <c r="X181" i="1"/>
  <c r="Z173" i="1"/>
  <c r="X173" i="1"/>
  <c r="W173" i="1"/>
  <c r="Y173" i="1"/>
  <c r="Y165" i="1"/>
  <c r="Z165" i="1"/>
  <c r="W165" i="1"/>
  <c r="X165" i="1"/>
  <c r="Z157" i="1"/>
  <c r="Y157" i="1"/>
  <c r="X157" i="1"/>
  <c r="W157" i="1"/>
  <c r="Z149" i="1"/>
  <c r="Y149" i="1"/>
  <c r="W149" i="1"/>
  <c r="X149" i="1"/>
  <c r="Z141" i="1"/>
  <c r="X141" i="1"/>
  <c r="W141" i="1"/>
  <c r="Y141" i="1"/>
  <c r="Z133" i="1"/>
  <c r="Y133" i="1"/>
  <c r="W133" i="1"/>
  <c r="X133" i="1"/>
  <c r="Z125" i="1"/>
  <c r="X125" i="1"/>
  <c r="W125" i="1"/>
  <c r="Y125" i="1"/>
  <c r="Z117" i="1"/>
  <c r="Y117" i="1"/>
  <c r="W117" i="1"/>
  <c r="X117" i="1"/>
  <c r="Z109" i="1"/>
  <c r="X109" i="1"/>
  <c r="W109" i="1"/>
  <c r="Y109" i="1"/>
  <c r="Z101" i="1"/>
  <c r="Y101" i="1"/>
  <c r="W101" i="1"/>
  <c r="X101" i="1"/>
  <c r="Z93" i="1"/>
  <c r="X93" i="1"/>
  <c r="W93" i="1"/>
  <c r="Y93" i="1"/>
  <c r="Z85" i="1"/>
  <c r="Y85" i="1"/>
  <c r="W85" i="1"/>
  <c r="X85" i="1"/>
  <c r="Z77" i="1"/>
  <c r="X77" i="1"/>
  <c r="W77" i="1"/>
  <c r="Y77" i="1"/>
  <c r="Z69" i="1"/>
  <c r="Y69" i="1"/>
  <c r="W69" i="1"/>
  <c r="X69" i="1"/>
  <c r="Z61" i="1"/>
  <c r="X61" i="1"/>
  <c r="W61" i="1"/>
  <c r="Y61" i="1"/>
  <c r="Z53" i="1"/>
  <c r="Y53" i="1"/>
  <c r="W53" i="1"/>
  <c r="X53" i="1"/>
  <c r="Z45" i="1"/>
  <c r="X45" i="1"/>
  <c r="W45" i="1"/>
  <c r="Y45" i="1"/>
  <c r="Z37" i="1"/>
  <c r="Y37" i="1"/>
  <c r="W37" i="1"/>
  <c r="X37" i="1"/>
  <c r="Z29" i="1"/>
  <c r="Y29" i="1"/>
  <c r="X29" i="1"/>
  <c r="W29" i="1"/>
  <c r="Z21" i="1"/>
  <c r="Y21" i="1"/>
  <c r="W21" i="1"/>
  <c r="X21" i="1"/>
  <c r="Z13" i="1"/>
  <c r="X13" i="1"/>
  <c r="W13" i="1"/>
  <c r="Y13" i="1"/>
  <c r="Z5" i="1"/>
  <c r="Y5" i="1"/>
  <c r="W5" i="1"/>
  <c r="X5" i="1"/>
  <c r="Z820" i="1"/>
  <c r="Y820" i="1"/>
  <c r="Z812" i="1"/>
  <c r="Y812" i="1"/>
  <c r="X812" i="1"/>
  <c r="Z804" i="1"/>
  <c r="Y804" i="1"/>
  <c r="X804" i="1"/>
  <c r="Z796" i="1"/>
  <c r="Y796" i="1"/>
  <c r="X796" i="1"/>
  <c r="Z788" i="1"/>
  <c r="Y788" i="1"/>
  <c r="Z780" i="1"/>
  <c r="Y780" i="1"/>
  <c r="X780" i="1"/>
  <c r="Z772" i="1"/>
  <c r="Y772" i="1"/>
  <c r="X772" i="1"/>
  <c r="Z764" i="1"/>
  <c r="Y764" i="1"/>
  <c r="X764" i="1"/>
  <c r="Z756" i="1"/>
  <c r="Y756" i="1"/>
  <c r="Z748" i="1"/>
  <c r="Y748" i="1"/>
  <c r="X748" i="1"/>
  <c r="Z740" i="1"/>
  <c r="Y740" i="1"/>
  <c r="X740" i="1"/>
  <c r="Z732" i="1"/>
  <c r="Y732" i="1"/>
  <c r="X732" i="1"/>
  <c r="Z724" i="1"/>
  <c r="Y724" i="1"/>
  <c r="Z716" i="1"/>
  <c r="Y716" i="1"/>
  <c r="X716" i="1"/>
  <c r="Z708" i="1"/>
  <c r="Y708" i="1"/>
  <c r="X708" i="1"/>
  <c r="Z700" i="1"/>
  <c r="Y700" i="1"/>
  <c r="X700" i="1"/>
  <c r="Z692" i="1"/>
  <c r="Y692" i="1"/>
  <c r="Z684" i="1"/>
  <c r="Y684" i="1"/>
  <c r="X684" i="1"/>
  <c r="Z676" i="1"/>
  <c r="Y676" i="1"/>
  <c r="X676" i="1"/>
  <c r="Z668" i="1"/>
  <c r="Y668" i="1"/>
  <c r="X668" i="1"/>
  <c r="Z660" i="1"/>
  <c r="Y660" i="1"/>
  <c r="Z652" i="1"/>
  <c r="Y652" i="1"/>
  <c r="X652" i="1"/>
  <c r="Z644" i="1"/>
  <c r="Y644" i="1"/>
  <c r="X644" i="1"/>
  <c r="Z636" i="1"/>
  <c r="Y636" i="1"/>
  <c r="X636" i="1"/>
  <c r="Z628" i="1"/>
  <c r="Y628" i="1"/>
  <c r="X628" i="1"/>
  <c r="Z620" i="1"/>
  <c r="Y620" i="1"/>
  <c r="X620" i="1"/>
  <c r="Z612" i="1"/>
  <c r="Y612" i="1"/>
  <c r="X612" i="1"/>
  <c r="Z604" i="1"/>
  <c r="Y604" i="1"/>
  <c r="X604" i="1"/>
  <c r="W604" i="1"/>
  <c r="Z596" i="1"/>
  <c r="Y596" i="1"/>
  <c r="X596" i="1"/>
  <c r="Z588" i="1"/>
  <c r="Y588" i="1"/>
  <c r="X588" i="1"/>
  <c r="W588" i="1"/>
  <c r="Z580" i="1"/>
  <c r="Y580" i="1"/>
  <c r="X580" i="1"/>
  <c r="W580" i="1"/>
  <c r="Z572" i="1"/>
  <c r="Y572" i="1"/>
  <c r="X572" i="1"/>
  <c r="W572" i="1"/>
  <c r="Z564" i="1"/>
  <c r="Y564" i="1"/>
  <c r="X564" i="1"/>
  <c r="Z556" i="1"/>
  <c r="Y556" i="1"/>
  <c r="X556" i="1"/>
  <c r="Z548" i="1"/>
  <c r="Y548" i="1"/>
  <c r="X548" i="1"/>
  <c r="W548" i="1"/>
  <c r="Z540" i="1"/>
  <c r="Y540" i="1"/>
  <c r="X540" i="1"/>
  <c r="W540" i="1"/>
  <c r="Z532" i="1"/>
  <c r="Y532" i="1"/>
  <c r="W532" i="1"/>
  <c r="X532" i="1"/>
  <c r="Z524" i="1"/>
  <c r="Y524" i="1"/>
  <c r="X524" i="1"/>
  <c r="Z516" i="1"/>
  <c r="Y516" i="1"/>
  <c r="X516" i="1"/>
  <c r="Z508" i="1"/>
  <c r="Y508" i="1"/>
  <c r="X508" i="1"/>
  <c r="W508" i="1"/>
  <c r="Z500" i="1"/>
  <c r="Y500" i="1"/>
  <c r="X500" i="1"/>
  <c r="Z492" i="1"/>
  <c r="Y492" i="1"/>
  <c r="X492" i="1"/>
  <c r="W492" i="1"/>
  <c r="Z484" i="1"/>
  <c r="Y484" i="1"/>
  <c r="X484" i="1"/>
  <c r="Z476" i="1"/>
  <c r="Y476" i="1"/>
  <c r="W476" i="1"/>
  <c r="X476" i="1"/>
  <c r="Z468" i="1"/>
  <c r="Y468" i="1"/>
  <c r="W468" i="1"/>
  <c r="X468" i="1"/>
  <c r="Z460" i="1"/>
  <c r="Y460" i="1"/>
  <c r="X460" i="1"/>
  <c r="W460" i="1"/>
  <c r="Z452" i="1"/>
  <c r="Y452" i="1"/>
  <c r="W452" i="1"/>
  <c r="X452" i="1"/>
  <c r="Z444" i="1"/>
  <c r="Y444" i="1"/>
  <c r="X444" i="1"/>
  <c r="Z436" i="1"/>
  <c r="Y436" i="1"/>
  <c r="W436" i="1"/>
  <c r="X436" i="1"/>
  <c r="Z428" i="1"/>
  <c r="Y428" i="1"/>
  <c r="X428" i="1"/>
  <c r="Z420" i="1"/>
  <c r="Y420" i="1"/>
  <c r="X420" i="1"/>
  <c r="W420" i="1"/>
  <c r="Z412" i="1"/>
  <c r="Y412" i="1"/>
  <c r="X412" i="1"/>
  <c r="W412" i="1"/>
  <c r="Z404" i="1"/>
  <c r="Y404" i="1"/>
  <c r="X404" i="1"/>
  <c r="W404" i="1"/>
  <c r="Z396" i="1"/>
  <c r="Y396" i="1"/>
  <c r="W396" i="1"/>
  <c r="X396" i="1"/>
  <c r="Z388" i="1"/>
  <c r="Y388" i="1"/>
  <c r="X388" i="1"/>
  <c r="Z380" i="1"/>
  <c r="Y380" i="1"/>
  <c r="W380" i="1"/>
  <c r="X380" i="1"/>
  <c r="Z372" i="1"/>
  <c r="Y372" i="1"/>
  <c r="X372" i="1"/>
  <c r="Z364" i="1"/>
  <c r="Y364" i="1"/>
  <c r="X364" i="1"/>
  <c r="W364" i="1"/>
  <c r="Z356" i="1"/>
  <c r="Y356" i="1"/>
  <c r="X356" i="1"/>
  <c r="Z348" i="1"/>
  <c r="Y348" i="1"/>
  <c r="X348" i="1"/>
  <c r="W348" i="1"/>
  <c r="Z340" i="1"/>
  <c r="Y340" i="1"/>
  <c r="W340" i="1"/>
  <c r="X340" i="1"/>
  <c r="Z332" i="1"/>
  <c r="Y332" i="1"/>
  <c r="W332" i="1"/>
  <c r="X332" i="1"/>
  <c r="Z324" i="1"/>
  <c r="Y324" i="1"/>
  <c r="X324" i="1"/>
  <c r="W324" i="1"/>
  <c r="Z316" i="1"/>
  <c r="Y316" i="1"/>
  <c r="X316" i="1"/>
  <c r="W316" i="1"/>
  <c r="Z308" i="1"/>
  <c r="Y308" i="1"/>
  <c r="X308" i="1"/>
  <c r="Z300" i="1"/>
  <c r="Y300" i="1"/>
  <c r="W300" i="1"/>
  <c r="X300" i="1"/>
  <c r="Z292" i="1"/>
  <c r="Y292" i="1"/>
  <c r="X292" i="1"/>
  <c r="Z284" i="1"/>
  <c r="Y284" i="1"/>
  <c r="X284" i="1"/>
  <c r="W284" i="1"/>
  <c r="Z276" i="1"/>
  <c r="Y276" i="1"/>
  <c r="W276" i="1"/>
  <c r="X276" i="1"/>
  <c r="Z268" i="1"/>
  <c r="Y268" i="1"/>
  <c r="W268" i="1"/>
  <c r="X268" i="1"/>
  <c r="Z260" i="1"/>
  <c r="Y260" i="1"/>
  <c r="X260" i="1"/>
  <c r="W260" i="1"/>
  <c r="Z252" i="1"/>
  <c r="X252" i="1"/>
  <c r="Y252" i="1"/>
  <c r="W252" i="1"/>
  <c r="Z244" i="1"/>
  <c r="W244" i="1"/>
  <c r="Y244" i="1"/>
  <c r="X244" i="1"/>
  <c r="Z236" i="1"/>
  <c r="Y236" i="1"/>
  <c r="W236" i="1"/>
  <c r="X236" i="1"/>
  <c r="Z228" i="1"/>
  <c r="Y228" i="1"/>
  <c r="X228" i="1"/>
  <c r="W228" i="1"/>
  <c r="Z220" i="1"/>
  <c r="Y220" i="1"/>
  <c r="X220" i="1"/>
  <c r="W220" i="1"/>
  <c r="Z212" i="1"/>
  <c r="Y212" i="1"/>
  <c r="W212" i="1"/>
  <c r="X212" i="1"/>
  <c r="Z204" i="1"/>
  <c r="Y204" i="1"/>
  <c r="X204" i="1"/>
  <c r="W204" i="1"/>
  <c r="Z196" i="1"/>
  <c r="Y196" i="1"/>
  <c r="W196" i="1"/>
  <c r="X196" i="1"/>
  <c r="Z188" i="1"/>
  <c r="Y188" i="1"/>
  <c r="X188" i="1"/>
  <c r="W188" i="1"/>
  <c r="Z180" i="1"/>
  <c r="Y180" i="1"/>
  <c r="W180" i="1"/>
  <c r="X180" i="1"/>
  <c r="Z172" i="1"/>
  <c r="Y172" i="1"/>
  <c r="X172" i="1"/>
  <c r="W172" i="1"/>
  <c r="Z164" i="1"/>
  <c r="Y164" i="1"/>
  <c r="W164" i="1"/>
  <c r="X164" i="1"/>
  <c r="Z156" i="1"/>
  <c r="Y156" i="1"/>
  <c r="X156" i="1"/>
  <c r="W156" i="1"/>
  <c r="Z148" i="1"/>
  <c r="Y148" i="1"/>
  <c r="W148" i="1"/>
  <c r="X148" i="1"/>
  <c r="Z140" i="1"/>
  <c r="Y140" i="1"/>
  <c r="X140" i="1"/>
  <c r="W140" i="1"/>
  <c r="Z132" i="1"/>
  <c r="Y132" i="1"/>
  <c r="W132" i="1"/>
  <c r="X132" i="1"/>
  <c r="Z124" i="1"/>
  <c r="Y124" i="1"/>
  <c r="X124" i="1"/>
  <c r="W124" i="1"/>
  <c r="Z116" i="1"/>
  <c r="Y116" i="1"/>
  <c r="W116" i="1"/>
  <c r="X116" i="1"/>
  <c r="Z108" i="1"/>
  <c r="Y108" i="1"/>
  <c r="X108" i="1"/>
  <c r="W108" i="1"/>
  <c r="Z100" i="1"/>
  <c r="Y100" i="1"/>
  <c r="W100" i="1"/>
  <c r="X100" i="1"/>
  <c r="Z92" i="1"/>
  <c r="Y92" i="1"/>
  <c r="X92" i="1"/>
  <c r="W92" i="1"/>
  <c r="Z84" i="1"/>
  <c r="Y84" i="1"/>
  <c r="W84" i="1"/>
  <c r="X84" i="1"/>
  <c r="Z76" i="1"/>
  <c r="Y76" i="1"/>
  <c r="X76" i="1"/>
  <c r="W76" i="1"/>
  <c r="Z68" i="1"/>
  <c r="Y68" i="1"/>
  <c r="W68" i="1"/>
  <c r="X68" i="1"/>
  <c r="Z60" i="1"/>
  <c r="Y60" i="1"/>
  <c r="X60" i="1"/>
  <c r="W60" i="1"/>
  <c r="Z52" i="1"/>
  <c r="Y52" i="1"/>
  <c r="W52" i="1"/>
  <c r="X52" i="1"/>
  <c r="Z44" i="1"/>
  <c r="Y44" i="1"/>
  <c r="X44" i="1"/>
  <c r="W44" i="1"/>
  <c r="Z36" i="1"/>
  <c r="Y36" i="1"/>
  <c r="W36" i="1"/>
  <c r="X36" i="1"/>
  <c r="Z28" i="1"/>
  <c r="Y28" i="1"/>
  <c r="X28" i="1"/>
  <c r="W28" i="1"/>
  <c r="Z20" i="1"/>
  <c r="Y20" i="1"/>
  <c r="W20" i="1"/>
  <c r="X20" i="1"/>
  <c r="Z12" i="1"/>
  <c r="Y12" i="1"/>
  <c r="X12" i="1"/>
  <c r="W12" i="1"/>
  <c r="Z4" i="1"/>
  <c r="Y4" i="1"/>
  <c r="W4" i="1"/>
  <c r="X4" i="1"/>
  <c r="W805" i="1"/>
  <c r="W781" i="1"/>
  <c r="W292" i="1"/>
  <c r="X758" i="1"/>
  <c r="X694" i="1"/>
  <c r="Z819" i="1"/>
  <c r="Y819" i="1"/>
  <c r="Z811" i="1"/>
  <c r="Y811" i="1"/>
  <c r="X811" i="1"/>
  <c r="Z803" i="1"/>
  <c r="Y803" i="1"/>
  <c r="X803" i="1"/>
  <c r="Z795" i="1"/>
  <c r="Y795" i="1"/>
  <c r="X795" i="1"/>
  <c r="Z787" i="1"/>
  <c r="Y787" i="1"/>
  <c r="Z779" i="1"/>
  <c r="Y779" i="1"/>
  <c r="X779" i="1"/>
  <c r="Z771" i="1"/>
  <c r="Y771" i="1"/>
  <c r="X771" i="1"/>
  <c r="Z763" i="1"/>
  <c r="Y763" i="1"/>
  <c r="X763" i="1"/>
  <c r="W763" i="1"/>
  <c r="Z755" i="1"/>
  <c r="Y755" i="1"/>
  <c r="W755" i="1"/>
  <c r="Z747" i="1"/>
  <c r="Y747" i="1"/>
  <c r="X747" i="1"/>
  <c r="W747" i="1"/>
  <c r="Z739" i="1"/>
  <c r="Y739" i="1"/>
  <c r="X739" i="1"/>
  <c r="W739" i="1"/>
  <c r="Z731" i="1"/>
  <c r="Y731" i="1"/>
  <c r="X731" i="1"/>
  <c r="W731" i="1"/>
  <c r="Z723" i="1"/>
  <c r="Y723" i="1"/>
  <c r="W723" i="1"/>
  <c r="Z715" i="1"/>
  <c r="Y715" i="1"/>
  <c r="X715" i="1"/>
  <c r="W715" i="1"/>
  <c r="Z707" i="1"/>
  <c r="Y707" i="1"/>
  <c r="X707" i="1"/>
  <c r="W707" i="1"/>
  <c r="Z699" i="1"/>
  <c r="Y699" i="1"/>
  <c r="X699" i="1"/>
  <c r="W699" i="1"/>
  <c r="Z691" i="1"/>
  <c r="Y691" i="1"/>
  <c r="W691" i="1"/>
  <c r="Z683" i="1"/>
  <c r="Y683" i="1"/>
  <c r="X683" i="1"/>
  <c r="W683" i="1"/>
  <c r="Z675" i="1"/>
  <c r="Y675" i="1"/>
  <c r="X675" i="1"/>
  <c r="W675" i="1"/>
  <c r="Z667" i="1"/>
  <c r="Y667" i="1"/>
  <c r="X667" i="1"/>
  <c r="W667" i="1"/>
  <c r="Z659" i="1"/>
  <c r="Y659" i="1"/>
  <c r="W659" i="1"/>
  <c r="X659" i="1"/>
  <c r="Z651" i="1"/>
  <c r="Y651" i="1"/>
  <c r="X651" i="1"/>
  <c r="W651" i="1"/>
  <c r="Z643" i="1"/>
  <c r="Y643" i="1"/>
  <c r="X643" i="1"/>
  <c r="W643" i="1"/>
  <c r="Z635" i="1"/>
  <c r="Y635" i="1"/>
  <c r="X635" i="1"/>
  <c r="W635" i="1"/>
  <c r="Z627" i="1"/>
  <c r="Y627" i="1"/>
  <c r="W627" i="1"/>
  <c r="X627" i="1"/>
  <c r="Z619" i="1"/>
  <c r="Y619" i="1"/>
  <c r="X619" i="1"/>
  <c r="Z611" i="1"/>
  <c r="Y611" i="1"/>
  <c r="X611" i="1"/>
  <c r="Z603" i="1"/>
  <c r="Y603" i="1"/>
  <c r="X603" i="1"/>
  <c r="Z595" i="1"/>
  <c r="Y595" i="1"/>
  <c r="X595" i="1"/>
  <c r="W595" i="1"/>
  <c r="Z587" i="1"/>
  <c r="Y587" i="1"/>
  <c r="X587" i="1"/>
  <c r="Z579" i="1"/>
  <c r="Y579" i="1"/>
  <c r="X579" i="1"/>
  <c r="W579" i="1"/>
  <c r="Z571" i="1"/>
  <c r="Y571" i="1"/>
  <c r="X571" i="1"/>
  <c r="W571" i="1"/>
  <c r="Z563" i="1"/>
  <c r="Y563" i="1"/>
  <c r="W563" i="1"/>
  <c r="X563" i="1"/>
  <c r="Z555" i="1"/>
  <c r="Y555" i="1"/>
  <c r="X555" i="1"/>
  <c r="Z547" i="1"/>
  <c r="Y547" i="1"/>
  <c r="X547" i="1"/>
  <c r="Z539" i="1"/>
  <c r="Y539" i="1"/>
  <c r="X539" i="1"/>
  <c r="Z531" i="1"/>
  <c r="Y531" i="1"/>
  <c r="W531" i="1"/>
  <c r="X531" i="1"/>
  <c r="Z523" i="1"/>
  <c r="Y523" i="1"/>
  <c r="X523" i="1"/>
  <c r="Z515" i="1"/>
  <c r="Y515" i="1"/>
  <c r="X515" i="1"/>
  <c r="W515" i="1"/>
  <c r="Z507" i="1"/>
  <c r="Y507" i="1"/>
  <c r="X507" i="1"/>
  <c r="W507" i="1"/>
  <c r="Z499" i="1"/>
  <c r="Y499" i="1"/>
  <c r="X499" i="1"/>
  <c r="Z491" i="1"/>
  <c r="Y491" i="1"/>
  <c r="X491" i="1"/>
  <c r="Z483" i="1"/>
  <c r="Y483" i="1"/>
  <c r="X483" i="1"/>
  <c r="W483" i="1"/>
  <c r="Z475" i="1"/>
  <c r="Y475" i="1"/>
  <c r="X475" i="1"/>
  <c r="W475" i="1"/>
  <c r="Z467" i="1"/>
  <c r="Y467" i="1"/>
  <c r="W467" i="1"/>
  <c r="X467" i="1"/>
  <c r="Z459" i="1"/>
  <c r="Y459" i="1"/>
  <c r="X459" i="1"/>
  <c r="W459" i="1"/>
  <c r="Z451" i="1"/>
  <c r="Y451" i="1"/>
  <c r="W451" i="1"/>
  <c r="X451" i="1"/>
  <c r="Z443" i="1"/>
  <c r="Y443" i="1"/>
  <c r="X443" i="1"/>
  <c r="Z435" i="1"/>
  <c r="Y435" i="1"/>
  <c r="X435" i="1"/>
  <c r="Z427" i="1"/>
  <c r="Y427" i="1"/>
  <c r="X427" i="1"/>
  <c r="Z419" i="1"/>
  <c r="Y419" i="1"/>
  <c r="X419" i="1"/>
  <c r="Z411" i="1"/>
  <c r="Y411" i="1"/>
  <c r="X411" i="1"/>
  <c r="Z403" i="1"/>
  <c r="Y403" i="1"/>
  <c r="X403" i="1"/>
  <c r="W403" i="1"/>
  <c r="Z395" i="1"/>
  <c r="Y395" i="1"/>
  <c r="X395" i="1"/>
  <c r="W395" i="1"/>
  <c r="Z387" i="1"/>
  <c r="Y387" i="1"/>
  <c r="X387" i="1"/>
  <c r="W387" i="1"/>
  <c r="Z379" i="1"/>
  <c r="Y379" i="1"/>
  <c r="W379" i="1"/>
  <c r="X379" i="1"/>
  <c r="Z371" i="1"/>
  <c r="Y371" i="1"/>
  <c r="X371" i="1"/>
  <c r="Z363" i="1"/>
  <c r="Y363" i="1"/>
  <c r="W363" i="1"/>
  <c r="X363" i="1"/>
  <c r="Z355" i="1"/>
  <c r="Y355" i="1"/>
  <c r="X355" i="1"/>
  <c r="Z347" i="1"/>
  <c r="Y347" i="1"/>
  <c r="X347" i="1"/>
  <c r="W347" i="1"/>
  <c r="Z339" i="1"/>
  <c r="Y339" i="1"/>
  <c r="W339" i="1"/>
  <c r="X339" i="1"/>
  <c r="Z331" i="1"/>
  <c r="Y331" i="1"/>
  <c r="W331" i="1"/>
  <c r="X331" i="1"/>
  <c r="Z323" i="1"/>
  <c r="Y323" i="1"/>
  <c r="X323" i="1"/>
  <c r="W323" i="1"/>
  <c r="Z315" i="1"/>
  <c r="Y315" i="1"/>
  <c r="X315" i="1"/>
  <c r="W315" i="1"/>
  <c r="Z307" i="1"/>
  <c r="Y307" i="1"/>
  <c r="X307" i="1"/>
  <c r="Z299" i="1"/>
  <c r="Y299" i="1"/>
  <c r="W299" i="1"/>
  <c r="X299" i="1"/>
  <c r="Z291" i="1"/>
  <c r="Y291" i="1"/>
  <c r="X291" i="1"/>
  <c r="W291" i="1"/>
  <c r="Z283" i="1"/>
  <c r="Y283" i="1"/>
  <c r="X283" i="1"/>
  <c r="W283" i="1"/>
  <c r="Z275" i="1"/>
  <c r="Y275" i="1"/>
  <c r="W275" i="1"/>
  <c r="X275" i="1"/>
  <c r="Z267" i="1"/>
  <c r="Y267" i="1"/>
  <c r="X267" i="1"/>
  <c r="Z259" i="1"/>
  <c r="Y259" i="1"/>
  <c r="X259" i="1"/>
  <c r="W259" i="1"/>
  <c r="Z251" i="1"/>
  <c r="Y251" i="1"/>
  <c r="X251" i="1"/>
  <c r="W251" i="1"/>
  <c r="Z243" i="1"/>
  <c r="Y243" i="1"/>
  <c r="X243" i="1"/>
  <c r="W243" i="1"/>
  <c r="Z235" i="1"/>
  <c r="Y235" i="1"/>
  <c r="W235" i="1"/>
  <c r="X235" i="1"/>
  <c r="Z227" i="1"/>
  <c r="Y227" i="1"/>
  <c r="X227" i="1"/>
  <c r="W227" i="1"/>
  <c r="Z219" i="1"/>
  <c r="Y219" i="1"/>
  <c r="X219" i="1"/>
  <c r="Z211" i="1"/>
  <c r="Y211" i="1"/>
  <c r="W211" i="1"/>
  <c r="X211" i="1"/>
  <c r="Z203" i="1"/>
  <c r="X203" i="1"/>
  <c r="Y203" i="1"/>
  <c r="W203" i="1"/>
  <c r="Z195" i="1"/>
  <c r="Y195" i="1"/>
  <c r="X195" i="1"/>
  <c r="W195" i="1"/>
  <c r="Z187" i="1"/>
  <c r="X187" i="1"/>
  <c r="Y187" i="1"/>
  <c r="W187" i="1"/>
  <c r="Z179" i="1"/>
  <c r="Y179" i="1"/>
  <c r="X179" i="1"/>
  <c r="Z171" i="1"/>
  <c r="X171" i="1"/>
  <c r="Y171" i="1"/>
  <c r="W171" i="1"/>
  <c r="Z163" i="1"/>
  <c r="Y163" i="1"/>
  <c r="X163" i="1"/>
  <c r="Z155" i="1"/>
  <c r="X155" i="1"/>
  <c r="Y155" i="1"/>
  <c r="W155" i="1"/>
  <c r="Z147" i="1"/>
  <c r="Y147" i="1"/>
  <c r="X147" i="1"/>
  <c r="Z139" i="1"/>
  <c r="X139" i="1"/>
  <c r="Y139" i="1"/>
  <c r="W139" i="1"/>
  <c r="Z131" i="1"/>
  <c r="Y131" i="1"/>
  <c r="X131" i="1"/>
  <c r="Z123" i="1"/>
  <c r="X123" i="1"/>
  <c r="Y123" i="1"/>
  <c r="W123" i="1"/>
  <c r="Z115" i="1"/>
  <c r="Y115" i="1"/>
  <c r="X115" i="1"/>
  <c r="Z107" i="1"/>
  <c r="X107" i="1"/>
  <c r="Y107" i="1"/>
  <c r="W107" i="1"/>
  <c r="Z99" i="1"/>
  <c r="Y99" i="1"/>
  <c r="X99" i="1"/>
  <c r="Z91" i="1"/>
  <c r="X91" i="1"/>
  <c r="Y91" i="1"/>
  <c r="W91" i="1"/>
  <c r="Z83" i="1"/>
  <c r="Y83" i="1"/>
  <c r="X83" i="1"/>
  <c r="Z75" i="1"/>
  <c r="X75" i="1"/>
  <c r="Y75" i="1"/>
  <c r="W75" i="1"/>
  <c r="Z67" i="1"/>
  <c r="Y67" i="1"/>
  <c r="X67" i="1"/>
  <c r="Z59" i="1"/>
  <c r="X59" i="1"/>
  <c r="Y59" i="1"/>
  <c r="W59" i="1"/>
  <c r="Z51" i="1"/>
  <c r="Y51" i="1"/>
  <c r="X51" i="1"/>
  <c r="Z43" i="1"/>
  <c r="X43" i="1"/>
  <c r="Y43" i="1"/>
  <c r="W43" i="1"/>
  <c r="Z35" i="1"/>
  <c r="Y35" i="1"/>
  <c r="X35" i="1"/>
  <c r="Z27" i="1"/>
  <c r="X27" i="1"/>
  <c r="Y27" i="1"/>
  <c r="W27" i="1"/>
  <c r="Z19" i="1"/>
  <c r="Y19" i="1"/>
  <c r="X19" i="1"/>
  <c r="Z11" i="1"/>
  <c r="X11" i="1"/>
  <c r="Y11" i="1"/>
  <c r="W11" i="1"/>
  <c r="Z3" i="1"/>
  <c r="Y3" i="1"/>
  <c r="X3" i="1"/>
  <c r="W813" i="1"/>
  <c r="W804" i="1"/>
  <c r="W780" i="1"/>
  <c r="W603" i="1"/>
  <c r="W547" i="1"/>
  <c r="W500" i="1"/>
  <c r="W388" i="1"/>
  <c r="W356" i="1"/>
  <c r="X820" i="1"/>
  <c r="X756" i="1"/>
  <c r="X692" i="1"/>
  <c r="Z818" i="1"/>
  <c r="Y818" i="1"/>
  <c r="X818" i="1"/>
  <c r="Z810" i="1"/>
  <c r="X810" i="1"/>
  <c r="Y810" i="1"/>
  <c r="Z802" i="1"/>
  <c r="Y802" i="1"/>
  <c r="X802" i="1"/>
  <c r="W802" i="1"/>
  <c r="Z794" i="1"/>
  <c r="X794" i="1"/>
  <c r="Y794" i="1"/>
  <c r="W794" i="1"/>
  <c r="Z786" i="1"/>
  <c r="Y786" i="1"/>
  <c r="X786" i="1"/>
  <c r="W786" i="1"/>
  <c r="Z778" i="1"/>
  <c r="X778" i="1"/>
  <c r="W778" i="1"/>
  <c r="Y778" i="1"/>
  <c r="Z770" i="1"/>
  <c r="Y770" i="1"/>
  <c r="X770" i="1"/>
  <c r="W770" i="1"/>
  <c r="Z762" i="1"/>
  <c r="X762" i="1"/>
  <c r="Y762" i="1"/>
  <c r="W762" i="1"/>
  <c r="Z754" i="1"/>
  <c r="Y754" i="1"/>
  <c r="X754" i="1"/>
  <c r="W754" i="1"/>
  <c r="Z746" i="1"/>
  <c r="X746" i="1"/>
  <c r="W746" i="1"/>
  <c r="Y746" i="1"/>
  <c r="Z738" i="1"/>
  <c r="Y738" i="1"/>
  <c r="X738" i="1"/>
  <c r="W738" i="1"/>
  <c r="Z730" i="1"/>
  <c r="X730" i="1"/>
  <c r="Y730" i="1"/>
  <c r="W730" i="1"/>
  <c r="Z722" i="1"/>
  <c r="Y722" i="1"/>
  <c r="X722" i="1"/>
  <c r="W722" i="1"/>
  <c r="Z714" i="1"/>
  <c r="X714" i="1"/>
  <c r="W714" i="1"/>
  <c r="Y714" i="1"/>
  <c r="Z706" i="1"/>
  <c r="Y706" i="1"/>
  <c r="X706" i="1"/>
  <c r="W706" i="1"/>
  <c r="Z698" i="1"/>
  <c r="X698" i="1"/>
  <c r="Y698" i="1"/>
  <c r="W698" i="1"/>
  <c r="Z690" i="1"/>
  <c r="Y690" i="1"/>
  <c r="X690" i="1"/>
  <c r="W690" i="1"/>
  <c r="Z682" i="1"/>
  <c r="X682" i="1"/>
  <c r="Y682" i="1"/>
  <c r="W682" i="1"/>
  <c r="Z674" i="1"/>
  <c r="Y674" i="1"/>
  <c r="X674" i="1"/>
  <c r="W674" i="1"/>
  <c r="Z666" i="1"/>
  <c r="X666" i="1"/>
  <c r="Y666" i="1"/>
  <c r="W666" i="1"/>
  <c r="Z658" i="1"/>
  <c r="Y658" i="1"/>
  <c r="X658" i="1"/>
  <c r="W658" i="1"/>
  <c r="Z650" i="1"/>
  <c r="X650" i="1"/>
  <c r="W650" i="1"/>
  <c r="Y650" i="1"/>
  <c r="Z642" i="1"/>
  <c r="Y642" i="1"/>
  <c r="X642" i="1"/>
  <c r="W642" i="1"/>
  <c r="Z634" i="1"/>
  <c r="X634" i="1"/>
  <c r="Y634" i="1"/>
  <c r="W634" i="1"/>
  <c r="Z626" i="1"/>
  <c r="Y626" i="1"/>
  <c r="X626" i="1"/>
  <c r="W626" i="1"/>
  <c r="Z618" i="1"/>
  <c r="X618" i="1"/>
  <c r="W618" i="1"/>
  <c r="Y618" i="1"/>
  <c r="Z610" i="1"/>
  <c r="Y610" i="1"/>
  <c r="X610" i="1"/>
  <c r="Z602" i="1"/>
  <c r="X602" i="1"/>
  <c r="Y602" i="1"/>
  <c r="Z594" i="1"/>
  <c r="Y594" i="1"/>
  <c r="X594" i="1"/>
  <c r="Z586" i="1"/>
  <c r="X586" i="1"/>
  <c r="Y586" i="1"/>
  <c r="W586" i="1"/>
  <c r="Z578" i="1"/>
  <c r="Y578" i="1"/>
  <c r="X578" i="1"/>
  <c r="Z570" i="1"/>
  <c r="X570" i="1"/>
  <c r="Y570" i="1"/>
  <c r="W570" i="1"/>
  <c r="Z562" i="1"/>
  <c r="Y562" i="1"/>
  <c r="X562" i="1"/>
  <c r="W562" i="1"/>
  <c r="Z554" i="1"/>
  <c r="X554" i="1"/>
  <c r="W554" i="1"/>
  <c r="Y554" i="1"/>
  <c r="Z546" i="1"/>
  <c r="Y546" i="1"/>
  <c r="X546" i="1"/>
  <c r="Z538" i="1"/>
  <c r="X538" i="1"/>
  <c r="Y538" i="1"/>
  <c r="W538" i="1"/>
  <c r="Z530" i="1"/>
  <c r="Y530" i="1"/>
  <c r="X530" i="1"/>
  <c r="W530" i="1"/>
  <c r="Z522" i="1"/>
  <c r="X522" i="1"/>
  <c r="Y522" i="1"/>
  <c r="W522" i="1"/>
  <c r="Z514" i="1"/>
  <c r="Y514" i="1"/>
  <c r="X514" i="1"/>
  <c r="Z506" i="1"/>
  <c r="X506" i="1"/>
  <c r="Y506" i="1"/>
  <c r="W506" i="1"/>
  <c r="Z498" i="1"/>
  <c r="Y498" i="1"/>
  <c r="X498" i="1"/>
  <c r="Z490" i="1"/>
  <c r="X490" i="1"/>
  <c r="W490" i="1"/>
  <c r="Y490" i="1"/>
  <c r="Z482" i="1"/>
  <c r="Y482" i="1"/>
  <c r="X482" i="1"/>
  <c r="W482" i="1"/>
  <c r="Z474" i="1"/>
  <c r="X474" i="1"/>
  <c r="Y474" i="1"/>
  <c r="Z466" i="1"/>
  <c r="Y466" i="1"/>
  <c r="X466" i="1"/>
  <c r="W466" i="1"/>
  <c r="Z458" i="1"/>
  <c r="X458" i="1"/>
  <c r="W458" i="1"/>
  <c r="Y458" i="1"/>
  <c r="Z450" i="1"/>
  <c r="Y450" i="1"/>
  <c r="X450" i="1"/>
  <c r="W450" i="1"/>
  <c r="Z442" i="1"/>
  <c r="X442" i="1"/>
  <c r="W442" i="1"/>
  <c r="Y442" i="1"/>
  <c r="Z434" i="1"/>
  <c r="Y434" i="1"/>
  <c r="X434" i="1"/>
  <c r="W434" i="1"/>
  <c r="Z426" i="1"/>
  <c r="X426" i="1"/>
  <c r="Y426" i="1"/>
  <c r="W426" i="1"/>
  <c r="Z418" i="1"/>
  <c r="Y418" i="1"/>
  <c r="X418" i="1"/>
  <c r="W418" i="1"/>
  <c r="Z410" i="1"/>
  <c r="X410" i="1"/>
  <c r="Y410" i="1"/>
  <c r="W410" i="1"/>
  <c r="Z402" i="1"/>
  <c r="X402" i="1"/>
  <c r="Y402" i="1"/>
  <c r="W402" i="1"/>
  <c r="Z394" i="1"/>
  <c r="X394" i="1"/>
  <c r="W394" i="1"/>
  <c r="Y394" i="1"/>
  <c r="Z386" i="1"/>
  <c r="Y386" i="1"/>
  <c r="X386" i="1"/>
  <c r="W386" i="1"/>
  <c r="Z378" i="1"/>
  <c r="W378" i="1"/>
  <c r="Y378" i="1"/>
  <c r="X378" i="1"/>
  <c r="Z370" i="1"/>
  <c r="Y370" i="1"/>
  <c r="X370" i="1"/>
  <c r="Z362" i="1"/>
  <c r="Y362" i="1"/>
  <c r="X362" i="1"/>
  <c r="Z354" i="1"/>
  <c r="X354" i="1"/>
  <c r="Y354" i="1"/>
  <c r="Z346" i="1"/>
  <c r="X346" i="1"/>
  <c r="Y346" i="1"/>
  <c r="Z338" i="1"/>
  <c r="X338" i="1"/>
  <c r="Y338" i="1"/>
  <c r="Z330" i="1"/>
  <c r="X330" i="1"/>
  <c r="W330" i="1"/>
  <c r="Y330" i="1"/>
  <c r="Z322" i="1"/>
  <c r="X322" i="1"/>
  <c r="Y322" i="1"/>
  <c r="W322" i="1"/>
  <c r="Z314" i="1"/>
  <c r="X314" i="1"/>
  <c r="W314" i="1"/>
  <c r="Y314" i="1"/>
  <c r="Z306" i="1"/>
  <c r="X306" i="1"/>
  <c r="Y306" i="1"/>
  <c r="W306" i="1"/>
  <c r="Z298" i="1"/>
  <c r="X298" i="1"/>
  <c r="W298" i="1"/>
  <c r="Y298" i="1"/>
  <c r="Z290" i="1"/>
  <c r="X290" i="1"/>
  <c r="Y290" i="1"/>
  <c r="Z282" i="1"/>
  <c r="X282" i="1"/>
  <c r="Y282" i="1"/>
  <c r="Z274" i="1"/>
  <c r="X274" i="1"/>
  <c r="Y274" i="1"/>
  <c r="W274" i="1"/>
  <c r="Z266" i="1"/>
  <c r="X266" i="1"/>
  <c r="Y266" i="1"/>
  <c r="Z258" i="1"/>
  <c r="Y258" i="1"/>
  <c r="X258" i="1"/>
  <c r="Z250" i="1"/>
  <c r="Y250" i="1"/>
  <c r="X250" i="1"/>
  <c r="W250" i="1"/>
  <c r="Z242" i="1"/>
  <c r="X242" i="1"/>
  <c r="Y242" i="1"/>
  <c r="Z234" i="1"/>
  <c r="X234" i="1"/>
  <c r="Y234" i="1"/>
  <c r="W234" i="1"/>
  <c r="Z226" i="1"/>
  <c r="X226" i="1"/>
  <c r="Y226" i="1"/>
  <c r="W226" i="1"/>
  <c r="Z218" i="1"/>
  <c r="Y218" i="1"/>
  <c r="X218" i="1"/>
  <c r="W218" i="1"/>
  <c r="Z210" i="1"/>
  <c r="X210" i="1"/>
  <c r="Y210" i="1"/>
  <c r="W210" i="1"/>
  <c r="Z202" i="1"/>
  <c r="X202" i="1"/>
  <c r="Y202" i="1"/>
  <c r="W202" i="1"/>
  <c r="Z194" i="1"/>
  <c r="X194" i="1"/>
  <c r="Y194" i="1"/>
  <c r="Z186" i="1"/>
  <c r="X186" i="1"/>
  <c r="Y186" i="1"/>
  <c r="W186" i="1"/>
  <c r="Z178" i="1"/>
  <c r="X178" i="1"/>
  <c r="Y178" i="1"/>
  <c r="W178" i="1"/>
  <c r="Z170" i="1"/>
  <c r="X170" i="1"/>
  <c r="Y170" i="1"/>
  <c r="W170" i="1"/>
  <c r="Z162" i="1"/>
  <c r="X162" i="1"/>
  <c r="Y162" i="1"/>
  <c r="W162" i="1"/>
  <c r="Z154" i="1"/>
  <c r="X154" i="1"/>
  <c r="Y154" i="1"/>
  <c r="W154" i="1"/>
  <c r="Z146" i="1"/>
  <c r="X146" i="1"/>
  <c r="Y146" i="1"/>
  <c r="W146" i="1"/>
  <c r="Z138" i="1"/>
  <c r="X138" i="1"/>
  <c r="Y138" i="1"/>
  <c r="W138" i="1"/>
  <c r="Z130" i="1"/>
  <c r="X130" i="1"/>
  <c r="Y130" i="1"/>
  <c r="W130" i="1"/>
  <c r="Z122" i="1"/>
  <c r="X122" i="1"/>
  <c r="Y122" i="1"/>
  <c r="W122" i="1"/>
  <c r="Z114" i="1"/>
  <c r="X114" i="1"/>
  <c r="Y114" i="1"/>
  <c r="W114" i="1"/>
  <c r="Z106" i="1"/>
  <c r="X106" i="1"/>
  <c r="Y106" i="1"/>
  <c r="W106" i="1"/>
  <c r="Z98" i="1"/>
  <c r="X98" i="1"/>
  <c r="Y98" i="1"/>
  <c r="W98" i="1"/>
  <c r="Z90" i="1"/>
  <c r="X90" i="1"/>
  <c r="Y90" i="1"/>
  <c r="W90" i="1"/>
  <c r="Z82" i="1"/>
  <c r="X82" i="1"/>
  <c r="Y82" i="1"/>
  <c r="W82" i="1"/>
  <c r="Z74" i="1"/>
  <c r="X74" i="1"/>
  <c r="Y74" i="1"/>
  <c r="W74" i="1"/>
  <c r="Z66" i="1"/>
  <c r="X66" i="1"/>
  <c r="Y66" i="1"/>
  <c r="W66" i="1"/>
  <c r="Z58" i="1"/>
  <c r="X58" i="1"/>
  <c r="Y58" i="1"/>
  <c r="W58" i="1"/>
  <c r="Z50" i="1"/>
  <c r="X50" i="1"/>
  <c r="Y50" i="1"/>
  <c r="W50" i="1"/>
  <c r="Z42" i="1"/>
  <c r="X42" i="1"/>
  <c r="Y42" i="1"/>
  <c r="W42" i="1"/>
  <c r="Z34" i="1"/>
  <c r="X34" i="1"/>
  <c r="Y34" i="1"/>
  <c r="W34" i="1"/>
  <c r="Z26" i="1"/>
  <c r="X26" i="1"/>
  <c r="Y26" i="1"/>
  <c r="W26" i="1"/>
  <c r="Z18" i="1"/>
  <c r="X18" i="1"/>
  <c r="Y18" i="1"/>
  <c r="W18" i="1"/>
  <c r="Z10" i="1"/>
  <c r="X10" i="1"/>
  <c r="Y10" i="1"/>
  <c r="W10" i="1"/>
  <c r="Z2" i="1"/>
  <c r="X2" i="1"/>
  <c r="Y2" i="1"/>
  <c r="W2" i="1"/>
  <c r="W812" i="1"/>
  <c r="W803" i="1"/>
  <c r="W779" i="1"/>
  <c r="W765" i="1"/>
  <c r="W749" i="1"/>
  <c r="W733" i="1"/>
  <c r="W717" i="1"/>
  <c r="W701" i="1"/>
  <c r="W685" i="1"/>
  <c r="W669" i="1"/>
  <c r="W653" i="1"/>
  <c r="W637" i="1"/>
  <c r="W620" i="1"/>
  <c r="W602" i="1"/>
  <c r="W546" i="1"/>
  <c r="W524" i="1"/>
  <c r="W499" i="1"/>
  <c r="W444" i="1"/>
  <c r="W355" i="1"/>
  <c r="X819" i="1"/>
  <c r="X755" i="1"/>
  <c r="X691" i="1"/>
  <c r="B816" i="1"/>
  <c r="AB816" i="1" s="1"/>
  <c r="B808" i="1"/>
  <c r="AB808" i="1" s="1"/>
  <c r="B800" i="1"/>
  <c r="AB800" i="1" s="1"/>
  <c r="Z817" i="1"/>
  <c r="Y817" i="1"/>
  <c r="X817" i="1"/>
  <c r="W817" i="1"/>
  <c r="Z809" i="1"/>
  <c r="X809" i="1"/>
  <c r="W809" i="1"/>
  <c r="Y809" i="1"/>
  <c r="Z801" i="1"/>
  <c r="Y801" i="1"/>
  <c r="X801" i="1"/>
  <c r="W801" i="1"/>
  <c r="Z793" i="1"/>
  <c r="X793" i="1"/>
  <c r="Y793" i="1"/>
  <c r="W793" i="1"/>
  <c r="Z785" i="1"/>
  <c r="Y785" i="1"/>
  <c r="X785" i="1"/>
  <c r="W785" i="1"/>
  <c r="Z777" i="1"/>
  <c r="X777" i="1"/>
  <c r="W777" i="1"/>
  <c r="Y777" i="1"/>
  <c r="Z769" i="1"/>
  <c r="Y769" i="1"/>
  <c r="X769" i="1"/>
  <c r="W769" i="1"/>
  <c r="Z761" i="1"/>
  <c r="X761" i="1"/>
  <c r="Y761" i="1"/>
  <c r="W761" i="1"/>
  <c r="Z753" i="1"/>
  <c r="Y753" i="1"/>
  <c r="X753" i="1"/>
  <c r="W753" i="1"/>
  <c r="Z745" i="1"/>
  <c r="X745" i="1"/>
  <c r="W745" i="1"/>
  <c r="Y745" i="1"/>
  <c r="Z737" i="1"/>
  <c r="Y737" i="1"/>
  <c r="X737" i="1"/>
  <c r="W737" i="1"/>
  <c r="Z729" i="1"/>
  <c r="X729" i="1"/>
  <c r="Y729" i="1"/>
  <c r="W729" i="1"/>
  <c r="Z721" i="1"/>
  <c r="Y721" i="1"/>
  <c r="X721" i="1"/>
  <c r="W721" i="1"/>
  <c r="Z713" i="1"/>
  <c r="X713" i="1"/>
  <c r="W713" i="1"/>
  <c r="Y713" i="1"/>
  <c r="Z705" i="1"/>
  <c r="Y705" i="1"/>
  <c r="X705" i="1"/>
  <c r="W705" i="1"/>
  <c r="Z697" i="1"/>
  <c r="X697" i="1"/>
  <c r="Y697" i="1"/>
  <c r="W697" i="1"/>
  <c r="Z689" i="1"/>
  <c r="Y689" i="1"/>
  <c r="X689" i="1"/>
  <c r="W689" i="1"/>
  <c r="Z681" i="1"/>
  <c r="X681" i="1"/>
  <c r="Y681" i="1"/>
  <c r="W681" i="1"/>
  <c r="Z673" i="1"/>
  <c r="Y673" i="1"/>
  <c r="X673" i="1"/>
  <c r="W673" i="1"/>
  <c r="X665" i="1"/>
  <c r="Z665" i="1"/>
  <c r="Y665" i="1"/>
  <c r="W665" i="1"/>
  <c r="Z657" i="1"/>
  <c r="Y657" i="1"/>
  <c r="X657" i="1"/>
  <c r="W657" i="1"/>
  <c r="Z649" i="1"/>
  <c r="X649" i="1"/>
  <c r="W649" i="1"/>
  <c r="Y649" i="1"/>
  <c r="Y641" i="1"/>
  <c r="X641" i="1"/>
  <c r="Z641" i="1"/>
  <c r="W641" i="1"/>
  <c r="Z633" i="1"/>
  <c r="X633" i="1"/>
  <c r="Y633" i="1"/>
  <c r="W633" i="1"/>
  <c r="Z625" i="1"/>
  <c r="Y625" i="1"/>
  <c r="X625" i="1"/>
  <c r="W625" i="1"/>
  <c r="Z617" i="1"/>
  <c r="X617" i="1"/>
  <c r="W617" i="1"/>
  <c r="Y617" i="1"/>
  <c r="Z609" i="1"/>
  <c r="Y609" i="1"/>
  <c r="X609" i="1"/>
  <c r="W609" i="1"/>
  <c r="Z601" i="1"/>
  <c r="X601" i="1"/>
  <c r="Y601" i="1"/>
  <c r="Z593" i="1"/>
  <c r="Y593" i="1"/>
  <c r="X593" i="1"/>
  <c r="Z585" i="1"/>
  <c r="X585" i="1"/>
  <c r="Y585" i="1"/>
  <c r="Y577" i="1"/>
  <c r="X577" i="1"/>
  <c r="Z577" i="1"/>
  <c r="W577" i="1"/>
  <c r="Z569" i="1"/>
  <c r="X569" i="1"/>
  <c r="Y569" i="1"/>
  <c r="Z561" i="1"/>
  <c r="Y561" i="1"/>
  <c r="X561" i="1"/>
  <c r="W561" i="1"/>
  <c r="Z553" i="1"/>
  <c r="X553" i="1"/>
  <c r="W553" i="1"/>
  <c r="Y553" i="1"/>
  <c r="Y545" i="1"/>
  <c r="X545" i="1"/>
  <c r="Z545" i="1"/>
  <c r="Z537" i="1"/>
  <c r="X537" i="1"/>
  <c r="Y537" i="1"/>
  <c r="Z529" i="1"/>
  <c r="Y529" i="1"/>
  <c r="X529" i="1"/>
  <c r="Z521" i="1"/>
  <c r="X521" i="1"/>
  <c r="Y521" i="1"/>
  <c r="W521" i="1"/>
  <c r="Y513" i="1"/>
  <c r="X513" i="1"/>
  <c r="Z513" i="1"/>
  <c r="Z505" i="1"/>
  <c r="X505" i="1"/>
  <c r="Y505" i="1"/>
  <c r="Z497" i="1"/>
  <c r="Y497" i="1"/>
  <c r="X497" i="1"/>
  <c r="W497" i="1"/>
  <c r="Z489" i="1"/>
  <c r="X489" i="1"/>
  <c r="Y489" i="1"/>
  <c r="Y481" i="1"/>
  <c r="X481" i="1"/>
  <c r="Z481" i="1"/>
  <c r="W481" i="1"/>
  <c r="Z473" i="1"/>
  <c r="X473" i="1"/>
  <c r="Y473" i="1"/>
  <c r="Z465" i="1"/>
  <c r="Y465" i="1"/>
  <c r="X465" i="1"/>
  <c r="W465" i="1"/>
  <c r="Z457" i="1"/>
  <c r="X457" i="1"/>
  <c r="Y457" i="1"/>
  <c r="X449" i="1"/>
  <c r="Z449" i="1"/>
  <c r="Y449" i="1"/>
  <c r="W449" i="1"/>
  <c r="Z441" i="1"/>
  <c r="X441" i="1"/>
  <c r="W441" i="1"/>
  <c r="Y441" i="1"/>
  <c r="X433" i="1"/>
  <c r="Z433" i="1"/>
  <c r="Y433" i="1"/>
  <c r="W433" i="1"/>
  <c r="Z425" i="1"/>
  <c r="X425" i="1"/>
  <c r="Y425" i="1"/>
  <c r="W425" i="1"/>
  <c r="X417" i="1"/>
  <c r="Y417" i="1"/>
  <c r="Z417" i="1"/>
  <c r="Z409" i="1"/>
  <c r="X409" i="1"/>
  <c r="Y409" i="1"/>
  <c r="W409" i="1"/>
  <c r="X401" i="1"/>
  <c r="Z401" i="1"/>
  <c r="Y401" i="1"/>
  <c r="Z393" i="1"/>
  <c r="X393" i="1"/>
  <c r="W393" i="1"/>
  <c r="Y393" i="1"/>
  <c r="X385" i="1"/>
  <c r="Y385" i="1"/>
  <c r="Z385" i="1"/>
  <c r="W385" i="1"/>
  <c r="Z377" i="1"/>
  <c r="X377" i="1"/>
  <c r="W377" i="1"/>
  <c r="Y377" i="1"/>
  <c r="X369" i="1"/>
  <c r="Z369" i="1"/>
  <c r="Y369" i="1"/>
  <c r="W369" i="1"/>
  <c r="Z361" i="1"/>
  <c r="X361" i="1"/>
  <c r="Y361" i="1"/>
  <c r="W361" i="1"/>
  <c r="X353" i="1"/>
  <c r="Z353" i="1"/>
  <c r="Y353" i="1"/>
  <c r="W353" i="1"/>
  <c r="Z345" i="1"/>
  <c r="X345" i="1"/>
  <c r="Y345" i="1"/>
  <c r="W345" i="1"/>
  <c r="X337" i="1"/>
  <c r="Z337" i="1"/>
  <c r="Y337" i="1"/>
  <c r="W337" i="1"/>
  <c r="Z329" i="1"/>
  <c r="X329" i="1"/>
  <c r="Y329" i="1"/>
  <c r="X321" i="1"/>
  <c r="Y321" i="1"/>
  <c r="Z321" i="1"/>
  <c r="W321" i="1"/>
  <c r="Z313" i="1"/>
  <c r="X313" i="1"/>
  <c r="W313" i="1"/>
  <c r="Y313" i="1"/>
  <c r="X305" i="1"/>
  <c r="Z305" i="1"/>
  <c r="Y305" i="1"/>
  <c r="W305" i="1"/>
  <c r="Z297" i="1"/>
  <c r="X297" i="1"/>
  <c r="W297" i="1"/>
  <c r="Y297" i="1"/>
  <c r="X289" i="1"/>
  <c r="Y289" i="1"/>
  <c r="Z289" i="1"/>
  <c r="Z281" i="1"/>
  <c r="X281" i="1"/>
  <c r="Y281" i="1"/>
  <c r="W281" i="1"/>
  <c r="X273" i="1"/>
  <c r="Z273" i="1"/>
  <c r="Y273" i="1"/>
  <c r="W273" i="1"/>
  <c r="Z265" i="1"/>
  <c r="X265" i="1"/>
  <c r="W265" i="1"/>
  <c r="Y265" i="1"/>
  <c r="X257" i="1"/>
  <c r="Y257" i="1"/>
  <c r="Z257" i="1"/>
  <c r="W257" i="1"/>
  <c r="Z249" i="1"/>
  <c r="Y249" i="1"/>
  <c r="X249" i="1"/>
  <c r="W249" i="1"/>
  <c r="X241" i="1"/>
  <c r="Z241" i="1"/>
  <c r="Y241" i="1"/>
  <c r="Z233" i="1"/>
  <c r="X233" i="1"/>
  <c r="Y233" i="1"/>
  <c r="X225" i="1"/>
  <c r="Z225" i="1"/>
  <c r="Y225" i="1"/>
  <c r="W225" i="1"/>
  <c r="Z217" i="1"/>
  <c r="X217" i="1"/>
  <c r="Y217" i="1"/>
  <c r="X209" i="1"/>
  <c r="Z209" i="1"/>
  <c r="Y209" i="1"/>
  <c r="W209" i="1"/>
  <c r="Z201" i="1"/>
  <c r="X201" i="1"/>
  <c r="Y201" i="1"/>
  <c r="W201" i="1"/>
  <c r="Y193" i="1"/>
  <c r="X193" i="1"/>
  <c r="Z193" i="1"/>
  <c r="W193" i="1"/>
  <c r="Z185" i="1"/>
  <c r="Y185" i="1"/>
  <c r="X185" i="1"/>
  <c r="W185" i="1"/>
  <c r="Y177" i="1"/>
  <c r="Z177" i="1"/>
  <c r="X177" i="1"/>
  <c r="W177" i="1"/>
  <c r="Z169" i="1"/>
  <c r="Y169" i="1"/>
  <c r="X169" i="1"/>
  <c r="W169" i="1"/>
  <c r="Y161" i="1"/>
  <c r="Z161" i="1"/>
  <c r="X161" i="1"/>
  <c r="Z153" i="1"/>
  <c r="Y153" i="1"/>
  <c r="X153" i="1"/>
  <c r="W153" i="1"/>
  <c r="Y145" i="1"/>
  <c r="Z145" i="1"/>
  <c r="X145" i="1"/>
  <c r="W145" i="1"/>
  <c r="Z137" i="1"/>
  <c r="Y137" i="1"/>
  <c r="X137" i="1"/>
  <c r="W137" i="1"/>
  <c r="Y129" i="1"/>
  <c r="Z129" i="1"/>
  <c r="X129" i="1"/>
  <c r="Z121" i="1"/>
  <c r="Y121" i="1"/>
  <c r="X121" i="1"/>
  <c r="W121" i="1"/>
  <c r="Y113" i="1"/>
  <c r="Z113" i="1"/>
  <c r="X113" i="1"/>
  <c r="W113" i="1"/>
  <c r="Z105" i="1"/>
  <c r="Y105" i="1"/>
  <c r="X105" i="1"/>
  <c r="W105" i="1"/>
  <c r="Y97" i="1"/>
  <c r="Z97" i="1"/>
  <c r="X97" i="1"/>
  <c r="Z89" i="1"/>
  <c r="Y89" i="1"/>
  <c r="X89" i="1"/>
  <c r="W89" i="1"/>
  <c r="Y81" i="1"/>
  <c r="Z81" i="1"/>
  <c r="X81" i="1"/>
  <c r="W81" i="1"/>
  <c r="Z73" i="1"/>
  <c r="Y73" i="1"/>
  <c r="X73" i="1"/>
  <c r="W73" i="1"/>
  <c r="Y65" i="1"/>
  <c r="Z65" i="1"/>
  <c r="X65" i="1"/>
  <c r="Z57" i="1"/>
  <c r="Y57" i="1"/>
  <c r="X57" i="1"/>
  <c r="W57" i="1"/>
  <c r="Y49" i="1"/>
  <c r="Z49" i="1"/>
  <c r="X49" i="1"/>
  <c r="W49" i="1"/>
  <c r="Z41" i="1"/>
  <c r="Y41" i="1"/>
  <c r="X41" i="1"/>
  <c r="W41" i="1"/>
  <c r="Y33" i="1"/>
  <c r="Z33" i="1"/>
  <c r="X33" i="1"/>
  <c r="Z25" i="1"/>
  <c r="Y25" i="1"/>
  <c r="X25" i="1"/>
  <c r="W25" i="1"/>
  <c r="Y17" i="1"/>
  <c r="Z17" i="1"/>
  <c r="X17" i="1"/>
  <c r="W17" i="1"/>
  <c r="Z9" i="1"/>
  <c r="Y9" i="1"/>
  <c r="X9" i="1"/>
  <c r="W9" i="1"/>
  <c r="W820" i="1"/>
  <c r="W811" i="1"/>
  <c r="W789" i="1"/>
  <c r="W764" i="1"/>
  <c r="W748" i="1"/>
  <c r="W732" i="1"/>
  <c r="W716" i="1"/>
  <c r="W700" i="1"/>
  <c r="W684" i="1"/>
  <c r="W668" i="1"/>
  <c r="W652" i="1"/>
  <c r="W636" i="1"/>
  <c r="W619" i="1"/>
  <c r="W601" i="1"/>
  <c r="W564" i="1"/>
  <c r="W545" i="1"/>
  <c r="W523" i="1"/>
  <c r="W498" i="1"/>
  <c r="W443" i="1"/>
  <c r="W411" i="1"/>
  <c r="W354" i="1"/>
  <c r="W282" i="1"/>
  <c r="W233" i="1"/>
  <c r="W179" i="1"/>
  <c r="W115" i="1"/>
  <c r="W51" i="1"/>
  <c r="X806" i="1"/>
  <c r="X742" i="1"/>
  <c r="X678" i="1"/>
  <c r="B815" i="1"/>
  <c r="AB815" i="1" s="1"/>
  <c r="B807" i="1"/>
  <c r="AB807" i="1" s="1"/>
  <c r="Y816" i="1"/>
  <c r="X816" i="1"/>
  <c r="Z816" i="1"/>
  <c r="Z808" i="1"/>
  <c r="X808" i="1"/>
  <c r="Y808" i="1"/>
  <c r="Y800" i="1"/>
  <c r="X800" i="1"/>
  <c r="Z800" i="1"/>
  <c r="Z792" i="1"/>
  <c r="X792" i="1"/>
  <c r="Y792" i="1"/>
  <c r="Y784" i="1"/>
  <c r="X784" i="1"/>
  <c r="Z784" i="1"/>
  <c r="Z776" i="1"/>
  <c r="X776" i="1"/>
  <c r="Y776" i="1"/>
  <c r="Y768" i="1"/>
  <c r="X768" i="1"/>
  <c r="Z768" i="1"/>
  <c r="Z760" i="1"/>
  <c r="X760" i="1"/>
  <c r="Y760" i="1"/>
  <c r="Y752" i="1"/>
  <c r="X752" i="1"/>
  <c r="Z752" i="1"/>
  <c r="Z744" i="1"/>
  <c r="X744" i="1"/>
  <c r="Y744" i="1"/>
  <c r="Y736" i="1"/>
  <c r="X736" i="1"/>
  <c r="Z736" i="1"/>
  <c r="Z728" i="1"/>
  <c r="X728" i="1"/>
  <c r="Y728" i="1"/>
  <c r="Z720" i="1"/>
  <c r="Y720" i="1"/>
  <c r="X720" i="1"/>
  <c r="Z712" i="1"/>
  <c r="X712" i="1"/>
  <c r="Y712" i="1"/>
  <c r="Y704" i="1"/>
  <c r="X704" i="1"/>
  <c r="Z704" i="1"/>
  <c r="Z696" i="1"/>
  <c r="X696" i="1"/>
  <c r="Y696" i="1"/>
  <c r="Y688" i="1"/>
  <c r="X688" i="1"/>
  <c r="Z688" i="1"/>
  <c r="Z680" i="1"/>
  <c r="X680" i="1"/>
  <c r="Y680" i="1"/>
  <c r="Z672" i="1"/>
  <c r="Y672" i="1"/>
  <c r="X672" i="1"/>
  <c r="Z664" i="1"/>
  <c r="X664" i="1"/>
  <c r="Y664" i="1"/>
  <c r="Z656" i="1"/>
  <c r="Y656" i="1"/>
  <c r="X656" i="1"/>
  <c r="Z648" i="1"/>
  <c r="X648" i="1"/>
  <c r="Y648" i="1"/>
  <c r="Y640" i="1"/>
  <c r="X640" i="1"/>
  <c r="Z640" i="1"/>
  <c r="Z632" i="1"/>
  <c r="X632" i="1"/>
  <c r="Y632" i="1"/>
  <c r="Z624" i="1"/>
  <c r="Y624" i="1"/>
  <c r="X624" i="1"/>
  <c r="Z616" i="1"/>
  <c r="X616" i="1"/>
  <c r="W616" i="1"/>
  <c r="Y616" i="1"/>
  <c r="Y608" i="1"/>
  <c r="X608" i="1"/>
  <c r="Z608" i="1"/>
  <c r="W608" i="1"/>
  <c r="Z600" i="1"/>
  <c r="X600" i="1"/>
  <c r="Y600" i="1"/>
  <c r="W600" i="1"/>
  <c r="Z592" i="1"/>
  <c r="Y592" i="1"/>
  <c r="X592" i="1"/>
  <c r="Z584" i="1"/>
  <c r="X584" i="1"/>
  <c r="Y584" i="1"/>
  <c r="Y576" i="1"/>
  <c r="X576" i="1"/>
  <c r="Z576" i="1"/>
  <c r="Z568" i="1"/>
  <c r="X568" i="1"/>
  <c r="Y568" i="1"/>
  <c r="W568" i="1"/>
  <c r="Z560" i="1"/>
  <c r="Y560" i="1"/>
  <c r="X560" i="1"/>
  <c r="Z552" i="1"/>
  <c r="X552" i="1"/>
  <c r="W552" i="1"/>
  <c r="Y552" i="1"/>
  <c r="Y544" i="1"/>
  <c r="X544" i="1"/>
  <c r="Z544" i="1"/>
  <c r="W544" i="1"/>
  <c r="Z536" i="1"/>
  <c r="X536" i="1"/>
  <c r="Y536" i="1"/>
  <c r="Z528" i="1"/>
  <c r="Y528" i="1"/>
  <c r="X528" i="1"/>
  <c r="W528" i="1"/>
  <c r="Z520" i="1"/>
  <c r="X520" i="1"/>
  <c r="Y520" i="1"/>
  <c r="W520" i="1"/>
  <c r="Y512" i="1"/>
  <c r="X512" i="1"/>
  <c r="Z512" i="1"/>
  <c r="Z504" i="1"/>
  <c r="X504" i="1"/>
  <c r="Y504" i="1"/>
  <c r="W504" i="1"/>
  <c r="Z496" i="1"/>
  <c r="Y496" i="1"/>
  <c r="X496" i="1"/>
  <c r="W496" i="1"/>
  <c r="Z488" i="1"/>
  <c r="X488" i="1"/>
  <c r="Y488" i="1"/>
  <c r="Y480" i="1"/>
  <c r="X480" i="1"/>
  <c r="Z480" i="1"/>
  <c r="Z472" i="1"/>
  <c r="X472" i="1"/>
  <c r="Y472" i="1"/>
  <c r="Z464" i="1"/>
  <c r="Y464" i="1"/>
  <c r="X464" i="1"/>
  <c r="Z456" i="1"/>
  <c r="X456" i="1"/>
  <c r="Y456" i="1"/>
  <c r="Z448" i="1"/>
  <c r="Y448" i="1"/>
  <c r="X448" i="1"/>
  <c r="Z440" i="1"/>
  <c r="X440" i="1"/>
  <c r="W440" i="1"/>
  <c r="Y440" i="1"/>
  <c r="Z432" i="1"/>
  <c r="Y432" i="1"/>
  <c r="W432" i="1"/>
  <c r="X432" i="1"/>
  <c r="Z424" i="1"/>
  <c r="X424" i="1"/>
  <c r="W424" i="1"/>
  <c r="Y424" i="1"/>
  <c r="Y416" i="1"/>
  <c r="Z416" i="1"/>
  <c r="X416" i="1"/>
  <c r="Z408" i="1"/>
  <c r="Y408" i="1"/>
  <c r="X408" i="1"/>
  <c r="W408" i="1"/>
  <c r="Z400" i="1"/>
  <c r="Y400" i="1"/>
  <c r="X400" i="1"/>
  <c r="Z392" i="1"/>
  <c r="X392" i="1"/>
  <c r="W392" i="1"/>
  <c r="Y392" i="1"/>
  <c r="Y384" i="1"/>
  <c r="X384" i="1"/>
  <c r="Z384" i="1"/>
  <c r="Z376" i="1"/>
  <c r="X376" i="1"/>
  <c r="W376" i="1"/>
  <c r="Y376" i="1"/>
  <c r="Z368" i="1"/>
  <c r="Y368" i="1"/>
  <c r="X368" i="1"/>
  <c r="W368" i="1"/>
  <c r="Z360" i="1"/>
  <c r="W360" i="1"/>
  <c r="Y360" i="1"/>
  <c r="X360" i="1"/>
  <c r="Y352" i="1"/>
  <c r="Z352" i="1"/>
  <c r="X352" i="1"/>
  <c r="W352" i="1"/>
  <c r="Z344" i="1"/>
  <c r="X344" i="1"/>
  <c r="Y344" i="1"/>
  <c r="Z336" i="1"/>
  <c r="Y336" i="1"/>
  <c r="X336" i="1"/>
  <c r="W336" i="1"/>
  <c r="Z328" i="1"/>
  <c r="X328" i="1"/>
  <c r="Y328" i="1"/>
  <c r="W328" i="1"/>
  <c r="Y320" i="1"/>
  <c r="Z320" i="1"/>
  <c r="X320" i="1"/>
  <c r="Z312" i="1"/>
  <c r="X312" i="1"/>
  <c r="W312" i="1"/>
  <c r="Y312" i="1"/>
  <c r="Z304" i="1"/>
  <c r="Y304" i="1"/>
  <c r="X304" i="1"/>
  <c r="W304" i="1"/>
  <c r="Z296" i="1"/>
  <c r="W296" i="1"/>
  <c r="X296" i="1"/>
  <c r="Y296" i="1"/>
  <c r="Y288" i="1"/>
  <c r="Z288" i="1"/>
  <c r="X288" i="1"/>
  <c r="W288" i="1"/>
  <c r="Z280" i="1"/>
  <c r="X280" i="1"/>
  <c r="Y280" i="1"/>
  <c r="W280" i="1"/>
  <c r="Z272" i="1"/>
  <c r="Y272" i="1"/>
  <c r="X272" i="1"/>
  <c r="Z264" i="1"/>
  <c r="X264" i="1"/>
  <c r="W264" i="1"/>
  <c r="Y264" i="1"/>
  <c r="Y256" i="1"/>
  <c r="Z256" i="1"/>
  <c r="W256" i="1"/>
  <c r="X256" i="1"/>
  <c r="Z248" i="1"/>
  <c r="Y248" i="1"/>
  <c r="X248" i="1"/>
  <c r="W248" i="1"/>
  <c r="Y240" i="1"/>
  <c r="Z240" i="1"/>
  <c r="X240" i="1"/>
  <c r="W240" i="1"/>
  <c r="Z232" i="1"/>
  <c r="Y232" i="1"/>
  <c r="W232" i="1"/>
  <c r="X232" i="1"/>
  <c r="Y224" i="1"/>
  <c r="Z224" i="1"/>
  <c r="W224" i="1"/>
  <c r="X224" i="1"/>
  <c r="Z216" i="1"/>
  <c r="Y216" i="1"/>
  <c r="X216" i="1"/>
  <c r="Y208" i="1"/>
  <c r="Z208" i="1"/>
  <c r="X208" i="1"/>
  <c r="Z200" i="1"/>
  <c r="Y200" i="1"/>
  <c r="X200" i="1"/>
  <c r="W200" i="1"/>
  <c r="Y192" i="1"/>
  <c r="Z192" i="1"/>
  <c r="X192" i="1"/>
  <c r="Z184" i="1"/>
  <c r="Y184" i="1"/>
  <c r="X184" i="1"/>
  <c r="W184" i="1"/>
  <c r="Y176" i="1"/>
  <c r="Z176" i="1"/>
  <c r="X176" i="1"/>
  <c r="W176" i="1"/>
  <c r="Z168" i="1"/>
  <c r="Y168" i="1"/>
  <c r="X168" i="1"/>
  <c r="W168" i="1"/>
  <c r="Y160" i="1"/>
  <c r="Z160" i="1"/>
  <c r="X160" i="1"/>
  <c r="Z152" i="1"/>
  <c r="Y152" i="1"/>
  <c r="X152" i="1"/>
  <c r="W152" i="1"/>
  <c r="Y144" i="1"/>
  <c r="Z144" i="1"/>
  <c r="X144" i="1"/>
  <c r="W144" i="1"/>
  <c r="Z136" i="1"/>
  <c r="Y136" i="1"/>
  <c r="X136" i="1"/>
  <c r="W136" i="1"/>
  <c r="Y128" i="1"/>
  <c r="Z128" i="1"/>
  <c r="X128" i="1"/>
  <c r="Z120" i="1"/>
  <c r="Y120" i="1"/>
  <c r="X120" i="1"/>
  <c r="W120" i="1"/>
  <c r="Y112" i="1"/>
  <c r="Z112" i="1"/>
  <c r="X112" i="1"/>
  <c r="W112" i="1"/>
  <c r="Z104" i="1"/>
  <c r="Y104" i="1"/>
  <c r="X104" i="1"/>
  <c r="W104" i="1"/>
  <c r="Y96" i="1"/>
  <c r="Z96" i="1"/>
  <c r="X96" i="1"/>
  <c r="Z88" i="1"/>
  <c r="Y88" i="1"/>
  <c r="X88" i="1"/>
  <c r="W88" i="1"/>
  <c r="Y80" i="1"/>
  <c r="Z80" i="1"/>
  <c r="X80" i="1"/>
  <c r="W80" i="1"/>
  <c r="Z72" i="1"/>
  <c r="Y72" i="1"/>
  <c r="X72" i="1"/>
  <c r="W72" i="1"/>
  <c r="Y64" i="1"/>
  <c r="Z64" i="1"/>
  <c r="X64" i="1"/>
  <c r="Z56" i="1"/>
  <c r="Y56" i="1"/>
  <c r="X56" i="1"/>
  <c r="W56" i="1"/>
  <c r="Y48" i="1"/>
  <c r="Z48" i="1"/>
  <c r="X48" i="1"/>
  <c r="W48" i="1"/>
  <c r="Z40" i="1"/>
  <c r="Y40" i="1"/>
  <c r="X40" i="1"/>
  <c r="W40" i="1"/>
  <c r="Y32" i="1"/>
  <c r="Z32" i="1"/>
  <c r="X32" i="1"/>
  <c r="Z24" i="1"/>
  <c r="Y24" i="1"/>
  <c r="X24" i="1"/>
  <c r="W24" i="1"/>
  <c r="Y16" i="1"/>
  <c r="Z16" i="1"/>
  <c r="X16" i="1"/>
  <c r="W16" i="1"/>
  <c r="Z8" i="1"/>
  <c r="Y8" i="1"/>
  <c r="X8" i="1"/>
  <c r="W8" i="1"/>
  <c r="W819" i="1"/>
  <c r="W810" i="1"/>
  <c r="W788" i="1"/>
  <c r="W774" i="1"/>
  <c r="W760" i="1"/>
  <c r="W744" i="1"/>
  <c r="W728" i="1"/>
  <c r="W712" i="1"/>
  <c r="W696" i="1"/>
  <c r="W680" i="1"/>
  <c r="W664" i="1"/>
  <c r="W648" i="1"/>
  <c r="W632" i="1"/>
  <c r="W596" i="1"/>
  <c r="W578" i="1"/>
  <c r="W560" i="1"/>
  <c r="W539" i="1"/>
  <c r="W516" i="1"/>
  <c r="W491" i="1"/>
  <c r="W464" i="1"/>
  <c r="W435" i="1"/>
  <c r="W346" i="1"/>
  <c r="W272" i="1"/>
  <c r="W219" i="1"/>
  <c r="W163" i="1"/>
  <c r="W99" i="1"/>
  <c r="W35" i="1"/>
  <c r="X790" i="1"/>
  <c r="X726" i="1"/>
  <c r="X662" i="1"/>
  <c r="Z815" i="1"/>
  <c r="Y815" i="1"/>
  <c r="X815" i="1"/>
  <c r="Z807" i="1"/>
  <c r="X807" i="1"/>
  <c r="Y807" i="1"/>
  <c r="Z799" i="1"/>
  <c r="Y799" i="1"/>
  <c r="X799" i="1"/>
  <c r="Z791" i="1"/>
  <c r="X791" i="1"/>
  <c r="Y791" i="1"/>
  <c r="W791" i="1"/>
  <c r="Z783" i="1"/>
  <c r="Y783" i="1"/>
  <c r="X783" i="1"/>
  <c r="W783" i="1"/>
  <c r="Z775" i="1"/>
  <c r="X775" i="1"/>
  <c r="Y775" i="1"/>
  <c r="W775" i="1"/>
  <c r="Z767" i="1"/>
  <c r="Y767" i="1"/>
  <c r="X767" i="1"/>
  <c r="W767" i="1"/>
  <c r="Z759" i="1"/>
  <c r="X759" i="1"/>
  <c r="Y759" i="1"/>
  <c r="W759" i="1"/>
  <c r="Z751" i="1"/>
  <c r="Y751" i="1"/>
  <c r="X751" i="1"/>
  <c r="W751" i="1"/>
  <c r="Z743" i="1"/>
  <c r="X743" i="1"/>
  <c r="Y743" i="1"/>
  <c r="W743" i="1"/>
  <c r="Z735" i="1"/>
  <c r="Y735" i="1"/>
  <c r="X735" i="1"/>
  <c r="W735" i="1"/>
  <c r="Z727" i="1"/>
  <c r="X727" i="1"/>
  <c r="Y727" i="1"/>
  <c r="W727" i="1"/>
  <c r="Z719" i="1"/>
  <c r="Y719" i="1"/>
  <c r="X719" i="1"/>
  <c r="W719" i="1"/>
  <c r="Z711" i="1"/>
  <c r="X711" i="1"/>
  <c r="Y711" i="1"/>
  <c r="W711" i="1"/>
  <c r="Z703" i="1"/>
  <c r="Y703" i="1"/>
  <c r="X703" i="1"/>
  <c r="W703" i="1"/>
  <c r="Z695" i="1"/>
  <c r="X695" i="1"/>
  <c r="Y695" i="1"/>
  <c r="W695" i="1"/>
  <c r="Z687" i="1"/>
  <c r="Y687" i="1"/>
  <c r="X687" i="1"/>
  <c r="W687" i="1"/>
  <c r="Z679" i="1"/>
  <c r="X679" i="1"/>
  <c r="Y679" i="1"/>
  <c r="W679" i="1"/>
  <c r="Z671" i="1"/>
  <c r="Y671" i="1"/>
  <c r="X671" i="1"/>
  <c r="W671" i="1"/>
  <c r="Z663" i="1"/>
  <c r="X663" i="1"/>
  <c r="Y663" i="1"/>
  <c r="W663" i="1"/>
  <c r="Z655" i="1"/>
  <c r="Y655" i="1"/>
  <c r="X655" i="1"/>
  <c r="W655" i="1"/>
  <c r="Z647" i="1"/>
  <c r="X647" i="1"/>
  <c r="Y647" i="1"/>
  <c r="W647" i="1"/>
  <c r="Z639" i="1"/>
  <c r="Y639" i="1"/>
  <c r="X639" i="1"/>
  <c r="W639" i="1"/>
  <c r="Z631" i="1"/>
  <c r="X631" i="1"/>
  <c r="Y631" i="1"/>
  <c r="W631" i="1"/>
  <c r="Z623" i="1"/>
  <c r="Y623" i="1"/>
  <c r="X623" i="1"/>
  <c r="W623" i="1"/>
  <c r="Z615" i="1"/>
  <c r="X615" i="1"/>
  <c r="Y615" i="1"/>
  <c r="Z607" i="1"/>
  <c r="Y607" i="1"/>
  <c r="X607" i="1"/>
  <c r="W607" i="1"/>
  <c r="Z599" i="1"/>
  <c r="X599" i="1"/>
  <c r="Y599" i="1"/>
  <c r="W599" i="1"/>
  <c r="Z591" i="1"/>
  <c r="Y591" i="1"/>
  <c r="X591" i="1"/>
  <c r="W591" i="1"/>
  <c r="Z583" i="1"/>
  <c r="X583" i="1"/>
  <c r="Y583" i="1"/>
  <c r="Z575" i="1"/>
  <c r="Y575" i="1"/>
  <c r="X575" i="1"/>
  <c r="Z567" i="1"/>
  <c r="X567" i="1"/>
  <c r="Y567" i="1"/>
  <c r="Z559" i="1"/>
  <c r="Y559" i="1"/>
  <c r="X559" i="1"/>
  <c r="W559" i="1"/>
  <c r="Z551" i="1"/>
  <c r="X551" i="1"/>
  <c r="Y551" i="1"/>
  <c r="Z543" i="1"/>
  <c r="Y543" i="1"/>
  <c r="X543" i="1"/>
  <c r="W543" i="1"/>
  <c r="Z535" i="1"/>
  <c r="X535" i="1"/>
  <c r="Y535" i="1"/>
  <c r="Z527" i="1"/>
  <c r="Y527" i="1"/>
  <c r="X527" i="1"/>
  <c r="Z519" i="1"/>
  <c r="X519" i="1"/>
  <c r="W519" i="1"/>
  <c r="Y519" i="1"/>
  <c r="Z511" i="1"/>
  <c r="Y511" i="1"/>
  <c r="X511" i="1"/>
  <c r="W511" i="1"/>
  <c r="Z503" i="1"/>
  <c r="X503" i="1"/>
  <c r="Y503" i="1"/>
  <c r="W503" i="1"/>
  <c r="Z495" i="1"/>
  <c r="Y495" i="1"/>
  <c r="X495" i="1"/>
  <c r="W495" i="1"/>
  <c r="Z487" i="1"/>
  <c r="X487" i="1"/>
  <c r="W487" i="1"/>
  <c r="Y487" i="1"/>
  <c r="Z479" i="1"/>
  <c r="Y479" i="1"/>
  <c r="X479" i="1"/>
  <c r="W479" i="1"/>
  <c r="Z471" i="1"/>
  <c r="X471" i="1"/>
  <c r="Y471" i="1"/>
  <c r="W471" i="1"/>
  <c r="Z463" i="1"/>
  <c r="Y463" i="1"/>
  <c r="X463" i="1"/>
  <c r="W463" i="1"/>
  <c r="Z455" i="1"/>
  <c r="X455" i="1"/>
  <c r="Y455" i="1"/>
  <c r="W455" i="1"/>
  <c r="Z447" i="1"/>
  <c r="X447" i="1"/>
  <c r="Y447" i="1"/>
  <c r="W447" i="1"/>
  <c r="Z439" i="1"/>
  <c r="X439" i="1"/>
  <c r="Y439" i="1"/>
  <c r="W439" i="1"/>
  <c r="Z431" i="1"/>
  <c r="X431" i="1"/>
  <c r="Y431" i="1"/>
  <c r="W431" i="1"/>
  <c r="Z423" i="1"/>
  <c r="X423" i="1"/>
  <c r="W423" i="1"/>
  <c r="Y423" i="1"/>
  <c r="Z415" i="1"/>
  <c r="Y415" i="1"/>
  <c r="W415" i="1"/>
  <c r="X415" i="1"/>
  <c r="Z407" i="1"/>
  <c r="Y407" i="1"/>
  <c r="X407" i="1"/>
  <c r="Z399" i="1"/>
  <c r="Y399" i="1"/>
  <c r="X399" i="1"/>
  <c r="Z391" i="1"/>
  <c r="X391" i="1"/>
  <c r="Y391" i="1"/>
  <c r="Z383" i="1"/>
  <c r="X383" i="1"/>
  <c r="Y383" i="1"/>
  <c r="Z375" i="1"/>
  <c r="X375" i="1"/>
  <c r="Y375" i="1"/>
  <c r="Z367" i="1"/>
  <c r="X367" i="1"/>
  <c r="Y367" i="1"/>
  <c r="W367" i="1"/>
  <c r="Z359" i="1"/>
  <c r="W359" i="1"/>
  <c r="Y359" i="1"/>
  <c r="X359" i="1"/>
  <c r="Z351" i="1"/>
  <c r="Y351" i="1"/>
  <c r="X351" i="1"/>
  <c r="W351" i="1"/>
  <c r="Z343" i="1"/>
  <c r="X343" i="1"/>
  <c r="Y343" i="1"/>
  <c r="Z335" i="1"/>
  <c r="X335" i="1"/>
  <c r="Y335" i="1"/>
  <c r="W335" i="1"/>
  <c r="Z327" i="1"/>
  <c r="X327" i="1"/>
  <c r="Y327" i="1"/>
  <c r="Z319" i="1"/>
  <c r="Y319" i="1"/>
  <c r="W319" i="1"/>
  <c r="X319" i="1"/>
  <c r="Z311" i="1"/>
  <c r="X311" i="1"/>
  <c r="Y311" i="1"/>
  <c r="Z303" i="1"/>
  <c r="X303" i="1"/>
  <c r="Y303" i="1"/>
  <c r="W303" i="1"/>
  <c r="Z295" i="1"/>
  <c r="W295" i="1"/>
  <c r="Y295" i="1"/>
  <c r="X295" i="1"/>
  <c r="Z287" i="1"/>
  <c r="Y287" i="1"/>
  <c r="X287" i="1"/>
  <c r="W287" i="1"/>
  <c r="Z279" i="1"/>
  <c r="X279" i="1"/>
  <c r="Y279" i="1"/>
  <c r="W279" i="1"/>
  <c r="Z271" i="1"/>
  <c r="Y271" i="1"/>
  <c r="X271" i="1"/>
  <c r="W271" i="1"/>
  <c r="Z263" i="1"/>
  <c r="Y263" i="1"/>
  <c r="X263" i="1"/>
  <c r="W263" i="1"/>
  <c r="Z255" i="1"/>
  <c r="Y255" i="1"/>
  <c r="W255" i="1"/>
  <c r="X255" i="1"/>
  <c r="Z247" i="1"/>
  <c r="Y247" i="1"/>
  <c r="X247" i="1"/>
  <c r="Z239" i="1"/>
  <c r="Y239" i="1"/>
  <c r="X239" i="1"/>
  <c r="W239" i="1"/>
  <c r="Z231" i="1"/>
  <c r="Y231" i="1"/>
  <c r="W231" i="1"/>
  <c r="X231" i="1"/>
  <c r="Z223" i="1"/>
  <c r="Y223" i="1"/>
  <c r="W223" i="1"/>
  <c r="X223" i="1"/>
  <c r="Z215" i="1"/>
  <c r="Y215" i="1"/>
  <c r="X215" i="1"/>
  <c r="W215" i="1"/>
  <c r="Z207" i="1"/>
  <c r="Y207" i="1"/>
  <c r="X207" i="1"/>
  <c r="W207" i="1"/>
  <c r="Z199" i="1"/>
  <c r="Y199" i="1"/>
  <c r="W199" i="1"/>
  <c r="X199" i="1"/>
  <c r="Z191" i="1"/>
  <c r="Y191" i="1"/>
  <c r="X191" i="1"/>
  <c r="Z183" i="1"/>
  <c r="Y183" i="1"/>
  <c r="W183" i="1"/>
  <c r="X183" i="1"/>
  <c r="Z175" i="1"/>
  <c r="Y175" i="1"/>
  <c r="X175" i="1"/>
  <c r="W175" i="1"/>
  <c r="Z167" i="1"/>
  <c r="Y167" i="1"/>
  <c r="W167" i="1"/>
  <c r="X167" i="1"/>
  <c r="Z159" i="1"/>
  <c r="Y159" i="1"/>
  <c r="X159" i="1"/>
  <c r="W159" i="1"/>
  <c r="Z151" i="1"/>
  <c r="Y151" i="1"/>
  <c r="W151" i="1"/>
  <c r="X151" i="1"/>
  <c r="Z143" i="1"/>
  <c r="Y143" i="1"/>
  <c r="X143" i="1"/>
  <c r="W143" i="1"/>
  <c r="Z135" i="1"/>
  <c r="Y135" i="1"/>
  <c r="W135" i="1"/>
  <c r="X135" i="1"/>
  <c r="Z127" i="1"/>
  <c r="Y127" i="1"/>
  <c r="X127" i="1"/>
  <c r="W127" i="1"/>
  <c r="Z119" i="1"/>
  <c r="Y119" i="1"/>
  <c r="W119" i="1"/>
  <c r="X119" i="1"/>
  <c r="Z111" i="1"/>
  <c r="Y111" i="1"/>
  <c r="X111" i="1"/>
  <c r="W111" i="1"/>
  <c r="Z103" i="1"/>
  <c r="Y103" i="1"/>
  <c r="W103" i="1"/>
  <c r="X103" i="1"/>
  <c r="Z95" i="1"/>
  <c r="Y95" i="1"/>
  <c r="X95" i="1"/>
  <c r="W95" i="1"/>
  <c r="Z87" i="1"/>
  <c r="Y87" i="1"/>
  <c r="W87" i="1"/>
  <c r="X87" i="1"/>
  <c r="Z79" i="1"/>
  <c r="Y79" i="1"/>
  <c r="X79" i="1"/>
  <c r="W79" i="1"/>
  <c r="Z71" i="1"/>
  <c r="Y71" i="1"/>
  <c r="W71" i="1"/>
  <c r="X71" i="1"/>
  <c r="Z63" i="1"/>
  <c r="Y63" i="1"/>
  <c r="X63" i="1"/>
  <c r="W63" i="1"/>
  <c r="Z55" i="1"/>
  <c r="Y55" i="1"/>
  <c r="W55" i="1"/>
  <c r="X55" i="1"/>
  <c r="Z47" i="1"/>
  <c r="Y47" i="1"/>
  <c r="X47" i="1"/>
  <c r="W47" i="1"/>
  <c r="Z39" i="1"/>
  <c r="Y39" i="1"/>
  <c r="W39" i="1"/>
  <c r="X39" i="1"/>
  <c r="Z31" i="1"/>
  <c r="Y31" i="1"/>
  <c r="X31" i="1"/>
  <c r="W31" i="1"/>
  <c r="Z23" i="1"/>
  <c r="Y23" i="1"/>
  <c r="W23" i="1"/>
  <c r="X23" i="1"/>
  <c r="Z15" i="1"/>
  <c r="Y15" i="1"/>
  <c r="X15" i="1"/>
  <c r="W15" i="1"/>
  <c r="Z7" i="1"/>
  <c r="Y7" i="1"/>
  <c r="W7" i="1"/>
  <c r="X7" i="1"/>
  <c r="W818" i="1"/>
  <c r="W808" i="1"/>
  <c r="W798" i="1"/>
  <c r="W787" i="1"/>
  <c r="W773" i="1"/>
  <c r="W758" i="1"/>
  <c r="W742" i="1"/>
  <c r="W726" i="1"/>
  <c r="W710" i="1"/>
  <c r="W694" i="1"/>
  <c r="W678" i="1"/>
  <c r="W662" i="1"/>
  <c r="W646" i="1"/>
  <c r="W630" i="1"/>
  <c r="W612" i="1"/>
  <c r="W594" i="1"/>
  <c r="W576" i="1"/>
  <c r="W558" i="1"/>
  <c r="W537" i="1"/>
  <c r="W514" i="1"/>
  <c r="W489" i="1"/>
  <c r="W462" i="1"/>
  <c r="W430" i="1"/>
  <c r="W401" i="1"/>
  <c r="W372" i="1"/>
  <c r="W344" i="1"/>
  <c r="W308" i="1"/>
  <c r="W267" i="1"/>
  <c r="W217" i="1"/>
  <c r="W161" i="1"/>
  <c r="W97" i="1"/>
  <c r="W33" i="1"/>
  <c r="X788" i="1"/>
  <c r="X724" i="1"/>
  <c r="X660" i="1"/>
  <c r="Y302" i="1"/>
  <c r="Z302" i="1"/>
  <c r="X302" i="1"/>
  <c r="Z294" i="1"/>
  <c r="Y294" i="1"/>
  <c r="X294" i="1"/>
  <c r="W294" i="1"/>
  <c r="Y286" i="1"/>
  <c r="Z286" i="1"/>
  <c r="X286" i="1"/>
  <c r="W286" i="1"/>
  <c r="Z278" i="1"/>
  <c r="Y278" i="1"/>
  <c r="W278" i="1"/>
  <c r="Z270" i="1"/>
  <c r="X270" i="1"/>
  <c r="W270" i="1"/>
  <c r="Y270" i="1"/>
  <c r="Z262" i="1"/>
  <c r="W262" i="1"/>
  <c r="X262" i="1"/>
  <c r="Z254" i="1"/>
  <c r="Y254" i="1"/>
  <c r="W254" i="1"/>
  <c r="Z246" i="1"/>
  <c r="W246" i="1"/>
  <c r="Y246" i="1"/>
  <c r="X246" i="1"/>
  <c r="Y238" i="1"/>
  <c r="Z238" i="1"/>
  <c r="X238" i="1"/>
  <c r="W238" i="1"/>
  <c r="Z230" i="1"/>
  <c r="Y230" i="1"/>
  <c r="W230" i="1"/>
  <c r="X230" i="1"/>
  <c r="Z222" i="1"/>
  <c r="W222" i="1"/>
  <c r="Y222" i="1"/>
  <c r="X222" i="1"/>
  <c r="Z214" i="1"/>
  <c r="W214" i="1"/>
  <c r="Y214" i="1"/>
  <c r="Y206" i="1"/>
  <c r="Z206" i="1"/>
  <c r="X206" i="1"/>
  <c r="W206" i="1"/>
  <c r="Z198" i="1"/>
  <c r="Y198" i="1"/>
  <c r="W198" i="1"/>
  <c r="X198" i="1"/>
  <c r="Z190" i="1"/>
  <c r="Y190" i="1"/>
  <c r="X190" i="1"/>
  <c r="W190" i="1"/>
  <c r="Z182" i="1"/>
  <c r="Y182" i="1"/>
  <c r="W182" i="1"/>
  <c r="Z174" i="1"/>
  <c r="Y174" i="1"/>
  <c r="X174" i="1"/>
  <c r="W174" i="1"/>
  <c r="Z166" i="1"/>
  <c r="Y166" i="1"/>
  <c r="W166" i="1"/>
  <c r="X166" i="1"/>
  <c r="Z158" i="1"/>
  <c r="Y158" i="1"/>
  <c r="X158" i="1"/>
  <c r="W158" i="1"/>
  <c r="Z150" i="1"/>
  <c r="Y150" i="1"/>
  <c r="W150" i="1"/>
  <c r="Z142" i="1"/>
  <c r="Y142" i="1"/>
  <c r="X142" i="1"/>
  <c r="W142" i="1"/>
  <c r="Z134" i="1"/>
  <c r="Y134" i="1"/>
  <c r="W134" i="1"/>
  <c r="X134" i="1"/>
  <c r="Z126" i="1"/>
  <c r="Y126" i="1"/>
  <c r="X126" i="1"/>
  <c r="W126" i="1"/>
  <c r="Z118" i="1"/>
  <c r="Y118" i="1"/>
  <c r="W118" i="1"/>
  <c r="Z110" i="1"/>
  <c r="Y110" i="1"/>
  <c r="X110" i="1"/>
  <c r="W110" i="1"/>
  <c r="Z102" i="1"/>
  <c r="Y102" i="1"/>
  <c r="W102" i="1"/>
  <c r="X102" i="1"/>
  <c r="Z94" i="1"/>
  <c r="Y94" i="1"/>
  <c r="X94" i="1"/>
  <c r="W94" i="1"/>
  <c r="Z86" i="1"/>
  <c r="Y86" i="1"/>
  <c r="W86" i="1"/>
  <c r="Z78" i="1"/>
  <c r="Y78" i="1"/>
  <c r="X78" i="1"/>
  <c r="W78" i="1"/>
  <c r="Z70" i="1"/>
  <c r="Y70" i="1"/>
  <c r="W70" i="1"/>
  <c r="X70" i="1"/>
  <c r="Z62" i="1"/>
  <c r="Y62" i="1"/>
  <c r="X62" i="1"/>
  <c r="W62" i="1"/>
  <c r="Z54" i="1"/>
  <c r="Y54" i="1"/>
  <c r="W54" i="1"/>
  <c r="Z46" i="1"/>
  <c r="Y46" i="1"/>
  <c r="X46" i="1"/>
  <c r="W46" i="1"/>
  <c r="Z38" i="1"/>
  <c r="Y38" i="1"/>
  <c r="W38" i="1"/>
  <c r="X38" i="1"/>
  <c r="Z30" i="1"/>
  <c r="Y30" i="1"/>
  <c r="X30" i="1"/>
  <c r="W30" i="1"/>
  <c r="Z22" i="1"/>
  <c r="Y22" i="1"/>
  <c r="W22" i="1"/>
  <c r="Z14" i="1"/>
  <c r="Y14" i="1"/>
  <c r="X14" i="1"/>
  <c r="W14" i="1"/>
  <c r="Z6" i="1"/>
  <c r="Y6" i="1"/>
  <c r="W6" i="1"/>
  <c r="X6" i="1"/>
  <c r="Y262" i="1"/>
  <c r="B814" i="1"/>
  <c r="AB814" i="1" s="1"/>
  <c r="B813" i="1"/>
  <c r="AB813" i="1" s="1"/>
  <c r="B805" i="1"/>
  <c r="AB805" i="1" s="1"/>
  <c r="B797" i="1"/>
  <c r="AB797" i="1" s="1"/>
  <c r="B781" i="1"/>
  <c r="AB781" i="1" s="1"/>
  <c r="B773" i="1"/>
  <c r="AB773" i="1" s="1"/>
  <c r="B765" i="1"/>
  <c r="AB765" i="1" s="1"/>
  <c r="B812" i="1"/>
  <c r="AB812" i="1" s="1"/>
  <c r="B818" i="1"/>
  <c r="AB818" i="1" s="1"/>
  <c r="B810" i="1"/>
  <c r="AB810" i="1" s="1"/>
  <c r="B802" i="1"/>
  <c r="AB802" i="1" s="1"/>
  <c r="B794" i="1"/>
  <c r="AB794" i="1" s="1"/>
  <c r="B786" i="1"/>
  <c r="AB786" i="1" s="1"/>
  <c r="B770" i="1"/>
  <c r="AB770" i="1" s="1"/>
  <c r="B762" i="1"/>
  <c r="AB762" i="1" s="1"/>
  <c r="B746" i="1"/>
  <c r="AB746" i="1" s="1"/>
  <c r="B682" i="1"/>
  <c r="AB682" i="1" s="1"/>
  <c r="B634" i="1"/>
  <c r="AB634" i="1" s="1"/>
  <c r="B626" i="1"/>
  <c r="AB626" i="1" s="1"/>
  <c r="B594" i="1"/>
  <c r="AB594" i="1" s="1"/>
  <c r="B792" i="1"/>
  <c r="AB792" i="1" s="1"/>
  <c r="B784" i="1"/>
  <c r="AB784" i="1" s="1"/>
  <c r="B776" i="1"/>
  <c r="AB776" i="1" s="1"/>
  <c r="B768" i="1"/>
  <c r="AB768" i="1" s="1"/>
  <c r="B760" i="1"/>
  <c r="AB760" i="1" s="1"/>
  <c r="B752" i="1"/>
  <c r="AB752" i="1" s="1"/>
  <c r="B744" i="1"/>
  <c r="AB744" i="1" s="1"/>
  <c r="B736" i="1"/>
  <c r="AB736" i="1" s="1"/>
  <c r="B728" i="1"/>
  <c r="AB728" i="1" s="1"/>
  <c r="B720" i="1"/>
  <c r="AB720" i="1" s="1"/>
  <c r="B712" i="1"/>
  <c r="AB712" i="1" s="1"/>
  <c r="B704" i="1"/>
  <c r="AB704" i="1" s="1"/>
  <c r="B696" i="1"/>
  <c r="AB696" i="1" s="1"/>
  <c r="B688" i="1"/>
  <c r="AB688" i="1" s="1"/>
  <c r="B799" i="1"/>
  <c r="AB799" i="1" s="1"/>
  <c r="B791" i="1"/>
  <c r="AB791" i="1" s="1"/>
  <c r="B783" i="1"/>
  <c r="AB783" i="1" s="1"/>
  <c r="B775" i="1"/>
  <c r="AB775" i="1" s="1"/>
  <c r="B767" i="1"/>
  <c r="AB767" i="1" s="1"/>
  <c r="B759" i="1"/>
  <c r="AB759" i="1" s="1"/>
  <c r="B751" i="1"/>
  <c r="AB751" i="1" s="1"/>
  <c r="B743" i="1"/>
  <c r="AB743" i="1" s="1"/>
  <c r="B735" i="1"/>
  <c r="AB735" i="1" s="1"/>
  <c r="B727" i="1"/>
  <c r="AB727" i="1" s="1"/>
  <c r="B719" i="1"/>
  <c r="AB719" i="1" s="1"/>
  <c r="B711" i="1"/>
  <c r="AB711" i="1" s="1"/>
  <c r="B703" i="1"/>
  <c r="AB703" i="1" s="1"/>
  <c r="B695" i="1"/>
  <c r="AB695" i="1" s="1"/>
  <c r="B687" i="1"/>
  <c r="AB687" i="1" s="1"/>
  <c r="B679" i="1"/>
  <c r="AB679" i="1" s="1"/>
  <c r="B671" i="1"/>
  <c r="AB671" i="1" s="1"/>
  <c r="B663" i="1"/>
  <c r="AB663" i="1" s="1"/>
  <c r="B655" i="1"/>
  <c r="AB655" i="1" s="1"/>
  <c r="B647" i="1"/>
  <c r="AB647" i="1" s="1"/>
  <c r="B806" i="1"/>
  <c r="AB806" i="1" s="1"/>
  <c r="B798" i="1"/>
  <c r="AB798" i="1" s="1"/>
  <c r="B790" i="1"/>
  <c r="AB790" i="1" s="1"/>
  <c r="B782" i="1"/>
  <c r="AB782" i="1" s="1"/>
  <c r="B774" i="1"/>
  <c r="AB774" i="1" s="1"/>
  <c r="B766" i="1"/>
  <c r="AB766" i="1" s="1"/>
  <c r="B758" i="1"/>
  <c r="AB758" i="1" s="1"/>
  <c r="B750" i="1"/>
  <c r="AB750" i="1" s="1"/>
  <c r="B742" i="1"/>
  <c r="AB742" i="1" s="1"/>
  <c r="B734" i="1"/>
  <c r="AB734" i="1" s="1"/>
  <c r="B726" i="1"/>
  <c r="AB726" i="1" s="1"/>
  <c r="B718" i="1"/>
  <c r="AB718" i="1" s="1"/>
  <c r="B710" i="1"/>
  <c r="AB710" i="1" s="1"/>
  <c r="B702" i="1"/>
  <c r="AB702" i="1" s="1"/>
  <c r="B694" i="1"/>
  <c r="AB694" i="1" s="1"/>
  <c r="B686" i="1"/>
  <c r="AB686" i="1" s="1"/>
  <c r="B678" i="1"/>
  <c r="AB678" i="1" s="1"/>
  <c r="B670" i="1"/>
  <c r="AB670" i="1" s="1"/>
  <c r="B662" i="1"/>
  <c r="AB662" i="1" s="1"/>
  <c r="B654" i="1"/>
  <c r="AB654" i="1" s="1"/>
  <c r="B646" i="1"/>
  <c r="AB646" i="1" s="1"/>
  <c r="B638" i="1"/>
  <c r="AB638" i="1" s="1"/>
  <c r="B630" i="1"/>
  <c r="AB630" i="1" s="1"/>
  <c r="B622" i="1"/>
  <c r="AB622" i="1" s="1"/>
  <c r="B614" i="1"/>
  <c r="AB614" i="1" s="1"/>
  <c r="B789" i="1"/>
  <c r="AB789" i="1" s="1"/>
  <c r="B749" i="1"/>
  <c r="AB749" i="1" s="1"/>
  <c r="B717" i="1"/>
  <c r="AB717" i="1" s="1"/>
  <c r="B685" i="1"/>
  <c r="AB685" i="1" s="1"/>
  <c r="B677" i="1"/>
  <c r="AB677" i="1" s="1"/>
  <c r="B669" i="1"/>
  <c r="AB669" i="1" s="1"/>
  <c r="B661" i="1"/>
  <c r="AB661" i="1" s="1"/>
  <c r="B653" i="1"/>
  <c r="AB653" i="1" s="1"/>
  <c r="B645" i="1"/>
  <c r="AB645" i="1" s="1"/>
  <c r="B637" i="1"/>
  <c r="AB637" i="1" s="1"/>
  <c r="B629" i="1"/>
  <c r="AB629" i="1" s="1"/>
  <c r="B621" i="1"/>
  <c r="AB621" i="1" s="1"/>
  <c r="B613" i="1"/>
  <c r="AB613" i="1" s="1"/>
  <c r="B605" i="1"/>
  <c r="AB605" i="1" s="1"/>
  <c r="B597" i="1"/>
  <c r="AB597" i="1" s="1"/>
  <c r="B589" i="1"/>
  <c r="AB589" i="1" s="1"/>
  <c r="B581" i="1"/>
  <c r="AB581" i="1" s="1"/>
  <c r="B573" i="1"/>
  <c r="AB573" i="1" s="1"/>
  <c r="B741" i="1"/>
  <c r="AB741" i="1" s="1"/>
  <c r="B725" i="1"/>
  <c r="AB725" i="1" s="1"/>
  <c r="B709" i="1"/>
  <c r="AB709" i="1" s="1"/>
  <c r="B693" i="1"/>
  <c r="AB693" i="1" s="1"/>
  <c r="B820" i="1"/>
  <c r="AB820" i="1" s="1"/>
  <c r="B796" i="1"/>
  <c r="AB796" i="1" s="1"/>
  <c r="B780" i="1"/>
  <c r="AB780" i="1" s="1"/>
  <c r="B772" i="1"/>
  <c r="AB772" i="1" s="1"/>
  <c r="B756" i="1"/>
  <c r="AB756" i="1" s="1"/>
  <c r="B724" i="1"/>
  <c r="AB724" i="1" s="1"/>
  <c r="B716" i="1"/>
  <c r="AB716" i="1" s="1"/>
  <c r="B708" i="1"/>
  <c r="AB708" i="1" s="1"/>
  <c r="B700" i="1"/>
  <c r="AB700" i="1" s="1"/>
  <c r="B692" i="1"/>
  <c r="AB692" i="1" s="1"/>
  <c r="B684" i="1"/>
  <c r="AB684" i="1" s="1"/>
  <c r="B676" i="1"/>
  <c r="AB676" i="1" s="1"/>
  <c r="B668" i="1"/>
  <c r="AB668" i="1" s="1"/>
  <c r="B660" i="1"/>
  <c r="AB660" i="1" s="1"/>
  <c r="B733" i="1"/>
  <c r="AB733" i="1" s="1"/>
  <c r="B701" i="1"/>
  <c r="AB701" i="1" s="1"/>
  <c r="B804" i="1"/>
  <c r="AB804" i="1" s="1"/>
  <c r="B788" i="1"/>
  <c r="AB788" i="1" s="1"/>
  <c r="B764" i="1"/>
  <c r="AB764" i="1" s="1"/>
  <c r="B748" i="1"/>
  <c r="AB748" i="1" s="1"/>
  <c r="B740" i="1"/>
  <c r="AB740" i="1" s="1"/>
  <c r="B732" i="1"/>
  <c r="AB732" i="1" s="1"/>
  <c r="B819" i="1"/>
  <c r="AB819" i="1" s="1"/>
  <c r="B811" i="1"/>
  <c r="AB811" i="1" s="1"/>
  <c r="B803" i="1"/>
  <c r="AB803" i="1" s="1"/>
  <c r="B795" i="1"/>
  <c r="AB795" i="1" s="1"/>
  <c r="B787" i="1"/>
  <c r="AB787" i="1" s="1"/>
  <c r="B779" i="1"/>
  <c r="AB779" i="1" s="1"/>
  <c r="B757" i="1"/>
  <c r="AB757" i="1" s="1"/>
  <c r="B778" i="1"/>
  <c r="AB778" i="1" s="1"/>
  <c r="B754" i="1"/>
  <c r="AB754" i="1" s="1"/>
  <c r="B738" i="1"/>
  <c r="AB738" i="1" s="1"/>
  <c r="B730" i="1"/>
  <c r="AB730" i="1" s="1"/>
  <c r="B722" i="1"/>
  <c r="AB722" i="1" s="1"/>
  <c r="B714" i="1"/>
  <c r="AB714" i="1" s="1"/>
  <c r="B706" i="1"/>
  <c r="AB706" i="1" s="1"/>
  <c r="B698" i="1"/>
  <c r="AB698" i="1" s="1"/>
  <c r="B690" i="1"/>
  <c r="AB690" i="1" s="1"/>
  <c r="B674" i="1"/>
  <c r="AB674" i="1" s="1"/>
  <c r="B666" i="1"/>
  <c r="AB666" i="1" s="1"/>
  <c r="B658" i="1"/>
  <c r="AB658" i="1" s="1"/>
  <c r="B650" i="1"/>
  <c r="AB650" i="1" s="1"/>
  <c r="B642" i="1"/>
  <c r="AB642" i="1" s="1"/>
  <c r="B618" i="1"/>
  <c r="AB618" i="1" s="1"/>
  <c r="B610" i="1"/>
  <c r="AB610" i="1" s="1"/>
  <c r="B602" i="1"/>
  <c r="AB602" i="1" s="1"/>
  <c r="B578" i="1"/>
  <c r="AB578" i="1" s="1"/>
  <c r="B570" i="1"/>
  <c r="AB570" i="1" s="1"/>
  <c r="B817" i="1"/>
  <c r="AB817" i="1" s="1"/>
  <c r="B809" i="1"/>
  <c r="AB809" i="1" s="1"/>
  <c r="B801" i="1"/>
  <c r="AB801" i="1" s="1"/>
  <c r="B793" i="1"/>
  <c r="AB793" i="1" s="1"/>
  <c r="B785" i="1"/>
  <c r="AB785" i="1" s="1"/>
  <c r="B777" i="1"/>
  <c r="AB777" i="1" s="1"/>
  <c r="B769" i="1"/>
  <c r="AB769" i="1" s="1"/>
  <c r="B761" i="1"/>
  <c r="AB761" i="1" s="1"/>
  <c r="B753" i="1"/>
  <c r="AB753" i="1" s="1"/>
  <c r="B745" i="1"/>
  <c r="AB745" i="1" s="1"/>
  <c r="B737" i="1"/>
  <c r="AB737" i="1" s="1"/>
  <c r="B729" i="1"/>
  <c r="AB729" i="1" s="1"/>
  <c r="B721" i="1"/>
  <c r="AB721" i="1" s="1"/>
  <c r="B713" i="1"/>
  <c r="AB713" i="1" s="1"/>
  <c r="B705" i="1"/>
  <c r="AB705" i="1" s="1"/>
  <c r="B697" i="1"/>
  <c r="AB697" i="1" s="1"/>
  <c r="B689" i="1"/>
  <c r="AB689" i="1" s="1"/>
  <c r="B681" i="1"/>
  <c r="AB681" i="1" s="1"/>
  <c r="B673" i="1"/>
  <c r="AB673" i="1" s="1"/>
  <c r="B665" i="1"/>
  <c r="AB665" i="1" s="1"/>
  <c r="B657" i="1"/>
  <c r="AB657" i="1" s="1"/>
  <c r="B649" i="1"/>
  <c r="AB649" i="1" s="1"/>
  <c r="B641" i="1"/>
  <c r="AB641" i="1" s="1"/>
  <c r="B633" i="1"/>
  <c r="AB633" i="1" s="1"/>
  <c r="B625" i="1"/>
  <c r="AB625" i="1" s="1"/>
  <c r="B617" i="1"/>
  <c r="AB617" i="1" s="1"/>
  <c r="B609" i="1"/>
  <c r="AB609" i="1" s="1"/>
  <c r="B601" i="1"/>
  <c r="AB601" i="1" s="1"/>
  <c r="B593" i="1"/>
  <c r="AB593" i="1" s="1"/>
  <c r="B585" i="1"/>
  <c r="AB585" i="1" s="1"/>
  <c r="B577" i="1"/>
  <c r="AB577" i="1" s="1"/>
  <c r="B569" i="1"/>
  <c r="AB569" i="1" s="1"/>
  <c r="B561" i="1"/>
  <c r="AB561" i="1" s="1"/>
  <c r="B553" i="1"/>
  <c r="AB553" i="1" s="1"/>
  <c r="B545" i="1"/>
  <c r="AB545" i="1" s="1"/>
  <c r="B537" i="1"/>
  <c r="AB537" i="1" s="1"/>
  <c r="B529" i="1"/>
  <c r="AB529" i="1" s="1"/>
  <c r="B521" i="1"/>
  <c r="AB521" i="1" s="1"/>
  <c r="B513" i="1"/>
  <c r="AB513" i="1" s="1"/>
  <c r="B505" i="1"/>
  <c r="AB505" i="1" s="1"/>
  <c r="B497" i="1"/>
  <c r="AB497" i="1" s="1"/>
  <c r="B489" i="1"/>
  <c r="AB489" i="1" s="1"/>
  <c r="B481" i="1"/>
  <c r="AB481" i="1" s="1"/>
  <c r="B473" i="1"/>
  <c r="AB473" i="1" s="1"/>
  <c r="B465" i="1"/>
  <c r="AB465" i="1" s="1"/>
  <c r="B457" i="1"/>
  <c r="AB457" i="1" s="1"/>
  <c r="B449" i="1"/>
  <c r="AB449" i="1" s="1"/>
  <c r="B441" i="1"/>
  <c r="AB441" i="1" s="1"/>
  <c r="B433" i="1"/>
  <c r="AB433" i="1" s="1"/>
  <c r="B425" i="1"/>
  <c r="AB425" i="1" s="1"/>
  <c r="B417" i="1"/>
  <c r="AB417" i="1" s="1"/>
  <c r="B409" i="1"/>
  <c r="AB409" i="1" s="1"/>
  <c r="B401" i="1"/>
  <c r="AB401" i="1" s="1"/>
  <c r="B393" i="1"/>
  <c r="AB393" i="1" s="1"/>
  <c r="B385" i="1"/>
  <c r="AB385" i="1" s="1"/>
  <c r="B377" i="1"/>
  <c r="AB377" i="1" s="1"/>
  <c r="B369" i="1"/>
  <c r="AB369" i="1" s="1"/>
  <c r="B680" i="1"/>
  <c r="AB680" i="1" s="1"/>
  <c r="B672" i="1"/>
  <c r="AB672" i="1" s="1"/>
  <c r="B664" i="1"/>
  <c r="AB664" i="1" s="1"/>
  <c r="B656" i="1"/>
  <c r="AB656" i="1" s="1"/>
  <c r="B648" i="1"/>
  <c r="AB648" i="1" s="1"/>
  <c r="B640" i="1"/>
  <c r="AB640" i="1" s="1"/>
  <c r="B632" i="1"/>
  <c r="AB632" i="1" s="1"/>
  <c r="B624" i="1"/>
  <c r="AB624" i="1" s="1"/>
  <c r="B616" i="1"/>
  <c r="AB616" i="1" s="1"/>
  <c r="B608" i="1"/>
  <c r="AB608" i="1" s="1"/>
  <c r="B600" i="1"/>
  <c r="AB600" i="1" s="1"/>
  <c r="B592" i="1"/>
  <c r="AB592" i="1" s="1"/>
  <c r="B584" i="1"/>
  <c r="AB584" i="1" s="1"/>
  <c r="B576" i="1"/>
  <c r="AB576" i="1" s="1"/>
  <c r="B568" i="1"/>
  <c r="AB568" i="1" s="1"/>
  <c r="B560" i="1"/>
  <c r="AB560" i="1" s="1"/>
  <c r="B552" i="1"/>
  <c r="AB552" i="1" s="1"/>
  <c r="B544" i="1"/>
  <c r="AB544" i="1" s="1"/>
  <c r="B536" i="1"/>
  <c r="AB536" i="1" s="1"/>
  <c r="B528" i="1"/>
  <c r="AB528" i="1" s="1"/>
  <c r="B520" i="1"/>
  <c r="AB520" i="1" s="1"/>
  <c r="B512" i="1"/>
  <c r="AB512" i="1" s="1"/>
  <c r="B504" i="1"/>
  <c r="AB504" i="1" s="1"/>
  <c r="B496" i="1"/>
  <c r="AB496" i="1" s="1"/>
  <c r="B488" i="1"/>
  <c r="AB488" i="1" s="1"/>
  <c r="B480" i="1"/>
  <c r="AB480" i="1" s="1"/>
  <c r="B472" i="1"/>
  <c r="AB472" i="1" s="1"/>
  <c r="B464" i="1"/>
  <c r="AB464" i="1" s="1"/>
  <c r="B456" i="1"/>
  <c r="AB456" i="1" s="1"/>
  <c r="B448" i="1"/>
  <c r="AB448" i="1" s="1"/>
  <c r="B440" i="1"/>
  <c r="AB440" i="1" s="1"/>
  <c r="B432" i="1"/>
  <c r="AB432" i="1" s="1"/>
  <c r="B424" i="1"/>
  <c r="AB424" i="1" s="1"/>
  <c r="B416" i="1"/>
  <c r="AB416" i="1" s="1"/>
  <c r="B408" i="1"/>
  <c r="AB408" i="1" s="1"/>
  <c r="B400" i="1"/>
  <c r="AB400" i="1" s="1"/>
  <c r="B392" i="1"/>
  <c r="AB392" i="1" s="1"/>
  <c r="B384" i="1"/>
  <c r="AB384" i="1" s="1"/>
  <c r="B376" i="1"/>
  <c r="AB376" i="1" s="1"/>
  <c r="B368" i="1"/>
  <c r="AB368" i="1" s="1"/>
  <c r="B360" i="1"/>
  <c r="AB360" i="1" s="1"/>
  <c r="B352" i="1"/>
  <c r="AB352" i="1" s="1"/>
  <c r="B344" i="1"/>
  <c r="AB344" i="1" s="1"/>
  <c r="B336" i="1"/>
  <c r="AB336" i="1" s="1"/>
  <c r="B328" i="1"/>
  <c r="AB328" i="1" s="1"/>
  <c r="B320" i="1"/>
  <c r="AB320" i="1" s="1"/>
  <c r="B312" i="1"/>
  <c r="AB312" i="1" s="1"/>
  <c r="B304" i="1"/>
  <c r="AB304" i="1" s="1"/>
  <c r="B296" i="1"/>
  <c r="AB296" i="1" s="1"/>
  <c r="B288" i="1"/>
  <c r="AB288" i="1" s="1"/>
  <c r="B280" i="1"/>
  <c r="AB280" i="1" s="1"/>
  <c r="B272" i="1"/>
  <c r="AB272" i="1" s="1"/>
  <c r="B264" i="1"/>
  <c r="AB264" i="1" s="1"/>
  <c r="B256" i="1"/>
  <c r="AB256" i="1" s="1"/>
  <c r="B248" i="1"/>
  <c r="AB248" i="1" s="1"/>
  <c r="B240" i="1"/>
  <c r="AB240" i="1" s="1"/>
  <c r="B232" i="1"/>
  <c r="AB232" i="1" s="1"/>
  <c r="B224" i="1"/>
  <c r="AB224" i="1" s="1"/>
  <c r="B216" i="1"/>
  <c r="AB216" i="1" s="1"/>
  <c r="B208" i="1"/>
  <c r="AB208" i="1" s="1"/>
  <c r="B200" i="1"/>
  <c r="AB200" i="1" s="1"/>
  <c r="B192" i="1"/>
  <c r="AB192" i="1" s="1"/>
  <c r="B184" i="1"/>
  <c r="AB184" i="1" s="1"/>
  <c r="B176" i="1"/>
  <c r="AB176" i="1" s="1"/>
  <c r="B168" i="1"/>
  <c r="AB168" i="1" s="1"/>
  <c r="B160" i="1"/>
  <c r="AB160" i="1" s="1"/>
  <c r="B152" i="1"/>
  <c r="AB152" i="1" s="1"/>
  <c r="B144" i="1"/>
  <c r="AB144" i="1" s="1"/>
  <c r="B136" i="1"/>
  <c r="AB136" i="1" s="1"/>
  <c r="B128" i="1"/>
  <c r="AB128" i="1" s="1"/>
  <c r="B120" i="1"/>
  <c r="AB120" i="1" s="1"/>
  <c r="B112" i="1"/>
  <c r="AB112" i="1" s="1"/>
  <c r="B104" i="1"/>
  <c r="AB104" i="1" s="1"/>
  <c r="B96" i="1"/>
  <c r="AB96" i="1" s="1"/>
  <c r="B88" i="1"/>
  <c r="AB88" i="1" s="1"/>
  <c r="B80" i="1"/>
  <c r="AB80" i="1" s="1"/>
  <c r="B72" i="1"/>
  <c r="AB72" i="1" s="1"/>
  <c r="B64" i="1"/>
  <c r="AB64" i="1" s="1"/>
  <c r="B56" i="1"/>
  <c r="AB56" i="1" s="1"/>
  <c r="B48" i="1"/>
  <c r="AB48" i="1" s="1"/>
  <c r="B40" i="1"/>
  <c r="AB40" i="1" s="1"/>
  <c r="B32" i="1"/>
  <c r="AB32" i="1" s="1"/>
  <c r="B24" i="1"/>
  <c r="AB24" i="1" s="1"/>
  <c r="B16" i="1"/>
  <c r="AB16" i="1" s="1"/>
  <c r="B8" i="1"/>
  <c r="B639" i="1"/>
  <c r="AB639" i="1" s="1"/>
  <c r="B631" i="1"/>
  <c r="AB631" i="1" s="1"/>
  <c r="B623" i="1"/>
  <c r="AB623" i="1" s="1"/>
  <c r="B615" i="1"/>
  <c r="AB615" i="1" s="1"/>
  <c r="B607" i="1"/>
  <c r="AB607" i="1" s="1"/>
  <c r="B599" i="1"/>
  <c r="AB599" i="1" s="1"/>
  <c r="B591" i="1"/>
  <c r="AB591" i="1" s="1"/>
  <c r="B583" i="1"/>
  <c r="AB583" i="1" s="1"/>
  <c r="B575" i="1"/>
  <c r="AB575" i="1" s="1"/>
  <c r="B567" i="1"/>
  <c r="AB567" i="1" s="1"/>
  <c r="B559" i="1"/>
  <c r="AB559" i="1" s="1"/>
  <c r="B551" i="1"/>
  <c r="AB551" i="1" s="1"/>
  <c r="B543" i="1"/>
  <c r="AB543" i="1" s="1"/>
  <c r="B535" i="1"/>
  <c r="AB535" i="1" s="1"/>
  <c r="B527" i="1"/>
  <c r="AB527" i="1" s="1"/>
  <c r="B519" i="1"/>
  <c r="AB519" i="1" s="1"/>
  <c r="B511" i="1"/>
  <c r="AB511" i="1" s="1"/>
  <c r="B503" i="1"/>
  <c r="AB503" i="1" s="1"/>
  <c r="B495" i="1"/>
  <c r="AB495" i="1" s="1"/>
  <c r="B487" i="1"/>
  <c r="AB487" i="1" s="1"/>
  <c r="B479" i="1"/>
  <c r="AB479" i="1" s="1"/>
  <c r="B471" i="1"/>
  <c r="AB471" i="1" s="1"/>
  <c r="B463" i="1"/>
  <c r="AB463" i="1" s="1"/>
  <c r="B455" i="1"/>
  <c r="AB455" i="1" s="1"/>
  <c r="B447" i="1"/>
  <c r="AB447" i="1" s="1"/>
  <c r="B439" i="1"/>
  <c r="AB439" i="1" s="1"/>
  <c r="B431" i="1"/>
  <c r="AB431" i="1" s="1"/>
  <c r="B423" i="1"/>
  <c r="AB423" i="1" s="1"/>
  <c r="B415" i="1"/>
  <c r="AB415" i="1" s="1"/>
  <c r="B407" i="1"/>
  <c r="AB407" i="1" s="1"/>
  <c r="B399" i="1"/>
  <c r="AB399" i="1" s="1"/>
  <c r="B391" i="1"/>
  <c r="AB391" i="1" s="1"/>
  <c r="B383" i="1"/>
  <c r="AB383" i="1" s="1"/>
  <c r="B375" i="1"/>
  <c r="AB375" i="1" s="1"/>
  <c r="B367" i="1"/>
  <c r="AB367" i="1" s="1"/>
  <c r="B359" i="1"/>
  <c r="AB359" i="1" s="1"/>
  <c r="B351" i="1"/>
  <c r="AB351" i="1" s="1"/>
  <c r="B343" i="1"/>
  <c r="AB343" i="1" s="1"/>
  <c r="B335" i="1"/>
  <c r="AB335" i="1" s="1"/>
  <c r="B327" i="1"/>
  <c r="AB327" i="1" s="1"/>
  <c r="B319" i="1"/>
  <c r="AB319" i="1" s="1"/>
  <c r="B311" i="1"/>
  <c r="AB311" i="1" s="1"/>
  <c r="B303" i="1"/>
  <c r="AB303" i="1" s="1"/>
  <c r="B295" i="1"/>
  <c r="AB295" i="1" s="1"/>
  <c r="B287" i="1"/>
  <c r="AB287" i="1" s="1"/>
  <c r="B279" i="1"/>
  <c r="AB279" i="1" s="1"/>
  <c r="B271" i="1"/>
  <c r="AB271" i="1" s="1"/>
  <c r="B263" i="1"/>
  <c r="AB263" i="1" s="1"/>
  <c r="B255" i="1"/>
  <c r="AB255" i="1" s="1"/>
  <c r="B247" i="1"/>
  <c r="AB247" i="1" s="1"/>
  <c r="B239" i="1"/>
  <c r="AB239" i="1" s="1"/>
  <c r="B231" i="1"/>
  <c r="AB231" i="1" s="1"/>
  <c r="B223" i="1"/>
  <c r="AB223" i="1" s="1"/>
  <c r="B215" i="1"/>
  <c r="AB215" i="1" s="1"/>
  <c r="B207" i="1"/>
  <c r="AB207" i="1" s="1"/>
  <c r="B199" i="1"/>
  <c r="AB199" i="1" s="1"/>
  <c r="B191" i="1"/>
  <c r="AB191" i="1" s="1"/>
  <c r="B183" i="1"/>
  <c r="AB183" i="1" s="1"/>
  <c r="B175" i="1"/>
  <c r="AB175" i="1" s="1"/>
  <c r="B167" i="1"/>
  <c r="AB167" i="1" s="1"/>
  <c r="B159" i="1"/>
  <c r="AB159" i="1" s="1"/>
  <c r="B151" i="1"/>
  <c r="AB151" i="1" s="1"/>
  <c r="B143" i="1"/>
  <c r="AB143" i="1" s="1"/>
  <c r="B135" i="1"/>
  <c r="AB135" i="1" s="1"/>
  <c r="B127" i="1"/>
  <c r="AB127" i="1" s="1"/>
  <c r="B119" i="1"/>
  <c r="AB119" i="1" s="1"/>
  <c r="B111" i="1"/>
  <c r="AB111" i="1" s="1"/>
  <c r="B103" i="1"/>
  <c r="AB103" i="1" s="1"/>
  <c r="B95" i="1"/>
  <c r="AB95" i="1" s="1"/>
  <c r="B87" i="1"/>
  <c r="AB87" i="1" s="1"/>
  <c r="B79" i="1"/>
  <c r="AB79" i="1" s="1"/>
  <c r="B71" i="1"/>
  <c r="AB71" i="1" s="1"/>
  <c r="B63" i="1"/>
  <c r="AB63" i="1" s="1"/>
  <c r="B55" i="1"/>
  <c r="AB55" i="1" s="1"/>
  <c r="B47" i="1"/>
  <c r="AB47" i="1" s="1"/>
  <c r="B39" i="1"/>
  <c r="AB39" i="1" s="1"/>
  <c r="B31" i="1"/>
  <c r="AB31" i="1" s="1"/>
  <c r="B23" i="1"/>
  <c r="AB23" i="1" s="1"/>
  <c r="B15" i="1"/>
  <c r="B7" i="1"/>
  <c r="B606" i="1"/>
  <c r="AB606" i="1" s="1"/>
  <c r="B598" i="1"/>
  <c r="AB598" i="1" s="1"/>
  <c r="B590" i="1"/>
  <c r="AB590" i="1" s="1"/>
  <c r="B582" i="1"/>
  <c r="AB582" i="1" s="1"/>
  <c r="B574" i="1"/>
  <c r="AB574" i="1" s="1"/>
  <c r="B566" i="1"/>
  <c r="AB566" i="1" s="1"/>
  <c r="B558" i="1"/>
  <c r="AB558" i="1" s="1"/>
  <c r="B550" i="1"/>
  <c r="AB550" i="1" s="1"/>
  <c r="B542" i="1"/>
  <c r="AB542" i="1" s="1"/>
  <c r="B534" i="1"/>
  <c r="AB534" i="1" s="1"/>
  <c r="B526" i="1"/>
  <c r="AB526" i="1" s="1"/>
  <c r="B518" i="1"/>
  <c r="AB518" i="1" s="1"/>
  <c r="B510" i="1"/>
  <c r="AB510" i="1" s="1"/>
  <c r="B502" i="1"/>
  <c r="AB502" i="1" s="1"/>
  <c r="B494" i="1"/>
  <c r="AB494" i="1" s="1"/>
  <c r="B486" i="1"/>
  <c r="AB486" i="1" s="1"/>
  <c r="B478" i="1"/>
  <c r="AB478" i="1" s="1"/>
  <c r="B470" i="1"/>
  <c r="AB470" i="1" s="1"/>
  <c r="B462" i="1"/>
  <c r="AB462" i="1" s="1"/>
  <c r="B454" i="1"/>
  <c r="AB454" i="1" s="1"/>
  <c r="B446" i="1"/>
  <c r="AB446" i="1" s="1"/>
  <c r="B438" i="1"/>
  <c r="AB438" i="1" s="1"/>
  <c r="B430" i="1"/>
  <c r="AB430" i="1" s="1"/>
  <c r="B422" i="1"/>
  <c r="AB422" i="1" s="1"/>
  <c r="B414" i="1"/>
  <c r="AB414" i="1" s="1"/>
  <c r="B406" i="1"/>
  <c r="AB406" i="1" s="1"/>
  <c r="B398" i="1"/>
  <c r="AB398" i="1" s="1"/>
  <c r="B390" i="1"/>
  <c r="AB390" i="1" s="1"/>
  <c r="B382" i="1"/>
  <c r="AB382" i="1" s="1"/>
  <c r="B374" i="1"/>
  <c r="AB374" i="1" s="1"/>
  <c r="B366" i="1"/>
  <c r="AB366" i="1" s="1"/>
  <c r="B358" i="1"/>
  <c r="AB358" i="1" s="1"/>
  <c r="B350" i="1"/>
  <c r="AB350" i="1" s="1"/>
  <c r="B342" i="1"/>
  <c r="AB342" i="1" s="1"/>
  <c r="B334" i="1"/>
  <c r="AB334" i="1" s="1"/>
  <c r="B326" i="1"/>
  <c r="AB326" i="1" s="1"/>
  <c r="B318" i="1"/>
  <c r="AB318" i="1" s="1"/>
  <c r="B310" i="1"/>
  <c r="AB310" i="1" s="1"/>
  <c r="B302" i="1"/>
  <c r="AB302" i="1" s="1"/>
  <c r="B294" i="1"/>
  <c r="AB294" i="1" s="1"/>
  <c r="B286" i="1"/>
  <c r="AB286" i="1" s="1"/>
  <c r="B278" i="1"/>
  <c r="AB278" i="1" s="1"/>
  <c r="B270" i="1"/>
  <c r="AB270" i="1" s="1"/>
  <c r="B262" i="1"/>
  <c r="AB262" i="1" s="1"/>
  <c r="B254" i="1"/>
  <c r="AB254" i="1" s="1"/>
  <c r="B246" i="1"/>
  <c r="AB246" i="1" s="1"/>
  <c r="B238" i="1"/>
  <c r="AB238" i="1" s="1"/>
  <c r="B230" i="1"/>
  <c r="AB230" i="1" s="1"/>
  <c r="B222" i="1"/>
  <c r="AB222" i="1" s="1"/>
  <c r="B214" i="1"/>
  <c r="AB214" i="1" s="1"/>
  <c r="B206" i="1"/>
  <c r="AB206" i="1" s="1"/>
  <c r="B198" i="1"/>
  <c r="AB198" i="1" s="1"/>
  <c r="B190" i="1"/>
  <c r="AB190" i="1" s="1"/>
  <c r="B182" i="1"/>
  <c r="AB182" i="1" s="1"/>
  <c r="B174" i="1"/>
  <c r="AB174" i="1" s="1"/>
  <c r="B166" i="1"/>
  <c r="AB166" i="1" s="1"/>
  <c r="B158" i="1"/>
  <c r="AB158" i="1" s="1"/>
  <c r="B150" i="1"/>
  <c r="AB150" i="1" s="1"/>
  <c r="B142" i="1"/>
  <c r="AB142" i="1" s="1"/>
  <c r="B134" i="1"/>
  <c r="AB134" i="1" s="1"/>
  <c r="B126" i="1"/>
  <c r="AB126" i="1" s="1"/>
  <c r="B118" i="1"/>
  <c r="AB118" i="1" s="1"/>
  <c r="B110" i="1"/>
  <c r="AB110" i="1" s="1"/>
  <c r="B102" i="1"/>
  <c r="AB102" i="1" s="1"/>
  <c r="B94" i="1"/>
  <c r="AB94" i="1" s="1"/>
  <c r="B86" i="1"/>
  <c r="AB86" i="1" s="1"/>
  <c r="B78" i="1"/>
  <c r="AB78" i="1" s="1"/>
  <c r="B70" i="1"/>
  <c r="AB70" i="1" s="1"/>
  <c r="B62" i="1"/>
  <c r="AB62" i="1" s="1"/>
  <c r="B54" i="1"/>
  <c r="AB54" i="1" s="1"/>
  <c r="B46" i="1"/>
  <c r="AB46" i="1" s="1"/>
  <c r="B38" i="1"/>
  <c r="AB38" i="1" s="1"/>
  <c r="B30" i="1"/>
  <c r="AB30" i="1" s="1"/>
  <c r="B22" i="1"/>
  <c r="AB22" i="1" s="1"/>
  <c r="B14" i="1"/>
  <c r="B565" i="1"/>
  <c r="AB565" i="1" s="1"/>
  <c r="B557" i="1"/>
  <c r="AB557" i="1" s="1"/>
  <c r="B549" i="1"/>
  <c r="AB549" i="1" s="1"/>
  <c r="B541" i="1"/>
  <c r="AB541" i="1" s="1"/>
  <c r="B533" i="1"/>
  <c r="AB533" i="1" s="1"/>
  <c r="B525" i="1"/>
  <c r="AB525" i="1" s="1"/>
  <c r="B517" i="1"/>
  <c r="AB517" i="1" s="1"/>
  <c r="B509" i="1"/>
  <c r="AB509" i="1" s="1"/>
  <c r="B501" i="1"/>
  <c r="AB501" i="1" s="1"/>
  <c r="B493" i="1"/>
  <c r="AB493" i="1" s="1"/>
  <c r="B485" i="1"/>
  <c r="AB485" i="1" s="1"/>
  <c r="B477" i="1"/>
  <c r="AB477" i="1" s="1"/>
  <c r="B469" i="1"/>
  <c r="AB469" i="1" s="1"/>
  <c r="B461" i="1"/>
  <c r="AB461" i="1" s="1"/>
  <c r="B453" i="1"/>
  <c r="AB453" i="1" s="1"/>
  <c r="B445" i="1"/>
  <c r="AB445" i="1" s="1"/>
  <c r="B437" i="1"/>
  <c r="AB437" i="1" s="1"/>
  <c r="B429" i="1"/>
  <c r="AB429" i="1" s="1"/>
  <c r="B421" i="1"/>
  <c r="AB421" i="1" s="1"/>
  <c r="B413" i="1"/>
  <c r="AB413" i="1" s="1"/>
  <c r="B405" i="1"/>
  <c r="AB405" i="1" s="1"/>
  <c r="B397" i="1"/>
  <c r="AB397" i="1" s="1"/>
  <c r="B389" i="1"/>
  <c r="AB389" i="1" s="1"/>
  <c r="B381" i="1"/>
  <c r="AB381" i="1" s="1"/>
  <c r="B373" i="1"/>
  <c r="AB373" i="1" s="1"/>
  <c r="B365" i="1"/>
  <c r="AB365" i="1" s="1"/>
  <c r="B357" i="1"/>
  <c r="AB357" i="1" s="1"/>
  <c r="B349" i="1"/>
  <c r="AB349" i="1" s="1"/>
  <c r="B341" i="1"/>
  <c r="AB341" i="1" s="1"/>
  <c r="B333" i="1"/>
  <c r="AB333" i="1" s="1"/>
  <c r="B325" i="1"/>
  <c r="AB325" i="1" s="1"/>
  <c r="B317" i="1"/>
  <c r="AB317" i="1" s="1"/>
  <c r="B309" i="1"/>
  <c r="AB309" i="1" s="1"/>
  <c r="B301" i="1"/>
  <c r="AB301" i="1" s="1"/>
  <c r="B293" i="1"/>
  <c r="AB293" i="1" s="1"/>
  <c r="B285" i="1"/>
  <c r="AB285" i="1" s="1"/>
  <c r="B277" i="1"/>
  <c r="AB277" i="1" s="1"/>
  <c r="B269" i="1"/>
  <c r="AB269" i="1" s="1"/>
  <c r="B261" i="1"/>
  <c r="AB261" i="1" s="1"/>
  <c r="B253" i="1"/>
  <c r="AB253" i="1" s="1"/>
  <c r="B245" i="1"/>
  <c r="AB245" i="1" s="1"/>
  <c r="B237" i="1"/>
  <c r="AB237" i="1" s="1"/>
  <c r="B229" i="1"/>
  <c r="AB229" i="1" s="1"/>
  <c r="B221" i="1"/>
  <c r="AB221" i="1" s="1"/>
  <c r="B213" i="1"/>
  <c r="AB213" i="1" s="1"/>
  <c r="B205" i="1"/>
  <c r="AB205" i="1" s="1"/>
  <c r="B197" i="1"/>
  <c r="AB197" i="1" s="1"/>
  <c r="B189" i="1"/>
  <c r="AB189" i="1" s="1"/>
  <c r="B181" i="1"/>
  <c r="AB181" i="1" s="1"/>
  <c r="B173" i="1"/>
  <c r="AB173" i="1" s="1"/>
  <c r="B165" i="1"/>
  <c r="AB165" i="1" s="1"/>
  <c r="B157" i="1"/>
  <c r="AB157" i="1" s="1"/>
  <c r="B149" i="1"/>
  <c r="AB149" i="1" s="1"/>
  <c r="B141" i="1"/>
  <c r="AB141" i="1" s="1"/>
  <c r="B133" i="1"/>
  <c r="AB133" i="1" s="1"/>
  <c r="B125" i="1"/>
  <c r="AB125" i="1" s="1"/>
  <c r="B117" i="1"/>
  <c r="AB117" i="1" s="1"/>
  <c r="B109" i="1"/>
  <c r="AB109" i="1" s="1"/>
  <c r="B101" i="1"/>
  <c r="AB101" i="1" s="1"/>
  <c r="B93" i="1"/>
  <c r="AB93" i="1" s="1"/>
  <c r="B652" i="1"/>
  <c r="AB652" i="1" s="1"/>
  <c r="B644" i="1"/>
  <c r="AB644" i="1" s="1"/>
  <c r="B636" i="1"/>
  <c r="AB636" i="1" s="1"/>
  <c r="B628" i="1"/>
  <c r="AB628" i="1" s="1"/>
  <c r="B620" i="1"/>
  <c r="AB620" i="1" s="1"/>
  <c r="B612" i="1"/>
  <c r="AB612" i="1" s="1"/>
  <c r="B604" i="1"/>
  <c r="AB604" i="1" s="1"/>
  <c r="B596" i="1"/>
  <c r="AB596" i="1" s="1"/>
  <c r="B588" i="1"/>
  <c r="AB588" i="1" s="1"/>
  <c r="B580" i="1"/>
  <c r="AB580" i="1" s="1"/>
  <c r="B572" i="1"/>
  <c r="AB572" i="1" s="1"/>
  <c r="B564" i="1"/>
  <c r="AB564" i="1" s="1"/>
  <c r="B556" i="1"/>
  <c r="AB556" i="1" s="1"/>
  <c r="B548" i="1"/>
  <c r="AB548" i="1" s="1"/>
  <c r="B540" i="1"/>
  <c r="AB540" i="1" s="1"/>
  <c r="B532" i="1"/>
  <c r="AB532" i="1" s="1"/>
  <c r="B524" i="1"/>
  <c r="AB524" i="1" s="1"/>
  <c r="B516" i="1"/>
  <c r="AB516" i="1" s="1"/>
  <c r="B508" i="1"/>
  <c r="AB508" i="1" s="1"/>
  <c r="B500" i="1"/>
  <c r="AB500" i="1" s="1"/>
  <c r="B492" i="1"/>
  <c r="AB492" i="1" s="1"/>
  <c r="B484" i="1"/>
  <c r="AB484" i="1" s="1"/>
  <c r="B476" i="1"/>
  <c r="AB476" i="1" s="1"/>
  <c r="B468" i="1"/>
  <c r="AB468" i="1" s="1"/>
  <c r="B460" i="1"/>
  <c r="AB460" i="1" s="1"/>
  <c r="B452" i="1"/>
  <c r="AB452" i="1" s="1"/>
  <c r="B444" i="1"/>
  <c r="AB444" i="1" s="1"/>
  <c r="B436" i="1"/>
  <c r="AB436" i="1" s="1"/>
  <c r="B428" i="1"/>
  <c r="AB428" i="1" s="1"/>
  <c r="B420" i="1"/>
  <c r="AB420" i="1" s="1"/>
  <c r="B412" i="1"/>
  <c r="AB412" i="1" s="1"/>
  <c r="B404" i="1"/>
  <c r="AB404" i="1" s="1"/>
  <c r="B396" i="1"/>
  <c r="AB396" i="1" s="1"/>
  <c r="B388" i="1"/>
  <c r="AB388" i="1" s="1"/>
  <c r="B380" i="1"/>
  <c r="AB380" i="1" s="1"/>
  <c r="B372" i="1"/>
  <c r="AB372" i="1" s="1"/>
  <c r="B364" i="1"/>
  <c r="AB364" i="1" s="1"/>
  <c r="B356" i="1"/>
  <c r="AB356" i="1" s="1"/>
  <c r="B348" i="1"/>
  <c r="AB348" i="1" s="1"/>
  <c r="B340" i="1"/>
  <c r="AB340" i="1" s="1"/>
  <c r="B332" i="1"/>
  <c r="AB332" i="1" s="1"/>
  <c r="B324" i="1"/>
  <c r="AB324" i="1" s="1"/>
  <c r="B316" i="1"/>
  <c r="AB316" i="1" s="1"/>
  <c r="B308" i="1"/>
  <c r="AB308" i="1" s="1"/>
  <c r="B300" i="1"/>
  <c r="AB300" i="1" s="1"/>
  <c r="B292" i="1"/>
  <c r="AB292" i="1" s="1"/>
  <c r="B284" i="1"/>
  <c r="AB284" i="1" s="1"/>
  <c r="B276" i="1"/>
  <c r="AB276" i="1" s="1"/>
  <c r="B268" i="1"/>
  <c r="AB268" i="1" s="1"/>
  <c r="B260" i="1"/>
  <c r="AB260" i="1" s="1"/>
  <c r="B252" i="1"/>
  <c r="AB252" i="1" s="1"/>
  <c r="B244" i="1"/>
  <c r="AB244" i="1" s="1"/>
  <c r="B236" i="1"/>
  <c r="AB236" i="1" s="1"/>
  <c r="B228" i="1"/>
  <c r="AB228" i="1" s="1"/>
  <c r="B220" i="1"/>
  <c r="AB220" i="1" s="1"/>
  <c r="B212" i="1"/>
  <c r="AB212" i="1" s="1"/>
  <c r="B204" i="1"/>
  <c r="AB204" i="1" s="1"/>
  <c r="B196" i="1"/>
  <c r="AB196" i="1" s="1"/>
  <c r="B188" i="1"/>
  <c r="AB188" i="1" s="1"/>
  <c r="B180" i="1"/>
  <c r="AB180" i="1" s="1"/>
  <c r="B172" i="1"/>
  <c r="AB172" i="1" s="1"/>
  <c r="B164" i="1"/>
  <c r="AB164" i="1" s="1"/>
  <c r="B156" i="1"/>
  <c r="AB156" i="1" s="1"/>
  <c r="B148" i="1"/>
  <c r="AB148" i="1" s="1"/>
  <c r="B140" i="1"/>
  <c r="AB140" i="1" s="1"/>
  <c r="B771" i="1"/>
  <c r="AB771" i="1" s="1"/>
  <c r="B763" i="1"/>
  <c r="AB763" i="1" s="1"/>
  <c r="B755" i="1"/>
  <c r="AB755" i="1" s="1"/>
  <c r="B747" i="1"/>
  <c r="AB747" i="1" s="1"/>
  <c r="B739" i="1"/>
  <c r="AB739" i="1" s="1"/>
  <c r="B731" i="1"/>
  <c r="AB731" i="1" s="1"/>
  <c r="B723" i="1"/>
  <c r="AB723" i="1" s="1"/>
  <c r="B715" i="1"/>
  <c r="AB715" i="1" s="1"/>
  <c r="B707" i="1"/>
  <c r="AB707" i="1" s="1"/>
  <c r="B699" i="1"/>
  <c r="AB699" i="1" s="1"/>
  <c r="B691" i="1"/>
  <c r="AB691" i="1" s="1"/>
  <c r="B683" i="1"/>
  <c r="AB683" i="1" s="1"/>
  <c r="B675" i="1"/>
  <c r="AB675" i="1" s="1"/>
  <c r="B667" i="1"/>
  <c r="AB667" i="1" s="1"/>
  <c r="B659" i="1"/>
  <c r="AB659" i="1" s="1"/>
  <c r="B651" i="1"/>
  <c r="AB651" i="1" s="1"/>
  <c r="B643" i="1"/>
  <c r="AB643" i="1" s="1"/>
  <c r="B635" i="1"/>
  <c r="AB635" i="1" s="1"/>
  <c r="B627" i="1"/>
  <c r="AB627" i="1" s="1"/>
  <c r="B619" i="1"/>
  <c r="AB619" i="1" s="1"/>
  <c r="B611" i="1"/>
  <c r="AB611" i="1" s="1"/>
  <c r="B603" i="1"/>
  <c r="AB603" i="1" s="1"/>
  <c r="B595" i="1"/>
  <c r="AB595" i="1" s="1"/>
  <c r="B587" i="1"/>
  <c r="AB587" i="1" s="1"/>
  <c r="B579" i="1"/>
  <c r="AB579" i="1" s="1"/>
  <c r="B571" i="1"/>
  <c r="AB571" i="1" s="1"/>
  <c r="B563" i="1"/>
  <c r="AB563" i="1" s="1"/>
  <c r="B555" i="1"/>
  <c r="AB555" i="1" s="1"/>
  <c r="B547" i="1"/>
  <c r="AB547" i="1" s="1"/>
  <c r="B539" i="1"/>
  <c r="AB539" i="1" s="1"/>
  <c r="B531" i="1"/>
  <c r="AB531" i="1" s="1"/>
  <c r="B523" i="1"/>
  <c r="AB523" i="1" s="1"/>
  <c r="B515" i="1"/>
  <c r="AB515" i="1" s="1"/>
  <c r="B507" i="1"/>
  <c r="AB507" i="1" s="1"/>
  <c r="B499" i="1"/>
  <c r="AB499" i="1" s="1"/>
  <c r="B491" i="1"/>
  <c r="AB491" i="1" s="1"/>
  <c r="B483" i="1"/>
  <c r="AB483" i="1" s="1"/>
  <c r="B475" i="1"/>
  <c r="AB475" i="1" s="1"/>
  <c r="B467" i="1"/>
  <c r="AB467" i="1" s="1"/>
  <c r="B459" i="1"/>
  <c r="AB459" i="1" s="1"/>
  <c r="B451" i="1"/>
  <c r="AB451" i="1" s="1"/>
  <c r="B443" i="1"/>
  <c r="AB443" i="1" s="1"/>
  <c r="B435" i="1"/>
  <c r="AB435" i="1" s="1"/>
  <c r="B427" i="1"/>
  <c r="AB427" i="1" s="1"/>
  <c r="B419" i="1"/>
  <c r="AB419" i="1" s="1"/>
  <c r="B411" i="1"/>
  <c r="AB411" i="1" s="1"/>
  <c r="B403" i="1"/>
  <c r="AB403" i="1" s="1"/>
  <c r="B395" i="1"/>
  <c r="AB395" i="1" s="1"/>
  <c r="B387" i="1"/>
  <c r="AB387" i="1" s="1"/>
  <c r="B379" i="1"/>
  <c r="AB379" i="1" s="1"/>
  <c r="B371" i="1"/>
  <c r="AB371" i="1" s="1"/>
  <c r="B363" i="1"/>
  <c r="AB363" i="1" s="1"/>
  <c r="B355" i="1"/>
  <c r="AB355" i="1" s="1"/>
  <c r="B347" i="1"/>
  <c r="AB347" i="1" s="1"/>
  <c r="B339" i="1"/>
  <c r="AB339" i="1" s="1"/>
  <c r="B331" i="1"/>
  <c r="AB331" i="1" s="1"/>
  <c r="B323" i="1"/>
  <c r="AB323" i="1" s="1"/>
  <c r="B315" i="1"/>
  <c r="AB315" i="1" s="1"/>
  <c r="B307" i="1"/>
  <c r="AB307" i="1" s="1"/>
  <c r="B299" i="1"/>
  <c r="AB299" i="1" s="1"/>
  <c r="B291" i="1"/>
  <c r="AB291" i="1" s="1"/>
  <c r="B283" i="1"/>
  <c r="AB283" i="1" s="1"/>
  <c r="B275" i="1"/>
  <c r="AB275" i="1" s="1"/>
  <c r="B267" i="1"/>
  <c r="AB267" i="1" s="1"/>
  <c r="B259" i="1"/>
  <c r="AB259" i="1" s="1"/>
  <c r="B251" i="1"/>
  <c r="AB251" i="1" s="1"/>
  <c r="B243" i="1"/>
  <c r="AB243" i="1" s="1"/>
  <c r="B235" i="1"/>
  <c r="AB235" i="1" s="1"/>
  <c r="B586" i="1"/>
  <c r="AB586" i="1" s="1"/>
  <c r="B562" i="1"/>
  <c r="AB562" i="1" s="1"/>
  <c r="B554" i="1"/>
  <c r="AB554" i="1" s="1"/>
  <c r="B546" i="1"/>
  <c r="AB546" i="1" s="1"/>
  <c r="B538" i="1"/>
  <c r="AB538" i="1" s="1"/>
  <c r="B530" i="1"/>
  <c r="AB530" i="1" s="1"/>
  <c r="B522" i="1"/>
  <c r="AB522" i="1" s="1"/>
  <c r="B514" i="1"/>
  <c r="AB514" i="1" s="1"/>
  <c r="B506" i="1"/>
  <c r="AB506" i="1" s="1"/>
  <c r="B498" i="1"/>
  <c r="AB498" i="1" s="1"/>
  <c r="B490" i="1"/>
  <c r="AB490" i="1" s="1"/>
  <c r="B482" i="1"/>
  <c r="AB482" i="1" s="1"/>
  <c r="B474" i="1"/>
  <c r="AB474" i="1" s="1"/>
  <c r="B466" i="1"/>
  <c r="AB466" i="1" s="1"/>
  <c r="B458" i="1"/>
  <c r="AB458" i="1" s="1"/>
  <c r="B450" i="1"/>
  <c r="AB450" i="1" s="1"/>
  <c r="B442" i="1"/>
  <c r="AB442" i="1" s="1"/>
  <c r="B434" i="1"/>
  <c r="AB434" i="1" s="1"/>
  <c r="B426" i="1"/>
  <c r="AB426" i="1" s="1"/>
  <c r="B418" i="1"/>
  <c r="AB418" i="1" s="1"/>
  <c r="B410" i="1"/>
  <c r="AB410" i="1" s="1"/>
  <c r="B402" i="1"/>
  <c r="AB402" i="1" s="1"/>
  <c r="B394" i="1"/>
  <c r="AB394" i="1" s="1"/>
  <c r="B386" i="1"/>
  <c r="AB386" i="1" s="1"/>
  <c r="B378" i="1"/>
  <c r="AB378" i="1" s="1"/>
  <c r="B370" i="1"/>
  <c r="AB370" i="1" s="1"/>
  <c r="B362" i="1"/>
  <c r="AB362" i="1" s="1"/>
  <c r="B354" i="1"/>
  <c r="AB354" i="1" s="1"/>
  <c r="B346" i="1"/>
  <c r="AB346" i="1" s="1"/>
  <c r="B338" i="1"/>
  <c r="AB338" i="1" s="1"/>
  <c r="B330" i="1"/>
  <c r="AB330" i="1" s="1"/>
  <c r="B322" i="1"/>
  <c r="AB322" i="1" s="1"/>
  <c r="B314" i="1"/>
  <c r="AB314" i="1" s="1"/>
  <c r="B306" i="1"/>
  <c r="AB306" i="1" s="1"/>
  <c r="B298" i="1"/>
  <c r="AB298" i="1" s="1"/>
  <c r="B290" i="1"/>
  <c r="AB290" i="1" s="1"/>
  <c r="B282" i="1"/>
  <c r="AB282" i="1" s="1"/>
  <c r="B274" i="1"/>
  <c r="AB274" i="1" s="1"/>
  <c r="B266" i="1"/>
  <c r="AB266" i="1" s="1"/>
  <c r="B258" i="1"/>
  <c r="AB258" i="1" s="1"/>
  <c r="B250" i="1"/>
  <c r="AB250" i="1" s="1"/>
  <c r="B242" i="1"/>
  <c r="AB242" i="1" s="1"/>
  <c r="B234" i="1"/>
  <c r="AB234" i="1" s="1"/>
  <c r="B226" i="1"/>
  <c r="AB226" i="1" s="1"/>
  <c r="B218" i="1"/>
  <c r="AB218" i="1" s="1"/>
  <c r="B210" i="1"/>
  <c r="AB210" i="1" s="1"/>
  <c r="B202" i="1"/>
  <c r="AB202" i="1" s="1"/>
  <c r="B194" i="1"/>
  <c r="AB194" i="1" s="1"/>
  <c r="B186" i="1"/>
  <c r="AB186" i="1" s="1"/>
  <c r="B178" i="1"/>
  <c r="AB178" i="1" s="1"/>
  <c r="B170" i="1"/>
  <c r="AB170" i="1" s="1"/>
  <c r="B162" i="1"/>
  <c r="AB162" i="1" s="1"/>
  <c r="B154" i="1"/>
  <c r="AB154" i="1" s="1"/>
  <c r="B146" i="1"/>
  <c r="AB146" i="1" s="1"/>
  <c r="B138" i="1"/>
  <c r="AB138" i="1" s="1"/>
  <c r="B130" i="1"/>
  <c r="AB130" i="1" s="1"/>
  <c r="B122" i="1"/>
  <c r="AB122" i="1" s="1"/>
  <c r="B114" i="1"/>
  <c r="AB114" i="1" s="1"/>
  <c r="B106" i="1"/>
  <c r="AB106" i="1" s="1"/>
  <c r="B98" i="1"/>
  <c r="AB98" i="1" s="1"/>
  <c r="B90" i="1"/>
  <c r="AB90" i="1" s="1"/>
  <c r="B82" i="1"/>
  <c r="AB82" i="1" s="1"/>
  <c r="B74" i="1"/>
  <c r="AB74" i="1" s="1"/>
  <c r="B66" i="1"/>
  <c r="AB66" i="1" s="1"/>
  <c r="B58" i="1"/>
  <c r="AB58" i="1" s="1"/>
  <c r="B50" i="1"/>
  <c r="AB50" i="1" s="1"/>
  <c r="B42" i="1"/>
  <c r="AB42" i="1" s="1"/>
  <c r="B34" i="1"/>
  <c r="AB34" i="1" s="1"/>
  <c r="B26" i="1"/>
  <c r="AB26" i="1" s="1"/>
  <c r="B18" i="1"/>
  <c r="AB18" i="1" s="1"/>
  <c r="B10" i="1"/>
  <c r="B227" i="1"/>
  <c r="AB227" i="1" s="1"/>
  <c r="B203" i="1"/>
  <c r="AB203" i="1" s="1"/>
  <c r="B187" i="1"/>
  <c r="AB187" i="1" s="1"/>
  <c r="B179" i="1"/>
  <c r="AB179" i="1" s="1"/>
  <c r="B139" i="1"/>
  <c r="AB139" i="1" s="1"/>
  <c r="B131" i="1"/>
  <c r="AB131" i="1" s="1"/>
  <c r="B99" i="1"/>
  <c r="AB99" i="1" s="1"/>
  <c r="B43" i="1"/>
  <c r="AB43" i="1" s="1"/>
  <c r="B27" i="1"/>
  <c r="AB27" i="1" s="1"/>
  <c r="B345" i="1"/>
  <c r="AB345" i="1" s="1"/>
  <c r="B337" i="1"/>
  <c r="AB337" i="1" s="1"/>
  <c r="B313" i="1"/>
  <c r="AB313" i="1" s="1"/>
  <c r="B305" i="1"/>
  <c r="AB305" i="1" s="1"/>
  <c r="B297" i="1"/>
  <c r="AB297" i="1" s="1"/>
  <c r="B289" i="1"/>
  <c r="AB289" i="1" s="1"/>
  <c r="B265" i="1"/>
  <c r="AB265" i="1" s="1"/>
  <c r="B257" i="1"/>
  <c r="AB257" i="1" s="1"/>
  <c r="B73" i="1"/>
  <c r="AB73" i="1" s="1"/>
  <c r="B65" i="1"/>
  <c r="AB65" i="1" s="1"/>
  <c r="B57" i="1"/>
  <c r="AB57" i="1" s="1"/>
  <c r="B49" i="1"/>
  <c r="AB49" i="1" s="1"/>
  <c r="B25" i="1"/>
  <c r="AB25" i="1" s="1"/>
  <c r="B17" i="1"/>
  <c r="AB17" i="1" s="1"/>
  <c r="B9" i="1"/>
  <c r="B2" i="1"/>
  <c r="B353" i="1"/>
  <c r="AB353" i="1" s="1"/>
  <c r="B281" i="1"/>
  <c r="AB281" i="1" s="1"/>
  <c r="B273" i="1"/>
  <c r="AB273" i="1" s="1"/>
  <c r="B233" i="1"/>
  <c r="AB233" i="1" s="1"/>
  <c r="B225" i="1"/>
  <c r="AB225" i="1" s="1"/>
  <c r="B129" i="1"/>
  <c r="AB129" i="1" s="1"/>
  <c r="B121" i="1"/>
  <c r="AB121" i="1" s="1"/>
  <c r="B113" i="1"/>
  <c r="AB113" i="1" s="1"/>
  <c r="B105" i="1"/>
  <c r="AB105" i="1" s="1"/>
  <c r="B97" i="1"/>
  <c r="AB97" i="1" s="1"/>
  <c r="B33" i="1"/>
  <c r="AB33" i="1" s="1"/>
  <c r="B361" i="1"/>
  <c r="AB361" i="1" s="1"/>
  <c r="B249" i="1"/>
  <c r="AB249" i="1" s="1"/>
  <c r="B241" i="1"/>
  <c r="AB241" i="1" s="1"/>
  <c r="B201" i="1"/>
  <c r="AB201" i="1" s="1"/>
  <c r="B193" i="1"/>
  <c r="AB193" i="1" s="1"/>
  <c r="B169" i="1"/>
  <c r="AB169" i="1" s="1"/>
  <c r="B161" i="1"/>
  <c r="AB161" i="1" s="1"/>
  <c r="B145" i="1"/>
  <c r="AB145" i="1" s="1"/>
  <c r="B81" i="1"/>
  <c r="AB81" i="1" s="1"/>
  <c r="B41" i="1"/>
  <c r="AB41" i="1" s="1"/>
  <c r="B329" i="1"/>
  <c r="AB329" i="1" s="1"/>
  <c r="B321" i="1"/>
  <c r="AB321" i="1" s="1"/>
  <c r="B217" i="1"/>
  <c r="AB217" i="1" s="1"/>
  <c r="B209" i="1"/>
  <c r="AB209" i="1" s="1"/>
  <c r="B185" i="1"/>
  <c r="AB185" i="1" s="1"/>
  <c r="B177" i="1"/>
  <c r="AB177" i="1" s="1"/>
  <c r="B153" i="1"/>
  <c r="AB153" i="1" s="1"/>
  <c r="B137" i="1"/>
  <c r="AB137" i="1" s="1"/>
  <c r="B89" i="1"/>
  <c r="AB89" i="1" s="1"/>
  <c r="B6" i="1"/>
  <c r="B85" i="1"/>
  <c r="AB85" i="1" s="1"/>
  <c r="B77" i="1"/>
  <c r="AB77" i="1" s="1"/>
  <c r="B69" i="1"/>
  <c r="AB69" i="1" s="1"/>
  <c r="B61" i="1"/>
  <c r="AB61" i="1" s="1"/>
  <c r="B53" i="1"/>
  <c r="AB53" i="1" s="1"/>
  <c r="B45" i="1"/>
  <c r="AB45" i="1" s="1"/>
  <c r="B37" i="1"/>
  <c r="AB37" i="1" s="1"/>
  <c r="B29" i="1"/>
  <c r="AB29" i="1" s="1"/>
  <c r="B21" i="1"/>
  <c r="AB21" i="1" s="1"/>
  <c r="B13" i="1"/>
  <c r="B5" i="1"/>
  <c r="B132" i="1"/>
  <c r="AB132" i="1" s="1"/>
  <c r="B124" i="1"/>
  <c r="AB124" i="1" s="1"/>
  <c r="B116" i="1"/>
  <c r="AB116" i="1" s="1"/>
  <c r="B108" i="1"/>
  <c r="AB108" i="1" s="1"/>
  <c r="B100" i="1"/>
  <c r="AB100" i="1" s="1"/>
  <c r="B92" i="1"/>
  <c r="AB92" i="1" s="1"/>
  <c r="B84" i="1"/>
  <c r="AB84" i="1" s="1"/>
  <c r="B76" i="1"/>
  <c r="AB76" i="1" s="1"/>
  <c r="B68" i="1"/>
  <c r="AB68" i="1" s="1"/>
  <c r="B60" i="1"/>
  <c r="AB60" i="1" s="1"/>
  <c r="B52" i="1"/>
  <c r="AB52" i="1" s="1"/>
  <c r="B44" i="1"/>
  <c r="AB44" i="1" s="1"/>
  <c r="B36" i="1"/>
  <c r="AB36" i="1" s="1"/>
  <c r="B28" i="1"/>
  <c r="AB28" i="1" s="1"/>
  <c r="B20" i="1"/>
  <c r="AB20" i="1" s="1"/>
  <c r="B12" i="1"/>
  <c r="B4" i="1"/>
  <c r="B219" i="1"/>
  <c r="AB219" i="1" s="1"/>
  <c r="B211" i="1"/>
  <c r="AB211" i="1" s="1"/>
  <c r="B195" i="1"/>
  <c r="AB195" i="1" s="1"/>
  <c r="B171" i="1"/>
  <c r="AB171" i="1" s="1"/>
  <c r="B163" i="1"/>
  <c r="AB163" i="1" s="1"/>
  <c r="B155" i="1"/>
  <c r="AB155" i="1" s="1"/>
  <c r="B147" i="1"/>
  <c r="AB147" i="1" s="1"/>
  <c r="B123" i="1"/>
  <c r="AB123" i="1" s="1"/>
  <c r="B115" i="1"/>
  <c r="AB115" i="1" s="1"/>
  <c r="B107" i="1"/>
  <c r="AB107" i="1" s="1"/>
  <c r="B91" i="1"/>
  <c r="AB91" i="1" s="1"/>
  <c r="B83" i="1"/>
  <c r="AB83" i="1" s="1"/>
  <c r="B75" i="1"/>
  <c r="AB75" i="1" s="1"/>
  <c r="B67" i="1"/>
  <c r="AB67" i="1" s="1"/>
  <c r="B59" i="1"/>
  <c r="AB59" i="1" s="1"/>
  <c r="B51" i="1"/>
  <c r="AB51" i="1" s="1"/>
  <c r="B35" i="1"/>
  <c r="AB35" i="1" s="1"/>
  <c r="B19" i="1"/>
  <c r="AB19" i="1" s="1"/>
  <c r="B11" i="1"/>
  <c r="B3" i="1"/>
  <c r="AV261" i="1" l="1"/>
  <c r="AV325" i="1"/>
  <c r="AV357" i="1"/>
  <c r="AV389" i="1"/>
  <c r="AV421" i="1"/>
  <c r="AV453" i="1"/>
  <c r="AV493" i="1"/>
  <c r="AV525" i="1"/>
  <c r="AV589" i="1"/>
  <c r="AV621" i="1"/>
  <c r="AV653" i="1"/>
  <c r="AV717" i="1"/>
  <c r="AV749" i="1"/>
  <c r="AV781" i="1"/>
  <c r="AV30" i="1"/>
  <c r="AV62" i="1"/>
  <c r="AV94" i="1"/>
  <c r="AV126" i="1"/>
  <c r="AV158" i="1"/>
  <c r="AV349" i="1"/>
  <c r="AV351" i="1"/>
  <c r="AV383" i="1"/>
  <c r="AV415" i="1"/>
  <c r="AV447" i="1"/>
  <c r="AV479" i="1"/>
  <c r="AV671" i="1"/>
  <c r="AV735" i="1"/>
  <c r="AV767" i="1"/>
  <c r="AV799" i="1"/>
  <c r="AV240" i="1"/>
  <c r="AV225" i="1"/>
  <c r="AV289" i="1"/>
  <c r="AV353" i="1"/>
  <c r="AV705" i="1"/>
  <c r="AV737" i="1"/>
  <c r="AV769" i="1"/>
  <c r="AV74" i="1"/>
  <c r="AV362" i="1"/>
  <c r="AV426" i="1"/>
  <c r="AV458" i="1"/>
  <c r="AV490" i="1"/>
  <c r="AV522" i="1"/>
  <c r="AV554" i="1"/>
  <c r="AV714" i="1"/>
  <c r="AV746" i="1"/>
  <c r="AV778" i="1"/>
  <c r="AV810" i="1"/>
  <c r="AV243" i="1"/>
  <c r="AV307" i="1"/>
  <c r="AV467" i="1"/>
  <c r="AV563" i="1"/>
  <c r="AV595" i="1"/>
  <c r="AV627" i="1"/>
  <c r="AV691" i="1"/>
  <c r="AV723" i="1"/>
  <c r="AV755" i="1"/>
  <c r="AV787" i="1"/>
  <c r="AV819" i="1"/>
  <c r="AV190" i="1"/>
  <c r="AV28" i="1"/>
  <c r="AV60" i="1"/>
  <c r="AV92" i="1"/>
  <c r="AV124" i="1"/>
  <c r="AV156" i="1"/>
  <c r="AV188" i="1"/>
  <c r="AV220" i="1"/>
  <c r="AV252" i="1"/>
  <c r="AV316" i="1"/>
  <c r="AV348" i="1"/>
  <c r="AV380" i="1"/>
  <c r="AV412" i="1"/>
  <c r="AV444" i="1"/>
  <c r="AV476" i="1"/>
  <c r="AV508" i="1"/>
  <c r="AV540" i="1"/>
  <c r="AV668" i="1"/>
  <c r="AV700" i="1"/>
  <c r="AV732" i="1"/>
  <c r="AV764" i="1"/>
  <c r="AV796" i="1"/>
  <c r="AV5" i="1"/>
  <c r="AV37" i="1"/>
  <c r="AV69" i="1"/>
  <c r="AV101" i="1"/>
  <c r="AV133" i="1"/>
  <c r="AV165" i="1"/>
  <c r="AV197" i="1"/>
  <c r="AV229" i="1"/>
  <c r="AV269" i="1"/>
  <c r="AV301" i="1"/>
  <c r="AV333" i="1"/>
  <c r="AV365" i="1"/>
  <c r="AV397" i="1"/>
  <c r="AV429" i="1"/>
  <c r="AV461" i="1"/>
  <c r="AV501" i="1"/>
  <c r="AV533" i="1"/>
  <c r="AV565" i="1"/>
  <c r="AV597" i="1"/>
  <c r="AV629" i="1"/>
  <c r="AV661" i="1"/>
  <c r="AV693" i="1"/>
  <c r="AV725" i="1"/>
  <c r="AV789" i="1"/>
  <c r="AV6" i="1"/>
  <c r="AV38" i="1"/>
  <c r="AV70" i="1"/>
  <c r="AV102" i="1"/>
  <c r="AV134" i="1"/>
  <c r="AV166" i="1"/>
  <c r="AV198" i="1"/>
  <c r="AV502" i="1"/>
  <c r="AV566" i="1"/>
  <c r="AV598" i="1"/>
  <c r="AV630" i="1"/>
  <c r="AV662" i="1"/>
  <c r="AV694" i="1"/>
  <c r="AV726" i="1"/>
  <c r="AV758" i="1"/>
  <c r="AV790" i="1"/>
  <c r="AV7" i="1"/>
  <c r="AV39" i="1"/>
  <c r="AV71" i="1"/>
  <c r="AV103" i="1"/>
  <c r="AV135" i="1"/>
  <c r="AV167" i="1"/>
  <c r="AV199" i="1"/>
  <c r="AV271" i="1"/>
  <c r="AV4" i="1"/>
  <c r="AV36" i="1"/>
  <c r="AV68" i="1"/>
  <c r="AV100" i="1"/>
  <c r="AV132" i="1"/>
  <c r="AV164" i="1"/>
  <c r="AV196" i="1"/>
  <c r="AV228" i="1"/>
  <c r="AV260" i="1"/>
  <c r="AV292" i="1"/>
  <c r="AV324" i="1"/>
  <c r="AV356" i="1"/>
  <c r="AV388" i="1"/>
  <c r="AV420" i="1"/>
  <c r="AV452" i="1"/>
  <c r="AV484" i="1"/>
  <c r="AV516" i="1"/>
  <c r="AV548" i="1"/>
  <c r="AV644" i="1"/>
  <c r="AV676" i="1"/>
  <c r="AV708" i="1"/>
  <c r="AV740" i="1"/>
  <c r="AV772" i="1"/>
  <c r="AV804" i="1"/>
  <c r="AV13" i="1"/>
  <c r="AV45" i="1"/>
  <c r="AV77" i="1"/>
  <c r="AV109" i="1"/>
  <c r="AV141" i="1"/>
  <c r="AV173" i="1"/>
  <c r="AV205" i="1"/>
  <c r="AV245" i="1"/>
  <c r="AV277" i="1"/>
  <c r="AV309" i="1"/>
  <c r="AV341" i="1"/>
  <c r="AV373" i="1"/>
  <c r="AV405" i="1"/>
  <c r="AV437" i="1"/>
  <c r="AV469" i="1"/>
  <c r="AV214" i="1"/>
  <c r="AV246" i="1"/>
  <c r="AV278" i="1"/>
  <c r="AV310" i="1"/>
  <c r="AV342" i="1"/>
  <c r="AV374" i="1"/>
  <c r="AV510" i="1"/>
  <c r="AV574" i="1"/>
  <c r="AV606" i="1"/>
  <c r="AV638" i="1"/>
  <c r="AV670" i="1"/>
  <c r="AV734" i="1"/>
  <c r="AV766" i="1"/>
  <c r="AV798" i="1"/>
  <c r="AV15" i="1"/>
  <c r="AV47" i="1"/>
  <c r="AV79" i="1"/>
  <c r="AV111" i="1"/>
  <c r="AV143" i="1"/>
  <c r="AV175" i="1"/>
  <c r="AV247" i="1"/>
  <c r="AV311" i="1"/>
  <c r="AV375" i="1"/>
  <c r="AV503" i="1"/>
  <c r="AV515" i="1"/>
  <c r="AV547" i="1"/>
  <c r="AV611" i="1"/>
  <c r="AV643" i="1"/>
  <c r="AV567" i="1"/>
  <c r="AV599" i="1"/>
  <c r="AV631" i="1"/>
  <c r="AV663" i="1"/>
  <c r="AV695" i="1"/>
  <c r="AV727" i="1"/>
  <c r="AV759" i="1"/>
  <c r="AV791" i="1"/>
  <c r="AV8" i="1"/>
  <c r="AV40" i="1"/>
  <c r="AV72" i="1"/>
  <c r="AV104" i="1"/>
  <c r="AV136" i="1"/>
  <c r="AV168" i="1"/>
  <c r="AV200" i="1"/>
  <c r="AV232" i="1"/>
  <c r="AV264" i="1"/>
  <c r="AV296" i="1"/>
  <c r="AV328" i="1"/>
  <c r="AV360" i="1"/>
  <c r="AV392" i="1"/>
  <c r="AV424" i="1"/>
  <c r="AV456" i="1"/>
  <c r="AV488" i="1"/>
  <c r="AV520" i="1"/>
  <c r="AV552" i="1"/>
  <c r="AV744" i="1"/>
  <c r="AV776" i="1"/>
  <c r="AV57" i="1"/>
  <c r="AV89" i="1"/>
  <c r="AV121" i="1"/>
  <c r="AV153" i="1"/>
  <c r="AV185" i="1"/>
  <c r="AV217" i="1"/>
  <c r="AV249" i="1"/>
  <c r="AV281" i="1"/>
  <c r="AV313" i="1"/>
  <c r="AV345" i="1"/>
  <c r="AV377" i="1"/>
  <c r="AV409" i="1"/>
  <c r="AV441" i="1"/>
  <c r="AV473" i="1"/>
  <c r="AV505" i="1"/>
  <c r="AV537" i="1"/>
  <c r="AV569" i="1"/>
  <c r="AV601" i="1"/>
  <c r="AV633" i="1"/>
  <c r="AV665" i="1"/>
  <c r="AV697" i="1"/>
  <c r="AV729" i="1"/>
  <c r="AV761" i="1"/>
  <c r="AV2" i="1"/>
  <c r="AV34" i="1"/>
  <c r="AV66" i="1"/>
  <c r="AV98" i="1"/>
  <c r="AV130" i="1"/>
  <c r="AV162" i="1"/>
  <c r="AV194" i="1"/>
  <c r="AV226" i="1"/>
  <c r="AV258" i="1"/>
  <c r="AV290" i="1"/>
  <c r="AV322" i="1"/>
  <c r="AV354" i="1"/>
  <c r="AV482" i="1"/>
  <c r="AV578" i="1"/>
  <c r="AV610" i="1"/>
  <c r="AV642" i="1"/>
  <c r="AV674" i="1"/>
  <c r="AV706" i="1"/>
  <c r="AV770" i="1"/>
  <c r="AV11" i="1"/>
  <c r="AV43" i="1"/>
  <c r="AV75" i="1"/>
  <c r="AV107" i="1"/>
  <c r="AV139" i="1"/>
  <c r="AV171" i="1"/>
  <c r="AV203" i="1"/>
  <c r="AV235" i="1"/>
  <c r="AV267" i="1"/>
  <c r="AV299" i="1"/>
  <c r="AV331" i="1"/>
  <c r="AV587" i="1"/>
  <c r="AV619" i="1"/>
  <c r="AV651" i="1"/>
  <c r="AV811" i="1"/>
  <c r="AV230" i="1"/>
  <c r="AV262" i="1"/>
  <c r="AV294" i="1"/>
  <c r="AV326" i="1"/>
  <c r="AV422" i="1"/>
  <c r="AV231" i="1"/>
  <c r="AV263" i="1"/>
  <c r="AV295" i="1"/>
  <c r="AV327" i="1"/>
  <c r="AV455" i="1"/>
  <c r="AV519" i="1"/>
  <c r="AV551" i="1"/>
  <c r="AV583" i="1"/>
  <c r="AV615" i="1"/>
  <c r="AV647" i="1"/>
  <c r="AV679" i="1"/>
  <c r="AV711" i="1"/>
  <c r="AV743" i="1"/>
  <c r="AV775" i="1"/>
  <c r="AV807" i="1"/>
  <c r="AV24" i="1"/>
  <c r="AV56" i="1"/>
  <c r="AV120" i="1"/>
  <c r="AV152" i="1"/>
  <c r="AV184" i="1"/>
  <c r="AV216" i="1"/>
  <c r="AV248" i="1"/>
  <c r="AV312" i="1"/>
  <c r="AV344" i="1"/>
  <c r="AV376" i="1"/>
  <c r="AV408" i="1"/>
  <c r="AV440" i="1"/>
  <c r="AV472" i="1"/>
  <c r="AV504" i="1"/>
  <c r="AV536" i="1"/>
  <c r="AV664" i="1"/>
  <c r="AV696" i="1"/>
  <c r="AV728" i="1"/>
  <c r="AV760" i="1"/>
  <c r="AV792" i="1"/>
  <c r="AV9" i="1"/>
  <c r="AV41" i="1"/>
  <c r="AV73" i="1"/>
  <c r="AV137" i="1"/>
  <c r="AV169" i="1"/>
  <c r="AV201" i="1"/>
  <c r="AV265" i="1"/>
  <c r="AV329" i="1"/>
  <c r="AV361" i="1"/>
  <c r="AV393" i="1"/>
  <c r="AV425" i="1"/>
  <c r="AV457" i="1"/>
  <c r="AV489" i="1"/>
  <c r="AV521" i="1"/>
  <c r="AV553" i="1"/>
  <c r="AV585" i="1"/>
  <c r="AV617" i="1"/>
  <c r="AV649" i="1"/>
  <c r="AV50" i="1"/>
  <c r="AV82" i="1"/>
  <c r="AV114" i="1"/>
  <c r="AV146" i="1"/>
  <c r="AV178" i="1"/>
  <c r="AV242" i="1"/>
  <c r="AV306" i="1"/>
  <c r="AV338" i="1"/>
  <c r="AV562" i="1"/>
  <c r="AV594" i="1"/>
  <c r="AV626" i="1"/>
  <c r="AV658" i="1"/>
  <c r="AV690" i="1"/>
  <c r="AV722" i="1"/>
  <c r="AV818" i="1"/>
  <c r="AV27" i="1"/>
  <c r="AV59" i="1"/>
  <c r="AV91" i="1"/>
  <c r="AV123" i="1"/>
  <c r="AV155" i="1"/>
  <c r="AV187" i="1"/>
  <c r="AV219" i="1"/>
  <c r="AV251" i="1"/>
  <c r="AV443" i="1"/>
  <c r="AV571" i="1"/>
  <c r="AV603" i="1"/>
  <c r="AV635" i="1"/>
  <c r="AV564" i="1"/>
  <c r="AV596" i="1"/>
  <c r="AV628" i="1"/>
  <c r="AV788" i="1"/>
  <c r="AV557" i="1"/>
  <c r="AV685" i="1"/>
  <c r="AV813" i="1"/>
  <c r="AV494" i="1"/>
  <c r="AV526" i="1"/>
  <c r="AV580" i="1"/>
  <c r="AV612" i="1"/>
  <c r="AV669" i="1"/>
  <c r="AV733" i="1"/>
  <c r="AV765" i="1"/>
  <c r="AV797" i="1"/>
  <c r="AV478" i="1"/>
  <c r="AV542" i="1"/>
  <c r="AV702" i="1"/>
  <c r="AV12" i="1"/>
  <c r="AV44" i="1"/>
  <c r="AV76" i="1"/>
  <c r="AV108" i="1"/>
  <c r="AV140" i="1"/>
  <c r="AV172" i="1"/>
  <c r="AV204" i="1"/>
  <c r="AV236" i="1"/>
  <c r="AV268" i="1"/>
  <c r="AV300" i="1"/>
  <c r="AV332" i="1"/>
  <c r="AV364" i="1"/>
  <c r="AV396" i="1"/>
  <c r="AV428" i="1"/>
  <c r="AV460" i="1"/>
  <c r="AV492" i="1"/>
  <c r="AV524" i="1"/>
  <c r="AV556" i="1"/>
  <c r="AV652" i="1"/>
  <c r="AV684" i="1"/>
  <c r="AV716" i="1"/>
  <c r="AV748" i="1"/>
  <c r="AV780" i="1"/>
  <c r="AV812" i="1"/>
  <c r="AV21" i="1"/>
  <c r="AV53" i="1"/>
  <c r="AV85" i="1"/>
  <c r="AV117" i="1"/>
  <c r="AV149" i="1"/>
  <c r="AV181" i="1"/>
  <c r="AV213" i="1"/>
  <c r="AV485" i="1"/>
  <c r="AV517" i="1"/>
  <c r="AV549" i="1"/>
  <c r="AV581" i="1"/>
  <c r="AV613" i="1"/>
  <c r="AV645" i="1"/>
  <c r="AV677" i="1"/>
  <c r="AV773" i="1"/>
  <c r="AV805" i="1"/>
  <c r="AV22" i="1"/>
  <c r="AV54" i="1"/>
  <c r="AV86" i="1"/>
  <c r="AV118" i="1"/>
  <c r="AV150" i="1"/>
  <c r="AV182" i="1"/>
  <c r="AV222" i="1"/>
  <c r="AV254" i="1"/>
  <c r="AV286" i="1"/>
  <c r="AV318" i="1"/>
  <c r="AV350" i="1"/>
  <c r="AV382" i="1"/>
  <c r="AV414" i="1"/>
  <c r="AV446" i="1"/>
  <c r="AV582" i="1"/>
  <c r="AV614" i="1"/>
  <c r="AV646" i="1"/>
  <c r="AV678" i="1"/>
  <c r="AV745" i="1"/>
  <c r="AV777" i="1"/>
  <c r="AV210" i="1"/>
  <c r="AV274" i="1"/>
  <c r="AV402" i="1"/>
  <c r="AV283" i="1"/>
  <c r="AV315" i="1"/>
  <c r="AV475" i="1"/>
  <c r="AV699" i="1"/>
  <c r="AV303" i="1"/>
  <c r="AV335" i="1"/>
  <c r="AV463" i="1"/>
  <c r="AV527" i="1"/>
  <c r="AV559" i="1"/>
  <c r="AV591" i="1"/>
  <c r="AV623" i="1"/>
  <c r="AV655" i="1"/>
  <c r="AV687" i="1"/>
  <c r="AV719" i="1"/>
  <c r="AV751" i="1"/>
  <c r="AV783" i="1"/>
  <c r="AV815" i="1"/>
  <c r="AV32" i="1"/>
  <c r="AV64" i="1"/>
  <c r="AV96" i="1"/>
  <c r="AV128" i="1"/>
  <c r="AV160" i="1"/>
  <c r="AV192" i="1"/>
  <c r="AV256" i="1"/>
  <c r="AV320" i="1"/>
  <c r="AV352" i="1"/>
  <c r="AV384" i="1"/>
  <c r="AV416" i="1"/>
  <c r="AV448" i="1"/>
  <c r="AV512" i="1"/>
  <c r="AV576" i="1"/>
  <c r="AV640" i="1"/>
  <c r="AV672" i="1"/>
  <c r="AV704" i="1"/>
  <c r="AV736" i="1"/>
  <c r="AV768" i="1"/>
  <c r="AV800" i="1"/>
  <c r="AV17" i="1"/>
  <c r="AV49" i="1"/>
  <c r="AV81" i="1"/>
  <c r="AV113" i="1"/>
  <c r="AV145" i="1"/>
  <c r="AV177" i="1"/>
  <c r="AV209" i="1"/>
  <c r="AV241" i="1"/>
  <c r="AV273" i="1"/>
  <c r="AV305" i="1"/>
  <c r="AV337" i="1"/>
  <c r="AV369" i="1"/>
  <c r="AV401" i="1"/>
  <c r="AV465" i="1"/>
  <c r="AV497" i="1"/>
  <c r="AV529" i="1"/>
  <c r="AV561" i="1"/>
  <c r="AV593" i="1"/>
  <c r="AV625" i="1"/>
  <c r="AV657" i="1"/>
  <c r="AV817" i="1"/>
  <c r="AV26" i="1"/>
  <c r="AV58" i="1"/>
  <c r="AV90" i="1"/>
  <c r="AV122" i="1"/>
  <c r="AV154" i="1"/>
  <c r="AV186" i="1"/>
  <c r="AV218" i="1"/>
  <c r="AV250" i="1"/>
  <c r="AV282" i="1"/>
  <c r="AV314" i="1"/>
  <c r="AV346" i="1"/>
  <c r="AV410" i="1"/>
  <c r="AV442" i="1"/>
  <c r="AV538" i="1"/>
  <c r="AV570" i="1"/>
  <c r="AV602" i="1"/>
  <c r="AV634" i="1"/>
  <c r="AV666" i="1"/>
  <c r="AV698" i="1"/>
  <c r="AV3" i="1"/>
  <c r="AV35" i="1"/>
  <c r="AV67" i="1"/>
  <c r="AV99" i="1"/>
  <c r="AV131" i="1"/>
  <c r="AV163" i="1"/>
  <c r="AV227" i="1"/>
  <c r="AV259" i="1"/>
  <c r="AV291" i="1"/>
  <c r="AV323" i="1"/>
  <c r="AV355" i="1"/>
  <c r="AV803" i="1"/>
  <c r="AV710" i="1"/>
  <c r="AV742" i="1"/>
  <c r="AV774" i="1"/>
  <c r="AV806" i="1"/>
  <c r="AV23" i="1"/>
  <c r="AV55" i="1"/>
  <c r="AV87" i="1"/>
  <c r="AV119" i="1"/>
  <c r="AV151" i="1"/>
  <c r="AV183" i="1"/>
  <c r="AV284" i="1"/>
  <c r="AV572" i="1"/>
  <c r="AV604" i="1"/>
  <c r="AV636" i="1"/>
  <c r="AV293" i="1"/>
  <c r="AV709" i="1"/>
  <c r="AV741" i="1"/>
  <c r="AV406" i="1"/>
  <c r="AV438" i="1"/>
  <c r="AV470" i="1"/>
  <c r="AV534" i="1"/>
  <c r="AV359" i="1"/>
  <c r="AV391" i="1"/>
  <c r="AV423" i="1"/>
  <c r="AV487" i="1"/>
  <c r="AV88" i="1"/>
  <c r="AV280" i="1"/>
  <c r="AV568" i="1"/>
  <c r="AV600" i="1"/>
  <c r="AV632" i="1"/>
  <c r="AV105" i="1"/>
  <c r="AV233" i="1"/>
  <c r="AV297" i="1"/>
  <c r="AV681" i="1"/>
  <c r="AV713" i="1"/>
  <c r="AV809" i="1"/>
  <c r="AV18" i="1"/>
  <c r="AV370" i="1"/>
  <c r="AV434" i="1"/>
  <c r="AV466" i="1"/>
  <c r="AV498" i="1"/>
  <c r="AV530" i="1"/>
  <c r="AV754" i="1"/>
  <c r="AV786" i="1"/>
  <c r="AV347" i="1"/>
  <c r="AV379" i="1"/>
  <c r="AV411" i="1"/>
  <c r="AV507" i="1"/>
  <c r="AV539" i="1"/>
  <c r="AV667" i="1"/>
  <c r="AV731" i="1"/>
  <c r="AV763" i="1"/>
  <c r="AV795" i="1"/>
  <c r="AV387" i="1"/>
  <c r="AV419" i="1"/>
  <c r="AV451" i="1"/>
  <c r="AV483" i="1"/>
  <c r="AV579" i="1"/>
  <c r="AV239" i="1"/>
  <c r="AV367" i="1"/>
  <c r="AV399" i="1"/>
  <c r="AV431" i="1"/>
  <c r="AV495" i="1"/>
  <c r="AV224" i="1"/>
  <c r="AV288" i="1"/>
  <c r="AV480" i="1"/>
  <c r="AV544" i="1"/>
  <c r="AV608" i="1"/>
  <c r="AV433" i="1"/>
  <c r="AV689" i="1"/>
  <c r="AV721" i="1"/>
  <c r="AV753" i="1"/>
  <c r="AV785" i="1"/>
  <c r="AV378" i="1"/>
  <c r="AV474" i="1"/>
  <c r="AV506" i="1"/>
  <c r="AV730" i="1"/>
  <c r="AV762" i="1"/>
  <c r="AV794" i="1"/>
  <c r="AV195" i="1"/>
  <c r="AV675" i="1"/>
  <c r="AV707" i="1"/>
  <c r="AV739" i="1"/>
  <c r="AV771" i="1"/>
  <c r="AV588" i="1"/>
  <c r="AV620" i="1"/>
  <c r="AV757" i="1"/>
  <c r="AV358" i="1"/>
  <c r="AV390" i="1"/>
  <c r="AV486" i="1"/>
  <c r="AV518" i="1"/>
  <c r="AV550" i="1"/>
  <c r="AV215" i="1"/>
  <c r="AV279" i="1"/>
  <c r="AV343" i="1"/>
  <c r="AV407" i="1"/>
  <c r="AV439" i="1"/>
  <c r="AV471" i="1"/>
  <c r="AV535" i="1"/>
  <c r="AV584" i="1"/>
  <c r="AV616" i="1"/>
  <c r="AV648" i="1"/>
  <c r="AV680" i="1"/>
  <c r="AV712" i="1"/>
  <c r="AV808" i="1"/>
  <c r="AV25" i="1"/>
  <c r="AV793" i="1"/>
  <c r="AV386" i="1"/>
  <c r="AV418" i="1"/>
  <c r="AV450" i="1"/>
  <c r="AV514" i="1"/>
  <c r="AV546" i="1"/>
  <c r="AV738" i="1"/>
  <c r="AV802" i="1"/>
  <c r="AV363" i="1"/>
  <c r="AV395" i="1"/>
  <c r="AV427" i="1"/>
  <c r="AV459" i="1"/>
  <c r="AV491" i="1"/>
  <c r="AV523" i="1"/>
  <c r="AV555" i="1"/>
  <c r="AV683" i="1"/>
  <c r="AV715" i="1"/>
  <c r="AV747" i="1"/>
  <c r="AV779" i="1"/>
  <c r="AV20" i="1"/>
  <c r="AV52" i="1"/>
  <c r="AV84" i="1"/>
  <c r="AV116" i="1"/>
  <c r="AV148" i="1"/>
  <c r="AV180" i="1"/>
  <c r="AV212" i="1"/>
  <c r="AV244" i="1"/>
  <c r="AV276" i="1"/>
  <c r="AV308" i="1"/>
  <c r="AV340" i="1"/>
  <c r="AV372" i="1"/>
  <c r="AV404" i="1"/>
  <c r="AV436" i="1"/>
  <c r="AV468" i="1"/>
  <c r="AV500" i="1"/>
  <c r="AV532" i="1"/>
  <c r="AV660" i="1"/>
  <c r="AV692" i="1"/>
  <c r="AV724" i="1"/>
  <c r="AV756" i="1"/>
  <c r="AV820" i="1"/>
  <c r="AV29" i="1"/>
  <c r="AV61" i="1"/>
  <c r="AV93" i="1"/>
  <c r="AV125" i="1"/>
  <c r="AV157" i="1"/>
  <c r="AV189" i="1"/>
  <c r="AV221" i="1"/>
  <c r="AV253" i="1"/>
  <c r="AV285" i="1"/>
  <c r="AV317" i="1"/>
  <c r="AV381" i="1"/>
  <c r="AV413" i="1"/>
  <c r="AV445" i="1"/>
  <c r="AV509" i="1"/>
  <c r="AV541" i="1"/>
  <c r="AV573" i="1"/>
  <c r="AV605" i="1"/>
  <c r="AV637" i="1"/>
  <c r="AV701" i="1"/>
  <c r="AV14" i="1"/>
  <c r="AV46" i="1"/>
  <c r="AV78" i="1"/>
  <c r="AV110" i="1"/>
  <c r="AV142" i="1"/>
  <c r="AV174" i="1"/>
  <c r="AV238" i="1"/>
  <c r="AV270" i="1"/>
  <c r="AV302" i="1"/>
  <c r="AV334" i="1"/>
  <c r="AV366" i="1"/>
  <c r="AV398" i="1"/>
  <c r="AV430" i="1"/>
  <c r="AV462" i="1"/>
  <c r="AV558" i="1"/>
  <c r="AV590" i="1"/>
  <c r="AV622" i="1"/>
  <c r="AV654" i="1"/>
  <c r="AV686" i="1"/>
  <c r="AV718" i="1"/>
  <c r="AV750" i="1"/>
  <c r="AV782" i="1"/>
  <c r="AV814" i="1"/>
  <c r="AV31" i="1"/>
  <c r="AV63" i="1"/>
  <c r="AV95" i="1"/>
  <c r="AV127" i="1"/>
  <c r="AV159" i="1"/>
  <c r="AV191" i="1"/>
  <c r="AV223" i="1"/>
  <c r="AV255" i="1"/>
  <c r="AV287" i="1"/>
  <c r="AV319" i="1"/>
  <c r="AV511" i="1"/>
  <c r="AV543" i="1"/>
  <c r="AV575" i="1"/>
  <c r="AV607" i="1"/>
  <c r="AV639" i="1"/>
  <c r="AV703" i="1"/>
  <c r="AV16" i="1"/>
  <c r="AV48" i="1"/>
  <c r="AV80" i="1"/>
  <c r="AV112" i="1"/>
  <c r="AV144" i="1"/>
  <c r="AV176" i="1"/>
  <c r="AV208" i="1"/>
  <c r="AV272" i="1"/>
  <c r="AV304" i="1"/>
  <c r="AV336" i="1"/>
  <c r="AV368" i="1"/>
  <c r="AV400" i="1"/>
  <c r="AV432" i="1"/>
  <c r="AV464" i="1"/>
  <c r="AV496" i="1"/>
  <c r="AV528" i="1"/>
  <c r="AV560" i="1"/>
  <c r="AV592" i="1"/>
  <c r="AV624" i="1"/>
  <c r="AV656" i="1"/>
  <c r="AV688" i="1"/>
  <c r="AV720" i="1"/>
  <c r="AV752" i="1"/>
  <c r="AV784" i="1"/>
  <c r="AV816" i="1"/>
  <c r="AV33" i="1"/>
  <c r="AV65" i="1"/>
  <c r="AV97" i="1"/>
  <c r="AV129" i="1"/>
  <c r="AV161" i="1"/>
  <c r="AV193" i="1"/>
  <c r="AV257" i="1"/>
  <c r="AV321" i="1"/>
  <c r="AV385" i="1"/>
  <c r="AV417" i="1"/>
  <c r="AV449" i="1"/>
  <c r="AV481" i="1"/>
  <c r="AV513" i="1"/>
  <c r="AV545" i="1"/>
  <c r="AV577" i="1"/>
  <c r="AV609" i="1"/>
  <c r="AV641" i="1"/>
  <c r="AV673" i="1"/>
  <c r="AV801" i="1"/>
  <c r="AV10" i="1"/>
  <c r="AV42" i="1"/>
  <c r="AV106" i="1"/>
  <c r="AV138" i="1"/>
  <c r="AV170" i="1"/>
  <c r="AV202" i="1"/>
  <c r="AV234" i="1"/>
  <c r="AV266" i="1"/>
  <c r="AV298" i="1"/>
  <c r="AV330" i="1"/>
  <c r="AV394" i="1"/>
  <c r="AV586" i="1"/>
  <c r="AV618" i="1"/>
  <c r="AV650" i="1"/>
  <c r="AV682" i="1"/>
  <c r="AV19" i="1"/>
  <c r="AV51" i="1"/>
  <c r="AV83" i="1"/>
  <c r="AV115" i="1"/>
  <c r="AV147" i="1"/>
  <c r="AV179" i="1"/>
  <c r="AV211" i="1"/>
  <c r="AV275" i="1"/>
  <c r="AV339" i="1"/>
  <c r="AV371" i="1"/>
  <c r="AV403" i="1"/>
  <c r="AV435" i="1"/>
  <c r="AV499" i="1"/>
  <c r="AV531" i="1"/>
  <c r="AV659" i="1"/>
  <c r="V165" i="1"/>
  <c r="V464" i="1"/>
  <c r="V712" i="1"/>
  <c r="V349" i="1"/>
  <c r="V47" i="1"/>
  <c r="V509" i="1"/>
  <c r="V796" i="1"/>
  <c r="V524" i="1"/>
  <c r="V309" i="1"/>
  <c r="V720" i="1"/>
  <c r="V528" i="1"/>
  <c r="V164" i="1"/>
  <c r="V388" i="1"/>
  <c r="V217" i="1"/>
  <c r="V429" i="1"/>
  <c r="V399" i="1"/>
  <c r="V422" i="1"/>
  <c r="V653" i="1"/>
  <c r="V407" i="1"/>
  <c r="V29" i="1"/>
  <c r="V377" i="1"/>
  <c r="V301" i="1"/>
  <c r="V733" i="1"/>
  <c r="V743" i="1"/>
  <c r="V398" i="1"/>
  <c r="V691" i="1"/>
  <c r="V33" i="1"/>
  <c r="V624" i="1"/>
  <c r="V793" i="1"/>
  <c r="V352" i="1"/>
  <c r="V449" i="1"/>
  <c r="V639" i="1"/>
  <c r="V545" i="1"/>
  <c r="V521" i="1"/>
  <c r="V493" i="1"/>
  <c r="V759" i="1"/>
  <c r="V789" i="1"/>
  <c r="V668" i="1"/>
  <c r="V726" i="1"/>
  <c r="V153" i="1"/>
  <c r="V752" i="1"/>
  <c r="V557" i="1"/>
  <c r="V364" i="1"/>
  <c r="V290" i="1"/>
  <c r="V781" i="1"/>
  <c r="V7" i="1"/>
  <c r="V302" i="1"/>
  <c r="V659" i="1"/>
  <c r="V554" i="1"/>
  <c r="V513" i="1"/>
  <c r="V201" i="1"/>
  <c r="V751" i="1"/>
  <c r="V501" i="1"/>
  <c r="V496" i="1"/>
  <c r="V543" i="1"/>
  <c r="V279" i="1"/>
  <c r="V537" i="1"/>
  <c r="V241" i="1"/>
  <c r="V438" i="1"/>
  <c r="V510" i="1"/>
  <c r="V585" i="1"/>
  <c r="V719" i="1"/>
  <c r="V81" i="1"/>
  <c r="V535" i="1"/>
  <c r="V669" i="1"/>
  <c r="V287" i="1"/>
  <c r="V159" i="1"/>
  <c r="V209" i="1"/>
  <c r="V695" i="1"/>
  <c r="V558" i="1"/>
  <c r="V55" i="1"/>
  <c r="V93" i="1"/>
  <c r="V344" i="1"/>
  <c r="V147" i="1"/>
  <c r="V190" i="1"/>
  <c r="V709" i="1"/>
  <c r="V13" i="1"/>
  <c r="V207" i="1"/>
  <c r="V760" i="1"/>
  <c r="V446" i="1"/>
  <c r="V49" i="1"/>
  <c r="V185" i="1"/>
  <c r="V727" i="1"/>
  <c r="V808" i="1"/>
  <c r="V797" i="1"/>
  <c r="V260" i="1"/>
  <c r="V271" i="1"/>
  <c r="V629" i="1"/>
  <c r="V30" i="1"/>
  <c r="V404" i="1"/>
  <c r="V435" i="1"/>
  <c r="V390" i="1"/>
  <c r="V316" i="1"/>
  <c r="V132" i="1"/>
  <c r="V630" i="1"/>
  <c r="V768" i="1"/>
  <c r="V62" i="1"/>
  <c r="V819" i="1"/>
  <c r="V480" i="1"/>
  <c r="V143" i="1"/>
  <c r="V21" i="1"/>
  <c r="V214" i="1"/>
  <c r="V470" i="1"/>
  <c r="V262" i="1"/>
  <c r="V741" i="1"/>
  <c r="V297" i="1"/>
  <c r="V800" i="1"/>
  <c r="V274" i="1"/>
  <c r="V687" i="1"/>
  <c r="V621" i="1"/>
  <c r="V90" i="1"/>
  <c r="V54" i="1"/>
  <c r="V402" i="1"/>
  <c r="V242" i="1"/>
  <c r="V394" i="1"/>
  <c r="V3" i="1"/>
  <c r="V414" i="1"/>
  <c r="V778" i="1"/>
  <c r="V184" i="1"/>
  <c r="V761" i="1"/>
  <c r="V42" i="1"/>
  <c r="V571" i="1"/>
  <c r="V552" i="1"/>
  <c r="V4" i="1"/>
  <c r="V532" i="1"/>
  <c r="V697" i="1"/>
  <c r="V157" i="1"/>
  <c r="V787" i="1"/>
  <c r="V546" i="1"/>
  <c r="V613" i="1"/>
  <c r="V767" i="1"/>
  <c r="V560" i="1"/>
  <c r="V392" i="1"/>
  <c r="V677" i="1"/>
  <c r="V32" i="1"/>
  <c r="V323" i="1"/>
  <c r="V570" i="1"/>
  <c r="V737" i="1"/>
  <c r="V740" i="1"/>
  <c r="V283" i="1"/>
  <c r="V203" i="1"/>
  <c r="V99" i="1"/>
  <c r="V523" i="1"/>
  <c r="V52" i="1"/>
  <c r="V460" i="1"/>
  <c r="V598" i="1"/>
  <c r="V664" i="1"/>
  <c r="V516" i="1"/>
  <c r="V379" i="1"/>
  <c r="V84" i="1"/>
  <c r="V443" i="1"/>
  <c r="V139" i="1"/>
  <c r="V431" i="1"/>
  <c r="V602" i="1"/>
  <c r="V208" i="1"/>
  <c r="V577" i="1"/>
  <c r="V636" i="1"/>
  <c r="V444" i="1"/>
  <c r="V817" i="1"/>
  <c r="V746" i="1"/>
  <c r="V482" i="1"/>
  <c r="V666" i="1"/>
  <c r="V172" i="1"/>
  <c r="V500" i="1"/>
  <c r="V550" i="1"/>
  <c r="V763" i="1"/>
  <c r="V374" i="1"/>
  <c r="V744" i="1"/>
  <c r="V356" i="1"/>
  <c r="V267" i="1"/>
  <c r="V299" i="1"/>
  <c r="V499" i="1"/>
  <c r="V467" i="1"/>
  <c r="V176" i="1"/>
  <c r="V11" i="1"/>
  <c r="V198" i="1"/>
  <c r="V555" i="1"/>
  <c r="V170" i="1"/>
  <c r="V12" i="1"/>
  <c r="V166" i="1"/>
  <c r="V593" i="1"/>
  <c r="V384" i="1"/>
  <c r="V369" i="1"/>
  <c r="V205" i="1"/>
  <c r="V791" i="1"/>
  <c r="V142" i="1"/>
  <c r="V448" i="1"/>
  <c r="V591" i="1"/>
  <c r="V85" i="1"/>
  <c r="V445" i="1"/>
  <c r="V774" i="1"/>
  <c r="V517" i="1"/>
  <c r="V386" i="1"/>
  <c r="V650" i="1"/>
  <c r="V296" i="1"/>
  <c r="V64" i="1"/>
  <c r="V563" i="1"/>
  <c r="V450" i="1"/>
  <c r="V520" i="1"/>
  <c r="V335" i="1"/>
  <c r="V586" i="1"/>
  <c r="V637" i="1"/>
  <c r="V672" i="1"/>
  <c r="V183" i="1"/>
  <c r="V766" i="1"/>
  <c r="V440" i="1"/>
  <c r="V485" i="1"/>
  <c r="V89" i="1"/>
  <c r="V317" i="1"/>
  <c r="V758" i="1"/>
  <c r="V779" i="1"/>
  <c r="V690" i="1"/>
  <c r="V43" i="1"/>
  <c r="V146" i="1"/>
  <c r="V579" i="1"/>
  <c r="V354" i="1"/>
  <c r="V648" i="1"/>
  <c r="V98" i="1"/>
  <c r="V748" i="1"/>
  <c r="V452" i="1"/>
  <c r="V224" i="1"/>
  <c r="V163" i="1"/>
  <c r="V180" i="1"/>
  <c r="V488" i="1"/>
  <c r="V300" i="1"/>
  <c r="V408" i="1"/>
  <c r="V515" i="1"/>
  <c r="V804" i="1"/>
  <c r="V713" i="1"/>
  <c r="V456" i="1"/>
  <c r="V168" i="1"/>
  <c r="V174" i="1"/>
  <c r="V715" i="1"/>
  <c r="V121" i="1"/>
  <c r="V683" i="1"/>
  <c r="V723" i="1"/>
  <c r="V122" i="1"/>
  <c r="V490" i="1"/>
  <c r="V24" i="1"/>
  <c r="V427" i="1"/>
  <c r="V19" i="1"/>
  <c r="V211" i="1"/>
  <c r="V670" i="1"/>
  <c r="V160" i="1"/>
  <c r="V212" i="1"/>
  <c r="V68" i="1"/>
  <c r="V658" i="1"/>
  <c r="V732" i="1"/>
  <c r="V251" i="1"/>
  <c r="V40" i="1"/>
  <c r="V696" i="1"/>
  <c r="V202" i="1"/>
  <c r="V340" i="1"/>
  <c r="V785" i="1"/>
  <c r="V457" i="1"/>
  <c r="V257" i="1"/>
  <c r="V607" i="1"/>
  <c r="V718" i="1"/>
  <c r="V731" i="1"/>
  <c r="V281" i="1"/>
  <c r="V794" i="1"/>
  <c r="V483" i="1"/>
  <c r="V458" i="1"/>
  <c r="V31" i="1"/>
  <c r="V788" i="1"/>
  <c r="V479" i="1"/>
  <c r="V724" i="1"/>
  <c r="V725" i="1"/>
  <c r="V714" i="1"/>
  <c r="V471" i="1"/>
  <c r="V293" i="1"/>
  <c r="V416" i="1"/>
  <c r="V775" i="1"/>
  <c r="V325" i="1"/>
  <c r="V261" i="1"/>
  <c r="V498" i="1"/>
  <c r="V506" i="1"/>
  <c r="V313" i="1"/>
  <c r="V610" i="1"/>
  <c r="V700" i="1"/>
  <c r="V92" i="1"/>
  <c r="V468" i="1"/>
  <c r="V541" i="1"/>
  <c r="V140" i="1"/>
  <c r="V809" i="1"/>
  <c r="V580" i="1"/>
  <c r="V564" i="1"/>
  <c r="V432" i="1"/>
  <c r="V378" i="1"/>
  <c r="V234" i="1"/>
  <c r="V320" i="1"/>
  <c r="V134" i="1"/>
  <c r="V633" i="1"/>
  <c r="V75" i="1"/>
  <c r="V492" i="1"/>
  <c r="V682" i="1"/>
  <c r="V818" i="1"/>
  <c r="V372" i="1"/>
  <c r="V477" i="1"/>
  <c r="V707" i="1"/>
  <c r="V434" i="1"/>
  <c r="V628" i="1"/>
  <c r="V324" i="1"/>
  <c r="V611" i="1"/>
  <c r="V338" i="1"/>
  <c r="V18" i="1"/>
  <c r="V547" i="1"/>
  <c r="V627" i="1"/>
  <c r="V522" i="1"/>
  <c r="V689" i="1"/>
  <c r="V123" i="1"/>
  <c r="V507" i="1"/>
  <c r="V802" i="1"/>
  <c r="V266" i="1"/>
  <c r="V539" i="1"/>
  <c r="V144" i="1"/>
  <c r="V192" i="1"/>
  <c r="V128" i="1"/>
  <c r="V46" i="1"/>
  <c r="V551" i="1"/>
  <c r="V673" i="1"/>
  <c r="V441" i="1"/>
  <c r="V97" i="1"/>
  <c r="V115" i="1"/>
  <c r="V235" i="1"/>
  <c r="V419" i="1"/>
  <c r="V256" i="1"/>
  <c r="V248" i="1"/>
  <c r="V258" i="1"/>
  <c r="V771" i="1"/>
  <c r="V396" i="1"/>
  <c r="V380" i="1"/>
  <c r="V370" i="1"/>
  <c r="V280" i="1"/>
  <c r="V595" i="1"/>
  <c r="V306" i="1"/>
  <c r="V155" i="1"/>
  <c r="V228" i="1"/>
  <c r="V26" i="1"/>
  <c r="V359" i="1"/>
  <c r="V514" i="1"/>
  <c r="V729" i="1"/>
  <c r="V572" i="1"/>
  <c r="V57" i="1"/>
  <c r="V78" i="1"/>
  <c r="V559" i="1"/>
  <c r="V336" i="1"/>
  <c r="V162" i="1"/>
  <c r="V259" i="1"/>
  <c r="V204" i="1"/>
  <c r="V484" i="1"/>
  <c r="V244" i="1"/>
  <c r="V114" i="1"/>
  <c r="V735" i="1"/>
  <c r="V587" i="1"/>
  <c r="V148" i="1"/>
  <c r="V152" i="1"/>
  <c r="V334" i="1"/>
  <c r="V801" i="1"/>
  <c r="V730" i="1"/>
  <c r="V67" i="1"/>
  <c r="V108" i="1"/>
  <c r="V187" i="1"/>
  <c r="V426" i="1"/>
  <c r="V643" i="1"/>
  <c r="V503" i="1"/>
  <c r="V382" i="1"/>
  <c r="V497" i="1"/>
  <c r="V671" i="1"/>
  <c r="V728" i="1"/>
  <c r="V454" i="1"/>
  <c r="V116" i="1"/>
  <c r="V694" i="1"/>
  <c r="V526" i="1"/>
  <c r="V786" i="1"/>
  <c r="V531" i="1"/>
  <c r="V705" i="1"/>
  <c r="V175" i="1"/>
  <c r="V647" i="1"/>
  <c r="V807" i="1"/>
  <c r="V61" i="1"/>
  <c r="V755" i="1"/>
  <c r="V321" i="1"/>
  <c r="V651" i="1"/>
  <c r="V469" i="1"/>
  <c r="V23" i="1"/>
  <c r="V229" i="1"/>
  <c r="V319" i="1"/>
  <c r="V798" i="1"/>
  <c r="V223" i="1"/>
  <c r="V472" i="1"/>
  <c r="V529" i="1"/>
  <c r="V285" i="1"/>
  <c r="V773" i="1"/>
  <c r="V410" i="1"/>
  <c r="V363" i="1"/>
  <c r="V227" i="1"/>
  <c r="V693" i="1"/>
  <c r="V145" i="1"/>
  <c r="V617" i="1"/>
  <c r="V342" i="1"/>
  <c r="V215" i="1"/>
  <c r="V536" i="1"/>
  <c r="V681" i="1"/>
  <c r="V273" i="1"/>
  <c r="V288" i="1"/>
  <c r="V473" i="1"/>
  <c r="V318" i="1"/>
  <c r="V80" i="1"/>
  <c r="V126" i="1"/>
  <c r="V101" i="1"/>
  <c r="V305" i="1"/>
  <c r="V218" i="1"/>
  <c r="V518" i="1"/>
  <c r="V401" i="1"/>
  <c r="V750" i="1"/>
  <c r="V710" i="1"/>
  <c r="V141" i="1"/>
  <c r="V424" i="1"/>
  <c r="V86" i="1"/>
  <c r="V367" i="1"/>
  <c r="V109" i="1"/>
  <c r="V568" i="1"/>
  <c r="V237" i="1"/>
  <c r="V375" i="1"/>
  <c r="V478" i="1"/>
  <c r="V333" i="1"/>
  <c r="V655" i="1"/>
  <c r="V385" i="1"/>
  <c r="V519" i="1"/>
  <c r="V272" i="1"/>
  <c r="V461" i="1"/>
  <c r="V113" i="1"/>
  <c r="V600" i="1"/>
  <c r="V127" i="1"/>
  <c r="V667" i="1"/>
  <c r="V491" i="1"/>
  <c r="V117" i="1"/>
  <c r="V133" i="1"/>
  <c r="V654" i="1"/>
  <c r="V255" i="1"/>
  <c r="V704" i="1"/>
  <c r="V391" i="1"/>
  <c r="V609" i="1"/>
  <c r="V486" i="1"/>
  <c r="V772" i="1"/>
  <c r="V87" i="1"/>
  <c r="V389" i="1"/>
  <c r="V77" i="1"/>
  <c r="V65" i="1"/>
  <c r="V679" i="1"/>
  <c r="V314" i="1"/>
  <c r="V6" i="1"/>
  <c r="V222" i="1"/>
  <c r="V722" i="1"/>
  <c r="V476" i="1"/>
  <c r="V91" i="1"/>
  <c r="V247" i="1"/>
  <c r="V119" i="1"/>
  <c r="V206" i="1"/>
  <c r="V777" i="1"/>
  <c r="V625" i="1"/>
  <c r="V37" i="1"/>
  <c r="V406" i="1"/>
  <c r="V592" i="1"/>
  <c r="V481" i="1"/>
  <c r="V177" i="1"/>
  <c r="V576" i="1"/>
  <c r="V405" i="1"/>
  <c r="V502" i="1"/>
  <c r="V623" i="1"/>
  <c r="V36" i="1"/>
  <c r="V749" i="1"/>
  <c r="V298" i="1"/>
  <c r="V131" i="1"/>
  <c r="V226" i="1"/>
  <c r="V130" i="1"/>
  <c r="V322" i="1"/>
  <c r="V420" i="1"/>
  <c r="V28" i="1"/>
  <c r="V618" i="1"/>
  <c r="V34" i="1"/>
  <c r="V412" i="1"/>
  <c r="V156" i="1"/>
  <c r="V82" i="1"/>
  <c r="V138" i="1"/>
  <c r="V219" i="1"/>
  <c r="V606" i="1"/>
  <c r="V194" i="1"/>
  <c r="V708" i="1"/>
  <c r="V44" i="1"/>
  <c r="V413" i="1"/>
  <c r="V753" i="1"/>
  <c r="V776" i="1"/>
  <c r="V50" i="1"/>
  <c r="V699" i="1"/>
  <c r="V475" i="1"/>
  <c r="V72" i="1"/>
  <c r="V250" i="1"/>
  <c r="V154" i="1"/>
  <c r="V612" i="1"/>
  <c r="V252" i="1"/>
  <c r="V769" i="1"/>
  <c r="V395" i="1"/>
  <c r="V721" i="1"/>
  <c r="V619" i="1"/>
  <c r="V35" i="1"/>
  <c r="V674" i="1"/>
  <c r="V538" i="1"/>
  <c r="V16" i="1"/>
  <c r="V376" i="1"/>
  <c r="V780" i="1"/>
  <c r="V339" i="1"/>
  <c r="V366" i="1"/>
  <c r="V534" i="1"/>
  <c r="V173" i="1"/>
  <c r="V680" i="1"/>
  <c r="V616" i="1"/>
  <c r="V495" i="1"/>
  <c r="V790" i="1"/>
  <c r="V107" i="1"/>
  <c r="V182" i="1"/>
  <c r="V294" i="1"/>
  <c r="V347" i="1"/>
  <c r="V745" i="1"/>
  <c r="V178" i="1"/>
  <c r="V45" i="1"/>
  <c r="V105" i="1"/>
  <c r="V567" i="1"/>
  <c r="V103" i="1"/>
  <c r="V765" i="1"/>
  <c r="V17" i="1"/>
  <c r="V216" i="1"/>
  <c r="V337" i="1"/>
  <c r="V135" i="1"/>
  <c r="V361" i="1"/>
  <c r="V265" i="1"/>
  <c r="V193" i="1"/>
  <c r="V41" i="1"/>
  <c r="V169" i="1"/>
  <c r="V646" i="1"/>
  <c r="V601" i="1"/>
  <c r="V573" i="1"/>
  <c r="V583" i="1"/>
  <c r="V698" i="1"/>
  <c r="V328" i="1"/>
  <c r="V95" i="1"/>
  <c r="V71" i="1"/>
  <c r="V553" i="1"/>
  <c r="V22" i="1"/>
  <c r="V487" i="1"/>
  <c r="V717" i="1"/>
  <c r="V582" i="1"/>
  <c r="V692" i="1"/>
  <c r="V179" i="1"/>
  <c r="V210" i="1"/>
  <c r="V418" i="1"/>
  <c r="V278" i="1"/>
  <c r="V663" i="1"/>
  <c r="V150" i="1"/>
  <c r="V307" i="1"/>
  <c r="V360" i="1"/>
  <c r="V702" i="1"/>
  <c r="V397" i="1"/>
  <c r="V792" i="1"/>
  <c r="V199" i="1"/>
  <c r="V365" i="1"/>
  <c r="V73" i="1"/>
  <c r="V433" i="1"/>
  <c r="V631" i="1"/>
  <c r="V189" i="1"/>
  <c r="V590" i="1"/>
  <c r="V213" i="1"/>
  <c r="V599" i="1"/>
  <c r="V701" i="1"/>
  <c r="V815" i="1"/>
  <c r="V343" i="1"/>
  <c r="V561" i="1"/>
  <c r="V249" i="1"/>
  <c r="V685" i="1"/>
  <c r="V738" i="1"/>
  <c r="V232" i="1"/>
  <c r="V38" i="1"/>
  <c r="V703" i="1"/>
  <c r="V649" i="1"/>
  <c r="V151" i="1"/>
  <c r="V489" i="1"/>
  <c r="V161" i="1"/>
  <c r="V783" i="1"/>
  <c r="V423" i="1"/>
  <c r="V756" i="1"/>
  <c r="V597" i="1"/>
  <c r="V88" i="1"/>
  <c r="V312" i="1"/>
  <c r="V665" i="1"/>
  <c r="V813" i="1"/>
  <c r="V238" i="1"/>
  <c r="V706" i="1"/>
  <c r="V100" i="1"/>
  <c r="V604" i="1"/>
  <c r="V195" i="1"/>
  <c r="V626" i="1"/>
  <c r="V465" i="1"/>
  <c r="V566" i="1"/>
  <c r="V58" i="1"/>
  <c r="V15" i="1"/>
  <c r="V676" i="1"/>
  <c r="V494" i="1"/>
  <c r="V289" i="1"/>
  <c r="V304" i="1"/>
  <c r="V167" i="1"/>
  <c r="V341" i="1"/>
  <c r="V615" i="1"/>
  <c r="V415" i="1"/>
  <c r="V596" i="1"/>
  <c r="V442" i="1"/>
  <c r="V171" i="1"/>
  <c r="V275" i="1"/>
  <c r="V10" i="1"/>
  <c r="V556" i="1"/>
  <c r="V331" i="1"/>
  <c r="V622" i="1"/>
  <c r="V96" i="1"/>
  <c r="V569" i="1"/>
  <c r="V549" i="1"/>
  <c r="V330" i="1"/>
  <c r="V803" i="1"/>
  <c r="V268" i="1"/>
  <c r="V83" i="1"/>
  <c r="V20" i="1"/>
  <c r="V51" i="1"/>
  <c r="V466" i="1"/>
  <c r="V240" i="1"/>
  <c r="V48" i="1"/>
  <c r="V308" i="1"/>
  <c r="V403" i="1"/>
  <c r="V191" i="1"/>
  <c r="V310" i="1"/>
  <c r="V634" i="1"/>
  <c r="V332" i="1"/>
  <c r="V620" i="1"/>
  <c r="V635" i="1"/>
  <c r="V684" i="1"/>
  <c r="V110" i="1"/>
  <c r="V66" i="1"/>
  <c r="V291" i="1"/>
  <c r="V284" i="1"/>
  <c r="V387" i="1"/>
  <c r="V186" i="1"/>
  <c r="V688" i="1"/>
  <c r="V542" i="1"/>
  <c r="V548" i="1"/>
  <c r="V575" i="1"/>
  <c r="V355" i="1"/>
  <c r="V315" i="1"/>
  <c r="V282" i="1"/>
  <c r="V60" i="1"/>
  <c r="V124" i="1"/>
  <c r="V120" i="1"/>
  <c r="V806" i="1"/>
  <c r="V230" i="1"/>
  <c r="V225" i="1"/>
  <c r="V53" i="1"/>
  <c r="V129" i="1"/>
  <c r="V525" i="1"/>
  <c r="V638" i="1"/>
  <c r="V358" i="1"/>
  <c r="V770" i="1"/>
  <c r="V197" i="1"/>
  <c r="V511" i="1"/>
  <c r="V686" i="1"/>
  <c r="V530" i="1"/>
  <c r="V764" i="1"/>
  <c r="V303" i="1"/>
  <c r="V383" i="1"/>
  <c r="V9" i="1"/>
  <c r="V437" i="1"/>
  <c r="V345" i="1"/>
  <c r="V589" i="1"/>
  <c r="V562" i="1"/>
  <c r="V327" i="1"/>
  <c r="V739" i="1"/>
  <c r="V158" i="1"/>
  <c r="V656" i="1"/>
  <c r="V381" i="1"/>
  <c r="V400" i="1"/>
  <c r="V734" i="1"/>
  <c r="V455" i="1"/>
  <c r="V447" i="1"/>
  <c r="V69" i="1"/>
  <c r="V711" i="1"/>
  <c r="V608" i="1"/>
  <c r="V393" i="1"/>
  <c r="V221" i="1"/>
  <c r="V508" i="1"/>
  <c r="V254" i="1"/>
  <c r="V581" i="1"/>
  <c r="V326" i="1"/>
  <c r="V614" i="1"/>
  <c r="V353" i="1"/>
  <c r="V5" i="1"/>
  <c r="V59" i="1"/>
  <c r="V373" i="1"/>
  <c r="V565" i="1"/>
  <c r="V782" i="1"/>
  <c r="V292" i="1"/>
  <c r="V810" i="1"/>
  <c r="V263" i="1"/>
  <c r="V137" i="1"/>
  <c r="V70" i="1"/>
  <c r="V588" i="1"/>
  <c r="V246" i="1"/>
  <c r="V439" i="1"/>
  <c r="V657" i="1"/>
  <c r="V417" i="1"/>
  <c r="V231" i="1"/>
  <c r="V2" i="1"/>
  <c r="V736" i="1"/>
  <c r="V79" i="1"/>
  <c r="V245" i="1"/>
  <c r="V584" i="1"/>
  <c r="V453" i="1"/>
  <c r="V102" i="1"/>
  <c r="V357" i="1"/>
  <c r="V784" i="1"/>
  <c r="V757" i="1"/>
  <c r="V421" i="1"/>
  <c r="V329" i="1"/>
  <c r="V533" i="1"/>
  <c r="V678" i="1"/>
  <c r="V25" i="1"/>
  <c r="V111" i="1"/>
  <c r="V645" i="1"/>
  <c r="V125" i="1"/>
  <c r="V368" i="1"/>
  <c r="V409" i="1"/>
  <c r="V239" i="1"/>
  <c r="V277" i="1"/>
  <c r="V505" i="1"/>
  <c r="V675" i="1"/>
  <c r="V540" i="1"/>
  <c r="V640" i="1"/>
  <c r="V527" i="1"/>
  <c r="V233" i="1"/>
  <c r="V311" i="1"/>
  <c r="V270" i="1"/>
  <c r="V269" i="1"/>
  <c r="V463" i="1"/>
  <c r="V504" i="1"/>
  <c r="V63" i="1"/>
  <c r="V820" i="1"/>
  <c r="V425" i="1"/>
  <c r="V754" i="1"/>
  <c r="V574" i="1"/>
  <c r="V286" i="1"/>
  <c r="V544" i="1"/>
  <c r="V56" i="1"/>
  <c r="V106" i="1"/>
  <c r="V795" i="1"/>
  <c r="V459" i="1"/>
  <c r="V652" i="1"/>
  <c r="V716" i="1"/>
  <c r="V814" i="1"/>
  <c r="V641" i="1"/>
  <c r="V747" i="1"/>
  <c r="V181" i="1"/>
  <c r="V39" i="1"/>
  <c r="V605" i="1"/>
  <c r="V742" i="1"/>
  <c r="V149" i="1"/>
  <c r="V661" i="1"/>
  <c r="V351" i="1"/>
  <c r="V253" i="1"/>
  <c r="V805" i="1"/>
  <c r="V451" i="1"/>
  <c r="V136" i="1"/>
  <c r="V462" i="1"/>
  <c r="V632" i="1"/>
  <c r="V76" i="1"/>
  <c r="V436" i="1"/>
  <c r="V603" i="1"/>
  <c r="V644" i="1"/>
  <c r="V94" i="1"/>
  <c r="V295" i="1"/>
  <c r="V196" i="1"/>
  <c r="V74" i="1"/>
  <c r="V8" i="1"/>
  <c r="V188" i="1"/>
  <c r="V662" i="1"/>
  <c r="V660" i="1"/>
  <c r="V118" i="1"/>
  <c r="V578" i="1"/>
  <c r="V264" i="1"/>
  <c r="V243" i="1"/>
  <c r="V811" i="1"/>
  <c r="V812" i="1"/>
  <c r="V816" i="1"/>
  <c r="V594" i="1"/>
  <c r="V348" i="1"/>
  <c r="V104" i="1"/>
  <c r="V512" i="1"/>
  <c r="V276" i="1"/>
  <c r="V411" i="1"/>
  <c r="V350" i="1"/>
  <c r="V799" i="1"/>
  <c r="V762" i="1"/>
  <c r="V112" i="1"/>
  <c r="V14" i="1"/>
  <c r="V371" i="1"/>
  <c r="V236" i="1"/>
  <c r="V430" i="1"/>
  <c r="V428" i="1"/>
  <c r="V220" i="1"/>
  <c r="V27" i="1"/>
  <c r="V200" i="1"/>
  <c r="V474" i="1"/>
  <c r="V346" i="1"/>
  <c r="V642" i="1"/>
  <c r="V362" i="1"/>
  <c r="AW824" i="1" l="1"/>
  <c r="AW823" i="1"/>
  <c r="AW822" i="1"/>
  <c r="AW825" i="1"/>
  <c r="AW821" i="1"/>
  <c r="AW147" i="1"/>
  <c r="AW499" i="1"/>
  <c r="AW627" i="1"/>
  <c r="AW533" i="1"/>
  <c r="AW586" i="1"/>
  <c r="AW282" i="1"/>
  <c r="AW257" i="1"/>
  <c r="AW94" i="1"/>
  <c r="AW670" i="1"/>
  <c r="AW805" i="1"/>
  <c r="AW74" i="1"/>
  <c r="AW351" i="1"/>
  <c r="AW703" i="1"/>
  <c r="AW59" i="1"/>
  <c r="AW577" i="1"/>
  <c r="AW784" i="1"/>
  <c r="AW528" i="1"/>
  <c r="AW272" i="1"/>
  <c r="AW255" i="1"/>
  <c r="AW98" i="1"/>
  <c r="AW456" i="1"/>
  <c r="AW320" i="1"/>
  <c r="AW472" i="1"/>
  <c r="AW595" i="1"/>
  <c r="AW769" i="1"/>
  <c r="AW526" i="1"/>
  <c r="AW435" i="1"/>
  <c r="AW115" i="1"/>
  <c r="AW394" i="1"/>
  <c r="AW106" i="1"/>
  <c r="AW545" i="1"/>
  <c r="AW193" i="1"/>
  <c r="AW752" i="1"/>
  <c r="AW496" i="1"/>
  <c r="AW208" i="1"/>
  <c r="AW639" i="1"/>
  <c r="AW223" i="1"/>
  <c r="AW587" i="1"/>
  <c r="AW729" i="1"/>
  <c r="AW296" i="1"/>
  <c r="AW250" i="1"/>
  <c r="AW256" i="1"/>
  <c r="AW210" i="1"/>
  <c r="AW440" i="1"/>
  <c r="AW501" i="1"/>
  <c r="AW42" i="1"/>
  <c r="AW513" i="1"/>
  <c r="AW161" i="1"/>
  <c r="AW720" i="1"/>
  <c r="AW464" i="1"/>
  <c r="AW176" i="1"/>
  <c r="AW607" i="1"/>
  <c r="AW191" i="1"/>
  <c r="AW331" i="1"/>
  <c r="AW697" i="1"/>
  <c r="AW264" i="1"/>
  <c r="AW762" i="1"/>
  <c r="AW689" i="1"/>
  <c r="AW431" i="1"/>
  <c r="AW387" i="1"/>
  <c r="AW657" i="1"/>
  <c r="AW64" i="1"/>
  <c r="AW178" i="1"/>
  <c r="AW183" i="1"/>
  <c r="AW469" i="1"/>
  <c r="AW184" i="1"/>
  <c r="AW129" i="1"/>
  <c r="AW688" i="1"/>
  <c r="AW159" i="1"/>
  <c r="AW299" i="1"/>
  <c r="AW665" i="1"/>
  <c r="AW759" i="1"/>
  <c r="AW730" i="1"/>
  <c r="AW433" i="1"/>
  <c r="AW399" i="1"/>
  <c r="AW355" i="1"/>
  <c r="AW625" i="1"/>
  <c r="AW795" i="1"/>
  <c r="AW347" i="1"/>
  <c r="AW18" i="1"/>
  <c r="AW600" i="1"/>
  <c r="AW534" i="1"/>
  <c r="AW604" i="1"/>
  <c r="AW146" i="1"/>
  <c r="AW151" i="1"/>
  <c r="AW21" i="1"/>
  <c r="AW327" i="1"/>
  <c r="AW506" i="1"/>
  <c r="AW763" i="1"/>
  <c r="AW809" i="1"/>
  <c r="AW470" i="1"/>
  <c r="AW572" i="1"/>
  <c r="AW393" i="1"/>
  <c r="AW119" i="1"/>
  <c r="AW812" i="1"/>
  <c r="AW630" i="1"/>
  <c r="AW138" i="1"/>
  <c r="AW810" i="1"/>
  <c r="AW330" i="1"/>
  <c r="AW240" i="1"/>
  <c r="AW349" i="1"/>
  <c r="AW481" i="1"/>
  <c r="AW432" i="1"/>
  <c r="AW746" i="1"/>
  <c r="AW770" i="1"/>
  <c r="AW163" i="1"/>
  <c r="AW714" i="1"/>
  <c r="AW628" i="1"/>
  <c r="AW578" i="1"/>
  <c r="AW217" i="1"/>
  <c r="AW739" i="1"/>
  <c r="AW131" i="1"/>
  <c r="AW113" i="1"/>
  <c r="AW361" i="1"/>
  <c r="AW262" i="1"/>
  <c r="AW780" i="1"/>
  <c r="AW23" i="1"/>
  <c r="AW291" i="1"/>
  <c r="AW28" i="1"/>
  <c r="AW316" i="1"/>
  <c r="AW132" i="1"/>
  <c r="AW388" i="1"/>
  <c r="AW708" i="1"/>
  <c r="AW141" i="1"/>
  <c r="AW508" i="1"/>
  <c r="AW37" i="1"/>
  <c r="AW325" i="1"/>
  <c r="AW581" i="1"/>
  <c r="AW86" i="1"/>
  <c r="AW342" i="1"/>
  <c r="AW726" i="1"/>
  <c r="AW167" i="1"/>
  <c r="AW551" i="1"/>
  <c r="AW807" i="1"/>
  <c r="AW365" i="1"/>
  <c r="AW717" i="1"/>
  <c r="AW190" i="1"/>
  <c r="AW446" i="1"/>
  <c r="AW798" i="1"/>
  <c r="AW685" i="1"/>
  <c r="AW108" i="1"/>
  <c r="AW364" i="1"/>
  <c r="AW684" i="1"/>
  <c r="AW117" i="1"/>
  <c r="AW373" i="1"/>
  <c r="AW629" i="1"/>
  <c r="AW102" i="1"/>
  <c r="AW422" i="1"/>
  <c r="AW375" i="1"/>
  <c r="AW344" i="1"/>
  <c r="AW696" i="1"/>
  <c r="AW169" i="1"/>
  <c r="AW489" i="1"/>
  <c r="AW50" i="1"/>
  <c r="AW306" i="1"/>
  <c r="AW722" i="1"/>
  <c r="AW219" i="1"/>
  <c r="AW635" i="1"/>
  <c r="AW515" i="1"/>
  <c r="AW663" i="1"/>
  <c r="AW104" i="1"/>
  <c r="AW360" i="1"/>
  <c r="AW776" i="1"/>
  <c r="AW281" i="1"/>
  <c r="AW537" i="1"/>
  <c r="AW2" i="1"/>
  <c r="AW258" i="1"/>
  <c r="AW642" i="1"/>
  <c r="AW171" i="1"/>
  <c r="AW651" i="1"/>
  <c r="AW60" i="1"/>
  <c r="AW269" i="1"/>
  <c r="AW164" i="1"/>
  <c r="AW420" i="1"/>
  <c r="AW740" i="1"/>
  <c r="AW173" i="1"/>
  <c r="AW540" i="1"/>
  <c r="AW69" i="1"/>
  <c r="AW357" i="1"/>
  <c r="AW613" i="1"/>
  <c r="AW118" i="1"/>
  <c r="AW374" i="1"/>
  <c r="AW758" i="1"/>
  <c r="AW199" i="1"/>
  <c r="AW583" i="1"/>
  <c r="AW24" i="1"/>
  <c r="AW397" i="1"/>
  <c r="AW749" i="1"/>
  <c r="AW222" i="1"/>
  <c r="AW510" i="1"/>
  <c r="AW15" i="1"/>
  <c r="AW813" i="1"/>
  <c r="AW140" i="1"/>
  <c r="AW396" i="1"/>
  <c r="AW716" i="1"/>
  <c r="AW149" i="1"/>
  <c r="AW405" i="1"/>
  <c r="AW661" i="1"/>
  <c r="AW134" i="1"/>
  <c r="AW582" i="1"/>
  <c r="AW503" i="1"/>
  <c r="AW376" i="1"/>
  <c r="AW728" i="1"/>
  <c r="AW201" i="1"/>
  <c r="AW521" i="1"/>
  <c r="AW82" i="1"/>
  <c r="AW338" i="1"/>
  <c r="AW818" i="1"/>
  <c r="AW251" i="1"/>
  <c r="AW3" i="1"/>
  <c r="AW803" i="1"/>
  <c r="AW547" i="1"/>
  <c r="AW695" i="1"/>
  <c r="AW136" i="1"/>
  <c r="AW392" i="1"/>
  <c r="AW57" i="1"/>
  <c r="AW313" i="1"/>
  <c r="AW569" i="1"/>
  <c r="AW34" i="1"/>
  <c r="AW290" i="1"/>
  <c r="AW674" i="1"/>
  <c r="AW203" i="1"/>
  <c r="AW811" i="1"/>
  <c r="AW92" i="1"/>
  <c r="AW301" i="1"/>
  <c r="AW196" i="1"/>
  <c r="AW452" i="1"/>
  <c r="AW772" i="1"/>
  <c r="AW205" i="1"/>
  <c r="AW668" i="1"/>
  <c r="AW101" i="1"/>
  <c r="AW389" i="1"/>
  <c r="AW645" i="1"/>
  <c r="AW150" i="1"/>
  <c r="AW502" i="1"/>
  <c r="AW790" i="1"/>
  <c r="AW231" i="1"/>
  <c r="AW615" i="1"/>
  <c r="AW56" i="1"/>
  <c r="AW429" i="1"/>
  <c r="AW781" i="1"/>
  <c r="AW254" i="1"/>
  <c r="AW574" i="1"/>
  <c r="AW47" i="1"/>
  <c r="AW478" i="1"/>
  <c r="AW172" i="1"/>
  <c r="AW428" i="1"/>
  <c r="AW748" i="1"/>
  <c r="AW181" i="1"/>
  <c r="AW437" i="1"/>
  <c r="AW693" i="1"/>
  <c r="AW166" i="1"/>
  <c r="AW614" i="1"/>
  <c r="AW87" i="1"/>
  <c r="AW567" i="1"/>
  <c r="AW408" i="1"/>
  <c r="AW760" i="1"/>
  <c r="AW265" i="1"/>
  <c r="AW553" i="1"/>
  <c r="AW114" i="1"/>
  <c r="AW402" i="1"/>
  <c r="AW27" i="1"/>
  <c r="AW283" i="1"/>
  <c r="AW611" i="1"/>
  <c r="AW727" i="1"/>
  <c r="AW168" i="1"/>
  <c r="AW424" i="1"/>
  <c r="AW89" i="1"/>
  <c r="AW345" i="1"/>
  <c r="AW601" i="1"/>
  <c r="AW66" i="1"/>
  <c r="AW322" i="1"/>
  <c r="AW706" i="1"/>
  <c r="AW235" i="1"/>
  <c r="AW252" i="1"/>
  <c r="AW100" i="1"/>
  <c r="AW356" i="1"/>
  <c r="AW676" i="1"/>
  <c r="AW109" i="1"/>
  <c r="AW476" i="1"/>
  <c r="AW5" i="1"/>
  <c r="AW261" i="1"/>
  <c r="AW549" i="1"/>
  <c r="AW54" i="1"/>
  <c r="AW310" i="1"/>
  <c r="AW694" i="1"/>
  <c r="AW135" i="1"/>
  <c r="AW519" i="1"/>
  <c r="AW775" i="1"/>
  <c r="AW248" i="1"/>
  <c r="AW653" i="1"/>
  <c r="AW158" i="1"/>
  <c r="AW414" i="1"/>
  <c r="AW766" i="1"/>
  <c r="AW271" i="1"/>
  <c r="AW557" i="1"/>
  <c r="AW76" i="1"/>
  <c r="AW332" i="1"/>
  <c r="AW652" i="1"/>
  <c r="AW85" i="1"/>
  <c r="AW341" i="1"/>
  <c r="AW597" i="1"/>
  <c r="AW70" i="1"/>
  <c r="AW326" i="1"/>
  <c r="AW311" i="1"/>
  <c r="AW312" i="1"/>
  <c r="AW664" i="1"/>
  <c r="AW137" i="1"/>
  <c r="AW457" i="1"/>
  <c r="AW690" i="1"/>
  <c r="AW187" i="1"/>
  <c r="AW603" i="1"/>
  <c r="AW72" i="1"/>
  <c r="AW328" i="1"/>
  <c r="AW744" i="1"/>
  <c r="AW249" i="1"/>
  <c r="AW505" i="1"/>
  <c r="AW761" i="1"/>
  <c r="AW226" i="1"/>
  <c r="AW610" i="1"/>
  <c r="AW139" i="1"/>
  <c r="AW619" i="1"/>
  <c r="AW124" i="1"/>
  <c r="AW228" i="1"/>
  <c r="AW804" i="1"/>
  <c r="AW700" i="1"/>
  <c r="AW421" i="1"/>
  <c r="AW182" i="1"/>
  <c r="AW7" i="1"/>
  <c r="AW647" i="1"/>
  <c r="AW461" i="1"/>
  <c r="AW286" i="1"/>
  <c r="AW79" i="1"/>
  <c r="AW542" i="1"/>
  <c r="AW460" i="1"/>
  <c r="AW213" i="1"/>
  <c r="AW725" i="1"/>
  <c r="AW646" i="1"/>
  <c r="AW599" i="1"/>
  <c r="AW792" i="1"/>
  <c r="AW585" i="1"/>
  <c r="AW562" i="1"/>
  <c r="AW315" i="1"/>
  <c r="AW623" i="1"/>
  <c r="AW384" i="1"/>
  <c r="AW177" i="1"/>
  <c r="AW26" i="1"/>
  <c r="AW634" i="1"/>
  <c r="AW8" i="1"/>
  <c r="AW520" i="1"/>
  <c r="AW441" i="1"/>
  <c r="AW162" i="1"/>
  <c r="AW43" i="1"/>
  <c r="AW765" i="1"/>
  <c r="AW479" i="1"/>
  <c r="AW353" i="1"/>
  <c r="AW490" i="1"/>
  <c r="AW307" i="1"/>
  <c r="AW787" i="1"/>
  <c r="AW156" i="1"/>
  <c r="AW260" i="1"/>
  <c r="AW13" i="1"/>
  <c r="AW732" i="1"/>
  <c r="AW453" i="1"/>
  <c r="AW214" i="1"/>
  <c r="AW39" i="1"/>
  <c r="AW679" i="1"/>
  <c r="AW525" i="1"/>
  <c r="AW318" i="1"/>
  <c r="AW111" i="1"/>
  <c r="AW702" i="1"/>
  <c r="AW492" i="1"/>
  <c r="AW245" i="1"/>
  <c r="AW789" i="1"/>
  <c r="AW678" i="1"/>
  <c r="AW631" i="1"/>
  <c r="AW9" i="1"/>
  <c r="AW617" i="1"/>
  <c r="AW594" i="1"/>
  <c r="AW443" i="1"/>
  <c r="AW783" i="1"/>
  <c r="AW640" i="1"/>
  <c r="AW337" i="1"/>
  <c r="AW186" i="1"/>
  <c r="AW67" i="1"/>
  <c r="AW643" i="1"/>
  <c r="AW40" i="1"/>
  <c r="AW552" i="1"/>
  <c r="AW473" i="1"/>
  <c r="AW194" i="1"/>
  <c r="AW107" i="1"/>
  <c r="AW564" i="1"/>
  <c r="AW797" i="1"/>
  <c r="AW671" i="1"/>
  <c r="AW705" i="1"/>
  <c r="AW522" i="1"/>
  <c r="AW467" i="1"/>
  <c r="AW819" i="1"/>
  <c r="AW188" i="1"/>
  <c r="AW292" i="1"/>
  <c r="AW45" i="1"/>
  <c r="AW764" i="1"/>
  <c r="AW485" i="1"/>
  <c r="AW246" i="1"/>
  <c r="AW71" i="1"/>
  <c r="AW711" i="1"/>
  <c r="AW589" i="1"/>
  <c r="AW350" i="1"/>
  <c r="AW143" i="1"/>
  <c r="AW12" i="1"/>
  <c r="AW524" i="1"/>
  <c r="AW277" i="1"/>
  <c r="AW6" i="1"/>
  <c r="AW742" i="1"/>
  <c r="AW493" i="1"/>
  <c r="AW41" i="1"/>
  <c r="AW649" i="1"/>
  <c r="AW626" i="1"/>
  <c r="AW475" i="1"/>
  <c r="AW815" i="1"/>
  <c r="AW672" i="1"/>
  <c r="AW369" i="1"/>
  <c r="AW218" i="1"/>
  <c r="AW99" i="1"/>
  <c r="AW200" i="1"/>
  <c r="AW121" i="1"/>
  <c r="AW633" i="1"/>
  <c r="AW75" i="1"/>
  <c r="AW267" i="1"/>
  <c r="AW596" i="1"/>
  <c r="AW494" i="1"/>
  <c r="AW735" i="1"/>
  <c r="AW737" i="1"/>
  <c r="AW554" i="1"/>
  <c r="AW563" i="1"/>
  <c r="AW220" i="1"/>
  <c r="AW324" i="1"/>
  <c r="AW77" i="1"/>
  <c r="AW796" i="1"/>
  <c r="AW517" i="1"/>
  <c r="AW278" i="1"/>
  <c r="AW103" i="1"/>
  <c r="AW743" i="1"/>
  <c r="AW621" i="1"/>
  <c r="AW382" i="1"/>
  <c r="AW175" i="1"/>
  <c r="AW44" i="1"/>
  <c r="AW556" i="1"/>
  <c r="AW309" i="1"/>
  <c r="AW38" i="1"/>
  <c r="AW710" i="1"/>
  <c r="AW73" i="1"/>
  <c r="AW745" i="1"/>
  <c r="AW658" i="1"/>
  <c r="AW571" i="1"/>
  <c r="AW32" i="1"/>
  <c r="AW704" i="1"/>
  <c r="AW333" i="1"/>
  <c r="AW484" i="1"/>
  <c r="AW348" i="1"/>
  <c r="AW133" i="1"/>
  <c r="AW677" i="1"/>
  <c r="AW566" i="1"/>
  <c r="AW263" i="1"/>
  <c r="AW120" i="1"/>
  <c r="AW30" i="1"/>
  <c r="AW606" i="1"/>
  <c r="AW527" i="1"/>
  <c r="AW204" i="1"/>
  <c r="AW4" i="1"/>
  <c r="AW516" i="1"/>
  <c r="AW380" i="1"/>
  <c r="AW165" i="1"/>
  <c r="AW773" i="1"/>
  <c r="AW598" i="1"/>
  <c r="AW295" i="1"/>
  <c r="AW152" i="1"/>
  <c r="AW62" i="1"/>
  <c r="AW638" i="1"/>
  <c r="AW559" i="1"/>
  <c r="AW236" i="1"/>
  <c r="AW36" i="1"/>
  <c r="AW548" i="1"/>
  <c r="AW68" i="1"/>
  <c r="AW644" i="1"/>
  <c r="AW444" i="1"/>
  <c r="AW229" i="1"/>
  <c r="AW22" i="1"/>
  <c r="AW662" i="1"/>
  <c r="AW455" i="1"/>
  <c r="AW216" i="1"/>
  <c r="AW126" i="1"/>
  <c r="AW734" i="1"/>
  <c r="AW612" i="1"/>
  <c r="AW300" i="1"/>
  <c r="AW53" i="1"/>
  <c r="AW565" i="1"/>
  <c r="AW294" i="1"/>
  <c r="AW247" i="1"/>
  <c r="AW536" i="1"/>
  <c r="AW425" i="1"/>
  <c r="AW242" i="1"/>
  <c r="AW155" i="1"/>
  <c r="AW591" i="1"/>
  <c r="AW352" i="1"/>
  <c r="AW145" i="1"/>
  <c r="AW817" i="1"/>
  <c r="AW602" i="1"/>
  <c r="AW791" i="1"/>
  <c r="AW488" i="1"/>
  <c r="AW409" i="1"/>
  <c r="AW130" i="1"/>
  <c r="AW11" i="1"/>
  <c r="AW733" i="1"/>
  <c r="AW447" i="1"/>
  <c r="AW289" i="1"/>
  <c r="AW458" i="1"/>
  <c r="AW243" i="1"/>
  <c r="AW755" i="1"/>
  <c r="AW401" i="1"/>
  <c r="AW232" i="1"/>
  <c r="AW410" i="1"/>
  <c r="AW122" i="1"/>
  <c r="AW561" i="1"/>
  <c r="AW273" i="1"/>
  <c r="AW17" i="1"/>
  <c r="AW512" i="1"/>
  <c r="AW160" i="1"/>
  <c r="AW719" i="1"/>
  <c r="AW335" i="1"/>
  <c r="AW225" i="1"/>
  <c r="AW403" i="1"/>
  <c r="AW51" i="1"/>
  <c r="AW10" i="1"/>
  <c r="AW575" i="1"/>
  <c r="AW788" i="1"/>
  <c r="AW377" i="1"/>
  <c r="AW786" i="1"/>
  <c r="AW723" i="1"/>
  <c r="AW426" i="1"/>
  <c r="AW415" i="1"/>
  <c r="AW482" i="1"/>
  <c r="AW185" i="1"/>
  <c r="AW707" i="1"/>
  <c r="AW570" i="1"/>
  <c r="AW81" i="1"/>
  <c r="AW123" i="1"/>
  <c r="AW329" i="1"/>
  <c r="AW230" i="1"/>
  <c r="AW268" i="1"/>
  <c r="AW197" i="1"/>
  <c r="AW669" i="1"/>
  <c r="AW83" i="1"/>
  <c r="AW778" i="1"/>
  <c r="AW371" i="1"/>
  <c r="AW298" i="1"/>
  <c r="AW144" i="1"/>
  <c r="AW799" i="1"/>
  <c r="AW608" i="1"/>
  <c r="AW367" i="1"/>
  <c r="AW465" i="1"/>
  <c r="AW568" i="1"/>
  <c r="AW767" i="1"/>
  <c r="AW691" i="1"/>
  <c r="AW362" i="1"/>
  <c r="AW383" i="1"/>
  <c r="AW354" i="1"/>
  <c r="AW153" i="1"/>
  <c r="AW538" i="1"/>
  <c r="AW736" i="1"/>
  <c r="AW91" i="1"/>
  <c r="AW504" i="1"/>
  <c r="AW198" i="1"/>
  <c r="AW580" i="1"/>
  <c r="AW412" i="1"/>
  <c r="AW774" i="1"/>
  <c r="AW531" i="1"/>
  <c r="AW179" i="1"/>
  <c r="AW618" i="1"/>
  <c r="AW170" i="1"/>
  <c r="AW609" i="1"/>
  <c r="AW321" i="1"/>
  <c r="AW816" i="1"/>
  <c r="AW560" i="1"/>
  <c r="AW304" i="1"/>
  <c r="AW16" i="1"/>
  <c r="AW287" i="1"/>
  <c r="AW31" i="1"/>
  <c r="AW590" i="1"/>
  <c r="AW270" i="1"/>
  <c r="AW701" i="1"/>
  <c r="AW381" i="1"/>
  <c r="AW93" i="1"/>
  <c r="AW532" i="1"/>
  <c r="AW276" i="1"/>
  <c r="AW20" i="1"/>
  <c r="AW459" i="1"/>
  <c r="AW450" i="1"/>
  <c r="AW648" i="1"/>
  <c r="AW279" i="1"/>
  <c r="AW620" i="1"/>
  <c r="AW794" i="1"/>
  <c r="AW721" i="1"/>
  <c r="AW495" i="1"/>
  <c r="AW419" i="1"/>
  <c r="AW379" i="1"/>
  <c r="AW370" i="1"/>
  <c r="AW632" i="1"/>
  <c r="AW359" i="1"/>
  <c r="AW636" i="1"/>
  <c r="AW55" i="1"/>
  <c r="AW323" i="1"/>
  <c r="AW35" i="1"/>
  <c r="AW442" i="1"/>
  <c r="AW154" i="1"/>
  <c r="AW593" i="1"/>
  <c r="AW305" i="1"/>
  <c r="AW49" i="1"/>
  <c r="AW576" i="1"/>
  <c r="AW192" i="1"/>
  <c r="AW751" i="1"/>
  <c r="AW463" i="1"/>
  <c r="AW274" i="1"/>
  <c r="AW806" i="1"/>
  <c r="AW259" i="1"/>
  <c r="AW698" i="1"/>
  <c r="AW346" i="1"/>
  <c r="AW90" i="1"/>
  <c r="AW529" i="1"/>
  <c r="AW241" i="1"/>
  <c r="AW800" i="1"/>
  <c r="AW448" i="1"/>
  <c r="AW128" i="1"/>
  <c r="AW687" i="1"/>
  <c r="AW303" i="1"/>
  <c r="AW777" i="1"/>
  <c r="AW227" i="1"/>
  <c r="AW666" i="1"/>
  <c r="AW314" i="1"/>
  <c r="AW58" i="1"/>
  <c r="AW497" i="1"/>
  <c r="AW209" i="1"/>
  <c r="AW768" i="1"/>
  <c r="AW416" i="1"/>
  <c r="AW96" i="1"/>
  <c r="AW655" i="1"/>
  <c r="AW699" i="1"/>
  <c r="AW339" i="1"/>
  <c r="AW19" i="1"/>
  <c r="AW266" i="1"/>
  <c r="AW801" i="1"/>
  <c r="AW449" i="1"/>
  <c r="AW97" i="1"/>
  <c r="AW656" i="1"/>
  <c r="AW400" i="1"/>
  <c r="AW112" i="1"/>
  <c r="AW543" i="1"/>
  <c r="AW127" i="1"/>
  <c r="AW686" i="1"/>
  <c r="AW366" i="1"/>
  <c r="AW78" i="1"/>
  <c r="AW509" i="1"/>
  <c r="AW189" i="1"/>
  <c r="AW724" i="1"/>
  <c r="AW372" i="1"/>
  <c r="AW116" i="1"/>
  <c r="AW555" i="1"/>
  <c r="AW738" i="1"/>
  <c r="AW808" i="1"/>
  <c r="AW439" i="1"/>
  <c r="AW390" i="1"/>
  <c r="AW675" i="1"/>
  <c r="AW275" i="1"/>
  <c r="AW682" i="1"/>
  <c r="AW234" i="1"/>
  <c r="AW673" i="1"/>
  <c r="AW417" i="1"/>
  <c r="AW65" i="1"/>
  <c r="AW624" i="1"/>
  <c r="AW368" i="1"/>
  <c r="AW80" i="1"/>
  <c r="AW511" i="1"/>
  <c r="AW95" i="1"/>
  <c r="AW654" i="1"/>
  <c r="AW334" i="1"/>
  <c r="AW46" i="1"/>
  <c r="AW445" i="1"/>
  <c r="AW157" i="1"/>
  <c r="AW692" i="1"/>
  <c r="AW340" i="1"/>
  <c r="AW84" i="1"/>
  <c r="AW523" i="1"/>
  <c r="AW546" i="1"/>
  <c r="AW712" i="1"/>
  <c r="AW407" i="1"/>
  <c r="AW358" i="1"/>
  <c r="AW659" i="1"/>
  <c r="AW211" i="1"/>
  <c r="AW650" i="1"/>
  <c r="AW202" i="1"/>
  <c r="AW641" i="1"/>
  <c r="AW385" i="1"/>
  <c r="AW33" i="1"/>
  <c r="AW592" i="1"/>
  <c r="AW336" i="1"/>
  <c r="AW48" i="1"/>
  <c r="AW319" i="1"/>
  <c r="AW63" i="1"/>
  <c r="AW622" i="1"/>
  <c r="AW302" i="1"/>
  <c r="AW14" i="1"/>
  <c r="AW413" i="1"/>
  <c r="AW125" i="1"/>
  <c r="AW660" i="1"/>
  <c r="AW308" i="1"/>
  <c r="AW52" i="1"/>
  <c r="AW491" i="1"/>
  <c r="AW514" i="1"/>
  <c r="AW680" i="1"/>
  <c r="AW343" i="1"/>
  <c r="AW757" i="1"/>
  <c r="AW451" i="1"/>
  <c r="AW411" i="1"/>
  <c r="AW434" i="1"/>
  <c r="AW105" i="1"/>
  <c r="AW391" i="1"/>
  <c r="AW293" i="1"/>
  <c r="AW718" i="1"/>
  <c r="AW398" i="1"/>
  <c r="AW110" i="1"/>
  <c r="AW541" i="1"/>
  <c r="AW221" i="1"/>
  <c r="AW756" i="1"/>
  <c r="AW404" i="1"/>
  <c r="AW148" i="1"/>
  <c r="AW683" i="1"/>
  <c r="AW802" i="1"/>
  <c r="AW25" i="1"/>
  <c r="AW471" i="1"/>
  <c r="AW486" i="1"/>
  <c r="AW771" i="1"/>
  <c r="AW195" i="1"/>
  <c r="AW753" i="1"/>
  <c r="AW224" i="1"/>
  <c r="AW483" i="1"/>
  <c r="AW507" i="1"/>
  <c r="AW466" i="1"/>
  <c r="AW233" i="1"/>
  <c r="AW423" i="1"/>
  <c r="AW709" i="1"/>
  <c r="AW814" i="1"/>
  <c r="AW558" i="1"/>
  <c r="AW238" i="1"/>
  <c r="AW637" i="1"/>
  <c r="AW317" i="1"/>
  <c r="AW61" i="1"/>
  <c r="AW500" i="1"/>
  <c r="AW244" i="1"/>
  <c r="AW779" i="1"/>
  <c r="AW427" i="1"/>
  <c r="AW418" i="1"/>
  <c r="AW616" i="1"/>
  <c r="AW215" i="1"/>
  <c r="AW588" i="1"/>
  <c r="AW474" i="1"/>
  <c r="AW544" i="1"/>
  <c r="AW239" i="1"/>
  <c r="AW731" i="1"/>
  <c r="AW754" i="1"/>
  <c r="AW713" i="1"/>
  <c r="AW280" i="1"/>
  <c r="AW438" i="1"/>
  <c r="AW284" i="1"/>
  <c r="AW782" i="1"/>
  <c r="AW462" i="1"/>
  <c r="AW174" i="1"/>
  <c r="AW605" i="1"/>
  <c r="AW285" i="1"/>
  <c r="AW29" i="1"/>
  <c r="AW468" i="1"/>
  <c r="AW212" i="1"/>
  <c r="AW747" i="1"/>
  <c r="AW395" i="1"/>
  <c r="AW386" i="1"/>
  <c r="AW584" i="1"/>
  <c r="AW550" i="1"/>
  <c r="AW378" i="1"/>
  <c r="AW480" i="1"/>
  <c r="AW667" i="1"/>
  <c r="AW530" i="1"/>
  <c r="AW681" i="1"/>
  <c r="AW88" i="1"/>
  <c r="AW406" i="1"/>
  <c r="AW750" i="1"/>
  <c r="AW430" i="1"/>
  <c r="AW142" i="1"/>
  <c r="AW573" i="1"/>
  <c r="AW253" i="1"/>
  <c r="AW820" i="1"/>
  <c r="AW436" i="1"/>
  <c r="AW180" i="1"/>
  <c r="AW715" i="1"/>
  <c r="AW363" i="1"/>
  <c r="AW793" i="1"/>
  <c r="AW535" i="1"/>
  <c r="AW518" i="1"/>
  <c r="AW785" i="1"/>
  <c r="AW288" i="1"/>
  <c r="AW579" i="1"/>
  <c r="AW539" i="1"/>
  <c r="AW498" i="1"/>
  <c r="AW297" i="1"/>
  <c r="AW487" i="1"/>
  <c r="AW7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<sst xmlns="http://schemas.openxmlformats.org/spreadsheetml/2006/main" count="3381" uniqueCount="269">
  <si>
    <t>Date</t>
  </si>
  <si>
    <t>Location</t>
  </si>
  <si>
    <t>Trainer</t>
  </si>
  <si>
    <t>Time</t>
  </si>
  <si>
    <t>ClassType</t>
  </si>
  <si>
    <t>Red Min</t>
  </si>
  <si>
    <t>Orange Min</t>
  </si>
  <si>
    <t>Green Min</t>
  </si>
  <si>
    <t>Blue Min</t>
  </si>
  <si>
    <t>Gray Min</t>
  </si>
  <si>
    <t>Max HR</t>
  </si>
  <si>
    <t>Avg HR</t>
  </si>
  <si>
    <t>Splat</t>
  </si>
  <si>
    <t>Calories</t>
  </si>
  <si>
    <t>Morn_Even</t>
  </si>
  <si>
    <t>State</t>
  </si>
  <si>
    <t>Week_Month</t>
  </si>
  <si>
    <t>Weekday</t>
  </si>
  <si>
    <t>Year</t>
  </si>
  <si>
    <t>Latitude</t>
  </si>
  <si>
    <t>Longitude</t>
  </si>
  <si>
    <t>ExtraExpenses</t>
  </si>
  <si>
    <t>Goal</t>
  </si>
  <si>
    <t>Monthly_Cost</t>
  </si>
  <si>
    <t>Dunn Lorring, VA</t>
  </si>
  <si>
    <t>Audrey</t>
  </si>
  <si>
    <t>4:30PM</t>
  </si>
  <si>
    <t>Virginia</t>
  </si>
  <si>
    <t>Kandace</t>
  </si>
  <si>
    <t>Kacie</t>
  </si>
  <si>
    <t>Rosslyn, VA</t>
  </si>
  <si>
    <t>Courtney1</t>
  </si>
  <si>
    <t>10:30AM</t>
  </si>
  <si>
    <t>14th Street, DC</t>
  </si>
  <si>
    <t>Tiffany</t>
  </si>
  <si>
    <t>11:30AM</t>
  </si>
  <si>
    <t>Washington, DC</t>
  </si>
  <si>
    <t>Demi</t>
  </si>
  <si>
    <t>2:00PM</t>
  </si>
  <si>
    <t>5:30PM</t>
  </si>
  <si>
    <t>Foggy Bottom, DC</t>
  </si>
  <si>
    <t>Damani</t>
  </si>
  <si>
    <t>8:30AM</t>
  </si>
  <si>
    <t>Orange 3G</t>
  </si>
  <si>
    <t>Orange 60 Tornado</t>
  </si>
  <si>
    <t>9:30AM</t>
  </si>
  <si>
    <t>Chuck</t>
  </si>
  <si>
    <t>Orange 60</t>
  </si>
  <si>
    <t>Orange 60 Minute</t>
  </si>
  <si>
    <t>Phil</t>
  </si>
  <si>
    <t>6:45PM</t>
  </si>
  <si>
    <t>Thomas Circle, DC</t>
  </si>
  <si>
    <t>Ash</t>
  </si>
  <si>
    <t>4:15PM</t>
  </si>
  <si>
    <t>Erich</t>
  </si>
  <si>
    <t>Mt. Vernon Triangle/Shaw, DC</t>
  </si>
  <si>
    <t>Rachel1</t>
  </si>
  <si>
    <t>5:45PM</t>
  </si>
  <si>
    <t>9:45AM</t>
  </si>
  <si>
    <t>Abbey</t>
  </si>
  <si>
    <t>Navy Yard, DC</t>
  </si>
  <si>
    <t>Joe</t>
  </si>
  <si>
    <t>Ron</t>
  </si>
  <si>
    <t>Myke</t>
  </si>
  <si>
    <t>Marcus</t>
  </si>
  <si>
    <t>Robin</t>
  </si>
  <si>
    <t>Kenna</t>
  </si>
  <si>
    <t>Georgia</t>
  </si>
  <si>
    <t>Kara</t>
  </si>
  <si>
    <t>7:45AM</t>
  </si>
  <si>
    <t>1:00PM</t>
  </si>
  <si>
    <t>Darrell</t>
  </si>
  <si>
    <t>Luke</t>
  </si>
  <si>
    <t>Madison</t>
  </si>
  <si>
    <t>Shayna</t>
  </si>
  <si>
    <t>Dwayne</t>
  </si>
  <si>
    <t>8:45AM</t>
  </si>
  <si>
    <t>Jersey City, NJ</t>
  </si>
  <si>
    <t>Herlentz</t>
  </si>
  <si>
    <t>9:15AM</t>
  </si>
  <si>
    <t>New Jersey</t>
  </si>
  <si>
    <t>8:15AM</t>
  </si>
  <si>
    <t>Micha</t>
  </si>
  <si>
    <t>12:00PM</t>
  </si>
  <si>
    <t>6:30AM</t>
  </si>
  <si>
    <t>Georgetown, DC</t>
  </si>
  <si>
    <t>Rachel2</t>
  </si>
  <si>
    <t>Jenn</t>
  </si>
  <si>
    <t>9:00AM</t>
  </si>
  <si>
    <t>7:15AM</t>
  </si>
  <si>
    <t>Gabi</t>
  </si>
  <si>
    <t>Cleveland Park, DC</t>
  </si>
  <si>
    <t>Eva</t>
  </si>
  <si>
    <t>9:10AM</t>
  </si>
  <si>
    <t>Anthony</t>
  </si>
  <si>
    <t>Orange 60 MIN 3G - Reduced Capacity Mask Optional</t>
  </si>
  <si>
    <t>Angie</t>
  </si>
  <si>
    <t>Lauren</t>
  </si>
  <si>
    <t>Miles</t>
  </si>
  <si>
    <t>Orange 60 MIN 2G - Mask Optional</t>
  </si>
  <si>
    <t>Alex</t>
  </si>
  <si>
    <t>Tenleytown, DC</t>
  </si>
  <si>
    <t>Jackie</t>
  </si>
  <si>
    <t>5:35PM</t>
  </si>
  <si>
    <t>Orange 60 MIN 2G</t>
  </si>
  <si>
    <t>Orange 60 MIN 3G - Mask Optional</t>
  </si>
  <si>
    <t>Katie</t>
  </si>
  <si>
    <t>7:10AM</t>
  </si>
  <si>
    <t>Brennan</t>
  </si>
  <si>
    <t>Joanna</t>
  </si>
  <si>
    <t>6:15AM</t>
  </si>
  <si>
    <t>Belmont, MA</t>
  </si>
  <si>
    <t>Lily</t>
  </si>
  <si>
    <t>7:30AM</t>
  </si>
  <si>
    <t>Orange 60 MIN 3G - Reduced Capacity</t>
  </si>
  <si>
    <t>Massachusetts</t>
  </si>
  <si>
    <t>Carissa</t>
  </si>
  <si>
    <t>Orange 60 MIN 3G</t>
  </si>
  <si>
    <t>Genna</t>
  </si>
  <si>
    <t>Britnie</t>
  </si>
  <si>
    <t>Tina</t>
  </si>
  <si>
    <t>Hamden - North Haven, CT</t>
  </si>
  <si>
    <t>Cathy</t>
  </si>
  <si>
    <t>Connecticut</t>
  </si>
  <si>
    <t>Drew</t>
  </si>
  <si>
    <t>Slabtown, OR</t>
  </si>
  <si>
    <t>Rylee</t>
  </si>
  <si>
    <t>4:00PM</t>
  </si>
  <si>
    <t>Orange 60 MIN 3G - Mask Required</t>
  </si>
  <si>
    <t>Oregon</t>
  </si>
  <si>
    <t>Kyle</t>
  </si>
  <si>
    <t>2:45PM</t>
  </si>
  <si>
    <t>Orange 60 MIN 3G - Reduced Capacity Mask Required</t>
  </si>
  <si>
    <t>Ennis</t>
  </si>
  <si>
    <t>Julie</t>
  </si>
  <si>
    <t>Orange 60 MIN 2G - Mask Required</t>
  </si>
  <si>
    <t>Tylae</t>
  </si>
  <si>
    <t>7:00AM</t>
  </si>
  <si>
    <t>Brighton, MA</t>
  </si>
  <si>
    <t>Lydia</t>
  </si>
  <si>
    <t>Courtney2</t>
  </si>
  <si>
    <t>Eric</t>
  </si>
  <si>
    <t>Aaron</t>
  </si>
  <si>
    <t>5:25PM</t>
  </si>
  <si>
    <t>4:20PM</t>
  </si>
  <si>
    <t>Orange 60 - Tornado</t>
  </si>
  <si>
    <t>Jamel</t>
  </si>
  <si>
    <t>Anna</t>
  </si>
  <si>
    <t>Julie2</t>
  </si>
  <si>
    <t>Central West End, MO</t>
  </si>
  <si>
    <t>Alexandra</t>
  </si>
  <si>
    <t>Missouri</t>
  </si>
  <si>
    <t>Nashville-Midtown, TN</t>
  </si>
  <si>
    <t>Jess</t>
  </si>
  <si>
    <t>Tennessee</t>
  </si>
  <si>
    <t>Travis</t>
  </si>
  <si>
    <t>Fort Worth - Montgomery Plaza, TX</t>
  </si>
  <si>
    <t>Maria</t>
  </si>
  <si>
    <t>Texas</t>
  </si>
  <si>
    <t>8:00AM</t>
  </si>
  <si>
    <t>Arlington - Ballston, VA</t>
  </si>
  <si>
    <t>Jess2</t>
  </si>
  <si>
    <t>Bethesda, MD</t>
  </si>
  <si>
    <t>Lily2</t>
  </si>
  <si>
    <t>Maryland</t>
  </si>
  <si>
    <t>Tony</t>
  </si>
  <si>
    <t>10:45AM</t>
  </si>
  <si>
    <t>Bryn</t>
  </si>
  <si>
    <t>Nick</t>
  </si>
  <si>
    <t>Kyle2</t>
  </si>
  <si>
    <t>Justin</t>
  </si>
  <si>
    <t>6:30PM</t>
  </si>
  <si>
    <t>Flora</t>
  </si>
  <si>
    <t>5:20PM</t>
  </si>
  <si>
    <t>7:05AM</t>
  </si>
  <si>
    <t>Holly</t>
  </si>
  <si>
    <t>Andrew</t>
  </si>
  <si>
    <t>Christine</t>
  </si>
  <si>
    <t>8:05AM</t>
  </si>
  <si>
    <t>11:20AM</t>
  </si>
  <si>
    <t>10:15AM</t>
  </si>
  <si>
    <t>Roxanne</t>
  </si>
  <si>
    <t>Benji</t>
  </si>
  <si>
    <t>10:00AM</t>
  </si>
  <si>
    <t>6:05AM</t>
  </si>
  <si>
    <t>Kaya</t>
  </si>
  <si>
    <t>Nickole</t>
  </si>
  <si>
    <t>Kelly</t>
  </si>
  <si>
    <t>Elizabeth</t>
  </si>
  <si>
    <t>Aitana</t>
  </si>
  <si>
    <t>9:20AM</t>
  </si>
  <si>
    <t>Marco</t>
  </si>
  <si>
    <t>12:30PM</t>
  </si>
  <si>
    <t>Greg</t>
  </si>
  <si>
    <t>Kendall Square, MA</t>
  </si>
  <si>
    <t>Sydney</t>
  </si>
  <si>
    <t>Abby</t>
  </si>
  <si>
    <t>Goat Blocks, OR</t>
  </si>
  <si>
    <t>Alyssa</t>
  </si>
  <si>
    <t>4:45PM</t>
  </si>
  <si>
    <t>Portland - South Waterfront, OR</t>
  </si>
  <si>
    <t>Lorenzo</t>
  </si>
  <si>
    <t>Oscar</t>
  </si>
  <si>
    <t>Jonathan</t>
  </si>
  <si>
    <t>11:45AM</t>
  </si>
  <si>
    <t>6:00AM</t>
  </si>
  <si>
    <t>Cippy</t>
  </si>
  <si>
    <t>Elle</t>
  </si>
  <si>
    <t>Pearl District, OR</t>
  </si>
  <si>
    <t>Lauren2</t>
  </si>
  <si>
    <t>Katya</t>
  </si>
  <si>
    <t>RyRy</t>
  </si>
  <si>
    <t>Elissa</t>
  </si>
  <si>
    <t>Niko</t>
  </si>
  <si>
    <t>Adam</t>
  </si>
  <si>
    <t>5:15PM</t>
  </si>
  <si>
    <t>Clement</t>
  </si>
  <si>
    <t>Katie2</t>
  </si>
  <si>
    <t>Alisa</t>
  </si>
  <si>
    <t>Chloe</t>
  </si>
  <si>
    <t>Jeff</t>
  </si>
  <si>
    <t>Taryn</t>
  </si>
  <si>
    <t>Toni</t>
  </si>
  <si>
    <t>Duviel</t>
  </si>
  <si>
    <t>Brandon</t>
  </si>
  <si>
    <t>Cara</t>
  </si>
  <si>
    <t>Camille</t>
  </si>
  <si>
    <t>Christina</t>
  </si>
  <si>
    <t>Hazel Dell, WA</t>
  </si>
  <si>
    <t>Washington</t>
  </si>
  <si>
    <t>Fionn</t>
  </si>
  <si>
    <t>Ashlyn</t>
  </si>
  <si>
    <t>East Vancouver/Camas, WA</t>
  </si>
  <si>
    <t>Christian</t>
  </si>
  <si>
    <t>Haley</t>
  </si>
  <si>
    <t>Kelly2</t>
  </si>
  <si>
    <t>Lauren3</t>
  </si>
  <si>
    <t>Danielle</t>
  </si>
  <si>
    <t>Arielle</t>
  </si>
  <si>
    <t>Joe2</t>
  </si>
  <si>
    <t>Lafayette</t>
  </si>
  <si>
    <t>Kate</t>
  </si>
  <si>
    <t>VisitNum</t>
  </si>
  <si>
    <t>VisitNum_Month</t>
  </si>
  <si>
    <t>ClassLength</t>
  </si>
  <si>
    <t>DaysSince</t>
  </si>
  <si>
    <t>Mon_Yr</t>
  </si>
  <si>
    <t>Twelve_or_Above</t>
  </si>
  <si>
    <t>Gray_Perc</t>
  </si>
  <si>
    <t>Blue_Perc</t>
  </si>
  <si>
    <t>Green_Perc</t>
  </si>
  <si>
    <t>Orange_Perc</t>
  </si>
  <si>
    <t>Red_Perc</t>
  </si>
  <si>
    <t>Cost_Per_Class</t>
  </si>
  <si>
    <t>Calories_Month</t>
  </si>
  <si>
    <t>SplatPts_Month</t>
  </si>
  <si>
    <t>Month</t>
  </si>
  <si>
    <t>Calories_Splat</t>
  </si>
  <si>
    <t>Visits_Studio</t>
  </si>
  <si>
    <t>State_Perc</t>
  </si>
  <si>
    <t>Visits_Trainer</t>
  </si>
  <si>
    <t>ScaleSplat</t>
  </si>
  <si>
    <t>ScaleCalories</t>
  </si>
  <si>
    <t>ScaleCombine</t>
  </si>
  <si>
    <t>ScaleMin</t>
  </si>
  <si>
    <t>CompositeScore</t>
  </si>
  <si>
    <t>MONYEAR</t>
  </si>
  <si>
    <t>Cal_Min</t>
  </si>
  <si>
    <t>Jahzelle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</si>
</sst>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0"/>
    <numFmt numFmtId="165" formatCode="0.0"/>
    <numFmt numFmtId="166" formatCode="mmm\-yyyy"/>
    <numFmt numFmtId="167" formatCode="0.0%"/>
    <numFmt numFmtId="168" formatCode="yyyy\-mm\-dd;@"/>
    <numFmt numFmtId="169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3" borderId="2" xfId="0" applyFont="1" applyFill="1" applyBorder="1" applyAlignment="1">
      <alignment horizontal="center"/>
    </xf>
    <xf numFmtId="0" fontId="7" fillId="4" borderId="3" xfId="0" applyFont="1" applyFill="1" applyBorder="1"/>
    <xf numFmtId="0" fontId="7" fillId="5" borderId="4" xfId="0" applyFont="1" applyFill="1" applyBorder="1"/>
    <xf numFmtId="0" fontId="7" fillId="4" borderId="4" xfId="0" applyFont="1" applyFill="1" applyBorder="1"/>
    <xf numFmtId="164" fontId="0" fillId="0" borderId="0" xfId="0" applyNumberFormat="1"/>
    <xf numFmtId="0" fontId="4" fillId="2" borderId="5" xfId="0" applyFont="1" applyFill="1" applyBorder="1" applyAlignment="1">
      <alignment horizontal="center"/>
    </xf>
    <xf numFmtId="14" fontId="0" fillId="0" borderId="0" xfId="0" applyNumberFormat="1"/>
    <xf numFmtId="2" fontId="4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7" fontId="3" fillId="2" borderId="1" xfId="2" applyNumberFormat="1" applyFont="1" applyFill="1" applyBorder="1"/>
    <xf numFmtId="44" fontId="4" fillId="2" borderId="1" xfId="1" applyFont="1" applyFill="1" applyBorder="1" applyAlignment="1">
      <alignment horizontal="center"/>
    </xf>
    <xf numFmtId="44" fontId="3" fillId="2" borderId="1" xfId="1" applyFont="1" applyFill="1" applyBorder="1"/>
    <xf numFmtId="0" fontId="0" fillId="6" borderId="8" xfId="0" applyFill="1" applyBorder="1"/>
    <xf numFmtId="0" fontId="0" fillId="6" borderId="9" xfId="0" applyFill="1" applyBorder="1"/>
    <xf numFmtId="165" fontId="0" fillId="6" borderId="9" xfId="0" applyNumberFormat="1" applyFill="1" applyBorder="1"/>
    <xf numFmtId="167" fontId="0" fillId="6" borderId="9" xfId="2" applyNumberFormat="1" applyFont="1" applyFill="1" applyBorder="1"/>
    <xf numFmtId="44" fontId="0" fillId="6" borderId="9" xfId="1" applyFont="1" applyFill="1" applyBorder="1"/>
    <xf numFmtId="2" fontId="0" fillId="6" borderId="9" xfId="0" applyNumberFormat="1" applyFill="1" applyBorder="1"/>
    <xf numFmtId="0" fontId="0" fillId="7" borderId="6" xfId="0" applyFill="1" applyBorder="1"/>
    <xf numFmtId="0" fontId="0" fillId="7" borderId="7" xfId="0" applyFill="1" applyBorder="1"/>
    <xf numFmtId="165" fontId="0" fillId="7" borderId="7" xfId="0" applyNumberFormat="1" applyFill="1" applyBorder="1"/>
    <xf numFmtId="167" fontId="0" fillId="7" borderId="7" xfId="2" applyNumberFormat="1" applyFont="1" applyFill="1" applyBorder="1"/>
    <xf numFmtId="44" fontId="0" fillId="7" borderId="7" xfId="1" applyFont="1" applyFill="1" applyBorder="1"/>
    <xf numFmtId="2" fontId="0" fillId="7" borderId="7" xfId="0" applyNumberFormat="1" applyFill="1" applyBorder="1"/>
    <xf numFmtId="0" fontId="0" fillId="6" borderId="6" xfId="0" applyFill="1" applyBorder="1"/>
    <xf numFmtId="0" fontId="0" fillId="6" borderId="7" xfId="0" applyFill="1" applyBorder="1"/>
    <xf numFmtId="165" fontId="0" fillId="6" borderId="7" xfId="0" applyNumberFormat="1" applyFill="1" applyBorder="1"/>
    <xf numFmtId="167" fontId="0" fillId="6" borderId="7" xfId="2" applyNumberFormat="1" applyFont="1" applyFill="1" applyBorder="1"/>
    <xf numFmtId="44" fontId="0" fillId="6" borderId="7" xfId="1" applyFont="1" applyFill="1" applyBorder="1"/>
    <xf numFmtId="2" fontId="0" fillId="6" borderId="7" xfId="0" applyNumberFormat="1" applyFill="1" applyBorder="1"/>
    <xf numFmtId="1" fontId="0" fillId="6" borderId="7" xfId="0" applyNumberFormat="1" applyFill="1" applyBorder="1"/>
    <xf numFmtId="1" fontId="0" fillId="7" borderId="7" xfId="0" applyNumberFormat="1" applyFill="1" applyBorder="1"/>
    <xf numFmtId="0" fontId="0" fillId="7" borderId="10" xfId="0" applyFill="1" applyBorder="1"/>
    <xf numFmtId="49" fontId="0" fillId="6" borderId="7" xfId="0" applyNumberFormat="1" applyFill="1" applyBorder="1"/>
    <xf numFmtId="167" fontId="0" fillId="6" borderId="7" xfId="0" applyNumberFormat="1" applyFill="1" applyBorder="1"/>
    <xf numFmtId="166" fontId="0" fillId="6" borderId="7" xfId="0" applyNumberFormat="1" applyFill="1" applyBorder="1"/>
    <xf numFmtId="168" fontId="4" fillId="6" borderId="7" xfId="0" applyNumberFormat="1" applyFont="1" applyFill="1" applyBorder="1" applyAlignment="1">
      <alignment horizontal="left" indent="1"/>
    </xf>
    <xf numFmtId="169" fontId="0" fillId="6" borderId="7" xfId="0" applyNumberFormat="1" applyFill="1" applyBorder="1" applyAlignment="1">
      <alignment horizontal="left" indent="1"/>
    </xf>
  </cellXfs>
  <cellStyles count="3">
    <cellStyle name="Currency" xfId="1" builtinId="4"/>
    <cellStyle name="Normal" xfId="0" builtinId="0"/>
    <cellStyle name="Percent" xfId="2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m/d/yyyy;@"/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261D-6114-504E-ABCC-D4E8D34822E5}" name="Table1" displayName="Table1" ref="A1:AX825" totalsRowShown="0" headerRowDxfId="35">
  <autoFilter ref="A1:AX825" xr:uid="{914C261D-6114-504E-ABCC-D4E8D34822E5}"/>
  <tableColumns count="50">
    <tableColumn id="1" xr3:uid="{FBDDE7D3-1761-A14C-994D-FE87E45EDAF1}" name="VisitNum" dataDxfId="34"/>
    <tableColumn id="2" xr3:uid="{AE1EC97B-1602-994B-93C7-F33B2A201229}" name="VisitNum_Month">
      <calculatedColumnFormula>COUNTIF(R:R,R2)</calculatedColumnFormula>
    </tableColumn>
    <tableColumn id="3" xr3:uid="{FACD1E6A-40A8-2C40-811C-87A5BCE66885}" name="Date" dataDxfId="33"/>
    <tableColumn id="4" xr3:uid="{7EE478CE-FD69-7145-8886-B87A45281C9D}" name="ClassLength" dataDxfId="32">
      <calculatedColumnFormula>SUM(Data!$I2:$M2)</calculatedColumnFormula>
    </tableColumn>
    <tableColumn id="5" xr3:uid="{E132DFDB-CDBA-FD48-8AC6-CD1D9F915A21}" name="Splat" dataDxfId="31"/>
    <tableColumn id="6" xr3:uid="{59760EA4-4427-CC45-848F-B915E8C71946}" name="Calories" dataDxfId="30"/>
    <tableColumn id="7" xr3:uid="{3898EA84-8E0B-B74F-AC41-B0372F0109D8}" name="Avg HR" dataDxfId="29"/>
    <tableColumn id="8" xr3:uid="{9024D289-E1FD-924D-A653-1A2156B53A4D}" name="Max HR" dataDxfId="28"/>
    <tableColumn id="9" xr3:uid="{33C39E9D-EFE7-F646-9CA5-1326979AB6BE}" name="Gray Min" dataDxfId="27"/>
    <tableColumn id="10" xr3:uid="{9C54F186-7B2F-3E46-BE46-470259A44775}" name="Blue Min" dataDxfId="26"/>
    <tableColumn id="11" xr3:uid="{D05620D7-E7D3-114C-A94B-0E0357D828E1}" name="Green Min" dataDxfId="25"/>
    <tableColumn id="12" xr3:uid="{7F79468E-F965-4644-A1C7-2F79C22D40D1}" name="Orange Min" dataDxfId="24"/>
    <tableColumn id="13" xr3:uid="{A730EF8D-A3EA-1149-97F2-C86A367C69EB}" name="Red Min" dataDxfId="23"/>
    <tableColumn id="14" xr3:uid="{FE744B5E-D0E8-6845-805F-02DFB61C36E0}" name="Location" dataDxfId="22"/>
    <tableColumn id="15" xr3:uid="{7686A641-AFB4-654B-8AC8-050155D97443}" name="Time" dataDxfId="21"/>
    <tableColumn id="16" xr3:uid="{A87AE95D-AC7C-1045-9FFD-07A988E58B8E}" name="Trainer" dataDxfId="20"/>
    <tableColumn id="17" xr3:uid="{95E484D8-A5B6-414D-BD71-A43265EF8FA4}" name="DaysSince" dataDxfId="19">
      <calculatedColumnFormula>C2-C1</calculatedColumnFormula>
    </tableColumn>
    <tableColumn id="18" xr3:uid="{E328C538-0E7D-EA4F-8024-3E6A51F4F487}" name="Mon_Yr">
      <calculatedColumnFormula>MONTH(C2)&amp;"-"&amp;YEAR(C2)</calculatedColumnFormula>
    </tableColumn>
    <tableColumn id="19" xr3:uid="{3FC6AC3F-97DE-7643-8667-73B6B2323632}" name="ClassType" dataDxfId="18"/>
    <tableColumn id="20" xr3:uid="{C95C17E0-D857-704C-8B58-F70E877112F7}" name="Weekday" dataDxfId="17">
      <calculatedColumnFormula>IF(WEEKDAY(C2)=1,"Sunday",IF(WEEKDAY(C2)=2,"Monday",IF(WEEKDAY(C2)=3,"Tuesday",IF(WEEKDAY(C2)=4,"Wednesday",IF(WEEKDAY(C2)=5,"Thursday",IF(WEEKDAY(C2)=6,"Friday","Saturday"))))))</calculatedColumnFormula>
    </tableColumn>
    <tableColumn id="21" xr3:uid="{CBE6B1E2-2735-6E43-8D9C-88B11EC6CD59}" name="Twelve_or_Above" dataDxfId="16">
      <calculatedColumnFormula>IF(E2&gt;=12,1,0)</calculatedColumnFormula>
    </tableColumn>
    <tableColumn id="22" xr3:uid="{9645F206-264C-664C-A15E-BF9494713A11}" name="Gray_Perc">
      <calculatedColumnFormula>IFERROR(Data!$I2/Data!$D2,"")</calculatedColumnFormula>
    </tableColumn>
    <tableColumn id="23" xr3:uid="{20281E65-D7AF-A142-B7E5-CC45ABFBCBDB}" name="Blue_Perc">
      <calculatedColumnFormula>IFERROR(Data!$J2/Data!$D2,"")</calculatedColumnFormula>
    </tableColumn>
    <tableColumn id="24" xr3:uid="{A49FC34A-619B-D344-B76A-62B9A28BA5C4}" name="Green_Perc">
      <calculatedColumnFormula>IFERROR(Data!$K2/Data!$D2,"")</calculatedColumnFormula>
    </tableColumn>
    <tableColumn id="25" xr3:uid="{5100C9E1-FC2B-F240-BE14-4E8CB9434E0F}" name="Orange_Perc">
      <calculatedColumnFormula>IFERROR(Data!$L2/Data!$D2,"")</calculatedColumnFormula>
    </tableColumn>
    <tableColumn id="26" xr3:uid="{0D25B484-07D8-C840-9B7F-9FC0D3501746}" name="Red_Perc">
      <calculatedColumnFormula>IFERROR(Data!$M2/Data!$D2,"")</calculatedColumnFormula>
    </tableColumn>
    <tableColumn id="27" xr3:uid="{ACF81D58-6E16-FF45-8EF1-1E59BBECB78A}" name="Monthly_Cost" dataDxfId="15" dataCellStyle="Currency"/>
    <tableColumn id="28" xr3:uid="{7206A9CC-4141-C241-84C3-4D403563D327}" name="Cost_Per_Class" dataDxfId="14" dataCellStyle="Currency">
      <calculatedColumnFormula>AA2/B2</calculatedColumnFormula>
    </tableColumn>
    <tableColumn id="29" xr3:uid="{0BF8263B-4EA4-8942-846A-FC6EC97AA5DA}" name="Calories_Month">
      <calculatedColumnFormula>AVERAGEIF(R:R,R2,F:F)</calculatedColumnFormula>
    </tableColumn>
    <tableColumn id="30" xr3:uid="{5CBA7852-CA98-3745-AF3F-BFD02A52EBD8}" name="SplatPts_Month">
      <calculatedColumnFormula>AVERAGEIF(R:R,R2,E:E)</calculatedColumnFormula>
    </tableColumn>
    <tableColumn id="31" xr3:uid="{4C66B5C1-A59A-0941-85D5-178D66ED90AC}" name="Year" dataDxfId="13">
      <calculatedColumnFormula>YEAR(Data!$C2)</calculatedColumnFormula>
    </tableColumn>
    <tableColumn id="32" xr3:uid="{1434E04C-E2D8-F348-8988-277AD047A1D5}" name="ExtraExpenses" dataDxfId="12"/>
    <tableColumn id="33" xr3:uid="{C029FD01-7253-C14D-A737-E66A1206C408}" name="Goal" dataDxfId="11"/>
    <tableColumn id="34" xr3:uid="{26621141-492F-754A-90A4-B6238EEF8F21}" name="Cal_Min" dataDxfId="10">
      <calculatedColumnFormula>Data!$F2/Data!$D2</calculatedColumnFormula>
    </tableColumn>
    <tableColumn id="35" xr3:uid="{F31A6E44-C0A7-1F49-8363-EDF55B0E9416}" name="Morn_Even" dataDxfId="9">
      <calculatedColumnFormula>RIGHT(Data!$O2,2)</calculatedColumnFormula>
    </tableColumn>
    <tableColumn id="36" xr3:uid="{284DB358-B982-2E4A-9659-4E667ADDDA2F}" name="Week_Month" dataDxfId="8">
      <calculatedColumnFormula>Data!$R2&amp;"-"&amp;WEEKNUM(Data!$C2,1)-WEEKNUM(DATE(YEAR(Data!$C2),MONTH(Data!$C2),1),1)+1</calculatedColumnFormula>
    </tableColumn>
    <tableColumn id="37" xr3:uid="{B19C9AE7-3013-B94A-9E44-F430A0DD1058}" name="Month" dataDxfId="7">
      <calculatedColumnFormula>MONTH(Data!$C2)</calculatedColumnFormula>
    </tableColumn>
    <tableColumn id="38" xr3:uid="{851EF0ED-4C01-1245-A197-1624D7E55BCB}" name="Calories_Splat">
      <calculatedColumnFormula>IFERROR(Data!$F2/Data!$E2,0)</calculatedColumnFormula>
    </tableColumn>
    <tableColumn id="39" xr3:uid="{00EA1AB8-1300-9941-85FF-56D936429788}" name="Visits_Studio" dataDxfId="6">
      <calculatedColumnFormula>COUNTIF(Data!$N$2:$N$825,Data!$N2)</calculatedColumnFormula>
    </tableColumn>
    <tableColumn id="40" xr3:uid="{D957E432-AFD9-2F40-88BA-970E9CC6E0FA}" name="State" dataDxfId="5">
      <calculatedColumnFormula>VLOOKUP(Data!$N2,'Helpful Tables'!A:D,4,FALSE)</calculatedColumnFormula>
    </tableColumn>
    <tableColumn id="41" xr3:uid="{A0EBC356-6EF4-7A4D-9B8C-516D00A5C9C5}" name="State_Perc">
      <calculatedColumnFormula>COUNTIF(AN:AN,Data!$AN2)/COUNTA(AN:AN)</calculatedColumnFormula>
    </tableColumn>
    <tableColumn id="42" xr3:uid="{67253AFA-B565-9648-82A4-6D46EA43BDB6}" name="Latitude" dataDxfId="4">
      <calculatedColumnFormula>VLOOKUP(Data!$N2,'Helpful Tables'!A:B,2,FALSE)</calculatedColumnFormula>
    </tableColumn>
    <tableColumn id="43" xr3:uid="{4F484C6D-098E-1A40-9772-AACA7DA794E5}" name="Longitude" dataDxfId="3">
      <calculatedColumnFormula>VLOOKUP(Data!$N2,'Helpful Tables'!A:C,3,FALSE)</calculatedColumnFormula>
    </tableColumn>
    <tableColumn id="44" xr3:uid="{DE715A88-949D-3F48-BB7A-79F21B679C7A}" name="Visits_Trainer" dataDxfId="2">
      <calculatedColumnFormula>COUNTIF(Data!$P$2:$P$825,Data!$P2)</calculatedColumnFormula>
    </tableColumn>
    <tableColumn id="45" xr3:uid="{650D89D4-DAC2-0A47-AFF8-C20863007C2B}" name="ScaleSplat">
      <calculatedColumnFormula array="1">_xlfn.IFS(Data!$E2&lt;12,((Data!$E2/Data!$D2)*60)*1,AND(Data!$E2&gt;=12,Data!$E2&lt;=15),((Data!$E2/Data!$D2)*60)*1.2,AND(Data!$E2&gt;=16,Data!$E2&lt;=19),((Data!$E2/Data!$D2)*60)*1.5,Data!$E2&gt;=20,((Data!$E2/Data!$D2)*60)*1.8)</calculatedColumnFormula>
    </tableColumn>
    <tableColumn id="46" xr3:uid="{8D075AB7-7354-174B-994F-97965E760CCC}" name="ScaleCalories">
      <calculatedColumnFormula array="1">_xlfn.IFS(Data!$F2&lt;600,((Data!$F2/Data!$D2)*60)*1,AND(Data!$F2&gt;=600,Data!$F2&lt;=625),((Data!$F2/Data!$D2)*60)*1.2,AND(Data!$F2&gt;=626,Data!$F2&lt;=650),((Data!$F2/Data!$D2)*60)*1.5,Data!$F2&gt;=651,((Data!$F2/Data!$D2)*60)*1.8)</calculatedColumnFormula>
    </tableColumn>
    <tableColumn id="47" xr3:uid="{DE6B32B2-7DD0-5A4B-BE65-E7E3EFAE9F4E}" name="ScaleMin">
      <calculatedColumnFormula>(Data!$I2*-1.2)+(Data!$J2*-1.1)+(Data!$K2*1.2)+(Data!$L2*1.3)+(Data!$M2*1.5)</calculatedColumnFormula>
    </tableColumn>
    <tableColumn id="48" xr3:uid="{B10A31FA-8951-F145-8C71-927C6F3AEE4B}" name="ScaleCombine" dataDxfId="1">
      <calculatedColumnFormula>(Data!$AS2*0.4)+(Data!$AT2*0.4)+(Data!$AU2*0.2)</calculatedColumnFormula>
    </tableColumn>
    <tableColumn id="49" xr3:uid="{9F464145-9EE6-794E-9682-C4A700331D9E}" name="CompositeScore" dataDxfId="0">
      <calculatedColumnFormula>PERCENTRANK(AV:AV,Data!$AV2)*100</calculatedColumnFormula>
    </tableColumn>
    <tableColumn id="50" xr3:uid="{B724821D-138F-1C48-96F1-475312BD51A2}" name="MONYEAR">
      <calculatedColumnFormula>_xlfn.CONCAT(TEXT(C2,"mmm"),"-",Data!$AE2)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5"/>
  <sheetViews>
    <sheetView tabSelected="1" workbookViewId="0">
      <pane ySplit="1" topLeftCell="A798" activePane="bottomLeft" state="frozen"/>
      <selection pane="bottomLeft" activeCell="A826" sqref="A826"/>
    </sheetView>
  </sheetViews>
  <sheetFormatPr baseColWidth="10" defaultColWidth="8.83203125" defaultRowHeight="15" x14ac:dyDescent="0.2"/>
  <cols>
    <col min="1" max="1" width="10.6640625" customWidth="1"/>
    <col min="2" max="2" width="16.83203125" customWidth="1"/>
    <col min="3" max="3" width="11.5" style="10" bestFit="1" customWidth="1"/>
    <col min="4" max="4" width="12.5" customWidth="1"/>
    <col min="5" max="10" width="10.5" customWidth="1"/>
    <col min="11" max="11" width="11.83203125" customWidth="1"/>
    <col min="12" max="12" width="12.5" customWidth="1"/>
    <col min="13" max="13" width="10.5" customWidth="1"/>
    <col min="14" max="15" width="10.1640625" customWidth="1"/>
    <col min="16" max="16" width="9" customWidth="1"/>
    <col min="17" max="17" width="11.1640625" customWidth="1"/>
    <col min="18" max="18" width="9.6640625" customWidth="1"/>
    <col min="19" max="20" width="10.83203125" customWidth="1"/>
    <col min="21" max="21" width="18.33203125" customWidth="1"/>
    <col min="22" max="22" width="12" customWidth="1"/>
    <col min="23" max="23" width="11.6640625" customWidth="1"/>
    <col min="24" max="24" width="13" customWidth="1"/>
    <col min="25" max="25" width="14" customWidth="1"/>
    <col min="26" max="26" width="11.1640625" customWidth="1"/>
    <col min="27" max="27" width="17" bestFit="1" customWidth="1"/>
    <col min="28" max="28" width="17.1640625" customWidth="1"/>
    <col min="29" max="29" width="16.33203125" customWidth="1"/>
    <col min="30" max="30" width="16.5" customWidth="1"/>
    <col min="31" max="31" width="10.5" customWidth="1"/>
    <col min="32" max="32" width="14.33203125" customWidth="1"/>
    <col min="33" max="34" width="10.5" customWidth="1"/>
    <col min="35" max="35" width="12.33203125" customWidth="1"/>
    <col min="36" max="36" width="14.1640625" customWidth="1"/>
    <col min="38" max="38" width="15.1640625" customWidth="1"/>
    <col min="39" max="39" width="14.1640625" customWidth="1"/>
    <col min="40" max="40" width="13.33203125" bestFit="1" customWidth="1"/>
    <col min="41" max="41" width="11.83203125" customWidth="1"/>
    <col min="42" max="42" width="10" customWidth="1"/>
    <col min="43" max="43" width="11.33203125" customWidth="1"/>
    <col min="44" max="44" width="14" customWidth="1"/>
    <col min="45" max="45" width="14" bestFit="1" customWidth="1"/>
    <col min="46" max="46" width="16.33203125" bestFit="1" customWidth="1"/>
    <col min="47" max="47" width="13.33203125" bestFit="1" customWidth="1"/>
    <col min="48" max="48" width="17.1640625" bestFit="1" customWidth="1"/>
    <col min="49" max="49" width="18.83203125" bestFit="1" customWidth="1"/>
    <col min="50" max="50" width="11.5" customWidth="1"/>
  </cols>
  <sheetData>
    <row r="1" spans="1:50" s="1" customFormat="1" ht="17" thickBot="1" x14ac:dyDescent="0.25">
      <c r="A1" s="12" t="s">
        <v>242</v>
      </c>
      <c r="B1" s="2" t="s">
        <v>243</v>
      </c>
      <c r="C1" s="40" t="s">
        <v>0</v>
      </c>
      <c r="D1" s="2" t="s">
        <v>244</v>
      </c>
      <c r="E1" s="2" t="s">
        <v>12</v>
      </c>
      <c r="F1" s="2" t="s">
        <v>13</v>
      </c>
      <c r="G1" s="2" t="s">
        <v>11</v>
      </c>
      <c r="H1" s="2" t="s">
        <v>10</v>
      </c>
      <c r="I1" s="2" t="s">
        <v>9</v>
      </c>
      <c r="J1" s="2" t="s">
        <v>8</v>
      </c>
      <c r="K1" s="2" t="s">
        <v>7</v>
      </c>
      <c r="L1" s="2" t="s">
        <v>6</v>
      </c>
      <c r="M1" s="2" t="s">
        <v>5</v>
      </c>
      <c r="N1" s="2" t="s">
        <v>1</v>
      </c>
      <c r="O1" s="2" t="s">
        <v>3</v>
      </c>
      <c r="P1" s="2" t="s">
        <v>2</v>
      </c>
      <c r="Q1" s="2" t="s">
        <v>245</v>
      </c>
      <c r="R1" s="2" t="s">
        <v>246</v>
      </c>
      <c r="S1" s="2" t="s">
        <v>4</v>
      </c>
      <c r="T1" s="2" t="s">
        <v>17</v>
      </c>
      <c r="U1" s="3" t="s">
        <v>247</v>
      </c>
      <c r="V1" s="13" t="s">
        <v>248</v>
      </c>
      <c r="W1" s="13" t="s">
        <v>249</v>
      </c>
      <c r="X1" s="13" t="s">
        <v>250</v>
      </c>
      <c r="Y1" s="13" t="s">
        <v>251</v>
      </c>
      <c r="Z1" s="13" t="s">
        <v>252</v>
      </c>
      <c r="AA1" s="14" t="s">
        <v>23</v>
      </c>
      <c r="AB1" s="15" t="s">
        <v>253</v>
      </c>
      <c r="AC1" s="3" t="s">
        <v>254</v>
      </c>
      <c r="AD1" s="3" t="s">
        <v>255</v>
      </c>
      <c r="AE1" s="2" t="s">
        <v>18</v>
      </c>
      <c r="AF1" s="2" t="s">
        <v>21</v>
      </c>
      <c r="AG1" s="2" t="s">
        <v>22</v>
      </c>
      <c r="AH1" s="11" t="s">
        <v>267</v>
      </c>
      <c r="AI1" s="2" t="s">
        <v>14</v>
      </c>
      <c r="AJ1" s="2" t="s">
        <v>16</v>
      </c>
      <c r="AK1" s="2" t="s">
        <v>256</v>
      </c>
      <c r="AL1" s="3" t="s">
        <v>257</v>
      </c>
      <c r="AM1" s="3" t="s">
        <v>258</v>
      </c>
      <c r="AN1" s="2" t="s">
        <v>15</v>
      </c>
      <c r="AO1" s="2" t="s">
        <v>259</v>
      </c>
      <c r="AP1" s="2" t="s">
        <v>19</v>
      </c>
      <c r="AQ1" s="2" t="s">
        <v>20</v>
      </c>
      <c r="AR1" s="2" t="s">
        <v>260</v>
      </c>
      <c r="AS1" s="2" t="s">
        <v>261</v>
      </c>
      <c r="AT1" s="2" t="s">
        <v>262</v>
      </c>
      <c r="AU1" s="2" t="s">
        <v>264</v>
      </c>
      <c r="AV1" s="2" t="s">
        <v>263</v>
      </c>
      <c r="AW1" s="2" t="s">
        <v>265</v>
      </c>
      <c r="AX1" s="9" t="s">
        <v>266</v>
      </c>
    </row>
    <row r="2" spans="1:50" ht="17" thickTop="1" thickBot="1" x14ac:dyDescent="0.25">
      <c r="A2" s="16">
        <v>1</v>
      </c>
      <c r="B2" s="17">
        <f t="shared" ref="B2:B65" si="0">COUNTIF(R:R,R2)</f>
        <v>3</v>
      </c>
      <c r="C2" s="41">
        <v>43538</v>
      </c>
      <c r="D2" s="18">
        <f>SUM(Data!$I2:$M2)</f>
        <v>55</v>
      </c>
      <c r="E2" s="17">
        <v>1</v>
      </c>
      <c r="F2" s="17">
        <v>565</v>
      </c>
      <c r="G2" s="17">
        <v>122</v>
      </c>
      <c r="H2" s="17">
        <v>165</v>
      </c>
      <c r="I2" s="17">
        <v>18</v>
      </c>
      <c r="J2" s="17">
        <v>20</v>
      </c>
      <c r="K2" s="17">
        <v>16</v>
      </c>
      <c r="L2" s="17">
        <v>1</v>
      </c>
      <c r="M2" s="17">
        <v>0</v>
      </c>
      <c r="N2" s="17" t="s">
        <v>24</v>
      </c>
      <c r="O2" s="17" t="s">
        <v>26</v>
      </c>
      <c r="P2" s="17" t="s">
        <v>25</v>
      </c>
      <c r="Q2" s="17"/>
      <c r="R2" s="17" t="str">
        <f t="shared" ref="R2:R65" si="1">MONTH(C2)&amp;"-"&amp;YEAR(C2)</f>
        <v>3-2019</v>
      </c>
      <c r="S2" s="17"/>
      <c r="T2" s="17" t="str">
        <f t="shared" ref="T2:T65" si="2">IF(WEEKDAY(C2)=1,"Sunday",IF(WEEKDAY(C2)=2,"Monday",IF(WEEKDAY(C2)=3,"Tuesday",IF(WEEKDAY(C2)=4,"Wednesday",IF(WEEKDAY(C2)=5,"Thursday",IF(WEEKDAY(C2)=6,"Friday","Saturday"))))))</f>
        <v>Thursday</v>
      </c>
      <c r="U2" s="17">
        <f t="shared" ref="U2:U65" si="3">IF(E2&gt;=12,1,0)</f>
        <v>0</v>
      </c>
      <c r="V2" s="19">
        <f>IFERROR(Data!$I2/Data!$D2,"")</f>
        <v>0.32727272727272727</v>
      </c>
      <c r="W2" s="19">
        <f>IFERROR(Data!$J2/Data!$D2,"")</f>
        <v>0.36363636363636365</v>
      </c>
      <c r="X2" s="19">
        <f>IFERROR(Data!$K2/Data!$D2,"")</f>
        <v>0.29090909090909089</v>
      </c>
      <c r="Y2" s="19">
        <f>IFERROR(Data!$L2/Data!$D2,"")</f>
        <v>1.8181818181818181E-2</v>
      </c>
      <c r="Z2" s="19">
        <f>IFERROR(Data!$M2/Data!$D2,"")</f>
        <v>0</v>
      </c>
      <c r="AA2" s="20">
        <v>133.49</v>
      </c>
      <c r="AB2" s="20">
        <f>AA2/3</f>
        <v>44.49666666666667</v>
      </c>
      <c r="AC2" s="17">
        <f t="shared" ref="AC2:AC65" si="4">AVERAGEIF(R:R,R2,F:F)</f>
        <v>596.33333333333337</v>
      </c>
      <c r="AD2" s="17">
        <f t="shared" ref="AD2:AD65" si="5">AVERAGEIF(R:R,R2,E:E)</f>
        <v>1.3333333333333333</v>
      </c>
      <c r="AE2" s="17">
        <f>YEAR(Data!$C2)</f>
        <v>2019</v>
      </c>
      <c r="AF2" s="17"/>
      <c r="AG2" s="17">
        <v>3</v>
      </c>
      <c r="AH2" s="21">
        <f>Data!$F2/Data!$D2</f>
        <v>10.272727272727273</v>
      </c>
      <c r="AI2" s="17" t="str">
        <f>RIGHT(Data!$O2,2)</f>
        <v>PM</v>
      </c>
      <c r="AJ2" s="17" t="str">
        <f>Data!$R2&amp;"-"&amp;WEEKNUM(Data!$C2,1)-WEEKNUM(DATE(YEAR(Data!$C2),MONTH(Data!$C2),1),1)+1</f>
        <v>3-2019-3</v>
      </c>
      <c r="AK2" s="17">
        <f>MONTH(Data!$C2)</f>
        <v>3</v>
      </c>
      <c r="AL2" s="17">
        <f>IFERROR(Data!$F2/Data!$E2,0)</f>
        <v>565</v>
      </c>
      <c r="AM2" s="17">
        <f>COUNTIF(Data!$N$2:$N$825,Data!$N2)</f>
        <v>35</v>
      </c>
      <c r="AN2" s="17" t="str">
        <f>VLOOKUP(Data!$N2,'Helpful Tables'!A:D,4,FALSE)</f>
        <v>Virginia</v>
      </c>
      <c r="AO2" s="17">
        <f>COUNTIF(AN:AN,Data!$AN2)/COUNTA(AN:AN)</f>
        <v>6.424242424242424E-2</v>
      </c>
      <c r="AP2" s="17">
        <v>38.881884999999997</v>
      </c>
      <c r="AQ2" s="17">
        <v>-77.229702000000003</v>
      </c>
      <c r="AR2" s="17">
        <f>COUNTIF(Data!$P$2:$P$825,Data!$P2)</f>
        <v>13</v>
      </c>
      <c r="AS2" s="17" cm="1">
        <f t="array" ref="AS2">_xlfn.IFS(Data!$E2&lt;12,((Data!$E2/Data!$D2)*60)*1,AND(Data!$E2&gt;=12,Data!$E2&lt;=15),((Data!$E2/Data!$D2)*60)*1.2,AND(Data!$E2&gt;=16,Data!$E2&lt;=19),((Data!$E2/Data!$D2)*60)*1.5,Data!$E2&gt;=20,((Data!$E2/Data!$D2)*60)*1.8)</f>
        <v>1.0909090909090908</v>
      </c>
      <c r="AT2" s="17" cm="1">
        <f t="array" ref="AT2">_xlfn.IFS(Data!$F2&lt;600,((Data!$F2/Data!$D2)*60)*1,AND(Data!$F2&gt;=600,Data!$F2&lt;=625),((Data!$F2/Data!$D2)*60)*1.2,AND(Data!$F2&gt;=626,Data!$F2&lt;=650),((Data!$F2/Data!$D2)*60)*1.5,Data!$F2&gt;=651,((Data!$F2/Data!$D2)*60)*1.8)</f>
        <v>616.36363636363637</v>
      </c>
      <c r="AU2" s="17">
        <f>(Data!$I2*-1.2)+(Data!$J2*-1.1)+(Data!$K2*1.2)+(Data!$L2*1.3)+(Data!$M2*1.5)</f>
        <v>-23.099999999999994</v>
      </c>
      <c r="AV2" s="17">
        <f>(Data!$AS2*0.4)+(Data!$AT2*0.4)+(Data!$AU2*0.2)</f>
        <v>242.36181818181819</v>
      </c>
      <c r="AW2" s="17">
        <f>PERCENTRANK(AV:AV,Data!$AV2)*100</f>
        <v>13.8</v>
      </c>
      <c r="AX2" s="17" t="str">
        <f>_xlfn.CONCAT(TEXT(C2,"mmm"),"-",Data!$AE2)</f>
        <v>Mar-2019</v>
      </c>
    </row>
    <row r="3" spans="1:50" ht="17" thickTop="1" thickBot="1" x14ac:dyDescent="0.25">
      <c r="A3" s="22">
        <v>2</v>
      </c>
      <c r="B3" s="23">
        <f t="shared" si="0"/>
        <v>3</v>
      </c>
      <c r="C3" s="41">
        <v>43545</v>
      </c>
      <c r="D3" s="24">
        <f>SUM(Data!$I3:$M3)</f>
        <v>58</v>
      </c>
      <c r="E3" s="23">
        <v>1</v>
      </c>
      <c r="F3" s="23">
        <v>586</v>
      </c>
      <c r="G3" s="23">
        <v>121</v>
      </c>
      <c r="H3" s="23">
        <v>167</v>
      </c>
      <c r="I3" s="23">
        <v>16</v>
      </c>
      <c r="J3" s="23">
        <v>17</v>
      </c>
      <c r="K3" s="23">
        <v>24</v>
      </c>
      <c r="L3" s="23">
        <v>1</v>
      </c>
      <c r="M3" s="23">
        <v>0</v>
      </c>
      <c r="N3" s="23" t="s">
        <v>24</v>
      </c>
      <c r="O3" s="23" t="s">
        <v>26</v>
      </c>
      <c r="P3" s="23" t="s">
        <v>25</v>
      </c>
      <c r="Q3" s="23">
        <f t="shared" ref="Q3:Q66" si="6">C3-C2</f>
        <v>7</v>
      </c>
      <c r="R3" s="23" t="str">
        <f t="shared" si="1"/>
        <v>3-2019</v>
      </c>
      <c r="S3" s="23"/>
      <c r="T3" s="23" t="str">
        <f t="shared" si="2"/>
        <v>Thursday</v>
      </c>
      <c r="U3" s="23">
        <f t="shared" si="3"/>
        <v>0</v>
      </c>
      <c r="V3" s="25">
        <f>IFERROR(Data!$I3/Data!$D3,"")</f>
        <v>0.27586206896551724</v>
      </c>
      <c r="W3" s="25">
        <f>IFERROR(Data!$J3/Data!$D3,"")</f>
        <v>0.29310344827586204</v>
      </c>
      <c r="X3" s="25">
        <f>IFERROR(Data!$K3/Data!$D3,"")</f>
        <v>0.41379310344827586</v>
      </c>
      <c r="Y3" s="25">
        <f>IFERROR(Data!$L3/Data!$D3,"")</f>
        <v>1.7241379310344827E-2</v>
      </c>
      <c r="Z3" s="25">
        <f>IFERROR(Data!$M3/Data!$D3,"")</f>
        <v>0</v>
      </c>
      <c r="AA3" s="26">
        <v>133.49</v>
      </c>
      <c r="AB3" s="26">
        <f t="shared" ref="AB3:AB7" si="7">AA3/3</f>
        <v>44.49666666666667</v>
      </c>
      <c r="AC3" s="23">
        <f t="shared" si="4"/>
        <v>596.33333333333337</v>
      </c>
      <c r="AD3" s="23">
        <f t="shared" si="5"/>
        <v>1.3333333333333333</v>
      </c>
      <c r="AE3" s="23">
        <f>YEAR(Data!$C3)</f>
        <v>2019</v>
      </c>
      <c r="AF3" s="23"/>
      <c r="AG3" s="23">
        <v>3</v>
      </c>
      <c r="AH3" s="27">
        <f>Data!$F3/Data!$D3</f>
        <v>10.103448275862069</v>
      </c>
      <c r="AI3" s="17" t="str">
        <f>RIGHT(Data!$O3,2)</f>
        <v>PM</v>
      </c>
      <c r="AJ3" s="23" t="str">
        <f>Data!$R3&amp;"-"&amp;WEEKNUM(Data!$C3,1)-WEEKNUM(DATE(YEAR(Data!$C3),MONTH(Data!$C3),1),1)+1</f>
        <v>3-2019-4</v>
      </c>
      <c r="AK3" s="23">
        <f>MONTH(Data!$C3)</f>
        <v>3</v>
      </c>
      <c r="AL3" s="23">
        <f>IFERROR(Data!$F3/Data!$E3,0)</f>
        <v>586</v>
      </c>
      <c r="AM3" s="23">
        <f>COUNTIF(Data!$N$2:$N$825,Data!$N3)</f>
        <v>35</v>
      </c>
      <c r="AN3" s="23" t="str">
        <f>VLOOKUP(Data!$N3,'Helpful Tables'!A:D,4,FALSE)</f>
        <v>Virginia</v>
      </c>
      <c r="AO3" s="23">
        <f>COUNTIF(AN:AN,Data!$AN3)/COUNTA(AN:AN)</f>
        <v>6.424242424242424E-2</v>
      </c>
      <c r="AP3" s="23">
        <v>38.881884999999997</v>
      </c>
      <c r="AQ3" s="23">
        <v>-77.229702000000003</v>
      </c>
      <c r="AR3" s="23">
        <f>COUNTIF(Data!$P$2:$P$825,Data!$P3)</f>
        <v>13</v>
      </c>
      <c r="AS3" s="23" cm="1">
        <f t="array" ref="AS3">_xlfn.IFS(Data!$E3&lt;12,((Data!$E3/Data!$D3)*60)*1,AND(Data!$E3&gt;=12,Data!$E3&lt;=15),((Data!$E3/Data!$D3)*60)*1.2,AND(Data!$E3&gt;=16,Data!$E3&lt;=19),((Data!$E3/Data!$D3)*60)*1.5,Data!$E3&gt;=20,((Data!$E3/Data!$D3)*60)*1.8)</f>
        <v>1.0344827586206897</v>
      </c>
      <c r="AT3" s="23" cm="1">
        <f t="array" ref="AT3">_xlfn.IFS(Data!$F3&lt;600,((Data!$F3/Data!$D3)*60)*1,AND(Data!$F3&gt;=600,Data!$F3&lt;=625),((Data!$F3/Data!$D3)*60)*1.2,AND(Data!$F3&gt;=626,Data!$F3&lt;=650),((Data!$F3/Data!$D3)*60)*1.5,Data!$F3&gt;=651,((Data!$F3/Data!$D3)*60)*1.8)</f>
        <v>606.20689655172418</v>
      </c>
      <c r="AU3" s="23">
        <f>(Data!$I3*-1.2)+(Data!$J3*-1.1)+(Data!$K3*1.2)+(Data!$L3*1.3)+(Data!$M3*1.5)</f>
        <v>-7.8000000000000087</v>
      </c>
      <c r="AV3" s="23">
        <f>(Data!$AS3*0.4)+(Data!$AT3*0.4)+(Data!$AU3*0.2)</f>
        <v>241.33655172413796</v>
      </c>
      <c r="AW3" s="23">
        <f>PERCENTRANK(AV:AV,Data!$AV3)*100</f>
        <v>12.9</v>
      </c>
      <c r="AX3" s="23" t="str">
        <f>_xlfn.CONCAT(TEXT(C3,"mmm"),"-",Data!$AE3)</f>
        <v>Mar-2019</v>
      </c>
    </row>
    <row r="4" spans="1:50" ht="17" thickTop="1" thickBot="1" x14ac:dyDescent="0.25">
      <c r="A4" s="28">
        <v>3</v>
      </c>
      <c r="B4" s="29">
        <f t="shared" si="0"/>
        <v>3</v>
      </c>
      <c r="C4" s="41">
        <v>43552</v>
      </c>
      <c r="D4" s="30">
        <f>SUM(Data!$I4:$M4)</f>
        <v>57</v>
      </c>
      <c r="E4" s="29">
        <v>2</v>
      </c>
      <c r="F4" s="29">
        <v>638</v>
      </c>
      <c r="G4" s="29">
        <v>128</v>
      </c>
      <c r="H4" s="29">
        <v>169</v>
      </c>
      <c r="I4" s="29">
        <v>13</v>
      </c>
      <c r="J4" s="29">
        <v>17</v>
      </c>
      <c r="K4" s="29">
        <v>25</v>
      </c>
      <c r="L4" s="29">
        <v>2</v>
      </c>
      <c r="M4" s="29">
        <v>0</v>
      </c>
      <c r="N4" s="29" t="s">
        <v>24</v>
      </c>
      <c r="O4" s="29" t="s">
        <v>26</v>
      </c>
      <c r="P4" s="29" t="s">
        <v>28</v>
      </c>
      <c r="Q4" s="29">
        <f t="shared" si="6"/>
        <v>7</v>
      </c>
      <c r="R4" s="29" t="str">
        <f t="shared" si="1"/>
        <v>3-2019</v>
      </c>
      <c r="S4" s="29"/>
      <c r="T4" s="29" t="str">
        <f t="shared" si="2"/>
        <v>Thursday</v>
      </c>
      <c r="U4" s="29">
        <f t="shared" si="3"/>
        <v>0</v>
      </c>
      <c r="V4" s="31">
        <f>IFERROR(Data!$I4/Data!$D4,"")</f>
        <v>0.22807017543859648</v>
      </c>
      <c r="W4" s="31">
        <f>IFERROR(Data!$J4/Data!$D4,"")</f>
        <v>0.2982456140350877</v>
      </c>
      <c r="X4" s="31">
        <f>IFERROR(Data!$K4/Data!$D4,"")</f>
        <v>0.43859649122807015</v>
      </c>
      <c r="Y4" s="31">
        <f>IFERROR(Data!$L4/Data!$D4,"")</f>
        <v>3.5087719298245612E-2</v>
      </c>
      <c r="Z4" s="31">
        <f>IFERROR(Data!$M4/Data!$D4,"")</f>
        <v>0</v>
      </c>
      <c r="AA4" s="32">
        <v>133.49</v>
      </c>
      <c r="AB4" s="32">
        <f t="shared" si="7"/>
        <v>44.49666666666667</v>
      </c>
      <c r="AC4" s="29">
        <f t="shared" si="4"/>
        <v>596.33333333333337</v>
      </c>
      <c r="AD4" s="29">
        <f t="shared" si="5"/>
        <v>1.3333333333333333</v>
      </c>
      <c r="AE4" s="29">
        <f>YEAR(Data!$C4)</f>
        <v>2019</v>
      </c>
      <c r="AF4" s="29">
        <v>83.74</v>
      </c>
      <c r="AG4" s="29">
        <v>3</v>
      </c>
      <c r="AH4" s="33">
        <f>Data!$F4/Data!$D4</f>
        <v>11.192982456140351</v>
      </c>
      <c r="AI4" s="17" t="str">
        <f>RIGHT(Data!$O4,2)</f>
        <v>PM</v>
      </c>
      <c r="AJ4" s="29" t="str">
        <f>Data!$R4&amp;"-"&amp;WEEKNUM(Data!$C4,1)-WEEKNUM(DATE(YEAR(Data!$C4),MONTH(Data!$C4),1),1)+1</f>
        <v>3-2019-5</v>
      </c>
      <c r="AK4" s="29">
        <f>MONTH(Data!$C4)</f>
        <v>3</v>
      </c>
      <c r="AL4" s="29">
        <f>IFERROR(Data!$F4/Data!$E4,0)</f>
        <v>319</v>
      </c>
      <c r="AM4" s="29">
        <f>COUNTIF(Data!$N$2:$N$825,Data!$N4)</f>
        <v>35</v>
      </c>
      <c r="AN4" s="29" t="str">
        <f>VLOOKUP(Data!$N4,'Helpful Tables'!A:D,4,FALSE)</f>
        <v>Virginia</v>
      </c>
      <c r="AO4" s="29">
        <f>COUNTIF(AN:AN,Data!$AN4)/COUNTA(AN:AN)</f>
        <v>6.424242424242424E-2</v>
      </c>
      <c r="AP4" s="29">
        <v>38.881884999999997</v>
      </c>
      <c r="AQ4" s="29">
        <v>-77.229702000000003</v>
      </c>
      <c r="AR4" s="29">
        <f>COUNTIF(Data!$P$2:$P$825,Data!$P4)</f>
        <v>10</v>
      </c>
      <c r="AS4" s="29" cm="1">
        <f t="array" ref="AS4">_xlfn.IFS(Data!$E4&lt;12,((Data!$E4/Data!$D4)*60)*1,AND(Data!$E4&gt;=12,Data!$E4&lt;=15),((Data!$E4/Data!$D4)*60)*1.2,AND(Data!$E4&gt;=16,Data!$E4&lt;=19),((Data!$E4/Data!$D4)*60)*1.5,Data!$E4&gt;=20,((Data!$E4/Data!$D4)*60)*1.8)</f>
        <v>2.1052631578947367</v>
      </c>
      <c r="AT4" s="29" cm="1">
        <f t="array" ref="AT4">_xlfn.IFS(Data!$F4&lt;600,((Data!$F4/Data!$D4)*60)*1,AND(Data!$F4&gt;=600,Data!$F4&lt;=625),((Data!$F4/Data!$D4)*60)*1.2,AND(Data!$F4&gt;=626,Data!$F4&lt;=650),((Data!$F4/Data!$D4)*60)*1.5,Data!$F4&gt;=651,((Data!$F4/Data!$D4)*60)*1.8)</f>
        <v>1007.3684210526316</v>
      </c>
      <c r="AU4" s="29">
        <f>(Data!$I4*-1.2)+(Data!$J4*-1.1)+(Data!$K4*1.2)+(Data!$L4*1.3)+(Data!$M4*1.5)</f>
        <v>-1.7000000000000042</v>
      </c>
      <c r="AV4" s="29">
        <f>(Data!$AS4*0.4)+(Data!$AT4*0.4)+(Data!$AU4*0.2)</f>
        <v>403.4494736842106</v>
      </c>
      <c r="AW4" s="29">
        <f>PERCENTRANK(AV:AV,Data!$AV4)*100</f>
        <v>54.400000000000006</v>
      </c>
      <c r="AX4" s="29" t="str">
        <f>_xlfn.CONCAT(TEXT(C4,"mmm"),"-",Data!$AE4)</f>
        <v>Mar-2019</v>
      </c>
    </row>
    <row r="5" spans="1:50" ht="17" thickTop="1" thickBot="1" x14ac:dyDescent="0.25">
      <c r="A5" s="22">
        <v>4</v>
      </c>
      <c r="B5" s="23">
        <f t="shared" si="0"/>
        <v>3</v>
      </c>
      <c r="C5" s="41">
        <v>43559</v>
      </c>
      <c r="D5" s="24">
        <f>SUM(Data!$I5:$M5)</f>
        <v>57</v>
      </c>
      <c r="E5" s="23">
        <v>8</v>
      </c>
      <c r="F5" s="23">
        <v>601</v>
      </c>
      <c r="G5" s="23">
        <v>124</v>
      </c>
      <c r="H5" s="23">
        <v>169</v>
      </c>
      <c r="I5" s="23">
        <v>25.9</v>
      </c>
      <c r="J5" s="23">
        <v>5.266666667</v>
      </c>
      <c r="K5" s="23">
        <v>17.533333333000002</v>
      </c>
      <c r="L5" s="23">
        <v>8.3000000000000007</v>
      </c>
      <c r="M5" s="23">
        <v>0</v>
      </c>
      <c r="N5" s="23" t="s">
        <v>24</v>
      </c>
      <c r="O5" s="23" t="s">
        <v>26</v>
      </c>
      <c r="P5" s="23" t="s">
        <v>25</v>
      </c>
      <c r="Q5" s="23">
        <f t="shared" si="6"/>
        <v>7</v>
      </c>
      <c r="R5" s="23" t="str">
        <f t="shared" si="1"/>
        <v>4-2019</v>
      </c>
      <c r="S5" s="23"/>
      <c r="T5" s="23" t="str">
        <f t="shared" si="2"/>
        <v>Thursday</v>
      </c>
      <c r="U5" s="23">
        <f t="shared" si="3"/>
        <v>0</v>
      </c>
      <c r="V5" s="25">
        <f>IFERROR(Data!$I5/Data!$D5,"")</f>
        <v>0.45438596491228067</v>
      </c>
      <c r="W5" s="25">
        <f>IFERROR(Data!$J5/Data!$D5,"")</f>
        <v>9.2397660824561398E-2</v>
      </c>
      <c r="X5" s="25">
        <f>IFERROR(Data!$K5/Data!$D5,"")</f>
        <v>0.30760233917543861</v>
      </c>
      <c r="Y5" s="25">
        <f>IFERROR(Data!$L5/Data!$D5,"")</f>
        <v>0.14561403508771931</v>
      </c>
      <c r="Z5" s="25">
        <f>IFERROR(Data!$M5/Data!$D5,"")</f>
        <v>0</v>
      </c>
      <c r="AA5" s="26">
        <v>49.75</v>
      </c>
      <c r="AB5" s="26">
        <f t="shared" si="7"/>
        <v>16.583333333333332</v>
      </c>
      <c r="AC5" s="23">
        <f t="shared" si="4"/>
        <v>563.66666666666663</v>
      </c>
      <c r="AD5" s="23">
        <f t="shared" si="5"/>
        <v>8.3333333333333339</v>
      </c>
      <c r="AE5" s="23">
        <f>YEAR(Data!$C5)</f>
        <v>2019</v>
      </c>
      <c r="AF5" s="23"/>
      <c r="AG5" s="23">
        <v>3</v>
      </c>
      <c r="AH5" s="27">
        <f>Data!$F5/Data!$D5</f>
        <v>10.543859649122806</v>
      </c>
      <c r="AI5" s="17" t="str">
        <f>RIGHT(Data!$O5,2)</f>
        <v>PM</v>
      </c>
      <c r="AJ5" s="23" t="str">
        <f>Data!$R5&amp;"-"&amp;WEEKNUM(Data!$C5,1)-WEEKNUM(DATE(YEAR(Data!$C5),MONTH(Data!$C5),1),1)+1</f>
        <v>4-2019-1</v>
      </c>
      <c r="AK5" s="23">
        <f>MONTH(Data!$C5)</f>
        <v>4</v>
      </c>
      <c r="AL5" s="23">
        <f>IFERROR(Data!$F5/Data!$E5,0)</f>
        <v>75.125</v>
      </c>
      <c r="AM5" s="23">
        <f>COUNTIF(Data!$N$2:$N$825,Data!$N5)</f>
        <v>35</v>
      </c>
      <c r="AN5" s="23" t="str">
        <f>VLOOKUP(Data!$N5,'Helpful Tables'!A:D,4,FALSE)</f>
        <v>Virginia</v>
      </c>
      <c r="AO5" s="23">
        <f>COUNTIF(AN:AN,Data!$AN5)/COUNTA(AN:AN)</f>
        <v>6.424242424242424E-2</v>
      </c>
      <c r="AP5" s="23">
        <v>38.881884999999997</v>
      </c>
      <c r="AQ5" s="23">
        <v>-77.229702000000003</v>
      </c>
      <c r="AR5" s="23">
        <f>COUNTIF(Data!$P$2:$P$825,Data!$P5)</f>
        <v>13</v>
      </c>
      <c r="AS5" s="23" cm="1">
        <f t="array" ref="AS5">_xlfn.IFS(Data!$E5&lt;12,((Data!$E5/Data!$D5)*60)*1,AND(Data!$E5&gt;=12,Data!$E5&lt;=15),((Data!$E5/Data!$D5)*60)*1.2,AND(Data!$E5&gt;=16,Data!$E5&lt;=19),((Data!$E5/Data!$D5)*60)*1.5,Data!$E5&gt;=20,((Data!$E5/Data!$D5)*60)*1.8)</f>
        <v>8.4210526315789469</v>
      </c>
      <c r="AT5" s="23" cm="1">
        <f t="array" ref="AT5">_xlfn.IFS(Data!$F5&lt;600,((Data!$F5/Data!$D5)*60)*1,AND(Data!$F5&gt;=600,Data!$F5&lt;=625),((Data!$F5/Data!$D5)*60)*1.2,AND(Data!$F5&gt;=626,Data!$F5&lt;=650),((Data!$F5/Data!$D5)*60)*1.5,Data!$F5&gt;=651,((Data!$F5/Data!$D5)*60)*1.8)</f>
        <v>759.15789473684208</v>
      </c>
      <c r="AU5" s="23">
        <f>(Data!$I5*-1.2)+(Data!$J5*-1.1)+(Data!$K5*1.2)+(Data!$L5*1.3)+(Data!$M5*1.5)</f>
        <v>-5.0433333340999926</v>
      </c>
      <c r="AV5" s="23">
        <f>(Data!$AS5*0.4)+(Data!$AT5*0.4)+(Data!$AU5*0.2)</f>
        <v>306.02291228054844</v>
      </c>
      <c r="AW5" s="23">
        <f>PERCENTRANK(AV:AV,Data!$AV5)*100</f>
        <v>29.299999999999997</v>
      </c>
      <c r="AX5" s="23" t="str">
        <f>_xlfn.CONCAT(TEXT(C5,"mmm"),"-",Data!$AE5)</f>
        <v>Apr-2019</v>
      </c>
    </row>
    <row r="6" spans="1:50" ht="17" thickTop="1" thickBot="1" x14ac:dyDescent="0.25">
      <c r="A6" s="28">
        <v>5</v>
      </c>
      <c r="B6" s="29">
        <f t="shared" si="0"/>
        <v>3</v>
      </c>
      <c r="C6" s="41">
        <v>43564</v>
      </c>
      <c r="D6" s="30">
        <f>SUM(Data!$I6:$M6)</f>
        <v>57.033333334000005</v>
      </c>
      <c r="E6" s="29">
        <v>9</v>
      </c>
      <c r="F6" s="29">
        <v>542</v>
      </c>
      <c r="G6" s="29">
        <v>117</v>
      </c>
      <c r="H6" s="29">
        <v>177</v>
      </c>
      <c r="I6" s="29">
        <v>26.65</v>
      </c>
      <c r="J6" s="29">
        <v>13.916666666999999</v>
      </c>
      <c r="K6" s="29">
        <v>7.4166666670000003</v>
      </c>
      <c r="L6" s="29">
        <v>7.266666667</v>
      </c>
      <c r="M6" s="29">
        <v>1.7833333330000001</v>
      </c>
      <c r="N6" s="29" t="s">
        <v>24</v>
      </c>
      <c r="O6" s="29" t="s">
        <v>26</v>
      </c>
      <c r="P6" s="29" t="s">
        <v>29</v>
      </c>
      <c r="Q6" s="29">
        <f t="shared" si="6"/>
        <v>5</v>
      </c>
      <c r="R6" s="29" t="str">
        <f t="shared" si="1"/>
        <v>4-2019</v>
      </c>
      <c r="S6" s="29"/>
      <c r="T6" s="29" t="str">
        <f t="shared" si="2"/>
        <v>Tuesday</v>
      </c>
      <c r="U6" s="29">
        <f t="shared" si="3"/>
        <v>0</v>
      </c>
      <c r="V6" s="31">
        <f>IFERROR(Data!$I6/Data!$D6,"")</f>
        <v>0.46727060198168002</v>
      </c>
      <c r="W6" s="31">
        <f>IFERROR(Data!$J6/Data!$D6,"")</f>
        <v>0.24400935125956735</v>
      </c>
      <c r="X6" s="31">
        <f>IFERROR(Data!$K6/Data!$D6,"")</f>
        <v>0.13004091175184054</v>
      </c>
      <c r="Y6" s="31">
        <f>IFERROR(Data!$L6/Data!$D6,"")</f>
        <v>0.12741087084012376</v>
      </c>
      <c r="Z6" s="31">
        <f>IFERROR(Data!$M6/Data!$D6,"")</f>
        <v>3.1268264166788212E-2</v>
      </c>
      <c r="AA6" s="32">
        <v>49.75</v>
      </c>
      <c r="AB6" s="32">
        <f t="shared" si="7"/>
        <v>16.583333333333332</v>
      </c>
      <c r="AC6" s="29">
        <f t="shared" si="4"/>
        <v>563.66666666666663</v>
      </c>
      <c r="AD6" s="29">
        <f t="shared" si="5"/>
        <v>8.3333333333333339</v>
      </c>
      <c r="AE6" s="29">
        <f>YEAR(Data!$C6)</f>
        <v>2019</v>
      </c>
      <c r="AF6" s="29"/>
      <c r="AG6" s="29">
        <v>3</v>
      </c>
      <c r="AH6" s="33">
        <f>Data!$F6/Data!$D6</f>
        <v>9.503214494336607</v>
      </c>
      <c r="AI6" s="17" t="str">
        <f>RIGHT(Data!$O6,2)</f>
        <v>PM</v>
      </c>
      <c r="AJ6" s="29" t="str">
        <f>Data!$R6&amp;"-"&amp;WEEKNUM(Data!$C6,1)-WEEKNUM(DATE(YEAR(Data!$C6),MONTH(Data!$C6),1),1)+1</f>
        <v>4-2019-2</v>
      </c>
      <c r="AK6" s="29">
        <f>MONTH(Data!$C6)</f>
        <v>4</v>
      </c>
      <c r="AL6" s="29">
        <f>IFERROR(Data!$F6/Data!$E6,0)</f>
        <v>60.222222222222221</v>
      </c>
      <c r="AM6" s="29">
        <f>COUNTIF(Data!$N$2:$N$825,Data!$N6)</f>
        <v>35</v>
      </c>
      <c r="AN6" s="29" t="str">
        <f>VLOOKUP(Data!$N6,'Helpful Tables'!A:D,4,FALSE)</f>
        <v>Virginia</v>
      </c>
      <c r="AO6" s="29">
        <f>COUNTIF(AN:AN,Data!$AN6)/COUNTA(AN:AN)</f>
        <v>6.424242424242424E-2</v>
      </c>
      <c r="AP6" s="29">
        <v>38.881884999999997</v>
      </c>
      <c r="AQ6" s="29">
        <v>-77.229702000000003</v>
      </c>
      <c r="AR6" s="29">
        <f>COUNTIF(Data!$P$2:$P$825,Data!$P6)</f>
        <v>2</v>
      </c>
      <c r="AS6" s="29" cm="1">
        <f t="array" ref="AS6">_xlfn.IFS(Data!$E6&lt;12,((Data!$E6/Data!$D6)*60)*1,AND(Data!$E6&gt;=12,Data!$E6&lt;=15),((Data!$E6/Data!$D6)*60)*1.2,AND(Data!$E6&gt;=16,Data!$E6&lt;=19),((Data!$E6/Data!$D6)*60)*1.5,Data!$E6&gt;=20,((Data!$E6/Data!$D6)*60)*1.8)</f>
        <v>9.4681472821803823</v>
      </c>
      <c r="AT6" s="29" cm="1">
        <f t="array" ref="AT6">_xlfn.IFS(Data!$F6&lt;600,((Data!$F6/Data!$D6)*60)*1,AND(Data!$F6&gt;=600,Data!$F6&lt;=625),((Data!$F6/Data!$D6)*60)*1.2,AND(Data!$F6&gt;=626,Data!$F6&lt;=650),((Data!$F6/Data!$D6)*60)*1.5,Data!$F6&gt;=651,((Data!$F6/Data!$D6)*60)*1.8)</f>
        <v>570.19286966019638</v>
      </c>
      <c r="AU6" s="29">
        <f>(Data!$I6*-1.2)+(Data!$J6*-1.1)+(Data!$K6*1.2)+(Data!$L6*1.3)+(Data!$M6*1.5)</f>
        <v>-26.266666666699997</v>
      </c>
      <c r="AV6" s="29">
        <f>(Data!$AS6*0.4)+(Data!$AT6*0.4)+(Data!$AU6*0.2)</f>
        <v>226.61107344361071</v>
      </c>
      <c r="AW6" s="29">
        <f>PERCENTRANK(AV:AV,Data!$AV6)*100</f>
        <v>5.7</v>
      </c>
      <c r="AX6" s="29" t="str">
        <f>_xlfn.CONCAT(TEXT(C6,"mmm"),"-",Data!$AE6)</f>
        <v>Apr-2019</v>
      </c>
    </row>
    <row r="7" spans="1:50" ht="17" thickTop="1" thickBot="1" x14ac:dyDescent="0.25">
      <c r="A7" s="22">
        <v>6</v>
      </c>
      <c r="B7" s="23">
        <f t="shared" si="0"/>
        <v>3</v>
      </c>
      <c r="C7" s="41">
        <v>43573</v>
      </c>
      <c r="D7" s="24">
        <f>SUM(Data!$I7:$M7)</f>
        <v>57</v>
      </c>
      <c r="E7" s="23">
        <v>8</v>
      </c>
      <c r="F7" s="23">
        <v>548</v>
      </c>
      <c r="G7" s="23">
        <v>118</v>
      </c>
      <c r="H7" s="23">
        <v>167</v>
      </c>
      <c r="I7" s="23">
        <v>29.066666667</v>
      </c>
      <c r="J7" s="23">
        <v>8.0333333329999999</v>
      </c>
      <c r="K7" s="23">
        <v>12.25</v>
      </c>
      <c r="L7" s="23">
        <v>7.65</v>
      </c>
      <c r="M7" s="23">
        <v>0</v>
      </c>
      <c r="N7" s="23" t="s">
        <v>24</v>
      </c>
      <c r="O7" s="23" t="s">
        <v>26</v>
      </c>
      <c r="P7" s="23" t="s">
        <v>25</v>
      </c>
      <c r="Q7" s="23">
        <f t="shared" si="6"/>
        <v>9</v>
      </c>
      <c r="R7" s="23" t="str">
        <f t="shared" si="1"/>
        <v>4-2019</v>
      </c>
      <c r="S7" s="23"/>
      <c r="T7" s="23" t="str">
        <f t="shared" si="2"/>
        <v>Thursday</v>
      </c>
      <c r="U7" s="23">
        <f t="shared" si="3"/>
        <v>0</v>
      </c>
      <c r="V7" s="25">
        <f>IFERROR(Data!$I7/Data!$D7,"")</f>
        <v>0.50994152047368424</v>
      </c>
      <c r="W7" s="25">
        <f>IFERROR(Data!$J7/Data!$D7,"")</f>
        <v>0.14093567250877193</v>
      </c>
      <c r="X7" s="25">
        <f>IFERROR(Data!$K7/Data!$D7,"")</f>
        <v>0.21491228070175439</v>
      </c>
      <c r="Y7" s="25">
        <f>IFERROR(Data!$L7/Data!$D7,"")</f>
        <v>0.13421052631578947</v>
      </c>
      <c r="Z7" s="25">
        <f>IFERROR(Data!$M7/Data!$D7,"")</f>
        <v>0</v>
      </c>
      <c r="AA7" s="26">
        <v>49.75</v>
      </c>
      <c r="AB7" s="26">
        <f t="shared" si="7"/>
        <v>16.583333333333332</v>
      </c>
      <c r="AC7" s="23">
        <f t="shared" si="4"/>
        <v>563.66666666666663</v>
      </c>
      <c r="AD7" s="23">
        <f t="shared" si="5"/>
        <v>8.3333333333333339</v>
      </c>
      <c r="AE7" s="23">
        <f>YEAR(Data!$C7)</f>
        <v>2019</v>
      </c>
      <c r="AF7" s="23"/>
      <c r="AG7" s="23">
        <v>3</v>
      </c>
      <c r="AH7" s="27">
        <f>Data!$F7/Data!$D7</f>
        <v>9.6140350877192979</v>
      </c>
      <c r="AI7" s="17" t="str">
        <f>RIGHT(Data!$O7,2)</f>
        <v>PM</v>
      </c>
      <c r="AJ7" s="23" t="str">
        <f>Data!$R7&amp;"-"&amp;WEEKNUM(Data!$C7,1)-WEEKNUM(DATE(YEAR(Data!$C7),MONTH(Data!$C7),1),1)+1</f>
        <v>4-2019-3</v>
      </c>
      <c r="AK7" s="23">
        <f>MONTH(Data!$C7)</f>
        <v>4</v>
      </c>
      <c r="AL7" s="23">
        <f>IFERROR(Data!$F7/Data!$E7,0)</f>
        <v>68.5</v>
      </c>
      <c r="AM7" s="23">
        <f>COUNTIF(Data!$N$2:$N$825,Data!$N7)</f>
        <v>35</v>
      </c>
      <c r="AN7" s="23" t="str">
        <f>VLOOKUP(Data!$N7,'Helpful Tables'!A:D,4,FALSE)</f>
        <v>Virginia</v>
      </c>
      <c r="AO7" s="23">
        <f>COUNTIF(AN:AN,Data!$AN7)/COUNTA(AN:AN)</f>
        <v>6.424242424242424E-2</v>
      </c>
      <c r="AP7" s="23">
        <v>38.881884999999997</v>
      </c>
      <c r="AQ7" s="23">
        <v>-77.229702000000003</v>
      </c>
      <c r="AR7" s="23">
        <f>COUNTIF(Data!$P$2:$P$825,Data!$P7)</f>
        <v>13</v>
      </c>
      <c r="AS7" s="23" cm="1">
        <f t="array" ref="AS7">_xlfn.IFS(Data!$E7&lt;12,((Data!$E7/Data!$D7)*60)*1,AND(Data!$E7&gt;=12,Data!$E7&lt;=15),((Data!$E7/Data!$D7)*60)*1.2,AND(Data!$E7&gt;=16,Data!$E7&lt;=19),((Data!$E7/Data!$D7)*60)*1.5,Data!$E7&gt;=20,((Data!$E7/Data!$D7)*60)*1.8)</f>
        <v>8.4210526315789469</v>
      </c>
      <c r="AT7" s="23" cm="1">
        <f t="array" ref="AT7">_xlfn.IFS(Data!$F7&lt;600,((Data!$F7/Data!$D7)*60)*1,AND(Data!$F7&gt;=600,Data!$F7&lt;=625),((Data!$F7/Data!$D7)*60)*1.2,AND(Data!$F7&gt;=626,Data!$F7&lt;=650),((Data!$F7/Data!$D7)*60)*1.5,Data!$F7&gt;=651,((Data!$F7/Data!$D7)*60)*1.8)</f>
        <v>576.84210526315792</v>
      </c>
      <c r="AU7" s="23">
        <f>(Data!$I7*-1.2)+(Data!$J7*-1.1)+(Data!$K7*1.2)+(Data!$L7*1.3)+(Data!$M7*1.5)</f>
        <v>-19.071666666699993</v>
      </c>
      <c r="AV7" s="23">
        <f>(Data!$AS7*0.4)+(Data!$AT7*0.4)+(Data!$AU7*0.2)</f>
        <v>230.29092982455478</v>
      </c>
      <c r="AW7" s="23">
        <f>PERCENTRANK(AV:AV,Data!$AV7)*100</f>
        <v>7.3999999999999995</v>
      </c>
      <c r="AX7" s="23" t="str">
        <f>_xlfn.CONCAT(TEXT(C7,"mmm"),"-",Data!$AE7)</f>
        <v>Apr-2019</v>
      </c>
    </row>
    <row r="8" spans="1:50" ht="17" thickTop="1" thickBot="1" x14ac:dyDescent="0.25">
      <c r="A8" s="28">
        <v>7</v>
      </c>
      <c r="B8" s="29">
        <f t="shared" si="0"/>
        <v>4</v>
      </c>
      <c r="C8" s="41">
        <v>43587</v>
      </c>
      <c r="D8" s="30">
        <f>SUM(Data!$I8:$M8)</f>
        <v>53</v>
      </c>
      <c r="E8" s="29">
        <v>8</v>
      </c>
      <c r="F8" s="29">
        <v>534</v>
      </c>
      <c r="G8" s="29">
        <v>121</v>
      </c>
      <c r="H8" s="29">
        <v>177</v>
      </c>
      <c r="I8" s="29">
        <v>24.566666667</v>
      </c>
      <c r="J8" s="29">
        <v>12.333333333000001</v>
      </c>
      <c r="K8" s="29">
        <v>7.65</v>
      </c>
      <c r="L8" s="29">
        <v>6.1666666670000003</v>
      </c>
      <c r="M8" s="29">
        <v>2.2833333329999999</v>
      </c>
      <c r="N8" s="29" t="s">
        <v>24</v>
      </c>
      <c r="O8" s="29" t="s">
        <v>26</v>
      </c>
      <c r="P8" s="29" t="s">
        <v>25</v>
      </c>
      <c r="Q8" s="29">
        <f t="shared" si="6"/>
        <v>14</v>
      </c>
      <c r="R8" s="29" t="str">
        <f t="shared" si="1"/>
        <v>5-2019</v>
      </c>
      <c r="S8" s="29"/>
      <c r="T8" s="29" t="str">
        <f t="shared" si="2"/>
        <v>Thursday</v>
      </c>
      <c r="U8" s="29">
        <f t="shared" si="3"/>
        <v>0</v>
      </c>
      <c r="V8" s="31">
        <f>IFERROR(Data!$I8/Data!$D8,"")</f>
        <v>0.46352201258490566</v>
      </c>
      <c r="W8" s="31">
        <f>IFERROR(Data!$J8/Data!$D8,"")</f>
        <v>0.23270440250943397</v>
      </c>
      <c r="X8" s="31">
        <f>IFERROR(Data!$K8/Data!$D8,"")</f>
        <v>0.14433962264150943</v>
      </c>
      <c r="Y8" s="31">
        <f>IFERROR(Data!$L8/Data!$D8,"")</f>
        <v>0.11635220126415095</v>
      </c>
      <c r="Z8" s="31">
        <f>IFERROR(Data!$M8/Data!$D8,"")</f>
        <v>4.3081760999999996E-2</v>
      </c>
      <c r="AA8" s="32">
        <v>66.33</v>
      </c>
      <c r="AB8" s="32">
        <f>AA8/4</f>
        <v>16.5825</v>
      </c>
      <c r="AC8" s="29">
        <f t="shared" si="4"/>
        <v>641</v>
      </c>
      <c r="AD8" s="29">
        <f t="shared" si="5"/>
        <v>10.5</v>
      </c>
      <c r="AE8" s="29">
        <f>YEAR(Data!$C8)</f>
        <v>2019</v>
      </c>
      <c r="AF8" s="29"/>
      <c r="AG8" s="29">
        <v>3</v>
      </c>
      <c r="AH8" s="33">
        <f>Data!$F8/Data!$D8</f>
        <v>10.075471698113208</v>
      </c>
      <c r="AI8" s="17" t="str">
        <f>RIGHT(Data!$O8,2)</f>
        <v>PM</v>
      </c>
      <c r="AJ8" s="29" t="str">
        <f>Data!$R8&amp;"-"&amp;WEEKNUM(Data!$C8,1)-WEEKNUM(DATE(YEAR(Data!$C8),MONTH(Data!$C8),1),1)+1</f>
        <v>5-2019-1</v>
      </c>
      <c r="AK8" s="29">
        <f>MONTH(Data!$C8)</f>
        <v>5</v>
      </c>
      <c r="AL8" s="29">
        <f>IFERROR(Data!$F8/Data!$E8,0)</f>
        <v>66.75</v>
      </c>
      <c r="AM8" s="29">
        <f>COUNTIF(Data!$N$2:$N$825,Data!$N8)</f>
        <v>35</v>
      </c>
      <c r="AN8" s="29" t="str">
        <f>VLOOKUP(Data!$N8,'Helpful Tables'!A:D,4,FALSE)</f>
        <v>Virginia</v>
      </c>
      <c r="AO8" s="29">
        <f>COUNTIF(AN:AN,Data!$AN8)/COUNTA(AN:AN)</f>
        <v>6.424242424242424E-2</v>
      </c>
      <c r="AP8" s="29">
        <v>38.881884999999997</v>
      </c>
      <c r="AQ8" s="29">
        <v>-77.229702000000003</v>
      </c>
      <c r="AR8" s="29">
        <f>COUNTIF(Data!$P$2:$P$825,Data!$P8)</f>
        <v>13</v>
      </c>
      <c r="AS8" s="29" cm="1">
        <f t="array" ref="AS8">_xlfn.IFS(Data!$E8&lt;12,((Data!$E8/Data!$D8)*60)*1,AND(Data!$E8&gt;=12,Data!$E8&lt;=15),((Data!$E8/Data!$D8)*60)*1.2,AND(Data!$E8&gt;=16,Data!$E8&lt;=19),((Data!$E8/Data!$D8)*60)*1.5,Data!$E8&gt;=20,((Data!$E8/Data!$D8)*60)*1.8)</f>
        <v>9.0566037735849054</v>
      </c>
      <c r="AT8" s="29" cm="1">
        <f t="array" ref="AT8">_xlfn.IFS(Data!$F8&lt;600,((Data!$F8/Data!$D8)*60)*1,AND(Data!$F8&gt;=600,Data!$F8&lt;=625),((Data!$F8/Data!$D8)*60)*1.2,AND(Data!$F8&gt;=626,Data!$F8&lt;=650),((Data!$F8/Data!$D8)*60)*1.5,Data!$F8&gt;=651,((Data!$F8/Data!$D8)*60)*1.8)</f>
        <v>604.52830188679252</v>
      </c>
      <c r="AU8" s="29">
        <f>(Data!$I8*-1.2)+(Data!$J8*-1.1)+(Data!$K8*1.2)+(Data!$L8*1.3)+(Data!$M8*1.5)</f>
        <v>-22.425000000099999</v>
      </c>
      <c r="AV8" s="29">
        <f>(Data!$AS8*0.4)+(Data!$AT8*0.4)+(Data!$AU8*0.2)</f>
        <v>240.94896226413101</v>
      </c>
      <c r="AW8" s="29">
        <f>PERCENTRANK(AV:AV,Data!$AV8)*100</f>
        <v>12.5</v>
      </c>
      <c r="AX8" s="29" t="str">
        <f>_xlfn.CONCAT(TEXT(C8,"mmm"),"-",Data!$AE8)</f>
        <v>May-2019</v>
      </c>
    </row>
    <row r="9" spans="1:50" ht="17" thickTop="1" thickBot="1" x14ac:dyDescent="0.25">
      <c r="A9" s="22">
        <v>8</v>
      </c>
      <c r="B9" s="23">
        <f t="shared" si="0"/>
        <v>4</v>
      </c>
      <c r="C9" s="41">
        <v>43599</v>
      </c>
      <c r="D9" s="24">
        <f>SUM(Data!$I9:$M9)</f>
        <v>57.999999999000003</v>
      </c>
      <c r="E9" s="23">
        <v>12</v>
      </c>
      <c r="F9" s="23">
        <v>649</v>
      </c>
      <c r="G9" s="23">
        <v>129</v>
      </c>
      <c r="H9" s="23">
        <v>177</v>
      </c>
      <c r="I9" s="23">
        <v>20.466666666999998</v>
      </c>
      <c r="J9" s="23">
        <v>10.083333333000001</v>
      </c>
      <c r="K9" s="23">
        <v>16.233333333000001</v>
      </c>
      <c r="L9" s="23">
        <v>9.6833333330000002</v>
      </c>
      <c r="M9" s="23">
        <v>1.5333333330000001</v>
      </c>
      <c r="N9" s="23" t="s">
        <v>24</v>
      </c>
      <c r="O9" s="23" t="s">
        <v>26</v>
      </c>
      <c r="P9" s="23" t="s">
        <v>29</v>
      </c>
      <c r="Q9" s="23">
        <f t="shared" si="6"/>
        <v>12</v>
      </c>
      <c r="R9" s="23" t="str">
        <f t="shared" si="1"/>
        <v>5-2019</v>
      </c>
      <c r="S9" s="23"/>
      <c r="T9" s="23" t="str">
        <f t="shared" si="2"/>
        <v>Tuesday</v>
      </c>
      <c r="U9" s="23">
        <f t="shared" si="3"/>
        <v>1</v>
      </c>
      <c r="V9" s="25">
        <f>IFERROR(Data!$I9/Data!$D9,"")</f>
        <v>0.3528735632302219</v>
      </c>
      <c r="W9" s="25">
        <f>IFERROR(Data!$J9/Data!$D9,"")</f>
        <v>0.17385057470989398</v>
      </c>
      <c r="X9" s="25">
        <f>IFERROR(Data!$K9/Data!$D9,"")</f>
        <v>0.27988505747034287</v>
      </c>
      <c r="Y9" s="25">
        <f>IFERROR(Data!$L9/Data!$D9,"")</f>
        <v>0.16695402298563713</v>
      </c>
      <c r="Z9" s="25">
        <f>IFERROR(Data!$M9/Data!$D9,"")</f>
        <v>2.6436781603904082E-2</v>
      </c>
      <c r="AA9" s="26">
        <v>66.33</v>
      </c>
      <c r="AB9" s="26">
        <f t="shared" ref="AB9:AB11" si="8">AA9/4</f>
        <v>16.5825</v>
      </c>
      <c r="AC9" s="23">
        <f t="shared" si="4"/>
        <v>641</v>
      </c>
      <c r="AD9" s="23">
        <f t="shared" si="5"/>
        <v>10.5</v>
      </c>
      <c r="AE9" s="23">
        <f>YEAR(Data!$C9)</f>
        <v>2019</v>
      </c>
      <c r="AF9" s="23"/>
      <c r="AG9" s="23">
        <v>3</v>
      </c>
      <c r="AH9" s="27">
        <f>Data!$F9/Data!$D9</f>
        <v>11.189655172606718</v>
      </c>
      <c r="AI9" s="17" t="str">
        <f>RIGHT(Data!$O9,2)</f>
        <v>PM</v>
      </c>
      <c r="AJ9" s="23" t="str">
        <f>Data!$R9&amp;"-"&amp;WEEKNUM(Data!$C9,1)-WEEKNUM(DATE(YEAR(Data!$C9),MONTH(Data!$C9),1),1)+1</f>
        <v>5-2019-3</v>
      </c>
      <c r="AK9" s="23">
        <f>MONTH(Data!$C9)</f>
        <v>5</v>
      </c>
      <c r="AL9" s="23">
        <f>IFERROR(Data!$F9/Data!$E9,0)</f>
        <v>54.083333333333336</v>
      </c>
      <c r="AM9" s="23">
        <f>COUNTIF(Data!$N$2:$N$825,Data!$N9)</f>
        <v>35</v>
      </c>
      <c r="AN9" s="23" t="str">
        <f>VLOOKUP(Data!$N9,'Helpful Tables'!A:D,4,FALSE)</f>
        <v>Virginia</v>
      </c>
      <c r="AO9" s="23">
        <f>COUNTIF(AN:AN,Data!$AN9)/COUNTA(AN:AN)</f>
        <v>6.424242424242424E-2</v>
      </c>
      <c r="AP9" s="23">
        <v>38.881884999999997</v>
      </c>
      <c r="AQ9" s="23">
        <v>-77.229702000000003</v>
      </c>
      <c r="AR9" s="23">
        <f>COUNTIF(Data!$P$2:$P$825,Data!$P9)</f>
        <v>2</v>
      </c>
      <c r="AS9" s="23" cm="1">
        <f t="array" ref="AS9">_xlfn.IFS(Data!$E9&lt;12,((Data!$E9/Data!$D9)*60)*1,AND(Data!$E9&gt;=12,Data!$E9&lt;=15),((Data!$E9/Data!$D9)*60)*1.2,AND(Data!$E9&gt;=16,Data!$E9&lt;=19),((Data!$E9/Data!$D9)*60)*1.5,Data!$E9&gt;=20,((Data!$E9/Data!$D9)*60)*1.8)</f>
        <v>14.896551724394765</v>
      </c>
      <c r="AT9" s="23" cm="1">
        <f t="array" ref="AT9">_xlfn.IFS(Data!$F9&lt;600,((Data!$F9/Data!$D9)*60)*1,AND(Data!$F9&gt;=600,Data!$F9&lt;=625),((Data!$F9/Data!$D9)*60)*1.2,AND(Data!$F9&gt;=626,Data!$F9&lt;=650),((Data!$F9/Data!$D9)*60)*1.5,Data!$F9&gt;=651,((Data!$F9/Data!$D9)*60)*1.8)</f>
        <v>1007.0689655346048</v>
      </c>
      <c r="AU9" s="23">
        <f>(Data!$I9*-1.2)+(Data!$J9*-1.1)+(Data!$K9*1.2)+(Data!$L9*1.3)+(Data!$M9*1.5)</f>
        <v>-1.2833333347000004</v>
      </c>
      <c r="AV9" s="23">
        <f>(Data!$AS9*0.4)+(Data!$AT9*0.4)+(Data!$AU9*0.2)</f>
        <v>408.52954023665978</v>
      </c>
      <c r="AW9" s="23">
        <f>PERCENTRANK(AV:AV,Data!$AV9)*100</f>
        <v>56.899999999999991</v>
      </c>
      <c r="AX9" s="23" t="str">
        <f>_xlfn.CONCAT(TEXT(C9,"mmm"),"-",Data!$AE9)</f>
        <v>May-2019</v>
      </c>
    </row>
    <row r="10" spans="1:50" ht="17" thickTop="1" thickBot="1" x14ac:dyDescent="0.25">
      <c r="A10" s="28">
        <v>9</v>
      </c>
      <c r="B10" s="29">
        <f t="shared" si="0"/>
        <v>4</v>
      </c>
      <c r="C10" s="41">
        <v>43608</v>
      </c>
      <c r="D10" s="30">
        <f>SUM(Data!$I10:$M10)</f>
        <v>59.05</v>
      </c>
      <c r="E10" s="29">
        <v>13</v>
      </c>
      <c r="F10" s="29">
        <v>709</v>
      </c>
      <c r="G10" s="29">
        <v>134</v>
      </c>
      <c r="H10" s="29">
        <v>177</v>
      </c>
      <c r="I10" s="29">
        <v>9.6666666669999994</v>
      </c>
      <c r="J10" s="29">
        <v>15.383333332999999</v>
      </c>
      <c r="K10" s="29">
        <v>21.316666667</v>
      </c>
      <c r="L10" s="29">
        <v>12.583333333000001</v>
      </c>
      <c r="M10" s="29">
        <v>0.1</v>
      </c>
      <c r="N10" s="29" t="s">
        <v>24</v>
      </c>
      <c r="O10" s="29" t="s">
        <v>26</v>
      </c>
      <c r="P10" s="29" t="s">
        <v>25</v>
      </c>
      <c r="Q10" s="29">
        <f t="shared" si="6"/>
        <v>9</v>
      </c>
      <c r="R10" s="29" t="str">
        <f t="shared" si="1"/>
        <v>5-2019</v>
      </c>
      <c r="S10" s="29"/>
      <c r="T10" s="29" t="str">
        <f t="shared" si="2"/>
        <v>Thursday</v>
      </c>
      <c r="U10" s="29">
        <f t="shared" si="3"/>
        <v>1</v>
      </c>
      <c r="V10" s="31">
        <f>IFERROR(Data!$I10/Data!$D10,"")</f>
        <v>0.1637030764944962</v>
      </c>
      <c r="W10" s="31">
        <f>IFERROR(Data!$J10/Data!$D10,"")</f>
        <v>0.26051368895850974</v>
      </c>
      <c r="X10" s="31">
        <f>IFERROR(Data!$K10/Data!$D10,"")</f>
        <v>0.36099350833192212</v>
      </c>
      <c r="Y10" s="31">
        <f>IFERROR(Data!$L10/Data!$D10,"")</f>
        <v>0.2130962461134632</v>
      </c>
      <c r="Z10" s="31">
        <f>IFERROR(Data!$M10/Data!$D10,"")</f>
        <v>1.6934801016088063E-3</v>
      </c>
      <c r="AA10" s="32">
        <v>66.33</v>
      </c>
      <c r="AB10" s="32">
        <f t="shared" si="8"/>
        <v>16.5825</v>
      </c>
      <c r="AC10" s="29">
        <f t="shared" si="4"/>
        <v>641</v>
      </c>
      <c r="AD10" s="29">
        <f t="shared" si="5"/>
        <v>10.5</v>
      </c>
      <c r="AE10" s="29">
        <f>YEAR(Data!$C10)</f>
        <v>2019</v>
      </c>
      <c r="AF10" s="29"/>
      <c r="AG10" s="29">
        <v>3</v>
      </c>
      <c r="AH10" s="33">
        <f>Data!$F10/Data!$D10</f>
        <v>12.006773920406436</v>
      </c>
      <c r="AI10" s="17" t="str">
        <f>RIGHT(Data!$O10,2)</f>
        <v>PM</v>
      </c>
      <c r="AJ10" s="29" t="str">
        <f>Data!$R10&amp;"-"&amp;WEEKNUM(Data!$C10,1)-WEEKNUM(DATE(YEAR(Data!$C10),MONTH(Data!$C10),1),1)+1</f>
        <v>5-2019-4</v>
      </c>
      <c r="AK10" s="29">
        <f>MONTH(Data!$C10)</f>
        <v>5</v>
      </c>
      <c r="AL10" s="29">
        <f>IFERROR(Data!$F10/Data!$E10,0)</f>
        <v>54.53846153846154</v>
      </c>
      <c r="AM10" s="29">
        <f>COUNTIF(Data!$N$2:$N$825,Data!$N10)</f>
        <v>35</v>
      </c>
      <c r="AN10" s="29" t="str">
        <f>VLOOKUP(Data!$N10,'Helpful Tables'!A:D,4,FALSE)</f>
        <v>Virginia</v>
      </c>
      <c r="AO10" s="29">
        <f>COUNTIF(AN:AN,Data!$AN10)/COUNTA(AN:AN)</f>
        <v>6.424242424242424E-2</v>
      </c>
      <c r="AP10" s="29">
        <v>38.881884999999997</v>
      </c>
      <c r="AQ10" s="29">
        <v>-77.229702000000003</v>
      </c>
      <c r="AR10" s="29">
        <f>COUNTIF(Data!$P$2:$P$825,Data!$P10)</f>
        <v>13</v>
      </c>
      <c r="AS10" s="29" cm="1">
        <f t="array" ref="AS10">_xlfn.IFS(Data!$E10&lt;12,((Data!$E10/Data!$D10)*60)*1,AND(Data!$E10&gt;=12,Data!$E10&lt;=15),((Data!$E10/Data!$D10)*60)*1.2,AND(Data!$E10&gt;=16,Data!$E10&lt;=19),((Data!$E10/Data!$D10)*60)*1.5,Data!$E10&gt;=20,((Data!$E10/Data!$D10)*60)*1.8)</f>
        <v>15.850973751058426</v>
      </c>
      <c r="AT10" s="29" cm="1">
        <f t="array" ref="AT10">_xlfn.IFS(Data!$F10&lt;600,((Data!$F10/Data!$D10)*60)*1,AND(Data!$F10&gt;=600,Data!$F10&lt;=625),((Data!$F10/Data!$D10)*60)*1.2,AND(Data!$F10&gt;=626,Data!$F10&lt;=650),((Data!$F10/Data!$D10)*60)*1.5,Data!$F10&gt;=651,((Data!$F10/Data!$D10)*60)*1.8)</f>
        <v>1296.7315834038952</v>
      </c>
      <c r="AU10" s="29">
        <f>(Data!$I10*-1.2)+(Data!$J10*-1.1)+(Data!$K10*1.2)+(Data!$L10*1.3)+(Data!$M10*1.5)</f>
        <v>13.566666666600002</v>
      </c>
      <c r="AV10" s="29">
        <f>(Data!$AS10*0.4)+(Data!$AT10*0.4)+(Data!$AU10*0.2)</f>
        <v>527.74635619530147</v>
      </c>
      <c r="AW10" s="29">
        <f>PERCENTRANK(AV:AV,Data!$AV10)*100</f>
        <v>92.7</v>
      </c>
      <c r="AX10" s="29" t="str">
        <f>_xlfn.CONCAT(TEXT(C10,"mmm"),"-",Data!$AE10)</f>
        <v>May-2019</v>
      </c>
    </row>
    <row r="11" spans="1:50" ht="17" thickTop="1" thickBot="1" x14ac:dyDescent="0.25">
      <c r="A11" s="22">
        <v>10</v>
      </c>
      <c r="B11" s="23">
        <f t="shared" si="0"/>
        <v>4</v>
      </c>
      <c r="C11" s="41">
        <v>43615</v>
      </c>
      <c r="D11" s="24">
        <f>SUM(Data!$I11:$M11)</f>
        <v>56.299999999000001</v>
      </c>
      <c r="E11" s="23">
        <v>9</v>
      </c>
      <c r="F11" s="23">
        <v>672</v>
      </c>
      <c r="G11" s="23">
        <v>134</v>
      </c>
      <c r="H11" s="23">
        <v>177</v>
      </c>
      <c r="I11" s="23">
        <v>6.0833333329999997</v>
      </c>
      <c r="J11" s="23">
        <v>21.183333333</v>
      </c>
      <c r="K11" s="23">
        <v>19.533333333000002</v>
      </c>
      <c r="L11" s="23">
        <v>8.25</v>
      </c>
      <c r="M11" s="23">
        <v>1.25</v>
      </c>
      <c r="N11" s="23" t="s">
        <v>24</v>
      </c>
      <c r="O11" s="23" t="s">
        <v>26</v>
      </c>
      <c r="P11" s="23" t="s">
        <v>25</v>
      </c>
      <c r="Q11" s="23">
        <f t="shared" si="6"/>
        <v>7</v>
      </c>
      <c r="R11" s="23" t="str">
        <f t="shared" si="1"/>
        <v>5-2019</v>
      </c>
      <c r="S11" s="23"/>
      <c r="T11" s="23" t="str">
        <f t="shared" si="2"/>
        <v>Thursday</v>
      </c>
      <c r="U11" s="23">
        <f t="shared" si="3"/>
        <v>0</v>
      </c>
      <c r="V11" s="25">
        <f>IFERROR(Data!$I11/Data!$D11,"")</f>
        <v>0.10805210183140411</v>
      </c>
      <c r="W11" s="25">
        <f>IFERROR(Data!$J11/Data!$D11,"")</f>
        <v>0.37625814091254456</v>
      </c>
      <c r="X11" s="25">
        <f>IFERROR(Data!$K11/Data!$D11,"")</f>
        <v>0.34695085849639345</v>
      </c>
      <c r="Y11" s="25">
        <f>IFERROR(Data!$L11/Data!$D11,"")</f>
        <v>0.14653641208075552</v>
      </c>
      <c r="Z11" s="25">
        <f>IFERROR(Data!$M11/Data!$D11,"")</f>
        <v>2.2202486678902351E-2</v>
      </c>
      <c r="AA11" s="26">
        <v>66.33</v>
      </c>
      <c r="AB11" s="26">
        <f t="shared" si="8"/>
        <v>16.5825</v>
      </c>
      <c r="AC11" s="23">
        <f t="shared" si="4"/>
        <v>641</v>
      </c>
      <c r="AD11" s="23">
        <f t="shared" si="5"/>
        <v>10.5</v>
      </c>
      <c r="AE11" s="23">
        <f>YEAR(Data!$C11)</f>
        <v>2019</v>
      </c>
      <c r="AF11" s="23"/>
      <c r="AG11" s="23">
        <v>3</v>
      </c>
      <c r="AH11" s="27">
        <f>Data!$F11/Data!$D11</f>
        <v>11.936056838577905</v>
      </c>
      <c r="AI11" s="17" t="str">
        <f>RIGHT(Data!$O11,2)</f>
        <v>PM</v>
      </c>
      <c r="AJ11" s="23" t="str">
        <f>Data!$R11&amp;"-"&amp;WEEKNUM(Data!$C11,1)-WEEKNUM(DATE(YEAR(Data!$C11),MONTH(Data!$C11),1),1)+1</f>
        <v>5-2019-5</v>
      </c>
      <c r="AK11" s="23">
        <f>MONTH(Data!$C11)</f>
        <v>5</v>
      </c>
      <c r="AL11" s="23">
        <f>IFERROR(Data!$F11/Data!$E11,0)</f>
        <v>74.666666666666671</v>
      </c>
      <c r="AM11" s="23">
        <f>COUNTIF(Data!$N$2:$N$825,Data!$N11)</f>
        <v>35</v>
      </c>
      <c r="AN11" s="23" t="str">
        <f>VLOOKUP(Data!$N11,'Helpful Tables'!A:D,4,FALSE)</f>
        <v>Virginia</v>
      </c>
      <c r="AO11" s="23">
        <f>COUNTIF(AN:AN,Data!$AN11)/COUNTA(AN:AN)</f>
        <v>6.424242424242424E-2</v>
      </c>
      <c r="AP11" s="23">
        <v>38.881884999999997</v>
      </c>
      <c r="AQ11" s="23">
        <v>-77.229702000000003</v>
      </c>
      <c r="AR11" s="23">
        <f>COUNTIF(Data!$P$2:$P$825,Data!$P11)</f>
        <v>13</v>
      </c>
      <c r="AS11" s="23" cm="1">
        <f t="array" ref="AS11">_xlfn.IFS(Data!$E11&lt;12,((Data!$E11/Data!$D11)*60)*1,AND(Data!$E11&gt;=12,Data!$E11&lt;=15),((Data!$E11/Data!$D11)*60)*1.2,AND(Data!$E11&gt;=16,Data!$E11&lt;=19),((Data!$E11/Data!$D11)*60)*1.5,Data!$E11&gt;=20,((Data!$E11/Data!$D11)*60)*1.8)</f>
        <v>9.5914742452858164</v>
      </c>
      <c r="AT11" s="23" cm="1">
        <f t="array" ref="AT11">_xlfn.IFS(Data!$F11&lt;600,((Data!$F11/Data!$D11)*60)*1,AND(Data!$F11&gt;=600,Data!$F11&lt;=625),((Data!$F11/Data!$D11)*60)*1.2,AND(Data!$F11&gt;=626,Data!$F11&lt;=650),((Data!$F11/Data!$D11)*60)*1.5,Data!$F11&gt;=651,((Data!$F11/Data!$D11)*60)*1.8)</f>
        <v>1289.0941385664137</v>
      </c>
      <c r="AU11" s="23">
        <f>(Data!$I11*-1.2)+(Data!$J11*-1.1)+(Data!$K11*1.2)+(Data!$L11*1.3)+(Data!$M11*1.5)</f>
        <v>5.4383333337000028</v>
      </c>
      <c r="AV11" s="23">
        <f>(Data!$AS11*0.4)+(Data!$AT11*0.4)+(Data!$AU11*0.2)</f>
        <v>520.5619117914199</v>
      </c>
      <c r="AW11" s="23">
        <f>PERCENTRANK(AV:AV,Data!$AV11)*100</f>
        <v>89.7</v>
      </c>
      <c r="AX11" s="23" t="str">
        <f>_xlfn.CONCAT(TEXT(C11,"mmm"),"-",Data!$AE11)</f>
        <v>May-2019</v>
      </c>
    </row>
    <row r="12" spans="1:50" ht="17" thickTop="1" thickBot="1" x14ac:dyDescent="0.25">
      <c r="A12" s="28">
        <v>11</v>
      </c>
      <c r="B12" s="29">
        <f t="shared" si="0"/>
        <v>10</v>
      </c>
      <c r="C12" s="41">
        <v>43622</v>
      </c>
      <c r="D12" s="30">
        <f>SUM(Data!$I12:$M12)</f>
        <v>60.55</v>
      </c>
      <c r="E12" s="29">
        <v>14</v>
      </c>
      <c r="F12" s="29">
        <v>701</v>
      </c>
      <c r="G12" s="29">
        <v>131</v>
      </c>
      <c r="H12" s="29">
        <v>172</v>
      </c>
      <c r="I12" s="29">
        <v>17.783333333000002</v>
      </c>
      <c r="J12" s="29">
        <v>13.9</v>
      </c>
      <c r="K12" s="29">
        <v>14.7</v>
      </c>
      <c r="L12" s="29">
        <v>14.116666667000001</v>
      </c>
      <c r="M12" s="29">
        <v>0.05</v>
      </c>
      <c r="N12" s="29" t="s">
        <v>24</v>
      </c>
      <c r="O12" s="29" t="s">
        <v>26</v>
      </c>
      <c r="P12" s="29" t="s">
        <v>25</v>
      </c>
      <c r="Q12" s="29">
        <f t="shared" si="6"/>
        <v>7</v>
      </c>
      <c r="R12" s="29" t="str">
        <f t="shared" si="1"/>
        <v>6-2019</v>
      </c>
      <c r="S12" s="29"/>
      <c r="T12" s="29" t="str">
        <f t="shared" si="2"/>
        <v>Thursday</v>
      </c>
      <c r="U12" s="29">
        <f t="shared" si="3"/>
        <v>1</v>
      </c>
      <c r="V12" s="31">
        <f>IFERROR(Data!$I12/Data!$D12,"")</f>
        <v>0.2936966694137077</v>
      </c>
      <c r="W12" s="31">
        <f>IFERROR(Data!$J12/Data!$D12,"")</f>
        <v>0.22956234516928159</v>
      </c>
      <c r="X12" s="31">
        <f>IFERROR(Data!$K12/Data!$D12,"")</f>
        <v>0.24277456647398843</v>
      </c>
      <c r="Y12" s="31">
        <f>IFERROR(Data!$L12/Data!$D12,"")</f>
        <v>0.23314065511147813</v>
      </c>
      <c r="Z12" s="31">
        <f>IFERROR(Data!$M12/Data!$D12,"")</f>
        <v>8.2576383154417843E-4</v>
      </c>
      <c r="AA12" s="32">
        <v>33.17</v>
      </c>
      <c r="AB12" s="32">
        <f>AA12/2</f>
        <v>16.585000000000001</v>
      </c>
      <c r="AC12" s="29">
        <f t="shared" si="4"/>
        <v>669.6</v>
      </c>
      <c r="AD12" s="29">
        <f t="shared" si="5"/>
        <v>10.199999999999999</v>
      </c>
      <c r="AE12" s="29">
        <f>YEAR(Data!$C12)</f>
        <v>2019</v>
      </c>
      <c r="AF12" s="29"/>
      <c r="AG12" s="29">
        <v>12</v>
      </c>
      <c r="AH12" s="33">
        <f>Data!$F12/Data!$D12</f>
        <v>11.577208918249381</v>
      </c>
      <c r="AI12" s="17" t="str">
        <f>RIGHT(Data!$O12,2)</f>
        <v>PM</v>
      </c>
      <c r="AJ12" s="29" t="str">
        <f>Data!$R12&amp;"-"&amp;WEEKNUM(Data!$C12,1)-WEEKNUM(DATE(YEAR(Data!$C12),MONTH(Data!$C12),1),1)+1</f>
        <v>6-2019-2</v>
      </c>
      <c r="AK12" s="29">
        <f>MONTH(Data!$C12)</f>
        <v>6</v>
      </c>
      <c r="AL12" s="29">
        <f>IFERROR(Data!$F12/Data!$E12,0)</f>
        <v>50.071428571428569</v>
      </c>
      <c r="AM12" s="29">
        <f>COUNTIF(Data!$N$2:$N$825,Data!$N12)</f>
        <v>35</v>
      </c>
      <c r="AN12" s="29" t="str">
        <f>VLOOKUP(Data!$N12,'Helpful Tables'!A:D,4,FALSE)</f>
        <v>Virginia</v>
      </c>
      <c r="AO12" s="29">
        <f>COUNTIF(AN:AN,Data!$AN12)/COUNTA(AN:AN)</f>
        <v>6.424242424242424E-2</v>
      </c>
      <c r="AP12" s="29">
        <v>38.881884999999997</v>
      </c>
      <c r="AQ12" s="29">
        <v>-77.229702000000003</v>
      </c>
      <c r="AR12" s="29">
        <f>COUNTIF(Data!$P$2:$P$825,Data!$P12)</f>
        <v>13</v>
      </c>
      <c r="AS12" s="29" cm="1">
        <f t="array" ref="AS12">_xlfn.IFS(Data!$E12&lt;12,((Data!$E12/Data!$D12)*60)*1,AND(Data!$E12&gt;=12,Data!$E12&lt;=15),((Data!$E12/Data!$D12)*60)*1.2,AND(Data!$E12&gt;=16,Data!$E12&lt;=19),((Data!$E12/Data!$D12)*60)*1.5,Data!$E12&gt;=20,((Data!$E12/Data!$D12)*60)*1.8)</f>
        <v>16.647398843930638</v>
      </c>
      <c r="AT12" s="29" cm="1">
        <f t="array" ref="AT12">_xlfn.IFS(Data!$F12&lt;600,((Data!$F12/Data!$D12)*60)*1,AND(Data!$F12&gt;=600,Data!$F12&lt;=625),((Data!$F12/Data!$D12)*60)*1.2,AND(Data!$F12&gt;=626,Data!$F12&lt;=650),((Data!$F12/Data!$D12)*60)*1.5,Data!$F12&gt;=651,((Data!$F12/Data!$D12)*60)*1.8)</f>
        <v>1250.3385631709332</v>
      </c>
      <c r="AU12" s="29">
        <f>(Data!$I12*-1.2)+(Data!$J12*-1.1)+(Data!$K12*1.2)+(Data!$L12*1.3)+(Data!$M12*1.5)</f>
        <v>-0.56333333250000384</v>
      </c>
      <c r="AV12" s="29">
        <f>(Data!$AS12*0.4)+(Data!$AT12*0.4)+(Data!$AU12*0.2)</f>
        <v>506.68171813944554</v>
      </c>
      <c r="AW12" s="29">
        <f>PERCENTRANK(AV:AV,Data!$AV12)*100</f>
        <v>82.199999999999989</v>
      </c>
      <c r="AX12" s="29" t="str">
        <f>_xlfn.CONCAT(TEXT(C12,"mmm"),"-",Data!$AE12)</f>
        <v>Jun-2019</v>
      </c>
    </row>
    <row r="13" spans="1:50" ht="17" thickTop="1" thickBot="1" x14ac:dyDescent="0.25">
      <c r="A13" s="22">
        <v>12</v>
      </c>
      <c r="B13" s="23">
        <f t="shared" si="0"/>
        <v>10</v>
      </c>
      <c r="C13" s="41">
        <v>43625</v>
      </c>
      <c r="D13" s="24">
        <f>SUM(Data!$I13:$M13)</f>
        <v>55.816666667</v>
      </c>
      <c r="E13" s="23">
        <v>8</v>
      </c>
      <c r="F13" s="23">
        <v>667</v>
      </c>
      <c r="G13" s="23">
        <v>134</v>
      </c>
      <c r="H13" s="23">
        <v>187</v>
      </c>
      <c r="I13" s="23">
        <v>7.2</v>
      </c>
      <c r="J13" s="23">
        <v>17.866666667000001</v>
      </c>
      <c r="K13" s="23">
        <v>22.65</v>
      </c>
      <c r="L13" s="23">
        <v>8.0833333330000006</v>
      </c>
      <c r="M13" s="23">
        <v>1.6666667E-2</v>
      </c>
      <c r="N13" s="23" t="s">
        <v>30</v>
      </c>
      <c r="O13" s="23" t="s">
        <v>32</v>
      </c>
      <c r="P13" s="23" t="s">
        <v>31</v>
      </c>
      <c r="Q13" s="23">
        <f t="shared" si="6"/>
        <v>3</v>
      </c>
      <c r="R13" s="23" t="str">
        <f t="shared" si="1"/>
        <v>6-2019</v>
      </c>
      <c r="S13" s="23"/>
      <c r="T13" s="23" t="str">
        <f t="shared" si="2"/>
        <v>Sunday</v>
      </c>
      <c r="U13" s="23">
        <f t="shared" si="3"/>
        <v>0</v>
      </c>
      <c r="V13" s="25">
        <f>IFERROR(Data!$I13/Data!$D13,"")</f>
        <v>0.12899372947071369</v>
      </c>
      <c r="W13" s="25">
        <f>IFERROR(Data!$J13/Data!$D13,"")</f>
        <v>0.32009555091477998</v>
      </c>
      <c r="X13" s="25">
        <f>IFERROR(Data!$K13/Data!$D13,"")</f>
        <v>0.40579277395995345</v>
      </c>
      <c r="Y13" s="25">
        <f>IFERROR(Data!$L13/Data!$D13,"")</f>
        <v>0.14481934905258395</v>
      </c>
      <c r="Z13" s="25">
        <f>IFERROR(Data!$M13/Data!$D13,"")</f>
        <v>2.9859660196895432E-4</v>
      </c>
      <c r="AA13" s="26">
        <v>33.17</v>
      </c>
      <c r="AB13" s="26">
        <f>AA13/2</f>
        <v>16.585000000000001</v>
      </c>
      <c r="AC13" s="23">
        <f t="shared" si="4"/>
        <v>669.6</v>
      </c>
      <c r="AD13" s="23">
        <f t="shared" si="5"/>
        <v>10.199999999999999</v>
      </c>
      <c r="AE13" s="23">
        <f>YEAR(Data!$C13)</f>
        <v>2019</v>
      </c>
      <c r="AF13" s="23"/>
      <c r="AG13" s="23">
        <v>12</v>
      </c>
      <c r="AH13" s="27">
        <f>Data!$F13/Data!$D13</f>
        <v>11.949835771800837</v>
      </c>
      <c r="AI13" s="17" t="str">
        <f>RIGHT(Data!$O13,2)</f>
        <v>AM</v>
      </c>
      <c r="AJ13" s="23" t="str">
        <f>Data!$R13&amp;"-"&amp;WEEKNUM(Data!$C13,1)-WEEKNUM(DATE(YEAR(Data!$C13),MONTH(Data!$C13),1),1)+1</f>
        <v>6-2019-3</v>
      </c>
      <c r="AK13" s="23">
        <f>MONTH(Data!$C13)</f>
        <v>6</v>
      </c>
      <c r="AL13" s="23">
        <f>IFERROR(Data!$F13/Data!$E13,0)</f>
        <v>83.375</v>
      </c>
      <c r="AM13" s="23">
        <f>COUNTIF(Data!$N$2:$N$825,Data!$N13)</f>
        <v>9</v>
      </c>
      <c r="AN13" s="23" t="str">
        <f>VLOOKUP(Data!$N13,'Helpful Tables'!A:D,4,FALSE)</f>
        <v>Virginia</v>
      </c>
      <c r="AO13" s="23">
        <f>COUNTIF(AN:AN,Data!$AN13)/COUNTA(AN:AN)</f>
        <v>6.424242424242424E-2</v>
      </c>
      <c r="AP13" s="23">
        <v>38.894024999999999</v>
      </c>
      <c r="AQ13" s="23">
        <v>-77.078213000000005</v>
      </c>
      <c r="AR13" s="23">
        <f>COUNTIF(Data!$P$2:$P$825,Data!$P13)</f>
        <v>1</v>
      </c>
      <c r="AS13" s="23" cm="1">
        <f t="array" ref="AS13">_xlfn.IFS(Data!$E13&lt;12,((Data!$E13/Data!$D13)*60)*1,AND(Data!$E13&gt;=12,Data!$E13&lt;=15),((Data!$E13/Data!$D13)*60)*1.2,AND(Data!$E13&gt;=16,Data!$E13&lt;=19),((Data!$E13/Data!$D13)*60)*1.5,Data!$E13&gt;=20,((Data!$E13/Data!$D13)*60)*1.8)</f>
        <v>8.5995819647142469</v>
      </c>
      <c r="AT13" s="23" cm="1">
        <f t="array" ref="AT13">_xlfn.IFS(Data!$F13&lt;600,((Data!$F13/Data!$D13)*60)*1,AND(Data!$F13&gt;=600,Data!$F13&lt;=625),((Data!$F13/Data!$D13)*60)*1.2,AND(Data!$F13&gt;=626,Data!$F13&lt;=650),((Data!$F13/Data!$D13)*60)*1.5,Data!$F13&gt;=651,((Data!$F13/Data!$D13)*60)*1.8)</f>
        <v>1290.5822633544904</v>
      </c>
      <c r="AU13" s="23">
        <f>(Data!$I13*-1.2)+(Data!$J13*-1.1)+(Data!$K13*1.2)+(Data!$L13*1.3)+(Data!$M13*1.5)</f>
        <v>9.4199999996999964</v>
      </c>
      <c r="AV13" s="23">
        <f>(Data!$AS13*0.4)+(Data!$AT13*0.4)+(Data!$AU13*0.2)</f>
        <v>521.55673812762188</v>
      </c>
      <c r="AW13" s="23">
        <f>PERCENTRANK(AV:AV,Data!$AV13)*100</f>
        <v>90</v>
      </c>
      <c r="AX13" s="23" t="str">
        <f>_xlfn.CONCAT(TEXT(C13,"mmm"),"-",Data!$AE13)</f>
        <v>Jun-2019</v>
      </c>
    </row>
    <row r="14" spans="1:50" ht="17" thickTop="1" thickBot="1" x14ac:dyDescent="0.25">
      <c r="A14" s="28">
        <v>13</v>
      </c>
      <c r="B14" s="29">
        <f t="shared" si="0"/>
        <v>10</v>
      </c>
      <c r="C14" s="41">
        <v>43631</v>
      </c>
      <c r="D14" s="30">
        <f>SUM(Data!$I14:$M14)</f>
        <v>54.716666664999998</v>
      </c>
      <c r="E14" s="29">
        <v>10</v>
      </c>
      <c r="F14" s="29">
        <v>622</v>
      </c>
      <c r="G14" s="29">
        <v>130</v>
      </c>
      <c r="H14" s="29">
        <v>175</v>
      </c>
      <c r="I14" s="29">
        <v>14.483333332999999</v>
      </c>
      <c r="J14" s="29">
        <v>16.783333333000002</v>
      </c>
      <c r="K14" s="29">
        <v>13.233333332999999</v>
      </c>
      <c r="L14" s="29">
        <v>9.0833333330000006</v>
      </c>
      <c r="M14" s="29">
        <v>1.1333333329999999</v>
      </c>
      <c r="N14" s="29" t="s">
        <v>33</v>
      </c>
      <c r="O14" s="29" t="s">
        <v>35</v>
      </c>
      <c r="P14" s="29" t="s">
        <v>34</v>
      </c>
      <c r="Q14" s="29">
        <f t="shared" si="6"/>
        <v>6</v>
      </c>
      <c r="R14" s="29" t="str">
        <f t="shared" si="1"/>
        <v>6-2019</v>
      </c>
      <c r="S14" s="29"/>
      <c r="T14" s="29" t="str">
        <f t="shared" si="2"/>
        <v>Saturday</v>
      </c>
      <c r="U14" s="29">
        <f t="shared" si="3"/>
        <v>0</v>
      </c>
      <c r="V14" s="31">
        <f>IFERROR(Data!$I14/Data!$D14,"")</f>
        <v>0.26469692354750829</v>
      </c>
      <c r="W14" s="31">
        <f>IFERROR(Data!$J14/Data!$D14,"")</f>
        <v>0.30673164788628487</v>
      </c>
      <c r="X14" s="31">
        <f>IFERROR(Data!$K14/Data!$D14,"")</f>
        <v>0.24185196466773839</v>
      </c>
      <c r="Y14" s="31">
        <f>IFERROR(Data!$L14/Data!$D14,"")</f>
        <v>0.16600670118690244</v>
      </c>
      <c r="Z14" s="31">
        <f>IFERROR(Data!$M14/Data!$D14,"")</f>
        <v>2.0712762711566031E-2</v>
      </c>
      <c r="AA14" s="32">
        <v>10.6</v>
      </c>
      <c r="AB14" s="32">
        <f>AA14/1</f>
        <v>10.6</v>
      </c>
      <c r="AC14" s="29">
        <f t="shared" si="4"/>
        <v>669.6</v>
      </c>
      <c r="AD14" s="29">
        <f t="shared" si="5"/>
        <v>10.199999999999999</v>
      </c>
      <c r="AE14" s="29">
        <f>YEAR(Data!$C14)</f>
        <v>2019</v>
      </c>
      <c r="AF14" s="29">
        <v>10.6</v>
      </c>
      <c r="AG14" s="29">
        <v>12</v>
      </c>
      <c r="AH14" s="33">
        <f>Data!$F14/Data!$D14</f>
        <v>11.36765153857349</v>
      </c>
      <c r="AI14" s="17" t="str">
        <f>RIGHT(Data!$O14,2)</f>
        <v>AM</v>
      </c>
      <c r="AJ14" s="29" t="str">
        <f>Data!$R14&amp;"-"&amp;WEEKNUM(Data!$C14,1)-WEEKNUM(DATE(YEAR(Data!$C14),MONTH(Data!$C14),1),1)+1</f>
        <v>6-2019-3</v>
      </c>
      <c r="AK14" s="29">
        <f>MONTH(Data!$C14)</f>
        <v>6</v>
      </c>
      <c r="AL14" s="29">
        <f>IFERROR(Data!$F14/Data!$E14,0)</f>
        <v>62.2</v>
      </c>
      <c r="AM14" s="29">
        <f>COUNTIF(Data!$N$2:$N$825,Data!$N14)</f>
        <v>48</v>
      </c>
      <c r="AN14" s="29" t="str">
        <f>VLOOKUP(Data!$N14,'Helpful Tables'!A:D,4,FALSE)</f>
        <v>Washington, DC</v>
      </c>
      <c r="AO14" s="29">
        <f>COUNTIF(AN:AN,Data!$AN14)/COUNTA(AN:AN)</f>
        <v>0.62424242424242427</v>
      </c>
      <c r="AP14" s="29">
        <v>38.916486999999996</v>
      </c>
      <c r="AQ14" s="29">
        <v>-77.031514000000001</v>
      </c>
      <c r="AR14" s="29">
        <f>COUNTIF(Data!$P$2:$P$825,Data!$P14)</f>
        <v>30</v>
      </c>
      <c r="AS14" s="29" cm="1">
        <f t="array" ref="AS14">_xlfn.IFS(Data!$E14&lt;12,((Data!$E14/Data!$D14)*60)*1,AND(Data!$E14&gt;=12,Data!$E14&lt;=15),((Data!$E14/Data!$D14)*60)*1.2,AND(Data!$E14&gt;=16,Data!$E14&lt;=19),((Data!$E14/Data!$D14)*60)*1.5,Data!$E14&gt;=20,((Data!$E14/Data!$D14)*60)*1.8)</f>
        <v>10.965580262289539</v>
      </c>
      <c r="AT14" s="29" cm="1">
        <f t="array" ref="AT14">_xlfn.IFS(Data!$F14&lt;600,((Data!$F14/Data!$D14)*60)*1,AND(Data!$F14&gt;=600,Data!$F14&lt;=625),((Data!$F14/Data!$D14)*60)*1.2,AND(Data!$F14&gt;=626,Data!$F14&lt;=650),((Data!$F14/Data!$D14)*60)*1.5,Data!$F14&gt;=651,((Data!$F14/Data!$D14)*60)*1.8)</f>
        <v>818.47091077729135</v>
      </c>
      <c r="AU14" s="29">
        <f>(Data!$I14*-1.2)+(Data!$J14*-1.1)+(Data!$K14*1.2)+(Data!$L14*1.3)+(Data!$M14*1.5)</f>
        <v>-6.4533333339000061</v>
      </c>
      <c r="AV14" s="29">
        <f>(Data!$AS14*0.4)+(Data!$AT14*0.4)+(Data!$AU14*0.2)</f>
        <v>330.48392974905238</v>
      </c>
      <c r="AW14" s="29">
        <f>PERCENTRANK(AV:AV,Data!$AV14)*100</f>
        <v>41.3</v>
      </c>
      <c r="AX14" s="29" t="str">
        <f>_xlfn.CONCAT(TEXT(C14,"mmm"),"-",Data!$AE14)</f>
        <v>Jun-2019</v>
      </c>
    </row>
    <row r="15" spans="1:50" ht="17" thickTop="1" thickBot="1" x14ac:dyDescent="0.25">
      <c r="A15" s="22">
        <v>14</v>
      </c>
      <c r="B15" s="23">
        <f t="shared" si="0"/>
        <v>10</v>
      </c>
      <c r="C15" s="41">
        <v>43632</v>
      </c>
      <c r="D15" s="24">
        <f>SUM(Data!$I15:$M15)</f>
        <v>53.4</v>
      </c>
      <c r="E15" s="23">
        <v>13</v>
      </c>
      <c r="F15" s="23">
        <v>676</v>
      </c>
      <c r="G15" s="23">
        <v>139</v>
      </c>
      <c r="H15" s="23">
        <v>172</v>
      </c>
      <c r="I15" s="23">
        <v>6.0833333329999997</v>
      </c>
      <c r="J15" s="23">
        <v>12.683333333</v>
      </c>
      <c r="K15" s="23">
        <v>21.45</v>
      </c>
      <c r="L15" s="23">
        <v>13.166666666999999</v>
      </c>
      <c r="M15" s="23">
        <v>1.6666667E-2</v>
      </c>
      <c r="N15" s="23" t="s">
        <v>33</v>
      </c>
      <c r="O15" s="23" t="s">
        <v>38</v>
      </c>
      <c r="P15" s="23" t="s">
        <v>37</v>
      </c>
      <c r="Q15" s="23">
        <f t="shared" si="6"/>
        <v>1</v>
      </c>
      <c r="R15" s="23" t="str">
        <f t="shared" si="1"/>
        <v>6-2019</v>
      </c>
      <c r="S15" s="23"/>
      <c r="T15" s="23" t="str">
        <f t="shared" si="2"/>
        <v>Sunday</v>
      </c>
      <c r="U15" s="23">
        <f t="shared" si="3"/>
        <v>1</v>
      </c>
      <c r="V15" s="25">
        <f>IFERROR(Data!$I15/Data!$D15,"")</f>
        <v>0.11392009986891385</v>
      </c>
      <c r="W15" s="25">
        <f>IFERROR(Data!$J15/Data!$D15,"")</f>
        <v>0.23751560548689141</v>
      </c>
      <c r="X15" s="25">
        <f>IFERROR(Data!$K15/Data!$D15,"")</f>
        <v>0.40168539325842695</v>
      </c>
      <c r="Y15" s="25">
        <f>IFERROR(Data!$L15/Data!$D15,"")</f>
        <v>0.24656679151685393</v>
      </c>
      <c r="Z15" s="25">
        <f>IFERROR(Data!$M15/Data!$D15,"")</f>
        <v>3.1210986891385767E-4</v>
      </c>
      <c r="AA15" s="26">
        <v>10.6</v>
      </c>
      <c r="AB15" s="26">
        <f>AA15/1</f>
        <v>10.6</v>
      </c>
      <c r="AC15" s="23">
        <f t="shared" si="4"/>
        <v>669.6</v>
      </c>
      <c r="AD15" s="23">
        <f t="shared" si="5"/>
        <v>10.199999999999999</v>
      </c>
      <c r="AE15" s="23">
        <f>YEAR(Data!$C15)</f>
        <v>2019</v>
      </c>
      <c r="AF15" s="23">
        <v>10.6</v>
      </c>
      <c r="AG15" s="23">
        <v>12</v>
      </c>
      <c r="AH15" s="27">
        <f>Data!$F15/Data!$D15</f>
        <v>12.659176029962547</v>
      </c>
      <c r="AI15" s="17" t="str">
        <f>RIGHT(Data!$O15,2)</f>
        <v>PM</v>
      </c>
      <c r="AJ15" s="23" t="str">
        <f>Data!$R15&amp;"-"&amp;WEEKNUM(Data!$C15,1)-WEEKNUM(DATE(YEAR(Data!$C15),MONTH(Data!$C15),1),1)+1</f>
        <v>6-2019-4</v>
      </c>
      <c r="AK15" s="23">
        <f>MONTH(Data!$C15)</f>
        <v>6</v>
      </c>
      <c r="AL15" s="23">
        <f>IFERROR(Data!$F15/Data!$E15,0)</f>
        <v>52</v>
      </c>
      <c r="AM15" s="23">
        <f>COUNTIF(Data!$N$2:$N$825,Data!$N15)</f>
        <v>48</v>
      </c>
      <c r="AN15" s="23" t="str">
        <f>VLOOKUP(Data!$N15,'Helpful Tables'!A:D,4,FALSE)</f>
        <v>Washington, DC</v>
      </c>
      <c r="AO15" s="23">
        <f>COUNTIF(AN:AN,Data!$AN15)/COUNTA(AN:AN)</f>
        <v>0.62424242424242427</v>
      </c>
      <c r="AP15" s="23">
        <v>38.916486999999996</v>
      </c>
      <c r="AQ15" s="23">
        <v>-77.031514000000001</v>
      </c>
      <c r="AR15" s="23">
        <f>COUNTIF(Data!$P$2:$P$825,Data!$P15)</f>
        <v>12</v>
      </c>
      <c r="AS15" s="23" cm="1">
        <f t="array" ref="AS15">_xlfn.IFS(Data!$E15&lt;12,((Data!$E15/Data!$D15)*60)*1,AND(Data!$E15&gt;=12,Data!$E15&lt;=15),((Data!$E15/Data!$D15)*60)*1.2,AND(Data!$E15&gt;=16,Data!$E15&lt;=19),((Data!$E15/Data!$D15)*60)*1.5,Data!$E15&gt;=20,((Data!$E15/Data!$D15)*60)*1.8)</f>
        <v>17.528089887640451</v>
      </c>
      <c r="AT15" s="23" cm="1">
        <f t="array" ref="AT15">_xlfn.IFS(Data!$F15&lt;600,((Data!$F15/Data!$D15)*60)*1,AND(Data!$F15&gt;=600,Data!$F15&lt;=625),((Data!$F15/Data!$D15)*60)*1.2,AND(Data!$F15&gt;=626,Data!$F15&lt;=650),((Data!$F15/Data!$D15)*60)*1.5,Data!$F15&gt;=651,((Data!$F15/Data!$D15)*60)*1.8)</f>
        <v>1367.1910112359551</v>
      </c>
      <c r="AU15" s="23">
        <f>(Data!$I15*-1.2)+(Data!$J15*-1.1)+(Data!$K15*1.2)+(Data!$L15*1.3)+(Data!$M15*1.5)</f>
        <v>21.630000001699997</v>
      </c>
      <c r="AV15" s="23">
        <f>(Data!$AS15*0.4)+(Data!$AT15*0.4)+(Data!$AU15*0.2)</f>
        <v>558.21364044977827</v>
      </c>
      <c r="AW15" s="23">
        <f>PERCENTRANK(AV:AV,Data!$AV15)*100</f>
        <v>98.5</v>
      </c>
      <c r="AX15" s="23" t="str">
        <f>_xlfn.CONCAT(TEXT(C15,"mmm"),"-",Data!$AE15)</f>
        <v>Jun-2019</v>
      </c>
    </row>
    <row r="16" spans="1:50" ht="17" thickTop="1" thickBot="1" x14ac:dyDescent="0.25">
      <c r="A16" s="28">
        <v>15</v>
      </c>
      <c r="B16" s="29">
        <f t="shared" si="0"/>
        <v>10</v>
      </c>
      <c r="C16" s="41">
        <v>43634</v>
      </c>
      <c r="D16" s="30">
        <f>SUM(Data!$I16:$M16)</f>
        <v>57.649999998999995</v>
      </c>
      <c r="E16" s="29">
        <v>11</v>
      </c>
      <c r="F16" s="29">
        <v>639</v>
      </c>
      <c r="G16" s="29">
        <v>128</v>
      </c>
      <c r="H16" s="29">
        <v>171</v>
      </c>
      <c r="I16" s="29">
        <v>19.833333332999999</v>
      </c>
      <c r="J16" s="29">
        <v>10.483333332999999</v>
      </c>
      <c r="K16" s="29">
        <v>16.149999999999999</v>
      </c>
      <c r="L16" s="29">
        <v>11.183333333</v>
      </c>
      <c r="M16" s="29">
        <v>0</v>
      </c>
      <c r="N16" s="29" t="s">
        <v>33</v>
      </c>
      <c r="O16" s="29" t="s">
        <v>39</v>
      </c>
      <c r="P16" s="29" t="s">
        <v>34</v>
      </c>
      <c r="Q16" s="29">
        <f t="shared" si="6"/>
        <v>2</v>
      </c>
      <c r="R16" s="29" t="str">
        <f t="shared" si="1"/>
        <v>6-2019</v>
      </c>
      <c r="S16" s="29"/>
      <c r="T16" s="29" t="str">
        <f t="shared" si="2"/>
        <v>Tuesday</v>
      </c>
      <c r="U16" s="29">
        <f t="shared" si="3"/>
        <v>0</v>
      </c>
      <c r="V16" s="31">
        <f>IFERROR(Data!$I16/Data!$D16,"")</f>
        <v>0.34403006649339168</v>
      </c>
      <c r="W16" s="31">
        <f>IFERROR(Data!$J16/Data!$D16,"")</f>
        <v>0.18184446371520979</v>
      </c>
      <c r="X16" s="31">
        <f>IFERROR(Data!$K16/Data!$D16,"")</f>
        <v>0.28013876843504143</v>
      </c>
      <c r="Y16" s="31">
        <f>IFERROR(Data!$L16/Data!$D16,"")</f>
        <v>0.19398670135635712</v>
      </c>
      <c r="Z16" s="31">
        <f>IFERROR(Data!$M16/Data!$D16,"")</f>
        <v>0</v>
      </c>
      <c r="AA16" s="32">
        <v>232.14</v>
      </c>
      <c r="AB16" s="32">
        <f t="shared" ref="AB16:AB79" si="9">AA16/B16</f>
        <v>23.213999999999999</v>
      </c>
      <c r="AC16" s="29">
        <f t="shared" si="4"/>
        <v>669.6</v>
      </c>
      <c r="AD16" s="29">
        <f t="shared" si="5"/>
        <v>10.199999999999999</v>
      </c>
      <c r="AE16" s="29">
        <f>YEAR(Data!$C16)</f>
        <v>2019</v>
      </c>
      <c r="AF16" s="29"/>
      <c r="AG16" s="29">
        <v>12</v>
      </c>
      <c r="AH16" s="33">
        <f>Data!$F16/Data!$D16</f>
        <v>11.084128360990185</v>
      </c>
      <c r="AI16" s="17" t="str">
        <f>RIGHT(Data!$O16,2)</f>
        <v>PM</v>
      </c>
      <c r="AJ16" s="29" t="str">
        <f>Data!$R16&amp;"-"&amp;WEEKNUM(Data!$C16,1)-WEEKNUM(DATE(YEAR(Data!$C16),MONTH(Data!$C16),1),1)+1</f>
        <v>6-2019-4</v>
      </c>
      <c r="AK16" s="29">
        <f>MONTH(Data!$C16)</f>
        <v>6</v>
      </c>
      <c r="AL16" s="29">
        <f>IFERROR(Data!$F16/Data!$E16,0)</f>
        <v>58.090909090909093</v>
      </c>
      <c r="AM16" s="29">
        <f>COUNTIF(Data!$N$2:$N$825,Data!$N16)</f>
        <v>48</v>
      </c>
      <c r="AN16" s="29" t="str">
        <f>VLOOKUP(Data!$N16,'Helpful Tables'!A:D,4,FALSE)</f>
        <v>Washington, DC</v>
      </c>
      <c r="AO16" s="29">
        <f>COUNTIF(AN:AN,Data!$AN16)/COUNTA(AN:AN)</f>
        <v>0.62424242424242427</v>
      </c>
      <c r="AP16" s="29">
        <v>38.916486999999996</v>
      </c>
      <c r="AQ16" s="29">
        <v>-77.031514000000001</v>
      </c>
      <c r="AR16" s="29">
        <f>COUNTIF(Data!$P$2:$P$825,Data!$P16)</f>
        <v>30</v>
      </c>
      <c r="AS16" s="29" cm="1">
        <f t="array" ref="AS16">_xlfn.IFS(Data!$E16&lt;12,((Data!$E16/Data!$D16)*60)*1,AND(Data!$E16&gt;=12,Data!$E16&lt;=15),((Data!$E16/Data!$D16)*60)*1.2,AND(Data!$E16&gt;=16,Data!$E16&lt;=19),((Data!$E16/Data!$D16)*60)*1.5,Data!$E16&gt;=20,((Data!$E16/Data!$D16)*60)*1.8)</f>
        <v>11.448395490224604</v>
      </c>
      <c r="AT16" s="29" cm="1">
        <f t="array" ref="AT16">_xlfn.IFS(Data!$F16&lt;600,((Data!$F16/Data!$D16)*60)*1,AND(Data!$F16&gt;=600,Data!$F16&lt;=625),((Data!$F16/Data!$D16)*60)*1.2,AND(Data!$F16&gt;=626,Data!$F16&lt;=650),((Data!$F16/Data!$D16)*60)*1.5,Data!$F16&gt;=651,((Data!$F16/Data!$D16)*60)*1.8)</f>
        <v>997.5715524891167</v>
      </c>
      <c r="AU16" s="29">
        <f>(Data!$I16*-1.2)+(Data!$J16*-1.1)+(Data!$K16*1.2)+(Data!$L16*1.3)+(Data!$M16*1.5)</f>
        <v>-1.4133333329999953</v>
      </c>
      <c r="AV16" s="29">
        <f>(Data!$AS16*0.4)+(Data!$AT16*0.4)+(Data!$AU16*0.2)</f>
        <v>403.32531252513655</v>
      </c>
      <c r="AW16" s="29">
        <f>PERCENTRANK(AV:AV,Data!$AV16)*100</f>
        <v>54.1</v>
      </c>
      <c r="AX16" s="29" t="str">
        <f>_xlfn.CONCAT(TEXT(C16,"mmm"),"-",Data!$AE16)</f>
        <v>Jun-2019</v>
      </c>
    </row>
    <row r="17" spans="1:50" ht="17" thickTop="1" thickBot="1" x14ac:dyDescent="0.25">
      <c r="A17" s="22">
        <v>16</v>
      </c>
      <c r="B17" s="23">
        <f t="shared" si="0"/>
        <v>10</v>
      </c>
      <c r="C17" s="41">
        <v>43636</v>
      </c>
      <c r="D17" s="24">
        <f>SUM(Data!$I17:$M17)</f>
        <v>57.133333334000007</v>
      </c>
      <c r="E17" s="23">
        <v>10</v>
      </c>
      <c r="F17" s="23">
        <v>663</v>
      </c>
      <c r="G17" s="23">
        <v>131</v>
      </c>
      <c r="H17" s="23">
        <v>172</v>
      </c>
      <c r="I17" s="23">
        <v>8.6</v>
      </c>
      <c r="J17" s="23">
        <v>25.5</v>
      </c>
      <c r="K17" s="23">
        <v>12.666666666999999</v>
      </c>
      <c r="L17" s="23">
        <v>10.266666667000001</v>
      </c>
      <c r="M17" s="23">
        <v>0.1</v>
      </c>
      <c r="N17" s="23" t="s">
        <v>24</v>
      </c>
      <c r="O17" s="23" t="s">
        <v>26</v>
      </c>
      <c r="P17" s="23" t="s">
        <v>25</v>
      </c>
      <c r="Q17" s="23">
        <f t="shared" si="6"/>
        <v>2</v>
      </c>
      <c r="R17" s="23" t="str">
        <f t="shared" si="1"/>
        <v>6-2019</v>
      </c>
      <c r="S17" s="23"/>
      <c r="T17" s="23" t="str">
        <f t="shared" si="2"/>
        <v>Thursday</v>
      </c>
      <c r="U17" s="23">
        <f t="shared" si="3"/>
        <v>0</v>
      </c>
      <c r="V17" s="25">
        <f>IFERROR(Data!$I17/Data!$D17,"")</f>
        <v>0.15052508751282931</v>
      </c>
      <c r="W17" s="25">
        <f>IFERROR(Data!$J17/Data!$D17,"")</f>
        <v>0.44632438739269159</v>
      </c>
      <c r="X17" s="25">
        <f>IFERROR(Data!$K17/Data!$D17,"")</f>
        <v>0.22170361727279222</v>
      </c>
      <c r="Y17" s="25">
        <f>IFERROR(Data!$L17/Data!$D17,"")</f>
        <v>0.17969661610642126</v>
      </c>
      <c r="Z17" s="25">
        <f>IFERROR(Data!$M17/Data!$D17,"")</f>
        <v>1.7502917152654575E-3</v>
      </c>
      <c r="AA17" s="26">
        <v>232.14</v>
      </c>
      <c r="AB17" s="26">
        <f t="shared" si="9"/>
        <v>23.213999999999999</v>
      </c>
      <c r="AC17" s="23">
        <f t="shared" si="4"/>
        <v>669.6</v>
      </c>
      <c r="AD17" s="23">
        <f t="shared" si="5"/>
        <v>10.199999999999999</v>
      </c>
      <c r="AE17" s="23">
        <f>YEAR(Data!$C17)</f>
        <v>2019</v>
      </c>
      <c r="AF17" s="23"/>
      <c r="AG17" s="23">
        <v>12</v>
      </c>
      <c r="AH17" s="27">
        <f>Data!$F17/Data!$D17</f>
        <v>11.604434072209981</v>
      </c>
      <c r="AI17" s="17" t="str">
        <f>RIGHT(Data!$O17,2)</f>
        <v>PM</v>
      </c>
      <c r="AJ17" s="23" t="str">
        <f>Data!$R17&amp;"-"&amp;WEEKNUM(Data!$C17,1)-WEEKNUM(DATE(YEAR(Data!$C17),MONTH(Data!$C17),1),1)+1</f>
        <v>6-2019-4</v>
      </c>
      <c r="AK17" s="23">
        <f>MONTH(Data!$C17)</f>
        <v>6</v>
      </c>
      <c r="AL17" s="23">
        <f>IFERROR(Data!$F17/Data!$E17,0)</f>
        <v>66.3</v>
      </c>
      <c r="AM17" s="23">
        <f>COUNTIF(Data!$N$2:$N$825,Data!$N17)</f>
        <v>35</v>
      </c>
      <c r="AN17" s="23" t="str">
        <f>VLOOKUP(Data!$N17,'Helpful Tables'!A:D,4,FALSE)</f>
        <v>Virginia</v>
      </c>
      <c r="AO17" s="23">
        <f>COUNTIF(AN:AN,Data!$AN17)/COUNTA(AN:AN)</f>
        <v>6.424242424242424E-2</v>
      </c>
      <c r="AP17" s="23">
        <v>38.881884999999997</v>
      </c>
      <c r="AQ17" s="23">
        <v>-77.229702000000003</v>
      </c>
      <c r="AR17" s="23">
        <f>COUNTIF(Data!$P$2:$P$825,Data!$P17)</f>
        <v>13</v>
      </c>
      <c r="AS17" s="23" cm="1">
        <f t="array" ref="AS17">_xlfn.IFS(Data!$E17&lt;12,((Data!$E17/Data!$D17)*60)*1,AND(Data!$E17&gt;=12,Data!$E17&lt;=15),((Data!$E17/Data!$D17)*60)*1.2,AND(Data!$E17&gt;=16,Data!$E17&lt;=19),((Data!$E17/Data!$D17)*60)*1.5,Data!$E17&gt;=20,((Data!$E17/Data!$D17)*60)*1.8)</f>
        <v>10.501750291592744</v>
      </c>
      <c r="AT17" s="23" cm="1">
        <f t="array" ref="AT17">_xlfn.IFS(Data!$F17&lt;600,((Data!$F17/Data!$D17)*60)*1,AND(Data!$F17&gt;=600,Data!$F17&lt;=625),((Data!$F17/Data!$D17)*60)*1.2,AND(Data!$F17&gt;=626,Data!$F17&lt;=650),((Data!$F17/Data!$D17)*60)*1.5,Data!$F17&gt;=651,((Data!$F17/Data!$D17)*60)*1.8)</f>
        <v>1253.278879798678</v>
      </c>
      <c r="AU17" s="23">
        <f>(Data!$I17*-1.2)+(Data!$J17*-1.1)+(Data!$K17*1.2)+(Data!$L17*1.3)+(Data!$M17*1.5)</f>
        <v>-9.6733333324999968</v>
      </c>
      <c r="AV17" s="23">
        <f>(Data!$AS17*0.4)+(Data!$AT17*0.4)+(Data!$AU17*0.2)</f>
        <v>503.5775853696083</v>
      </c>
      <c r="AW17" s="23">
        <f>PERCENTRANK(AV:AV,Data!$AV17)*100</f>
        <v>79.900000000000006</v>
      </c>
      <c r="AX17" s="23" t="str">
        <f>_xlfn.CONCAT(TEXT(C17,"mmm"),"-",Data!$AE17)</f>
        <v>Jun-2019</v>
      </c>
    </row>
    <row r="18" spans="1:50" ht="17" thickTop="1" thickBot="1" x14ac:dyDescent="0.25">
      <c r="A18" s="28">
        <v>17</v>
      </c>
      <c r="B18" s="29">
        <f t="shared" si="0"/>
        <v>10</v>
      </c>
      <c r="C18" s="41">
        <v>43638</v>
      </c>
      <c r="D18" s="30">
        <f>SUM(Data!$I18:$M18)</f>
        <v>61.933333334000004</v>
      </c>
      <c r="E18" s="29">
        <v>9</v>
      </c>
      <c r="F18" s="29">
        <v>702</v>
      </c>
      <c r="G18" s="29">
        <v>130</v>
      </c>
      <c r="H18" s="29">
        <v>167</v>
      </c>
      <c r="I18" s="29">
        <v>12.416666666999999</v>
      </c>
      <c r="J18" s="29">
        <v>22.8</v>
      </c>
      <c r="K18" s="29">
        <v>18.2</v>
      </c>
      <c r="L18" s="29">
        <v>8.5166666670000009</v>
      </c>
      <c r="M18" s="29">
        <v>0</v>
      </c>
      <c r="N18" s="29" t="s">
        <v>40</v>
      </c>
      <c r="O18" s="29" t="s">
        <v>42</v>
      </c>
      <c r="P18" s="29" t="s">
        <v>41</v>
      </c>
      <c r="Q18" s="29">
        <f t="shared" si="6"/>
        <v>2</v>
      </c>
      <c r="R18" s="29" t="str">
        <f t="shared" si="1"/>
        <v>6-2019</v>
      </c>
      <c r="S18" s="29"/>
      <c r="T18" s="29" t="str">
        <f t="shared" si="2"/>
        <v>Saturday</v>
      </c>
      <c r="U18" s="29">
        <f t="shared" si="3"/>
        <v>0</v>
      </c>
      <c r="V18" s="31">
        <f>IFERROR(Data!$I18/Data!$D18,"")</f>
        <v>0.20048439182238442</v>
      </c>
      <c r="W18" s="31">
        <f>IFERROR(Data!$J18/Data!$D18,"")</f>
        <v>0.36813778255793178</v>
      </c>
      <c r="X18" s="31">
        <f>IFERROR(Data!$K18/Data!$D18,"")</f>
        <v>0.29386437028747181</v>
      </c>
      <c r="Y18" s="31">
        <f>IFERROR(Data!$L18/Data!$D18,"")</f>
        <v>0.1375134553322119</v>
      </c>
      <c r="Z18" s="31">
        <f>IFERROR(Data!$M18/Data!$D18,"")</f>
        <v>0</v>
      </c>
      <c r="AA18" s="32">
        <v>232.14</v>
      </c>
      <c r="AB18" s="32">
        <f t="shared" si="9"/>
        <v>23.213999999999999</v>
      </c>
      <c r="AC18" s="29">
        <f t="shared" si="4"/>
        <v>669.6</v>
      </c>
      <c r="AD18" s="29">
        <f t="shared" si="5"/>
        <v>10.199999999999999</v>
      </c>
      <c r="AE18" s="29">
        <f>YEAR(Data!$C18)</f>
        <v>2019</v>
      </c>
      <c r="AF18" s="29"/>
      <c r="AG18" s="29">
        <v>12</v>
      </c>
      <c r="AH18" s="33">
        <f>Data!$F18/Data!$D18</f>
        <v>11.334768568231057</v>
      </c>
      <c r="AI18" s="17" t="str">
        <f>RIGHT(Data!$O18,2)</f>
        <v>AM</v>
      </c>
      <c r="AJ18" s="29" t="str">
        <f>Data!$R18&amp;"-"&amp;WEEKNUM(Data!$C18,1)-WEEKNUM(DATE(YEAR(Data!$C18),MONTH(Data!$C18),1),1)+1</f>
        <v>6-2019-4</v>
      </c>
      <c r="AK18" s="29">
        <f>MONTH(Data!$C18)</f>
        <v>6</v>
      </c>
      <c r="AL18" s="29">
        <f>IFERROR(Data!$F18/Data!$E18,0)</f>
        <v>78</v>
      </c>
      <c r="AM18" s="29">
        <f>COUNTIF(Data!$N$2:$N$825,Data!$N18)</f>
        <v>38</v>
      </c>
      <c r="AN18" s="29" t="str">
        <f>VLOOKUP(Data!$N18,'Helpful Tables'!A:D,4,FALSE)</f>
        <v>Washington, DC</v>
      </c>
      <c r="AO18" s="29">
        <f>COUNTIF(AN:AN,Data!$AN18)/COUNTA(AN:AN)</f>
        <v>0.62424242424242427</v>
      </c>
      <c r="AP18" s="29">
        <v>38.903509999999997</v>
      </c>
      <c r="AQ18" s="29">
        <v>-77.051809000000006</v>
      </c>
      <c r="AR18" s="29">
        <f>COUNTIF(Data!$P$2:$P$825,Data!$P18)</f>
        <v>20</v>
      </c>
      <c r="AS18" s="29" cm="1">
        <f t="array" ref="AS18">_xlfn.IFS(Data!$E18&lt;12,((Data!$E18/Data!$D18)*60)*1,AND(Data!$E18&gt;=12,Data!$E18&lt;=15),((Data!$E18/Data!$D18)*60)*1.2,AND(Data!$E18&gt;=16,Data!$E18&lt;=19),((Data!$E18/Data!$D18)*60)*1.5,Data!$E18&gt;=20,((Data!$E18/Data!$D18)*60)*1.8)</f>
        <v>8.719052744793121</v>
      </c>
      <c r="AT18" s="29" cm="1">
        <f t="array" ref="AT18">_xlfn.IFS(Data!$F18&lt;600,((Data!$F18/Data!$D18)*60)*1,AND(Data!$F18&gt;=600,Data!$F18&lt;=625),((Data!$F18/Data!$D18)*60)*1.2,AND(Data!$F18&gt;=626,Data!$F18&lt;=650),((Data!$F18/Data!$D18)*60)*1.5,Data!$F18&gt;=651,((Data!$F18/Data!$D18)*60)*1.8)</f>
        <v>1224.1550053689543</v>
      </c>
      <c r="AU18" s="29">
        <f>(Data!$I18*-1.2)+(Data!$J18*-1.1)+(Data!$K18*1.2)+(Data!$L18*1.3)+(Data!$M18*1.5)</f>
        <v>-7.0683333332999947</v>
      </c>
      <c r="AV18" s="29">
        <f>(Data!$AS18*0.4)+(Data!$AT18*0.4)+(Data!$AU18*0.2)</f>
        <v>491.73595657883902</v>
      </c>
      <c r="AW18" s="29">
        <f>PERCENTRANK(AV:AV,Data!$AV18)*100</f>
        <v>73.5</v>
      </c>
      <c r="AX18" s="29" t="str">
        <f>_xlfn.CONCAT(TEXT(C18,"mmm"),"-",Data!$AE18)</f>
        <v>Jun-2019</v>
      </c>
    </row>
    <row r="19" spans="1:50" ht="17" thickTop="1" thickBot="1" x14ac:dyDescent="0.25">
      <c r="A19" s="22">
        <v>18</v>
      </c>
      <c r="B19" s="23">
        <f t="shared" si="0"/>
        <v>10</v>
      </c>
      <c r="C19" s="41">
        <v>43641</v>
      </c>
      <c r="D19" s="24">
        <f>SUM(Data!$I19:$M19)</f>
        <v>60.550000000999994</v>
      </c>
      <c r="E19" s="23">
        <v>8</v>
      </c>
      <c r="F19" s="23">
        <v>681</v>
      </c>
      <c r="G19" s="23">
        <v>129</v>
      </c>
      <c r="H19" s="23">
        <v>173</v>
      </c>
      <c r="I19" s="23">
        <v>17.416666667000001</v>
      </c>
      <c r="J19" s="23">
        <v>16.833333332999999</v>
      </c>
      <c r="K19" s="23">
        <v>17.516666666999999</v>
      </c>
      <c r="L19" s="23">
        <v>8.3166666669999998</v>
      </c>
      <c r="M19" s="23">
        <v>0.46666666699999998</v>
      </c>
      <c r="N19" s="23" t="s">
        <v>33</v>
      </c>
      <c r="O19" s="23" t="s">
        <v>39</v>
      </c>
      <c r="P19" s="23" t="s">
        <v>34</v>
      </c>
      <c r="Q19" s="23">
        <f t="shared" si="6"/>
        <v>3</v>
      </c>
      <c r="R19" s="23" t="str">
        <f t="shared" si="1"/>
        <v>6-2019</v>
      </c>
      <c r="S19" s="23" t="s">
        <v>43</v>
      </c>
      <c r="T19" s="23" t="str">
        <f t="shared" si="2"/>
        <v>Tuesday</v>
      </c>
      <c r="U19" s="23">
        <f t="shared" si="3"/>
        <v>0</v>
      </c>
      <c r="V19" s="25">
        <f>IFERROR(Data!$I19/Data!$D19,"")</f>
        <v>0.28764106798864347</v>
      </c>
      <c r="W19" s="25">
        <f>IFERROR(Data!$J19/Data!$D19,"")</f>
        <v>0.27800715660977693</v>
      </c>
      <c r="X19" s="25">
        <f>IFERROR(Data!$K19/Data!$D19,"")</f>
        <v>0.28929259565170451</v>
      </c>
      <c r="Y19" s="25">
        <f>IFERROR(Data!$L19/Data!$D19,"")</f>
        <v>0.13735205065008502</v>
      </c>
      <c r="Z19" s="25">
        <f>IFERROR(Data!$M19/Data!$D19,"")</f>
        <v>7.7071290997901389E-3</v>
      </c>
      <c r="AA19" s="26">
        <v>232.14</v>
      </c>
      <c r="AB19" s="26">
        <f t="shared" si="9"/>
        <v>23.213999999999999</v>
      </c>
      <c r="AC19" s="23">
        <f t="shared" si="4"/>
        <v>669.6</v>
      </c>
      <c r="AD19" s="23">
        <f t="shared" si="5"/>
        <v>10.199999999999999</v>
      </c>
      <c r="AE19" s="23">
        <f>YEAR(Data!$C19)</f>
        <v>2019</v>
      </c>
      <c r="AF19" s="23"/>
      <c r="AG19" s="23">
        <v>12</v>
      </c>
      <c r="AH19" s="27">
        <f>Data!$F19/Data!$D19</f>
        <v>11.246903385445965</v>
      </c>
      <c r="AI19" s="17" t="str">
        <f>RIGHT(Data!$O19,2)</f>
        <v>PM</v>
      </c>
      <c r="AJ19" s="23" t="str">
        <f>Data!$R19&amp;"-"&amp;WEEKNUM(Data!$C19,1)-WEEKNUM(DATE(YEAR(Data!$C19),MONTH(Data!$C19),1),1)+1</f>
        <v>6-2019-5</v>
      </c>
      <c r="AK19" s="23">
        <f>MONTH(Data!$C19)</f>
        <v>6</v>
      </c>
      <c r="AL19" s="23">
        <f>IFERROR(Data!$F19/Data!$E19,0)</f>
        <v>85.125</v>
      </c>
      <c r="AM19" s="23">
        <f>COUNTIF(Data!$N$2:$N$825,Data!$N19)</f>
        <v>48</v>
      </c>
      <c r="AN19" s="23" t="str">
        <f>VLOOKUP(Data!$N19,'Helpful Tables'!A:D,4,FALSE)</f>
        <v>Washington, DC</v>
      </c>
      <c r="AO19" s="23">
        <f>COUNTIF(AN:AN,Data!$AN19)/COUNTA(AN:AN)</f>
        <v>0.62424242424242427</v>
      </c>
      <c r="AP19" s="23">
        <v>38.916486999999996</v>
      </c>
      <c r="AQ19" s="23">
        <v>-77.031514000000001</v>
      </c>
      <c r="AR19" s="23">
        <f>COUNTIF(Data!$P$2:$P$825,Data!$P19)</f>
        <v>30</v>
      </c>
      <c r="AS19" s="23" cm="1">
        <f t="array" ref="AS19">_xlfn.IFS(Data!$E19&lt;12,((Data!$E19/Data!$D19)*60)*1,AND(Data!$E19&gt;=12,Data!$E19&lt;=15),((Data!$E19/Data!$D19)*60)*1.2,AND(Data!$E19&gt;=16,Data!$E19&lt;=19),((Data!$E19/Data!$D19)*60)*1.5,Data!$E19&gt;=20,((Data!$E19/Data!$D19)*60)*1.8)</f>
        <v>7.9273327826931919</v>
      </c>
      <c r="AT19" s="23" cm="1">
        <f t="array" ref="AT19">_xlfn.IFS(Data!$F19&lt;600,((Data!$F19/Data!$D19)*60)*1,AND(Data!$F19&gt;=600,Data!$F19&lt;=625),((Data!$F19/Data!$D19)*60)*1.2,AND(Data!$F19&gt;=626,Data!$F19&lt;=650),((Data!$F19/Data!$D19)*60)*1.5,Data!$F19&gt;=651,((Data!$F19/Data!$D19)*60)*1.8)</f>
        <v>1214.6655656281641</v>
      </c>
      <c r="AU19" s="23">
        <f>(Data!$I19*-1.2)+(Data!$J19*-1.1)+(Data!$K19*1.2)+(Data!$L19*1.3)+(Data!$M19*1.5)</f>
        <v>-6.8849999987000023</v>
      </c>
      <c r="AV19" s="23">
        <f>(Data!$AS19*0.4)+(Data!$AT19*0.4)+(Data!$AU19*0.2)</f>
        <v>487.66015936460298</v>
      </c>
      <c r="AW19" s="23">
        <f>PERCENTRANK(AV:AV,Data!$AV19)*100</f>
        <v>71.3</v>
      </c>
      <c r="AX19" s="23" t="str">
        <f>_xlfn.CONCAT(TEXT(C19,"mmm"),"-",Data!$AE19)</f>
        <v>Jun-2019</v>
      </c>
    </row>
    <row r="20" spans="1:50" ht="17" thickTop="1" thickBot="1" x14ac:dyDescent="0.25">
      <c r="A20" s="28">
        <v>19</v>
      </c>
      <c r="B20" s="29">
        <f t="shared" si="0"/>
        <v>10</v>
      </c>
      <c r="C20" s="41">
        <v>43643</v>
      </c>
      <c r="D20" s="30">
        <f>SUM(Data!$I20:$M20)</f>
        <v>56</v>
      </c>
      <c r="E20" s="29">
        <v>10</v>
      </c>
      <c r="F20" s="29">
        <v>684</v>
      </c>
      <c r="G20" s="29">
        <v>135</v>
      </c>
      <c r="H20" s="29">
        <v>170</v>
      </c>
      <c r="I20" s="29">
        <v>6.3666666669999996</v>
      </c>
      <c r="J20" s="29">
        <v>19.45</v>
      </c>
      <c r="K20" s="29">
        <v>20.433333333</v>
      </c>
      <c r="L20" s="29">
        <v>9.75</v>
      </c>
      <c r="M20" s="29">
        <v>0</v>
      </c>
      <c r="N20" s="29" t="s">
        <v>24</v>
      </c>
      <c r="O20" s="29" t="s">
        <v>26</v>
      </c>
      <c r="P20" s="29" t="s">
        <v>25</v>
      </c>
      <c r="Q20" s="29">
        <f t="shared" si="6"/>
        <v>2</v>
      </c>
      <c r="R20" s="29" t="str">
        <f t="shared" si="1"/>
        <v>6-2019</v>
      </c>
      <c r="S20" s="29" t="s">
        <v>44</v>
      </c>
      <c r="T20" s="29" t="str">
        <f t="shared" si="2"/>
        <v>Thursday</v>
      </c>
      <c r="U20" s="29">
        <f t="shared" si="3"/>
        <v>0</v>
      </c>
      <c r="V20" s="31">
        <f>IFERROR(Data!$I20/Data!$D20,"")</f>
        <v>0.11369047619642857</v>
      </c>
      <c r="W20" s="31">
        <f>IFERROR(Data!$J20/Data!$D20,"")</f>
        <v>0.34732142857142856</v>
      </c>
      <c r="X20" s="31">
        <f>IFERROR(Data!$K20/Data!$D20,"")</f>
        <v>0.36488095237500001</v>
      </c>
      <c r="Y20" s="31">
        <f>IFERROR(Data!$L20/Data!$D20,"")</f>
        <v>0.17410714285714285</v>
      </c>
      <c r="Z20" s="31">
        <f>IFERROR(Data!$M20/Data!$D20,"")</f>
        <v>0</v>
      </c>
      <c r="AA20" s="32">
        <v>232.14</v>
      </c>
      <c r="AB20" s="32">
        <f t="shared" si="9"/>
        <v>23.213999999999999</v>
      </c>
      <c r="AC20" s="29">
        <f t="shared" si="4"/>
        <v>669.6</v>
      </c>
      <c r="AD20" s="29">
        <f t="shared" si="5"/>
        <v>10.199999999999999</v>
      </c>
      <c r="AE20" s="29">
        <f>YEAR(Data!$C20)</f>
        <v>2019</v>
      </c>
      <c r="AF20" s="29"/>
      <c r="AG20" s="29">
        <v>12</v>
      </c>
      <c r="AH20" s="33">
        <f>Data!$F20/Data!$D20</f>
        <v>12.214285714285714</v>
      </c>
      <c r="AI20" s="17" t="str">
        <f>RIGHT(Data!$O20,2)</f>
        <v>PM</v>
      </c>
      <c r="AJ20" s="29" t="str">
        <f>Data!$R20&amp;"-"&amp;WEEKNUM(Data!$C20,1)-WEEKNUM(DATE(YEAR(Data!$C20),MONTH(Data!$C20),1),1)+1</f>
        <v>6-2019-5</v>
      </c>
      <c r="AK20" s="29">
        <f>MONTH(Data!$C20)</f>
        <v>6</v>
      </c>
      <c r="AL20" s="29">
        <f>IFERROR(Data!$F20/Data!$E20,0)</f>
        <v>68.400000000000006</v>
      </c>
      <c r="AM20" s="29">
        <f>COUNTIF(Data!$N$2:$N$825,Data!$N20)</f>
        <v>35</v>
      </c>
      <c r="AN20" s="29" t="str">
        <f>VLOOKUP(Data!$N20,'Helpful Tables'!A:D,4,FALSE)</f>
        <v>Virginia</v>
      </c>
      <c r="AO20" s="29">
        <f>COUNTIF(AN:AN,Data!$AN20)/COUNTA(AN:AN)</f>
        <v>6.424242424242424E-2</v>
      </c>
      <c r="AP20" s="29">
        <v>38.881884999999997</v>
      </c>
      <c r="AQ20" s="29">
        <v>-77.229702000000003</v>
      </c>
      <c r="AR20" s="29">
        <f>COUNTIF(Data!$P$2:$P$825,Data!$P20)</f>
        <v>13</v>
      </c>
      <c r="AS20" s="29" cm="1">
        <f t="array" ref="AS20">_xlfn.IFS(Data!$E20&lt;12,((Data!$E20/Data!$D20)*60)*1,AND(Data!$E20&gt;=12,Data!$E20&lt;=15),((Data!$E20/Data!$D20)*60)*1.2,AND(Data!$E20&gt;=16,Data!$E20&lt;=19),((Data!$E20/Data!$D20)*60)*1.5,Data!$E20&gt;=20,((Data!$E20/Data!$D20)*60)*1.8)</f>
        <v>10.714285714285715</v>
      </c>
      <c r="AT20" s="29" cm="1">
        <f t="array" ref="AT20">_xlfn.IFS(Data!$F20&lt;600,((Data!$F20/Data!$D20)*60)*1,AND(Data!$F20&gt;=600,Data!$F20&lt;=625),((Data!$F20/Data!$D20)*60)*1.2,AND(Data!$F20&gt;=626,Data!$F20&lt;=650),((Data!$F20/Data!$D20)*60)*1.5,Data!$F20&gt;=651,((Data!$F20/Data!$D20)*60)*1.8)</f>
        <v>1319.1428571428571</v>
      </c>
      <c r="AU20" s="29">
        <f>(Data!$I20*-1.2)+(Data!$J20*-1.1)+(Data!$K20*1.2)+(Data!$L20*1.3)+(Data!$M20*1.5)</f>
        <v>8.1599999992000036</v>
      </c>
      <c r="AV20" s="29">
        <f>(Data!$AS20*0.4)+(Data!$AT20*0.4)+(Data!$AU20*0.2)</f>
        <v>533.57485714269717</v>
      </c>
      <c r="AW20" s="29">
        <f>PERCENTRANK(AV:AV,Data!$AV20)*100</f>
        <v>94.6</v>
      </c>
      <c r="AX20" s="29" t="str">
        <f>_xlfn.CONCAT(TEXT(C20,"mmm"),"-",Data!$AE20)</f>
        <v>Jun-2019</v>
      </c>
    </row>
    <row r="21" spans="1:50" ht="17" thickTop="1" thickBot="1" x14ac:dyDescent="0.25">
      <c r="A21" s="22">
        <v>20</v>
      </c>
      <c r="B21" s="23">
        <f t="shared" si="0"/>
        <v>10</v>
      </c>
      <c r="C21" s="41">
        <v>43645</v>
      </c>
      <c r="D21" s="24">
        <f>SUM(Data!$I21:$M21)</f>
        <v>55.833333332999999</v>
      </c>
      <c r="E21" s="23">
        <v>9</v>
      </c>
      <c r="F21" s="23">
        <v>661</v>
      </c>
      <c r="G21" s="23">
        <v>133</v>
      </c>
      <c r="H21" s="23">
        <v>170</v>
      </c>
      <c r="I21" s="23">
        <v>8.3833333329999995</v>
      </c>
      <c r="J21" s="23">
        <v>19.266666666999999</v>
      </c>
      <c r="K21" s="23">
        <v>19.533333333000002</v>
      </c>
      <c r="L21" s="23">
        <v>8.65</v>
      </c>
      <c r="M21" s="23">
        <v>0</v>
      </c>
      <c r="N21" s="23" t="s">
        <v>33</v>
      </c>
      <c r="O21" s="23" t="s">
        <v>45</v>
      </c>
      <c r="P21" s="23" t="s">
        <v>34</v>
      </c>
      <c r="Q21" s="23">
        <f t="shared" si="6"/>
        <v>2</v>
      </c>
      <c r="R21" s="23" t="str">
        <f t="shared" si="1"/>
        <v>6-2019</v>
      </c>
      <c r="S21" s="23"/>
      <c r="T21" s="23" t="str">
        <f t="shared" si="2"/>
        <v>Saturday</v>
      </c>
      <c r="U21" s="23">
        <f t="shared" si="3"/>
        <v>0</v>
      </c>
      <c r="V21" s="25">
        <f>IFERROR(Data!$I21/Data!$D21,"")</f>
        <v>0.15014925372626955</v>
      </c>
      <c r="W21" s="25">
        <f>IFERROR(Data!$J21/Data!$D21,"")</f>
        <v>0.34507462687370194</v>
      </c>
      <c r="X21" s="25">
        <f>IFERROR(Data!$K21/Data!$D21,"")</f>
        <v>0.34985074626477525</v>
      </c>
      <c r="Y21" s="25">
        <f>IFERROR(Data!$L21/Data!$D21,"")</f>
        <v>0.15492537313525329</v>
      </c>
      <c r="Z21" s="25">
        <f>IFERROR(Data!$M21/Data!$D21,"")</f>
        <v>0</v>
      </c>
      <c r="AA21" s="26">
        <v>232.14</v>
      </c>
      <c r="AB21" s="26">
        <f t="shared" si="9"/>
        <v>23.213999999999999</v>
      </c>
      <c r="AC21" s="23">
        <f t="shared" si="4"/>
        <v>669.6</v>
      </c>
      <c r="AD21" s="23">
        <f t="shared" si="5"/>
        <v>10.199999999999999</v>
      </c>
      <c r="AE21" s="23">
        <f>YEAR(Data!$C21)</f>
        <v>2019</v>
      </c>
      <c r="AF21" s="23"/>
      <c r="AG21" s="23">
        <v>12</v>
      </c>
      <c r="AH21" s="27">
        <f>Data!$F21/Data!$D21</f>
        <v>11.838805970219934</v>
      </c>
      <c r="AI21" s="17" t="str">
        <f>RIGHT(Data!$O21,2)</f>
        <v>AM</v>
      </c>
      <c r="AJ21" s="23" t="str">
        <f>Data!$R21&amp;"-"&amp;WEEKNUM(Data!$C21,1)-WEEKNUM(DATE(YEAR(Data!$C21),MONTH(Data!$C21),1),1)+1</f>
        <v>6-2019-5</v>
      </c>
      <c r="AK21" s="23">
        <f>MONTH(Data!$C21)</f>
        <v>6</v>
      </c>
      <c r="AL21" s="23">
        <f>IFERROR(Data!$F21/Data!$E21,0)</f>
        <v>73.444444444444443</v>
      </c>
      <c r="AM21" s="23">
        <f>COUNTIF(Data!$N$2:$N$825,Data!$N21)</f>
        <v>48</v>
      </c>
      <c r="AN21" s="23" t="str">
        <f>VLOOKUP(Data!$N21,'Helpful Tables'!A:D,4,FALSE)</f>
        <v>Washington, DC</v>
      </c>
      <c r="AO21" s="23">
        <f>COUNTIF(AN:AN,Data!$AN21)/COUNTA(AN:AN)</f>
        <v>0.62424242424242427</v>
      </c>
      <c r="AP21" s="23">
        <v>38.916486999999996</v>
      </c>
      <c r="AQ21" s="23">
        <v>-77.031514000000001</v>
      </c>
      <c r="AR21" s="23">
        <f>COUNTIF(Data!$P$2:$P$825,Data!$P21)</f>
        <v>30</v>
      </c>
      <c r="AS21" s="23" cm="1">
        <f t="array" ref="AS21">_xlfn.IFS(Data!$E21&lt;12,((Data!$E21/Data!$D21)*60)*1,AND(Data!$E21&gt;=12,Data!$E21&lt;=15),((Data!$E21/Data!$D21)*60)*1.2,AND(Data!$E21&gt;=16,Data!$E21&lt;=19),((Data!$E21/Data!$D21)*60)*1.5,Data!$E21&gt;=20,((Data!$E21/Data!$D21)*60)*1.8)</f>
        <v>9.6716417911025179</v>
      </c>
      <c r="AT21" s="23" cm="1">
        <f t="array" ref="AT21">_xlfn.IFS(Data!$F21&lt;600,((Data!$F21/Data!$D21)*60)*1,AND(Data!$F21&gt;=600,Data!$F21&lt;=625),((Data!$F21/Data!$D21)*60)*1.2,AND(Data!$F21&gt;=626,Data!$F21&lt;=650),((Data!$F21/Data!$D21)*60)*1.5,Data!$F21&gt;=651,((Data!$F21/Data!$D21)*60)*1.8)</f>
        <v>1278.5910447837527</v>
      </c>
      <c r="AU21" s="23">
        <f>(Data!$I21*-1.2)+(Data!$J21*-1.1)+(Data!$K21*1.2)+(Data!$L21*1.3)+(Data!$M21*1.5)</f>
        <v>3.4316666663000035</v>
      </c>
      <c r="AV21" s="23">
        <f>(Data!$AS21*0.4)+(Data!$AT21*0.4)+(Data!$AU21*0.2)</f>
        <v>515.99140796320216</v>
      </c>
      <c r="AW21" s="23">
        <f>PERCENTRANK(AV:AV,Data!$AV21)*100</f>
        <v>87.7</v>
      </c>
      <c r="AX21" s="23" t="str">
        <f>_xlfn.CONCAT(TEXT(C21,"mmm"),"-",Data!$AE21)</f>
        <v>Jun-2019</v>
      </c>
    </row>
    <row r="22" spans="1:50" ht="17" thickTop="1" thickBot="1" x14ac:dyDescent="0.25">
      <c r="A22" s="28">
        <v>21</v>
      </c>
      <c r="B22" s="29">
        <f t="shared" si="0"/>
        <v>11</v>
      </c>
      <c r="C22" s="41">
        <v>43648</v>
      </c>
      <c r="D22" s="30">
        <f>SUM(Data!$I22:$M22)</f>
        <v>56.349999999999994</v>
      </c>
      <c r="E22" s="29">
        <v>17</v>
      </c>
      <c r="F22" s="29">
        <v>650</v>
      </c>
      <c r="G22" s="29">
        <v>132</v>
      </c>
      <c r="H22" s="29">
        <v>171</v>
      </c>
      <c r="I22" s="29">
        <v>8.1</v>
      </c>
      <c r="J22" s="29">
        <v>16.766666666999999</v>
      </c>
      <c r="K22" s="29">
        <v>14.9</v>
      </c>
      <c r="L22" s="29">
        <v>8.9333333330000002</v>
      </c>
      <c r="M22" s="29">
        <v>7.65</v>
      </c>
      <c r="N22" s="29" t="s">
        <v>33</v>
      </c>
      <c r="O22" s="29" t="s">
        <v>39</v>
      </c>
      <c r="P22" s="29" t="s">
        <v>34</v>
      </c>
      <c r="Q22" s="29">
        <f t="shared" si="6"/>
        <v>3</v>
      </c>
      <c r="R22" s="29" t="str">
        <f t="shared" si="1"/>
        <v>7-2019</v>
      </c>
      <c r="S22" s="29" t="s">
        <v>43</v>
      </c>
      <c r="T22" s="29" t="str">
        <f t="shared" si="2"/>
        <v>Tuesday</v>
      </c>
      <c r="U22" s="29">
        <f t="shared" si="3"/>
        <v>1</v>
      </c>
      <c r="V22" s="31">
        <f>IFERROR(Data!$I22/Data!$D22,"")</f>
        <v>0.14374445430346053</v>
      </c>
      <c r="W22" s="31">
        <f>IFERROR(Data!$J22/Data!$D22,"")</f>
        <v>0.29754510500443659</v>
      </c>
      <c r="X22" s="31">
        <f>IFERROR(Data!$K22/Data!$D22,"")</f>
        <v>0.26441881100266196</v>
      </c>
      <c r="Y22" s="31">
        <f>IFERROR(Data!$L22/Data!$D22,"")</f>
        <v>0.15853297840283942</v>
      </c>
      <c r="Z22" s="31">
        <f>IFERROR(Data!$M22/Data!$D22,"")</f>
        <v>0.13575865128660161</v>
      </c>
      <c r="AA22" s="32">
        <v>232.14</v>
      </c>
      <c r="AB22" s="32">
        <f t="shared" si="9"/>
        <v>21.103636363636362</v>
      </c>
      <c r="AC22" s="29">
        <f t="shared" si="4"/>
        <v>649.63636363636363</v>
      </c>
      <c r="AD22" s="29">
        <f t="shared" si="5"/>
        <v>15.636363636363637</v>
      </c>
      <c r="AE22" s="29">
        <f>YEAR(Data!$C22)</f>
        <v>2019</v>
      </c>
      <c r="AF22" s="29"/>
      <c r="AG22" s="29">
        <v>12</v>
      </c>
      <c r="AH22" s="33">
        <f>Data!$F22/Data!$D22</f>
        <v>11.535048802129548</v>
      </c>
      <c r="AI22" s="17" t="str">
        <f>RIGHT(Data!$O22,2)</f>
        <v>PM</v>
      </c>
      <c r="AJ22" s="29" t="str">
        <f>Data!$R22&amp;"-"&amp;WEEKNUM(Data!$C22,1)-WEEKNUM(DATE(YEAR(Data!$C22),MONTH(Data!$C22),1),1)+1</f>
        <v>7-2019-1</v>
      </c>
      <c r="AK22" s="29">
        <f>MONTH(Data!$C22)</f>
        <v>7</v>
      </c>
      <c r="AL22" s="29">
        <f>IFERROR(Data!$F22/Data!$E22,0)</f>
        <v>38.235294117647058</v>
      </c>
      <c r="AM22" s="29">
        <f>COUNTIF(Data!$N$2:$N$825,Data!$N22)</f>
        <v>48</v>
      </c>
      <c r="AN22" s="29" t="str">
        <f>VLOOKUP(Data!$N22,'Helpful Tables'!A:D,4,FALSE)</f>
        <v>Washington, DC</v>
      </c>
      <c r="AO22" s="29">
        <f>COUNTIF(AN:AN,Data!$AN22)/COUNTA(AN:AN)</f>
        <v>0.62424242424242427</v>
      </c>
      <c r="AP22" s="29">
        <v>38.916486999999996</v>
      </c>
      <c r="AQ22" s="29">
        <v>-77.031514000000001</v>
      </c>
      <c r="AR22" s="29">
        <f>COUNTIF(Data!$P$2:$P$825,Data!$P22)</f>
        <v>30</v>
      </c>
      <c r="AS22" s="29" cm="1">
        <f t="array" ref="AS22">_xlfn.IFS(Data!$E22&lt;12,((Data!$E22/Data!$D22)*60)*1,AND(Data!$E22&gt;=12,Data!$E22&lt;=15),((Data!$E22/Data!$D22)*60)*1.2,AND(Data!$E22&gt;=16,Data!$E22&lt;=19),((Data!$E22/Data!$D22)*60)*1.5,Data!$E22&gt;=20,((Data!$E22/Data!$D22)*60)*1.8)</f>
        <v>27.151730257320324</v>
      </c>
      <c r="AT22" s="29" cm="1">
        <f t="array" ref="AT22">_xlfn.IFS(Data!$F22&lt;600,((Data!$F22/Data!$D22)*60)*1,AND(Data!$F22&gt;=600,Data!$F22&lt;=625),((Data!$F22/Data!$D22)*60)*1.2,AND(Data!$F22&gt;=626,Data!$F22&lt;=650),((Data!$F22/Data!$D22)*60)*1.5,Data!$F22&gt;=651,((Data!$F22/Data!$D22)*60)*1.8)</f>
        <v>1038.1543921916593</v>
      </c>
      <c r="AU22" s="29">
        <f>(Data!$I22*-1.2)+(Data!$J22*-1.1)+(Data!$K22*1.2)+(Data!$L22*1.3)+(Data!$M22*1.5)</f>
        <v>12.804999999200001</v>
      </c>
      <c r="AV22" s="29">
        <f>(Data!$AS22*0.4)+(Data!$AT22*0.4)+(Data!$AU22*0.2)</f>
        <v>428.68344897943189</v>
      </c>
      <c r="AW22" s="29">
        <f>PERCENTRANK(AV:AV,Data!$AV22)*100</f>
        <v>64</v>
      </c>
      <c r="AX22" s="29" t="str">
        <f>_xlfn.CONCAT(TEXT(C22,"mmm"),"-",Data!$AE22)</f>
        <v>Jul-2019</v>
      </c>
    </row>
    <row r="23" spans="1:50" ht="17" thickTop="1" thickBot="1" x14ac:dyDescent="0.25">
      <c r="A23" s="22">
        <v>22</v>
      </c>
      <c r="B23" s="23">
        <f t="shared" si="0"/>
        <v>11</v>
      </c>
      <c r="C23" s="41">
        <v>43649</v>
      </c>
      <c r="D23" s="24">
        <f>SUM(Data!$I23:$M23)</f>
        <v>62.283333333999998</v>
      </c>
      <c r="E23" s="23">
        <v>12</v>
      </c>
      <c r="F23" s="23">
        <v>701</v>
      </c>
      <c r="G23" s="23">
        <v>129</v>
      </c>
      <c r="H23" s="23">
        <v>165</v>
      </c>
      <c r="I23" s="23">
        <v>10.65</v>
      </c>
      <c r="J23" s="23">
        <v>15.216666667</v>
      </c>
      <c r="K23" s="23">
        <v>23.816666667</v>
      </c>
      <c r="L23" s="23">
        <v>11.35</v>
      </c>
      <c r="M23" s="23">
        <v>1.25</v>
      </c>
      <c r="N23" s="23" t="s">
        <v>33</v>
      </c>
      <c r="O23" s="23" t="s">
        <v>39</v>
      </c>
      <c r="P23" s="23" t="s">
        <v>46</v>
      </c>
      <c r="Q23" s="23">
        <f t="shared" si="6"/>
        <v>1</v>
      </c>
      <c r="R23" s="23" t="str">
        <f t="shared" si="1"/>
        <v>7-2019</v>
      </c>
      <c r="S23" s="23" t="s">
        <v>43</v>
      </c>
      <c r="T23" s="23" t="str">
        <f t="shared" si="2"/>
        <v>Wednesday</v>
      </c>
      <c r="U23" s="23">
        <f t="shared" si="3"/>
        <v>1</v>
      </c>
      <c r="V23" s="25">
        <f>IFERROR(Data!$I23/Data!$D23,"")</f>
        <v>0.17099277495134074</v>
      </c>
      <c r="W23" s="25">
        <f>IFERROR(Data!$J23/Data!$D23,"")</f>
        <v>0.24431362055398112</v>
      </c>
      <c r="X23" s="25">
        <f>IFERROR(Data!$K23/Data!$D23,"")</f>
        <v>0.38239229328464125</v>
      </c>
      <c r="Y23" s="25">
        <f>IFERROR(Data!$L23/Data!$D23,"")</f>
        <v>0.18223173668523165</v>
      </c>
      <c r="Z23" s="25">
        <f>IFERROR(Data!$M23/Data!$D23,"")</f>
        <v>2.0069574524805251E-2</v>
      </c>
      <c r="AA23" s="26">
        <v>232.14</v>
      </c>
      <c r="AB23" s="26">
        <f t="shared" si="9"/>
        <v>21.103636363636362</v>
      </c>
      <c r="AC23" s="23">
        <f t="shared" si="4"/>
        <v>649.63636363636363</v>
      </c>
      <c r="AD23" s="23">
        <f t="shared" si="5"/>
        <v>15.636363636363637</v>
      </c>
      <c r="AE23" s="23">
        <f>YEAR(Data!$C23)</f>
        <v>2019</v>
      </c>
      <c r="AF23" s="23"/>
      <c r="AG23" s="23">
        <v>12</v>
      </c>
      <c r="AH23" s="27">
        <f>Data!$F23/Data!$D23</f>
        <v>11.255017393510784</v>
      </c>
      <c r="AI23" s="17" t="str">
        <f>RIGHT(Data!$O23,2)</f>
        <v>PM</v>
      </c>
      <c r="AJ23" s="23" t="str">
        <f>Data!$R23&amp;"-"&amp;WEEKNUM(Data!$C23,1)-WEEKNUM(DATE(YEAR(Data!$C23),MONTH(Data!$C23),1),1)+1</f>
        <v>7-2019-1</v>
      </c>
      <c r="AK23" s="23">
        <f>MONTH(Data!$C23)</f>
        <v>7</v>
      </c>
      <c r="AL23" s="23">
        <f>IFERROR(Data!$F23/Data!$E23,0)</f>
        <v>58.416666666666664</v>
      </c>
      <c r="AM23" s="23">
        <f>COUNTIF(Data!$N$2:$N$825,Data!$N23)</f>
        <v>48</v>
      </c>
      <c r="AN23" s="23" t="str">
        <f>VLOOKUP(Data!$N23,'Helpful Tables'!A:D,4,FALSE)</f>
        <v>Washington, DC</v>
      </c>
      <c r="AO23" s="23">
        <f>COUNTIF(AN:AN,Data!$AN23)/COUNTA(AN:AN)</f>
        <v>0.62424242424242427</v>
      </c>
      <c r="AP23" s="23">
        <v>38.916486999999996</v>
      </c>
      <c r="AQ23" s="23">
        <v>-77.031514000000001</v>
      </c>
      <c r="AR23" s="23">
        <f>COUNTIF(Data!$P$2:$P$825,Data!$P23)</f>
        <v>1</v>
      </c>
      <c r="AS23" s="23" cm="1">
        <f t="array" ref="AS23">_xlfn.IFS(Data!$E23&lt;12,((Data!$E23/Data!$D23)*60)*1,AND(Data!$E23&gt;=12,Data!$E23&lt;=15),((Data!$E23/Data!$D23)*60)*1.2,AND(Data!$E23&gt;=16,Data!$E23&lt;=19),((Data!$E23/Data!$D23)*60)*1.5,Data!$E23&gt;=20,((Data!$E23/Data!$D23)*60)*1.8)</f>
        <v>13.872089911545388</v>
      </c>
      <c r="AT23" s="23" cm="1">
        <f t="array" ref="AT23">_xlfn.IFS(Data!$F23&lt;600,((Data!$F23/Data!$D23)*60)*1,AND(Data!$F23&gt;=600,Data!$F23&lt;=625),((Data!$F23/Data!$D23)*60)*1.2,AND(Data!$F23&gt;=626,Data!$F23&lt;=650),((Data!$F23/Data!$D23)*60)*1.5,Data!$F23&gt;=651,((Data!$F23/Data!$D23)*60)*1.8)</f>
        <v>1215.5418784991646</v>
      </c>
      <c r="AU23" s="23">
        <f>(Data!$I23*-1.2)+(Data!$J23*-1.1)+(Data!$K23*1.2)+(Data!$L23*1.3)+(Data!$M23*1.5)</f>
        <v>15.6916666667</v>
      </c>
      <c r="AV23" s="23">
        <f>(Data!$AS23*0.4)+(Data!$AT23*0.4)+(Data!$AU23*0.2)</f>
        <v>494.90392069762402</v>
      </c>
      <c r="AW23" s="23">
        <f>PERCENTRANK(AV:AV,Data!$AV23)*100</f>
        <v>74.5</v>
      </c>
      <c r="AX23" s="23" t="str">
        <f>_xlfn.CONCAT(TEXT(C23,"mmm"),"-",Data!$AE23)</f>
        <v>Jul-2019</v>
      </c>
    </row>
    <row r="24" spans="1:50" ht="17" thickTop="1" thickBot="1" x14ac:dyDescent="0.25">
      <c r="A24" s="28">
        <v>23</v>
      </c>
      <c r="B24" s="29">
        <f t="shared" si="0"/>
        <v>11</v>
      </c>
      <c r="C24" s="41">
        <v>43654</v>
      </c>
      <c r="D24" s="30">
        <f>SUM(Data!$I24:$M24)</f>
        <v>59.583333334000002</v>
      </c>
      <c r="E24" s="29">
        <v>20</v>
      </c>
      <c r="F24" s="29">
        <v>639</v>
      </c>
      <c r="G24" s="29">
        <v>126</v>
      </c>
      <c r="H24" s="29">
        <v>171</v>
      </c>
      <c r="I24" s="29">
        <v>20.149999999999999</v>
      </c>
      <c r="J24" s="29">
        <v>11.666666666999999</v>
      </c>
      <c r="K24" s="29">
        <v>8.0166666670000009</v>
      </c>
      <c r="L24" s="29">
        <v>13.566666667</v>
      </c>
      <c r="M24" s="29">
        <v>6.1833333330000002</v>
      </c>
      <c r="N24" s="29" t="s">
        <v>40</v>
      </c>
      <c r="O24" s="29" t="s">
        <v>26</v>
      </c>
      <c r="P24" s="29" t="s">
        <v>41</v>
      </c>
      <c r="Q24" s="29">
        <f t="shared" si="6"/>
        <v>5</v>
      </c>
      <c r="R24" s="29" t="str">
        <f t="shared" si="1"/>
        <v>7-2019</v>
      </c>
      <c r="S24" s="29" t="s">
        <v>47</v>
      </c>
      <c r="T24" s="29" t="str">
        <f t="shared" si="2"/>
        <v>Monday</v>
      </c>
      <c r="U24" s="29">
        <f t="shared" si="3"/>
        <v>1</v>
      </c>
      <c r="V24" s="31">
        <f>IFERROR(Data!$I24/Data!$D24,"")</f>
        <v>0.33818181817803428</v>
      </c>
      <c r="W24" s="31">
        <f>IFERROR(Data!$J24/Data!$D24,"")</f>
        <v>0.19580419580759936</v>
      </c>
      <c r="X24" s="31">
        <f>IFERROR(Data!$K24/Data!$D24,"")</f>
        <v>0.13454545454954356</v>
      </c>
      <c r="Y24" s="31">
        <f>IFERROR(Data!$L24/Data!$D24,"")</f>
        <v>0.22769230769535448</v>
      </c>
      <c r="Z24" s="31">
        <f>IFERROR(Data!$M24/Data!$D24,"")</f>
        <v>0.10377622376946824</v>
      </c>
      <c r="AA24" s="32">
        <v>232.14</v>
      </c>
      <c r="AB24" s="32">
        <f t="shared" si="9"/>
        <v>21.103636363636362</v>
      </c>
      <c r="AC24" s="29">
        <f t="shared" si="4"/>
        <v>649.63636363636363</v>
      </c>
      <c r="AD24" s="29">
        <f t="shared" si="5"/>
        <v>15.636363636363637</v>
      </c>
      <c r="AE24" s="29">
        <f>YEAR(Data!$C24)</f>
        <v>2019</v>
      </c>
      <c r="AF24" s="29"/>
      <c r="AG24" s="29">
        <v>12</v>
      </c>
      <c r="AH24" s="33">
        <f>Data!$F24/Data!$D24</f>
        <v>10.72447552435553</v>
      </c>
      <c r="AI24" s="17" t="str">
        <f>RIGHT(Data!$O24,2)</f>
        <v>PM</v>
      </c>
      <c r="AJ24" s="29" t="str">
        <f>Data!$R24&amp;"-"&amp;WEEKNUM(Data!$C24,1)-WEEKNUM(DATE(YEAR(Data!$C24),MONTH(Data!$C24),1),1)+1</f>
        <v>7-2019-2</v>
      </c>
      <c r="AK24" s="29">
        <f>MONTH(Data!$C24)</f>
        <v>7</v>
      </c>
      <c r="AL24" s="29">
        <f>IFERROR(Data!$F24/Data!$E24,0)</f>
        <v>31.95</v>
      </c>
      <c r="AM24" s="29">
        <f>COUNTIF(Data!$N$2:$N$825,Data!$N24)</f>
        <v>38</v>
      </c>
      <c r="AN24" s="29" t="str">
        <f>VLOOKUP(Data!$N24,'Helpful Tables'!A:D,4,FALSE)</f>
        <v>Washington, DC</v>
      </c>
      <c r="AO24" s="29">
        <f>COUNTIF(AN:AN,Data!$AN24)/COUNTA(AN:AN)</f>
        <v>0.62424242424242427</v>
      </c>
      <c r="AP24" s="29">
        <v>38.903509999999997</v>
      </c>
      <c r="AQ24" s="29">
        <v>-77.051809000000006</v>
      </c>
      <c r="AR24" s="29">
        <f>COUNTIF(Data!$P$2:$P$825,Data!$P24)</f>
        <v>20</v>
      </c>
      <c r="AS24" s="29" cm="1">
        <f t="array" ref="AS24">_xlfn.IFS(Data!$E24&lt;12,((Data!$E24/Data!$D24)*60)*1,AND(Data!$E24&gt;=12,Data!$E24&lt;=15),((Data!$E24/Data!$D24)*60)*1.2,AND(Data!$E24&gt;=16,Data!$E24&lt;=19),((Data!$E24/Data!$D24)*60)*1.5,Data!$E24&gt;=20,((Data!$E24/Data!$D24)*60)*1.8)</f>
        <v>36.25174825134264</v>
      </c>
      <c r="AT24" s="29" cm="1">
        <f t="array" ref="AT24">_xlfn.IFS(Data!$F24&lt;600,((Data!$F24/Data!$D24)*60)*1,AND(Data!$F24&gt;=600,Data!$F24&lt;=625),((Data!$F24/Data!$D24)*60)*1.2,AND(Data!$F24&gt;=626,Data!$F24&lt;=650),((Data!$F24/Data!$D24)*60)*1.5,Data!$F24&gt;=651,((Data!$F24/Data!$D24)*60)*1.8)</f>
        <v>965.20279719199766</v>
      </c>
      <c r="AU24" s="29">
        <f>(Data!$I24*-1.2)+(Data!$J24*-1.1)+(Data!$K24*1.2)+(Data!$L24*1.3)+(Data!$M24*1.5)</f>
        <v>-0.48166666669999358</v>
      </c>
      <c r="AV24" s="29">
        <f>(Data!$AS24*0.4)+(Data!$AT24*0.4)+(Data!$AU24*0.2)</f>
        <v>400.48548484399618</v>
      </c>
      <c r="AW24" s="29">
        <f>PERCENTRANK(AV:AV,Data!$AV24)*100</f>
        <v>52.800000000000004</v>
      </c>
      <c r="AX24" s="29" t="str">
        <f>_xlfn.CONCAT(TEXT(C24,"mmm"),"-",Data!$AE24)</f>
        <v>Jul-2019</v>
      </c>
    </row>
    <row r="25" spans="1:50" ht="17" thickTop="1" thickBot="1" x14ac:dyDescent="0.25">
      <c r="A25" s="22">
        <v>24</v>
      </c>
      <c r="B25" s="23">
        <f t="shared" si="0"/>
        <v>11</v>
      </c>
      <c r="C25" s="41">
        <v>43655</v>
      </c>
      <c r="D25" s="24">
        <f>SUM(Data!$I25:$M25)</f>
        <v>59.533333333000002</v>
      </c>
      <c r="E25" s="23">
        <v>20</v>
      </c>
      <c r="F25" s="23">
        <v>710</v>
      </c>
      <c r="G25" s="23">
        <v>134</v>
      </c>
      <c r="H25" s="23">
        <v>176</v>
      </c>
      <c r="I25" s="23">
        <v>4.4333333330000002</v>
      </c>
      <c r="J25" s="23">
        <v>18.45</v>
      </c>
      <c r="K25" s="23">
        <v>16.5</v>
      </c>
      <c r="L25" s="23">
        <v>17.483333333000001</v>
      </c>
      <c r="M25" s="23">
        <v>2.6666666669999999</v>
      </c>
      <c r="N25" s="23" t="s">
        <v>33</v>
      </c>
      <c r="O25" s="23" t="s">
        <v>39</v>
      </c>
      <c r="P25" s="23" t="s">
        <v>34</v>
      </c>
      <c r="Q25" s="23">
        <f t="shared" si="6"/>
        <v>1</v>
      </c>
      <c r="R25" s="23" t="str">
        <f t="shared" si="1"/>
        <v>7-2019</v>
      </c>
      <c r="S25" s="23" t="s">
        <v>43</v>
      </c>
      <c r="T25" s="23" t="str">
        <f t="shared" si="2"/>
        <v>Tuesday</v>
      </c>
      <c r="U25" s="23">
        <f t="shared" si="3"/>
        <v>1</v>
      </c>
      <c r="V25" s="25">
        <f>IFERROR(Data!$I25/Data!$D25,"")</f>
        <v>7.4468085101200829E-2</v>
      </c>
      <c r="W25" s="25">
        <f>IFERROR(Data!$J25/Data!$D25,"")</f>
        <v>0.30991041433544181</v>
      </c>
      <c r="X25" s="25">
        <f>IFERROR(Data!$K25/Data!$D25,"")</f>
        <v>0.27715565509673656</v>
      </c>
      <c r="Y25" s="25">
        <f>IFERROR(Data!$L25/Data!$D25,"")</f>
        <v>0.29367301231407433</v>
      </c>
      <c r="Z25" s="25">
        <f>IFERROR(Data!$M25/Data!$D25,"")</f>
        <v>4.4792833152546431E-2</v>
      </c>
      <c r="AA25" s="26">
        <v>232.14</v>
      </c>
      <c r="AB25" s="26">
        <f t="shared" si="9"/>
        <v>21.103636363636362</v>
      </c>
      <c r="AC25" s="23">
        <f t="shared" si="4"/>
        <v>649.63636363636363</v>
      </c>
      <c r="AD25" s="23">
        <f t="shared" si="5"/>
        <v>15.636363636363637</v>
      </c>
      <c r="AE25" s="23">
        <f>YEAR(Data!$C25)</f>
        <v>2019</v>
      </c>
      <c r="AF25" s="23"/>
      <c r="AG25" s="23">
        <v>12</v>
      </c>
      <c r="AH25" s="27">
        <f>Data!$F25/Data!$D25</f>
        <v>11.926091825374726</v>
      </c>
      <c r="AI25" s="17" t="str">
        <f>RIGHT(Data!$O25,2)</f>
        <v>PM</v>
      </c>
      <c r="AJ25" s="23" t="str">
        <f>Data!$R25&amp;"-"&amp;WEEKNUM(Data!$C25,1)-WEEKNUM(DATE(YEAR(Data!$C25),MONTH(Data!$C25),1),1)+1</f>
        <v>7-2019-2</v>
      </c>
      <c r="AK25" s="23">
        <f>MONTH(Data!$C25)</f>
        <v>7</v>
      </c>
      <c r="AL25" s="23">
        <f>IFERROR(Data!$F25/Data!$E25,0)</f>
        <v>35.5</v>
      </c>
      <c r="AM25" s="23">
        <f>COUNTIF(Data!$N$2:$N$825,Data!$N25)</f>
        <v>48</v>
      </c>
      <c r="AN25" s="23" t="str">
        <f>VLOOKUP(Data!$N25,'Helpful Tables'!A:D,4,FALSE)</f>
        <v>Washington, DC</v>
      </c>
      <c r="AO25" s="23">
        <f>COUNTIF(AN:AN,Data!$AN25)/COUNTA(AN:AN)</f>
        <v>0.62424242424242427</v>
      </c>
      <c r="AP25" s="23">
        <v>38.916486999999996</v>
      </c>
      <c r="AQ25" s="23">
        <v>-77.031514000000001</v>
      </c>
      <c r="AR25" s="23">
        <f>COUNTIF(Data!$P$2:$P$825,Data!$P25)</f>
        <v>30</v>
      </c>
      <c r="AS25" s="23" cm="1">
        <f t="array" ref="AS25">_xlfn.IFS(Data!$E25&lt;12,((Data!$E25/Data!$D25)*60)*1,AND(Data!$E25&gt;=12,Data!$E25&lt;=15),((Data!$E25/Data!$D25)*60)*1.2,AND(Data!$E25&gt;=16,Data!$E25&lt;=19),((Data!$E25/Data!$D25)*60)*1.5,Data!$E25&gt;=20,((Data!$E25/Data!$D25)*60)*1.8)</f>
        <v>36.282194849027341</v>
      </c>
      <c r="AT25" s="23" cm="1">
        <f t="array" ref="AT25">_xlfn.IFS(Data!$F25&lt;600,((Data!$F25/Data!$D25)*60)*1,AND(Data!$F25&gt;=600,Data!$F25&lt;=625),((Data!$F25/Data!$D25)*60)*1.2,AND(Data!$F25&gt;=626,Data!$F25&lt;=650),((Data!$F25/Data!$D25)*60)*1.5,Data!$F25&gt;=651,((Data!$F25/Data!$D25)*60)*1.8)</f>
        <v>1288.0179171404704</v>
      </c>
      <c r="AU25" s="23">
        <f>(Data!$I25*-1.2)+(Data!$J25*-1.1)+(Data!$K25*1.2)+(Data!$L25*1.3)+(Data!$M25*1.5)</f>
        <v>20.913333333800004</v>
      </c>
      <c r="AV25" s="23">
        <f>(Data!$AS25*0.4)+(Data!$AT25*0.4)+(Data!$AU25*0.2)</f>
        <v>533.90271146255918</v>
      </c>
      <c r="AW25" s="23">
        <f>PERCENTRANK(AV:AV,Data!$AV25)*100</f>
        <v>94.8</v>
      </c>
      <c r="AX25" s="23" t="str">
        <f>_xlfn.CONCAT(TEXT(C25,"mmm"),"-",Data!$AE25)</f>
        <v>Jul-2019</v>
      </c>
    </row>
    <row r="26" spans="1:50" ht="17" thickTop="1" thickBot="1" x14ac:dyDescent="0.25">
      <c r="A26" s="28">
        <v>25</v>
      </c>
      <c r="B26" s="29">
        <f t="shared" si="0"/>
        <v>11</v>
      </c>
      <c r="C26" s="41">
        <v>43663</v>
      </c>
      <c r="D26" s="30">
        <f>SUM(Data!$I26:$M26)</f>
        <v>56.133333332999989</v>
      </c>
      <c r="E26" s="29">
        <v>16</v>
      </c>
      <c r="F26" s="29">
        <v>624</v>
      </c>
      <c r="G26" s="29">
        <v>128</v>
      </c>
      <c r="H26" s="29">
        <v>174</v>
      </c>
      <c r="I26" s="29">
        <v>10.883333332999999</v>
      </c>
      <c r="J26" s="29">
        <v>16.516666666999999</v>
      </c>
      <c r="K26" s="29">
        <v>12.45</v>
      </c>
      <c r="L26" s="29">
        <v>12.483333332999999</v>
      </c>
      <c r="M26" s="29">
        <v>3.8</v>
      </c>
      <c r="N26" s="29" t="s">
        <v>40</v>
      </c>
      <c r="O26" s="29" t="s">
        <v>26</v>
      </c>
      <c r="P26" s="29" t="s">
        <v>37</v>
      </c>
      <c r="Q26" s="29">
        <f t="shared" si="6"/>
        <v>8</v>
      </c>
      <c r="R26" s="29" t="str">
        <f t="shared" si="1"/>
        <v>7-2019</v>
      </c>
      <c r="S26" s="29" t="s">
        <v>47</v>
      </c>
      <c r="T26" s="29" t="str">
        <f t="shared" si="2"/>
        <v>Wednesday</v>
      </c>
      <c r="U26" s="29">
        <f t="shared" si="3"/>
        <v>1</v>
      </c>
      <c r="V26" s="31">
        <f>IFERROR(Data!$I26/Data!$D26,"")</f>
        <v>0.19388361044651953</v>
      </c>
      <c r="W26" s="31">
        <f>IFERROR(Data!$J26/Data!$D26,"")</f>
        <v>0.29423990499580904</v>
      </c>
      <c r="X26" s="31">
        <f>IFERROR(Data!$K26/Data!$D26,"")</f>
        <v>0.22179334916996318</v>
      </c>
      <c r="Y26" s="31">
        <f>IFERROR(Data!$L26/Data!$D26,"")</f>
        <v>0.22238717339205696</v>
      </c>
      <c r="Z26" s="31">
        <f>IFERROR(Data!$M26/Data!$D26,"")</f>
        <v>6.7695961995651407E-2</v>
      </c>
      <c r="AA26" s="32">
        <v>232.14</v>
      </c>
      <c r="AB26" s="32">
        <f t="shared" si="9"/>
        <v>21.103636363636362</v>
      </c>
      <c r="AC26" s="29">
        <f t="shared" si="4"/>
        <v>649.63636363636363</v>
      </c>
      <c r="AD26" s="29">
        <f t="shared" si="5"/>
        <v>15.636363636363637</v>
      </c>
      <c r="AE26" s="29">
        <f>YEAR(Data!$C26)</f>
        <v>2019</v>
      </c>
      <c r="AF26" s="29"/>
      <c r="AG26" s="29">
        <v>12</v>
      </c>
      <c r="AH26" s="33">
        <f>Data!$F26/Data!$D26</f>
        <v>11.116389548759601</v>
      </c>
      <c r="AI26" s="17" t="str">
        <f>RIGHT(Data!$O26,2)</f>
        <v>PM</v>
      </c>
      <c r="AJ26" s="29" t="str">
        <f>Data!$R26&amp;"-"&amp;WEEKNUM(Data!$C26,1)-WEEKNUM(DATE(YEAR(Data!$C26),MONTH(Data!$C26),1),1)+1</f>
        <v>7-2019-3</v>
      </c>
      <c r="AK26" s="29">
        <f>MONTH(Data!$C26)</f>
        <v>7</v>
      </c>
      <c r="AL26" s="29">
        <f>IFERROR(Data!$F26/Data!$E26,0)</f>
        <v>39</v>
      </c>
      <c r="AM26" s="29">
        <f>COUNTIF(Data!$N$2:$N$825,Data!$N26)</f>
        <v>38</v>
      </c>
      <c r="AN26" s="29" t="str">
        <f>VLOOKUP(Data!$N26,'Helpful Tables'!A:D,4,FALSE)</f>
        <v>Washington, DC</v>
      </c>
      <c r="AO26" s="29">
        <f>COUNTIF(AN:AN,Data!$AN26)/COUNTA(AN:AN)</f>
        <v>0.62424242424242427</v>
      </c>
      <c r="AP26" s="29">
        <v>38.903509999999997</v>
      </c>
      <c r="AQ26" s="29">
        <v>-77.051809000000006</v>
      </c>
      <c r="AR26" s="29">
        <f>COUNTIF(Data!$P$2:$P$825,Data!$P26)</f>
        <v>12</v>
      </c>
      <c r="AS26" s="29" cm="1">
        <f t="array" ref="AS26">_xlfn.IFS(Data!$E26&lt;12,((Data!$E26/Data!$D26)*60)*1,AND(Data!$E26&gt;=12,Data!$E26&lt;=15),((Data!$E26/Data!$D26)*60)*1.2,AND(Data!$E26&gt;=16,Data!$E26&lt;=19),((Data!$E26/Data!$D26)*60)*1.5,Data!$E26&gt;=20,((Data!$E26/Data!$D26)*60)*1.8)</f>
        <v>25.653206650983691</v>
      </c>
      <c r="AT26" s="29" cm="1">
        <f t="array" ref="AT26">_xlfn.IFS(Data!$F26&lt;600,((Data!$F26/Data!$D26)*60)*1,AND(Data!$F26&gt;=600,Data!$F26&lt;=625),((Data!$F26/Data!$D26)*60)*1.2,AND(Data!$F26&gt;=626,Data!$F26&lt;=650),((Data!$F26/Data!$D26)*60)*1.5,Data!$F26&gt;=651,((Data!$F26/Data!$D26)*60)*1.8)</f>
        <v>800.38004751069127</v>
      </c>
      <c r="AU26" s="29">
        <f>(Data!$I26*-1.2)+(Data!$J26*-1.1)+(Data!$K26*1.2)+(Data!$L26*1.3)+(Data!$M26*1.5)</f>
        <v>5.639999999599997</v>
      </c>
      <c r="AV26" s="29">
        <f>(Data!$AS26*0.4)+(Data!$AT26*0.4)+(Data!$AU26*0.2)</f>
        <v>331.54130166459004</v>
      </c>
      <c r="AW26" s="29">
        <f>PERCENTRANK(AV:AV,Data!$AV26)*100</f>
        <v>41.9</v>
      </c>
      <c r="AX26" s="29" t="str">
        <f>_xlfn.CONCAT(TEXT(C26,"mmm"),"-",Data!$AE26)</f>
        <v>Jul-2019</v>
      </c>
    </row>
    <row r="27" spans="1:50" ht="17" thickTop="1" thickBot="1" x14ac:dyDescent="0.25">
      <c r="A27" s="22">
        <v>26</v>
      </c>
      <c r="B27" s="23">
        <f t="shared" si="0"/>
        <v>11</v>
      </c>
      <c r="C27" s="41">
        <v>43664</v>
      </c>
      <c r="D27" s="24">
        <f>SUM(Data!$I27:$M27)</f>
        <v>58.083333332999999</v>
      </c>
      <c r="E27" s="23">
        <v>17</v>
      </c>
      <c r="F27" s="23">
        <v>609</v>
      </c>
      <c r="G27" s="23">
        <v>124</v>
      </c>
      <c r="H27" s="23">
        <v>167</v>
      </c>
      <c r="I27" s="23">
        <v>19.066666667</v>
      </c>
      <c r="J27" s="23">
        <v>11.583333333000001</v>
      </c>
      <c r="K27" s="23">
        <v>11.25</v>
      </c>
      <c r="L27" s="23">
        <v>13.6</v>
      </c>
      <c r="M27" s="23">
        <v>2.5833333330000001</v>
      </c>
      <c r="N27" s="23" t="s">
        <v>24</v>
      </c>
      <c r="O27" s="23" t="s">
        <v>26</v>
      </c>
      <c r="P27" s="23" t="s">
        <v>25</v>
      </c>
      <c r="Q27" s="23">
        <f t="shared" si="6"/>
        <v>1</v>
      </c>
      <c r="R27" s="23" t="str">
        <f t="shared" si="1"/>
        <v>7-2019</v>
      </c>
      <c r="S27" s="23" t="s">
        <v>47</v>
      </c>
      <c r="T27" s="23" t="str">
        <f t="shared" si="2"/>
        <v>Thursday</v>
      </c>
      <c r="U27" s="23">
        <f t="shared" si="3"/>
        <v>1</v>
      </c>
      <c r="V27" s="25">
        <f>IFERROR(Data!$I27/Data!$D27,"")</f>
        <v>0.32826398852986094</v>
      </c>
      <c r="W27" s="25">
        <f>IFERROR(Data!$J27/Data!$D27,"")</f>
        <v>0.19942611190358353</v>
      </c>
      <c r="X27" s="25">
        <f>IFERROR(Data!$K27/Data!$D27,"")</f>
        <v>0.19368723099106852</v>
      </c>
      <c r="Y27" s="25">
        <f>IFERROR(Data!$L27/Data!$D27,"")</f>
        <v>0.23414634146475838</v>
      </c>
      <c r="Z27" s="25">
        <f>IFERROR(Data!$M27/Data!$D27,"")</f>
        <v>4.4476327110728707E-2</v>
      </c>
      <c r="AA27" s="26">
        <v>232.14</v>
      </c>
      <c r="AB27" s="26">
        <f t="shared" si="9"/>
        <v>21.103636363636362</v>
      </c>
      <c r="AC27" s="23">
        <f t="shared" si="4"/>
        <v>649.63636363636363</v>
      </c>
      <c r="AD27" s="23">
        <f t="shared" si="5"/>
        <v>15.636363636363637</v>
      </c>
      <c r="AE27" s="23">
        <f>YEAR(Data!$C27)</f>
        <v>2019</v>
      </c>
      <c r="AF27" s="23"/>
      <c r="AG27" s="23">
        <v>12</v>
      </c>
      <c r="AH27" s="27">
        <f>Data!$F27/Data!$D27</f>
        <v>10.484935437649842</v>
      </c>
      <c r="AI27" s="17" t="str">
        <f>RIGHT(Data!$O27,2)</f>
        <v>PM</v>
      </c>
      <c r="AJ27" s="23" t="str">
        <f>Data!$R27&amp;"-"&amp;WEEKNUM(Data!$C27,1)-WEEKNUM(DATE(YEAR(Data!$C27),MONTH(Data!$C27),1),1)+1</f>
        <v>7-2019-3</v>
      </c>
      <c r="AK27" s="23">
        <f>MONTH(Data!$C27)</f>
        <v>7</v>
      </c>
      <c r="AL27" s="23">
        <f>IFERROR(Data!$F27/Data!$E27,0)</f>
        <v>35.823529411764703</v>
      </c>
      <c r="AM27" s="23">
        <f>COUNTIF(Data!$N$2:$N$825,Data!$N27)</f>
        <v>35</v>
      </c>
      <c r="AN27" s="23" t="str">
        <f>VLOOKUP(Data!$N27,'Helpful Tables'!A:D,4,FALSE)</f>
        <v>Virginia</v>
      </c>
      <c r="AO27" s="23">
        <f>COUNTIF(AN:AN,Data!$AN27)/COUNTA(AN:AN)</f>
        <v>6.424242424242424E-2</v>
      </c>
      <c r="AP27" s="23">
        <v>38.881884999999997</v>
      </c>
      <c r="AQ27" s="23">
        <v>-77.229702000000003</v>
      </c>
      <c r="AR27" s="23">
        <f>COUNTIF(Data!$P$2:$P$825,Data!$P27)</f>
        <v>13</v>
      </c>
      <c r="AS27" s="23" cm="1">
        <f t="array" ref="AS27">_xlfn.IFS(Data!$E27&lt;12,((Data!$E27/Data!$D27)*60)*1,AND(Data!$E27&gt;=12,Data!$E27&lt;=15),((Data!$E27/Data!$D27)*60)*1.2,AND(Data!$E27&gt;=16,Data!$E27&lt;=19),((Data!$E27/Data!$D27)*60)*1.5,Data!$E27&gt;=20,((Data!$E27/Data!$D27)*60)*1.8)</f>
        <v>26.341463414785316</v>
      </c>
      <c r="AT27" s="23" cm="1">
        <f t="array" ref="AT27">_xlfn.IFS(Data!$F27&lt;600,((Data!$F27/Data!$D27)*60)*1,AND(Data!$F27&gt;=600,Data!$F27&lt;=625),((Data!$F27/Data!$D27)*60)*1.2,AND(Data!$F27&gt;=626,Data!$F27&lt;=650),((Data!$F27/Data!$D27)*60)*1.5,Data!$F27&gt;=651,((Data!$F27/Data!$D27)*60)*1.8)</f>
        <v>754.91535151078858</v>
      </c>
      <c r="AU27" s="23">
        <f>(Data!$I27*-1.2)+(Data!$J27*-1.1)+(Data!$K27*1.2)+(Data!$L27*1.3)+(Data!$M27*1.5)</f>
        <v>-0.56666666720000158</v>
      </c>
      <c r="AV27" s="23">
        <f>(Data!$AS27*0.4)+(Data!$AT27*0.4)+(Data!$AU27*0.2)</f>
        <v>312.38939263678958</v>
      </c>
      <c r="AW27" s="23">
        <f>PERCENTRANK(AV:AV,Data!$AV27)*100</f>
        <v>32.200000000000003</v>
      </c>
      <c r="AX27" s="23" t="str">
        <f>_xlfn.CONCAT(TEXT(C27,"mmm"),"-",Data!$AE27)</f>
        <v>Jul-2019</v>
      </c>
    </row>
    <row r="28" spans="1:50" ht="17" thickTop="1" thickBot="1" x14ac:dyDescent="0.25">
      <c r="A28" s="28">
        <v>27</v>
      </c>
      <c r="B28" s="29">
        <f t="shared" si="0"/>
        <v>11</v>
      </c>
      <c r="C28" s="41">
        <v>43666</v>
      </c>
      <c r="D28" s="30">
        <f>SUM(Data!$I28:$M28)</f>
        <v>55.866666667000004</v>
      </c>
      <c r="E28" s="29">
        <v>14</v>
      </c>
      <c r="F28" s="29">
        <v>651</v>
      </c>
      <c r="G28" s="29">
        <v>132</v>
      </c>
      <c r="H28" s="29">
        <v>173</v>
      </c>
      <c r="I28" s="29">
        <v>6.016666667</v>
      </c>
      <c r="J28" s="29">
        <v>14.2</v>
      </c>
      <c r="K28" s="29">
        <v>21.983333333000001</v>
      </c>
      <c r="L28" s="29">
        <v>8</v>
      </c>
      <c r="M28" s="29">
        <v>5.6666666670000003</v>
      </c>
      <c r="N28" s="29" t="s">
        <v>33</v>
      </c>
      <c r="O28" s="29" t="s">
        <v>45</v>
      </c>
      <c r="P28" s="29" t="s">
        <v>34</v>
      </c>
      <c r="Q28" s="29">
        <f t="shared" si="6"/>
        <v>2</v>
      </c>
      <c r="R28" s="29" t="str">
        <f t="shared" si="1"/>
        <v>7-2019</v>
      </c>
      <c r="S28" s="29" t="s">
        <v>43</v>
      </c>
      <c r="T28" s="29" t="str">
        <f t="shared" si="2"/>
        <v>Saturday</v>
      </c>
      <c r="U28" s="29">
        <f t="shared" si="3"/>
        <v>1</v>
      </c>
      <c r="V28" s="31">
        <f>IFERROR(Data!$I28/Data!$D28,"")</f>
        <v>0.10769689738002566</v>
      </c>
      <c r="W28" s="31">
        <f>IFERROR(Data!$J28/Data!$D28,"")</f>
        <v>0.25417661097700367</v>
      </c>
      <c r="X28" s="31">
        <f>IFERROR(Data!$K28/Data!$D28,"")</f>
        <v>0.39349642003941826</v>
      </c>
      <c r="Y28" s="31">
        <f>IFERROR(Data!$L28/Data!$D28,"")</f>
        <v>0.14319809069126968</v>
      </c>
      <c r="Z28" s="31">
        <f>IFERROR(Data!$M28/Data!$D28,"")</f>
        <v>0.10143198091228263</v>
      </c>
      <c r="AA28" s="32">
        <v>232.14</v>
      </c>
      <c r="AB28" s="32">
        <f t="shared" si="9"/>
        <v>21.103636363636362</v>
      </c>
      <c r="AC28" s="29">
        <f t="shared" si="4"/>
        <v>649.63636363636363</v>
      </c>
      <c r="AD28" s="29">
        <f t="shared" si="5"/>
        <v>15.636363636363637</v>
      </c>
      <c r="AE28" s="29">
        <f>YEAR(Data!$C28)</f>
        <v>2019</v>
      </c>
      <c r="AF28" s="29"/>
      <c r="AG28" s="29">
        <v>12</v>
      </c>
      <c r="AH28" s="33">
        <f>Data!$F28/Data!$D28</f>
        <v>11.65274463000207</v>
      </c>
      <c r="AI28" s="17" t="str">
        <f>RIGHT(Data!$O28,2)</f>
        <v>AM</v>
      </c>
      <c r="AJ28" s="29" t="str">
        <f>Data!$R28&amp;"-"&amp;WEEKNUM(Data!$C28,1)-WEEKNUM(DATE(YEAR(Data!$C28),MONTH(Data!$C28),1),1)+1</f>
        <v>7-2019-3</v>
      </c>
      <c r="AK28" s="29">
        <f>MONTH(Data!$C28)</f>
        <v>7</v>
      </c>
      <c r="AL28" s="29">
        <f>IFERROR(Data!$F28/Data!$E28,0)</f>
        <v>46.5</v>
      </c>
      <c r="AM28" s="29">
        <f>COUNTIF(Data!$N$2:$N$825,Data!$N28)</f>
        <v>48</v>
      </c>
      <c r="AN28" s="29" t="str">
        <f>VLOOKUP(Data!$N28,'Helpful Tables'!A:D,4,FALSE)</f>
        <v>Washington, DC</v>
      </c>
      <c r="AO28" s="29">
        <f>COUNTIF(AN:AN,Data!$AN28)/COUNTA(AN:AN)</f>
        <v>0.62424242424242427</v>
      </c>
      <c r="AP28" s="29">
        <v>38.916486999999996</v>
      </c>
      <c r="AQ28" s="29">
        <v>-77.031514000000001</v>
      </c>
      <c r="AR28" s="29">
        <f>COUNTIF(Data!$P$2:$P$825,Data!$P28)</f>
        <v>30</v>
      </c>
      <c r="AS28" s="29" cm="1">
        <f t="array" ref="AS28">_xlfn.IFS(Data!$E28&lt;12,((Data!$E28/Data!$D28)*60)*1,AND(Data!$E28&gt;=12,Data!$E28&lt;=15),((Data!$E28/Data!$D28)*60)*1.2,AND(Data!$E28&gt;=16,Data!$E28&lt;=19),((Data!$E28/Data!$D28)*60)*1.5,Data!$E28&gt;=20,((Data!$E28/Data!$D28)*60)*1.8)</f>
        <v>18.04295942709998</v>
      </c>
      <c r="AT28" s="29" cm="1">
        <f t="array" ref="AT28">_xlfn.IFS(Data!$F28&lt;600,((Data!$F28/Data!$D28)*60)*1,AND(Data!$F28&gt;=600,Data!$F28&lt;=625),((Data!$F28/Data!$D28)*60)*1.2,AND(Data!$F28&gt;=626,Data!$F28&lt;=650),((Data!$F28/Data!$D28)*60)*1.5,Data!$F28&gt;=651,((Data!$F28/Data!$D28)*60)*1.8)</f>
        <v>1258.4964200402235</v>
      </c>
      <c r="AU28" s="29">
        <f>(Data!$I28*-1.2)+(Data!$J28*-1.1)+(Data!$K28*1.2)+(Data!$L28*1.3)+(Data!$M28*1.5)</f>
        <v>22.439999999699999</v>
      </c>
      <c r="AV28" s="29">
        <f>(Data!$AS28*0.4)+(Data!$AT28*0.4)+(Data!$AU28*0.2)</f>
        <v>515.10375178686945</v>
      </c>
      <c r="AW28" s="29">
        <f>PERCENTRANK(AV:AV,Data!$AV28)*100</f>
        <v>87</v>
      </c>
      <c r="AX28" s="29" t="str">
        <f>_xlfn.CONCAT(TEXT(C28,"mmm"),"-",Data!$AE28)</f>
        <v>Jul-2019</v>
      </c>
    </row>
    <row r="29" spans="1:50" ht="17" thickTop="1" thickBot="1" x14ac:dyDescent="0.25">
      <c r="A29" s="22">
        <v>28</v>
      </c>
      <c r="B29" s="23">
        <f t="shared" si="0"/>
        <v>11</v>
      </c>
      <c r="C29" s="41">
        <v>43669</v>
      </c>
      <c r="D29" s="24">
        <f>SUM(Data!$I29:$M29)</f>
        <v>60.25</v>
      </c>
      <c r="E29" s="23">
        <v>13</v>
      </c>
      <c r="F29" s="23">
        <v>592</v>
      </c>
      <c r="G29" s="23">
        <v>120</v>
      </c>
      <c r="H29" s="23">
        <v>175</v>
      </c>
      <c r="I29" s="23">
        <v>21.45</v>
      </c>
      <c r="J29" s="23">
        <v>18.3</v>
      </c>
      <c r="K29" s="23">
        <v>7.75</v>
      </c>
      <c r="L29" s="23">
        <v>7.9666666670000001</v>
      </c>
      <c r="M29" s="23">
        <v>4.7833333329999999</v>
      </c>
      <c r="N29" s="23" t="s">
        <v>33</v>
      </c>
      <c r="O29" s="23" t="s">
        <v>39</v>
      </c>
      <c r="P29" s="23" t="s">
        <v>34</v>
      </c>
      <c r="Q29" s="23">
        <f t="shared" si="6"/>
        <v>3</v>
      </c>
      <c r="R29" s="23" t="str">
        <f t="shared" si="1"/>
        <v>7-2019</v>
      </c>
      <c r="S29" s="23" t="s">
        <v>43</v>
      </c>
      <c r="T29" s="23" t="str">
        <f t="shared" si="2"/>
        <v>Tuesday</v>
      </c>
      <c r="U29" s="23">
        <f t="shared" si="3"/>
        <v>1</v>
      </c>
      <c r="V29" s="25">
        <f>IFERROR(Data!$I29/Data!$D29,"")</f>
        <v>0.35601659751037346</v>
      </c>
      <c r="W29" s="25">
        <f>IFERROR(Data!$J29/Data!$D29,"")</f>
        <v>0.30373443983402493</v>
      </c>
      <c r="X29" s="25">
        <f>IFERROR(Data!$K29/Data!$D29,"")</f>
        <v>0.12863070539419086</v>
      </c>
      <c r="Y29" s="25">
        <f>IFERROR(Data!$L29/Data!$D29,"")</f>
        <v>0.13222683264730289</v>
      </c>
      <c r="Z29" s="25">
        <f>IFERROR(Data!$M29/Data!$D29,"")</f>
        <v>7.9391424614107878E-2</v>
      </c>
      <c r="AA29" s="26">
        <v>232.14</v>
      </c>
      <c r="AB29" s="26">
        <f t="shared" si="9"/>
        <v>21.103636363636362</v>
      </c>
      <c r="AC29" s="23">
        <f t="shared" si="4"/>
        <v>649.63636363636363</v>
      </c>
      <c r="AD29" s="23">
        <f t="shared" si="5"/>
        <v>15.636363636363637</v>
      </c>
      <c r="AE29" s="23">
        <f>YEAR(Data!$C29)</f>
        <v>2019</v>
      </c>
      <c r="AF29" s="23"/>
      <c r="AG29" s="23">
        <v>12</v>
      </c>
      <c r="AH29" s="27">
        <f>Data!$F29/Data!$D29</f>
        <v>9.8257261410788388</v>
      </c>
      <c r="AI29" s="17" t="str">
        <f>RIGHT(Data!$O29,2)</f>
        <v>PM</v>
      </c>
      <c r="AJ29" s="23" t="str">
        <f>Data!$R29&amp;"-"&amp;WEEKNUM(Data!$C29,1)-WEEKNUM(DATE(YEAR(Data!$C29),MONTH(Data!$C29),1),1)+1</f>
        <v>7-2019-4</v>
      </c>
      <c r="AK29" s="23">
        <f>MONTH(Data!$C29)</f>
        <v>7</v>
      </c>
      <c r="AL29" s="23">
        <f>IFERROR(Data!$F29/Data!$E29,0)</f>
        <v>45.53846153846154</v>
      </c>
      <c r="AM29" s="23">
        <f>COUNTIF(Data!$N$2:$N$825,Data!$N29)</f>
        <v>48</v>
      </c>
      <c r="AN29" s="23" t="str">
        <f>VLOOKUP(Data!$N29,'Helpful Tables'!A:D,4,FALSE)</f>
        <v>Washington, DC</v>
      </c>
      <c r="AO29" s="23">
        <f>COUNTIF(AN:AN,Data!$AN29)/COUNTA(AN:AN)</f>
        <v>0.62424242424242427</v>
      </c>
      <c r="AP29" s="23">
        <v>38.916486999999996</v>
      </c>
      <c r="AQ29" s="23">
        <v>-77.031514000000001</v>
      </c>
      <c r="AR29" s="23">
        <f>COUNTIF(Data!$P$2:$P$825,Data!$P29)</f>
        <v>30</v>
      </c>
      <c r="AS29" s="23" cm="1">
        <f t="array" ref="AS29">_xlfn.IFS(Data!$E29&lt;12,((Data!$E29/Data!$D29)*60)*1,AND(Data!$E29&gt;=12,Data!$E29&lt;=15),((Data!$E29/Data!$D29)*60)*1.2,AND(Data!$E29&gt;=16,Data!$E29&lt;=19),((Data!$E29/Data!$D29)*60)*1.5,Data!$E29&gt;=20,((Data!$E29/Data!$D29)*60)*1.8)</f>
        <v>15.535269709543568</v>
      </c>
      <c r="AT29" s="23" cm="1">
        <f t="array" ref="AT29">_xlfn.IFS(Data!$F29&lt;600,((Data!$F29/Data!$D29)*60)*1,AND(Data!$F29&gt;=600,Data!$F29&lt;=625),((Data!$F29/Data!$D29)*60)*1.2,AND(Data!$F29&gt;=626,Data!$F29&lt;=650),((Data!$F29/Data!$D29)*60)*1.5,Data!$F29&gt;=651,((Data!$F29/Data!$D29)*60)*1.8)</f>
        <v>589.54356846473036</v>
      </c>
      <c r="AU29" s="23">
        <f>(Data!$I29*-1.2)+(Data!$J29*-1.1)+(Data!$K29*1.2)+(Data!$L29*1.3)+(Data!$M29*1.5)</f>
        <v>-19.038333333400008</v>
      </c>
      <c r="AV29" s="23">
        <f>(Data!$AS29*0.4)+(Data!$AT29*0.4)+(Data!$AU29*0.2)</f>
        <v>238.22386860302959</v>
      </c>
      <c r="AW29" s="23">
        <f>PERCENTRANK(AV:AV,Data!$AV29)*100</f>
        <v>11.1</v>
      </c>
      <c r="AX29" s="23" t="str">
        <f>_xlfn.CONCAT(TEXT(C29,"mmm"),"-",Data!$AE29)</f>
        <v>Jul-2019</v>
      </c>
    </row>
    <row r="30" spans="1:50" ht="17" thickTop="1" thickBot="1" x14ac:dyDescent="0.25">
      <c r="A30" s="28">
        <v>29</v>
      </c>
      <c r="B30" s="29">
        <f t="shared" si="0"/>
        <v>11</v>
      </c>
      <c r="C30" s="41">
        <v>43671</v>
      </c>
      <c r="D30" s="30">
        <f>SUM(Data!$I30:$M30)</f>
        <v>57.550000001000008</v>
      </c>
      <c r="E30" s="29">
        <v>13</v>
      </c>
      <c r="F30" s="29">
        <v>666</v>
      </c>
      <c r="G30" s="29">
        <v>131</v>
      </c>
      <c r="H30" s="29">
        <v>169</v>
      </c>
      <c r="I30" s="29">
        <v>5.1333333330000004</v>
      </c>
      <c r="J30" s="29">
        <v>14.916666666999999</v>
      </c>
      <c r="K30" s="29">
        <v>24.566666667</v>
      </c>
      <c r="L30" s="29">
        <v>11.016666667000001</v>
      </c>
      <c r="M30" s="29">
        <v>1.9166666670000001</v>
      </c>
      <c r="N30" s="29" t="s">
        <v>24</v>
      </c>
      <c r="O30" s="29" t="s">
        <v>26</v>
      </c>
      <c r="P30" s="29" t="s">
        <v>25</v>
      </c>
      <c r="Q30" s="29">
        <f t="shared" si="6"/>
        <v>2</v>
      </c>
      <c r="R30" s="29" t="str">
        <f t="shared" si="1"/>
        <v>7-2019</v>
      </c>
      <c r="S30" s="29" t="s">
        <v>44</v>
      </c>
      <c r="T30" s="29" t="str">
        <f t="shared" si="2"/>
        <v>Thursday</v>
      </c>
      <c r="U30" s="29">
        <f t="shared" si="3"/>
        <v>1</v>
      </c>
      <c r="V30" s="31">
        <f>IFERROR(Data!$I30/Data!$D30,"")</f>
        <v>8.9197799008006978E-2</v>
      </c>
      <c r="W30" s="31">
        <f>IFERROR(Data!$J30/Data!$D30,"")</f>
        <v>0.25919490298420161</v>
      </c>
      <c r="X30" s="31">
        <f>IFERROR(Data!$K30/Data!$D30,"")</f>
        <v>0.42687518100040178</v>
      </c>
      <c r="Y30" s="31">
        <f>IFERROR(Data!$L30/Data!$D30,"")</f>
        <v>0.19142774399319845</v>
      </c>
      <c r="Z30" s="31">
        <f>IFERROR(Data!$M30/Data!$D30,"")</f>
        <v>3.3304373014191056E-2</v>
      </c>
      <c r="AA30" s="32">
        <v>232.14</v>
      </c>
      <c r="AB30" s="32">
        <f t="shared" si="9"/>
        <v>21.103636363636362</v>
      </c>
      <c r="AC30" s="29">
        <f t="shared" si="4"/>
        <v>649.63636363636363</v>
      </c>
      <c r="AD30" s="29">
        <f t="shared" si="5"/>
        <v>15.636363636363637</v>
      </c>
      <c r="AE30" s="29">
        <f>YEAR(Data!$C30)</f>
        <v>2019</v>
      </c>
      <c r="AF30" s="29"/>
      <c r="AG30" s="29">
        <v>12</v>
      </c>
      <c r="AH30" s="33">
        <f>Data!$F30/Data!$D30</f>
        <v>11.572545612309773</v>
      </c>
      <c r="AI30" s="17" t="str">
        <f>RIGHT(Data!$O30,2)</f>
        <v>PM</v>
      </c>
      <c r="AJ30" s="29" t="str">
        <f>Data!$R30&amp;"-"&amp;WEEKNUM(Data!$C30,1)-WEEKNUM(DATE(YEAR(Data!$C30),MONTH(Data!$C30),1),1)+1</f>
        <v>7-2019-4</v>
      </c>
      <c r="AK30" s="29">
        <f>MONTH(Data!$C30)</f>
        <v>7</v>
      </c>
      <c r="AL30" s="29">
        <f>IFERROR(Data!$F30/Data!$E30,0)</f>
        <v>51.230769230769234</v>
      </c>
      <c r="AM30" s="29">
        <f>COUNTIF(Data!$N$2:$N$825,Data!$N30)</f>
        <v>35</v>
      </c>
      <c r="AN30" s="29" t="str">
        <f>VLOOKUP(Data!$N30,'Helpful Tables'!A:D,4,FALSE)</f>
        <v>Virginia</v>
      </c>
      <c r="AO30" s="29">
        <f>COUNTIF(AN:AN,Data!$AN30)/COUNTA(AN:AN)</f>
        <v>6.424242424242424E-2</v>
      </c>
      <c r="AP30" s="29">
        <v>38.881884999999997</v>
      </c>
      <c r="AQ30" s="29">
        <v>-77.229702000000003</v>
      </c>
      <c r="AR30" s="29">
        <f>COUNTIF(Data!$P$2:$P$825,Data!$P30)</f>
        <v>13</v>
      </c>
      <c r="AS30" s="29" cm="1">
        <f t="array" ref="AS30">_xlfn.IFS(Data!$E30&lt;12,((Data!$E30/Data!$D30)*60)*1,AND(Data!$E30&gt;=12,Data!$E30&lt;=15),((Data!$E30/Data!$D30)*60)*1.2,AND(Data!$E30&gt;=16,Data!$E30&lt;=19),((Data!$E30/Data!$D30)*60)*1.5,Data!$E30&gt;=20,((Data!$E30/Data!$D30)*60)*1.8)</f>
        <v>16.264118157840759</v>
      </c>
      <c r="AT30" s="29" cm="1">
        <f t="array" ref="AT30">_xlfn.IFS(Data!$F30&lt;600,((Data!$F30/Data!$D30)*60)*1,AND(Data!$F30&gt;=600,Data!$F30&lt;=625),((Data!$F30/Data!$D30)*60)*1.2,AND(Data!$F30&gt;=626,Data!$F30&lt;=650),((Data!$F30/Data!$D30)*60)*1.5,Data!$F30&gt;=651,((Data!$F30/Data!$D30)*60)*1.8)</f>
        <v>1249.8349261294554</v>
      </c>
      <c r="AU30" s="29">
        <f>(Data!$I30*-1.2)+(Data!$J30*-1.1)+(Data!$K30*1.2)+(Data!$L30*1.3)+(Data!$M30*1.5)</f>
        <v>24.108333334699999</v>
      </c>
      <c r="AV30" s="29">
        <f>(Data!$AS30*0.4)+(Data!$AT30*0.4)+(Data!$AU30*0.2)</f>
        <v>511.26128438185856</v>
      </c>
      <c r="AW30" s="29">
        <f>PERCENTRANK(AV:AV,Data!$AV30)*100</f>
        <v>85.6</v>
      </c>
      <c r="AX30" s="29" t="str">
        <f>_xlfn.CONCAT(TEXT(C30,"mmm"),"-",Data!$AE30)</f>
        <v>Jul-2019</v>
      </c>
    </row>
    <row r="31" spans="1:50" ht="17" thickTop="1" thickBot="1" x14ac:dyDescent="0.25">
      <c r="A31" s="22">
        <v>30</v>
      </c>
      <c r="B31" s="23">
        <f t="shared" si="0"/>
        <v>11</v>
      </c>
      <c r="C31" s="41">
        <v>43674</v>
      </c>
      <c r="D31" s="24">
        <f>SUM(Data!$I31:$M31)</f>
        <v>58.25</v>
      </c>
      <c r="E31" s="23">
        <v>21</v>
      </c>
      <c r="F31" s="23">
        <v>691</v>
      </c>
      <c r="G31" s="23">
        <v>133</v>
      </c>
      <c r="H31" s="23">
        <v>174</v>
      </c>
      <c r="I31" s="23">
        <v>7.3166666669999998</v>
      </c>
      <c r="J31" s="23">
        <v>15.933333333</v>
      </c>
      <c r="K31" s="23">
        <v>14.683333333</v>
      </c>
      <c r="L31" s="23">
        <v>14.75</v>
      </c>
      <c r="M31" s="23">
        <v>5.5666666669999998</v>
      </c>
      <c r="N31" s="23" t="s">
        <v>33</v>
      </c>
      <c r="O31" s="23" t="s">
        <v>38</v>
      </c>
      <c r="P31" s="23" t="s">
        <v>37</v>
      </c>
      <c r="Q31" s="23">
        <f t="shared" si="6"/>
        <v>3</v>
      </c>
      <c r="R31" s="23" t="str">
        <f t="shared" si="1"/>
        <v>7-2019</v>
      </c>
      <c r="S31" s="23" t="s">
        <v>48</v>
      </c>
      <c r="T31" s="23" t="str">
        <f t="shared" si="2"/>
        <v>Sunday</v>
      </c>
      <c r="U31" s="23">
        <f t="shared" si="3"/>
        <v>1</v>
      </c>
      <c r="V31" s="25">
        <f>IFERROR(Data!$I31/Data!$D31,"")</f>
        <v>0.12560801145064376</v>
      </c>
      <c r="W31" s="25">
        <f>IFERROR(Data!$J31/Data!$D31,"")</f>
        <v>0.27353361945064381</v>
      </c>
      <c r="X31" s="25">
        <f>IFERROR(Data!$K31/Data!$D31,"")</f>
        <v>0.2520743919828326</v>
      </c>
      <c r="Y31" s="25">
        <f>IFERROR(Data!$L31/Data!$D31,"")</f>
        <v>0.25321888412017168</v>
      </c>
      <c r="Z31" s="25">
        <f>IFERROR(Data!$M31/Data!$D31,"")</f>
        <v>9.5565092995708145E-2</v>
      </c>
      <c r="AA31" s="26">
        <v>232.14</v>
      </c>
      <c r="AB31" s="26">
        <f t="shared" si="9"/>
        <v>21.103636363636362</v>
      </c>
      <c r="AC31" s="23">
        <f t="shared" si="4"/>
        <v>649.63636363636363</v>
      </c>
      <c r="AD31" s="23">
        <f t="shared" si="5"/>
        <v>15.636363636363637</v>
      </c>
      <c r="AE31" s="23">
        <f>YEAR(Data!$C31)</f>
        <v>2019</v>
      </c>
      <c r="AF31" s="23"/>
      <c r="AG31" s="23">
        <v>12</v>
      </c>
      <c r="AH31" s="27">
        <f>Data!$F31/Data!$D31</f>
        <v>11.862660944206009</v>
      </c>
      <c r="AI31" s="17" t="str">
        <f>RIGHT(Data!$O31,2)</f>
        <v>PM</v>
      </c>
      <c r="AJ31" s="23" t="str">
        <f>Data!$R31&amp;"-"&amp;WEEKNUM(Data!$C31,1)-WEEKNUM(DATE(YEAR(Data!$C31),MONTH(Data!$C31),1),1)+1</f>
        <v>7-2019-5</v>
      </c>
      <c r="AK31" s="23">
        <f>MONTH(Data!$C31)</f>
        <v>7</v>
      </c>
      <c r="AL31" s="23">
        <f>IFERROR(Data!$F31/Data!$E31,0)</f>
        <v>32.904761904761905</v>
      </c>
      <c r="AM31" s="23">
        <f>COUNTIF(Data!$N$2:$N$825,Data!$N31)</f>
        <v>48</v>
      </c>
      <c r="AN31" s="23" t="str">
        <f>VLOOKUP(Data!$N31,'Helpful Tables'!A:D,4,FALSE)</f>
        <v>Washington, DC</v>
      </c>
      <c r="AO31" s="23">
        <f>COUNTIF(AN:AN,Data!$AN31)/COUNTA(AN:AN)</f>
        <v>0.62424242424242427</v>
      </c>
      <c r="AP31" s="23">
        <v>38.916486999999996</v>
      </c>
      <c r="AQ31" s="23">
        <v>-77.031514000000001</v>
      </c>
      <c r="AR31" s="23">
        <f>COUNTIF(Data!$P$2:$P$825,Data!$P31)</f>
        <v>12</v>
      </c>
      <c r="AS31" s="23" cm="1">
        <f t="array" ref="AS31">_xlfn.IFS(Data!$E31&lt;12,((Data!$E31/Data!$D31)*60)*1,AND(Data!$E31&gt;=12,Data!$E31&lt;=15),((Data!$E31/Data!$D31)*60)*1.2,AND(Data!$E31&gt;=16,Data!$E31&lt;=19),((Data!$E31/Data!$D31)*60)*1.5,Data!$E31&gt;=20,((Data!$E31/Data!$D31)*60)*1.8)</f>
        <v>38.935622317596568</v>
      </c>
      <c r="AT31" s="23" cm="1">
        <f t="array" ref="AT31">_xlfn.IFS(Data!$F31&lt;600,((Data!$F31/Data!$D31)*60)*1,AND(Data!$F31&gt;=600,Data!$F31&lt;=625),((Data!$F31/Data!$D31)*60)*1.2,AND(Data!$F31&gt;=626,Data!$F31&lt;=650),((Data!$F31/Data!$D31)*60)*1.5,Data!$F31&gt;=651,((Data!$F31/Data!$D31)*60)*1.8)</f>
        <v>1281.1673819742491</v>
      </c>
      <c r="AU31" s="23">
        <f>(Data!$I31*-1.2)+(Data!$J31*-1.1)+(Data!$K31*1.2)+(Data!$L31*1.3)+(Data!$M31*1.5)</f>
        <v>18.838333333399998</v>
      </c>
      <c r="AV31" s="23">
        <f>(Data!$AS31*0.4)+(Data!$AT31*0.4)+(Data!$AU31*0.2)</f>
        <v>531.80886838341837</v>
      </c>
      <c r="AW31" s="23">
        <f>PERCENTRANK(AV:AV,Data!$AV31)*100</f>
        <v>93.7</v>
      </c>
      <c r="AX31" s="23" t="str">
        <f>_xlfn.CONCAT(TEXT(C31,"mmm"),"-",Data!$AE31)</f>
        <v>Jul-2019</v>
      </c>
    </row>
    <row r="32" spans="1:50" ht="17" thickTop="1" thickBot="1" x14ac:dyDescent="0.25">
      <c r="A32" s="28">
        <v>31</v>
      </c>
      <c r="B32" s="29">
        <f t="shared" si="0"/>
        <v>11</v>
      </c>
      <c r="C32" s="41">
        <v>43676</v>
      </c>
      <c r="D32" s="30">
        <f>SUM(Data!$I32:$M32)</f>
        <v>57.349999999999994</v>
      </c>
      <c r="E32" s="29">
        <v>9</v>
      </c>
      <c r="F32" s="29">
        <v>613</v>
      </c>
      <c r="G32" s="29">
        <v>125</v>
      </c>
      <c r="H32" s="29">
        <v>162</v>
      </c>
      <c r="I32" s="29">
        <v>8.5666666669999998</v>
      </c>
      <c r="J32" s="29">
        <v>19.05</v>
      </c>
      <c r="K32" s="29">
        <v>21.066666667</v>
      </c>
      <c r="L32" s="29">
        <v>8.5833333330000006</v>
      </c>
      <c r="M32" s="29">
        <v>8.3333332999999996E-2</v>
      </c>
      <c r="N32" s="29" t="s">
        <v>33</v>
      </c>
      <c r="O32" s="29" t="s">
        <v>39</v>
      </c>
      <c r="P32" s="29" t="s">
        <v>34</v>
      </c>
      <c r="Q32" s="29">
        <f t="shared" si="6"/>
        <v>2</v>
      </c>
      <c r="R32" s="29" t="str">
        <f t="shared" si="1"/>
        <v>7-2019</v>
      </c>
      <c r="S32" s="29" t="s">
        <v>43</v>
      </c>
      <c r="T32" s="29" t="str">
        <f t="shared" si="2"/>
        <v>Tuesday</v>
      </c>
      <c r="U32" s="29">
        <f t="shared" si="3"/>
        <v>0</v>
      </c>
      <c r="V32" s="31">
        <f>IFERROR(Data!$I32/Data!$D32,"")</f>
        <v>0.14937518163905841</v>
      </c>
      <c r="W32" s="31">
        <f>IFERROR(Data!$J32/Data!$D32,"")</f>
        <v>0.33217088055797739</v>
      </c>
      <c r="X32" s="31">
        <f>IFERROR(Data!$K32/Data!$D32,"")</f>
        <v>0.36733507701830864</v>
      </c>
      <c r="Y32" s="31">
        <f>IFERROR(Data!$L32/Data!$D32,"")</f>
        <v>0.1496657948212729</v>
      </c>
      <c r="Z32" s="31">
        <f>IFERROR(Data!$M32/Data!$D32,"")</f>
        <v>1.4530659633827376E-3</v>
      </c>
      <c r="AA32" s="32">
        <v>232.14</v>
      </c>
      <c r="AB32" s="32">
        <f t="shared" si="9"/>
        <v>21.103636363636362</v>
      </c>
      <c r="AC32" s="29">
        <f t="shared" si="4"/>
        <v>649.63636363636363</v>
      </c>
      <c r="AD32" s="29">
        <f t="shared" si="5"/>
        <v>15.636363636363637</v>
      </c>
      <c r="AE32" s="29">
        <f>YEAR(Data!$C32)</f>
        <v>2019</v>
      </c>
      <c r="AF32" s="29"/>
      <c r="AG32" s="29">
        <v>12</v>
      </c>
      <c r="AH32" s="33">
        <f>Data!$F32/Data!$D32</f>
        <v>10.688753269398433</v>
      </c>
      <c r="AI32" s="17" t="str">
        <f>RIGHT(Data!$O32,2)</f>
        <v>PM</v>
      </c>
      <c r="AJ32" s="29" t="str">
        <f>Data!$R32&amp;"-"&amp;WEEKNUM(Data!$C32,1)-WEEKNUM(DATE(YEAR(Data!$C32),MONTH(Data!$C32),1),1)+1</f>
        <v>7-2019-5</v>
      </c>
      <c r="AK32" s="29">
        <f>MONTH(Data!$C32)</f>
        <v>7</v>
      </c>
      <c r="AL32" s="29">
        <f>IFERROR(Data!$F32/Data!$E32,0)</f>
        <v>68.111111111111114</v>
      </c>
      <c r="AM32" s="29">
        <f>COUNTIF(Data!$N$2:$N$825,Data!$N32)</f>
        <v>48</v>
      </c>
      <c r="AN32" s="29" t="str">
        <f>VLOOKUP(Data!$N32,'Helpful Tables'!A:D,4,FALSE)</f>
        <v>Washington, DC</v>
      </c>
      <c r="AO32" s="29">
        <f>COUNTIF(AN:AN,Data!$AN32)/COUNTA(AN:AN)</f>
        <v>0.62424242424242427</v>
      </c>
      <c r="AP32" s="29">
        <v>38.916486999999996</v>
      </c>
      <c r="AQ32" s="29">
        <v>-77.031514000000001</v>
      </c>
      <c r="AR32" s="29">
        <f>COUNTIF(Data!$P$2:$P$825,Data!$P32)</f>
        <v>30</v>
      </c>
      <c r="AS32" s="29" cm="1">
        <f t="array" ref="AS32">_xlfn.IFS(Data!$E32&lt;12,((Data!$E32/Data!$D32)*60)*1,AND(Data!$E32&gt;=12,Data!$E32&lt;=15),((Data!$E32/Data!$D32)*60)*1.2,AND(Data!$E32&gt;=16,Data!$E32&lt;=19),((Data!$E32/Data!$D32)*60)*1.5,Data!$E32&gt;=20,((Data!$E32/Data!$D32)*60)*1.8)</f>
        <v>9.4158674803836107</v>
      </c>
      <c r="AT32" s="29" cm="1">
        <f t="array" ref="AT32">_xlfn.IFS(Data!$F32&lt;600,((Data!$F32/Data!$D32)*60)*1,AND(Data!$F32&gt;=600,Data!$F32&lt;=625),((Data!$F32/Data!$D32)*60)*1.2,AND(Data!$F32&gt;=626,Data!$F32&lt;=650),((Data!$F32/Data!$D32)*60)*1.5,Data!$F32&gt;=651,((Data!$F32/Data!$D32)*60)*1.8)</f>
        <v>769.59023539668715</v>
      </c>
      <c r="AU32" s="29">
        <f>(Data!$I32*-1.2)+(Data!$J32*-1.1)+(Data!$K32*1.2)+(Data!$L32*1.3)+(Data!$M32*1.5)</f>
        <v>5.3283333323999997</v>
      </c>
      <c r="AV32" s="29">
        <f>(Data!$AS32*0.4)+(Data!$AT32*0.4)+(Data!$AU32*0.2)</f>
        <v>312.66810781730834</v>
      </c>
      <c r="AW32" s="29">
        <f>PERCENTRANK(AV:AV,Data!$AV32)*100</f>
        <v>32.5</v>
      </c>
      <c r="AX32" s="29" t="str">
        <f>_xlfn.CONCAT(TEXT(C32,"mmm"),"-",Data!$AE32)</f>
        <v>Jul-2019</v>
      </c>
    </row>
    <row r="33" spans="1:50" ht="17" thickTop="1" thickBot="1" x14ac:dyDescent="0.25">
      <c r="A33" s="22">
        <v>32</v>
      </c>
      <c r="B33" s="23">
        <f t="shared" si="0"/>
        <v>11</v>
      </c>
      <c r="C33" s="41">
        <v>43678</v>
      </c>
      <c r="D33" s="24">
        <f>SUM(Data!$I33:$M33)</f>
        <v>58.550000000000004</v>
      </c>
      <c r="E33" s="23">
        <v>20</v>
      </c>
      <c r="F33" s="23">
        <v>725</v>
      </c>
      <c r="G33" s="23">
        <v>137</v>
      </c>
      <c r="H33" s="23">
        <v>170</v>
      </c>
      <c r="I33" s="23">
        <v>6.25</v>
      </c>
      <c r="J33" s="23">
        <v>5.483333333</v>
      </c>
      <c r="K33" s="23">
        <v>27.066666667</v>
      </c>
      <c r="L33" s="23">
        <v>12.866666667000001</v>
      </c>
      <c r="M33" s="23">
        <v>6.8833333330000004</v>
      </c>
      <c r="N33" s="23" t="s">
        <v>33</v>
      </c>
      <c r="O33" s="23" t="s">
        <v>50</v>
      </c>
      <c r="P33" s="23" t="s">
        <v>49</v>
      </c>
      <c r="Q33" s="23">
        <f t="shared" si="6"/>
        <v>2</v>
      </c>
      <c r="R33" s="23" t="str">
        <f t="shared" si="1"/>
        <v>8-2019</v>
      </c>
      <c r="S33" s="23" t="s">
        <v>43</v>
      </c>
      <c r="T33" s="23" t="str">
        <f t="shared" si="2"/>
        <v>Thursday</v>
      </c>
      <c r="U33" s="23">
        <f t="shared" si="3"/>
        <v>1</v>
      </c>
      <c r="V33" s="25">
        <f>IFERROR(Data!$I33/Data!$D33,"")</f>
        <v>0.1067463706233988</v>
      </c>
      <c r="W33" s="25">
        <f>IFERROR(Data!$J33/Data!$D33,"")</f>
        <v>9.3652149154568737E-2</v>
      </c>
      <c r="X33" s="25">
        <f>IFERROR(Data!$K33/Data!$D33,"")</f>
        <v>0.46228294905209222</v>
      </c>
      <c r="Y33" s="25">
        <f>IFERROR(Data!$L33/Data!$D33,"")</f>
        <v>0.21975519499573012</v>
      </c>
      <c r="Z33" s="25">
        <f>IFERROR(Data!$M33/Data!$D33,"")</f>
        <v>0.11756333617421008</v>
      </c>
      <c r="AA33" s="26">
        <v>232.14</v>
      </c>
      <c r="AB33" s="26">
        <f t="shared" si="9"/>
        <v>21.103636363636362</v>
      </c>
      <c r="AC33" s="23">
        <f t="shared" si="4"/>
        <v>627.18181818181813</v>
      </c>
      <c r="AD33" s="23">
        <f t="shared" si="5"/>
        <v>15.090909090909092</v>
      </c>
      <c r="AE33" s="23">
        <f>YEAR(Data!$C33)</f>
        <v>2019</v>
      </c>
      <c r="AF33" s="23"/>
      <c r="AG33" s="23">
        <v>12</v>
      </c>
      <c r="AH33" s="27">
        <f>Data!$F33/Data!$D33</f>
        <v>12.38257899231426</v>
      </c>
      <c r="AI33" s="17" t="str">
        <f>RIGHT(Data!$O33,2)</f>
        <v>PM</v>
      </c>
      <c r="AJ33" s="23" t="str">
        <f>Data!$R33&amp;"-"&amp;WEEKNUM(Data!$C33,1)-WEEKNUM(DATE(YEAR(Data!$C33),MONTH(Data!$C33),1),1)+1</f>
        <v>8-2019-1</v>
      </c>
      <c r="AK33" s="23">
        <f>MONTH(Data!$C33)</f>
        <v>8</v>
      </c>
      <c r="AL33" s="23">
        <f>IFERROR(Data!$F33/Data!$E33,0)</f>
        <v>36.25</v>
      </c>
      <c r="AM33" s="23">
        <f>COUNTIF(Data!$N$2:$N$825,Data!$N33)</f>
        <v>48</v>
      </c>
      <c r="AN33" s="23" t="str">
        <f>VLOOKUP(Data!$N33,'Helpful Tables'!A:D,4,FALSE)</f>
        <v>Washington, DC</v>
      </c>
      <c r="AO33" s="23">
        <f>COUNTIF(AN:AN,Data!$AN33)/COUNTA(AN:AN)</f>
        <v>0.62424242424242427</v>
      </c>
      <c r="AP33" s="23">
        <v>38.916486999999996</v>
      </c>
      <c r="AQ33" s="23">
        <v>-77.031514000000001</v>
      </c>
      <c r="AR33" s="23">
        <f>COUNTIF(Data!$P$2:$P$825,Data!$P33)</f>
        <v>1</v>
      </c>
      <c r="AS33" s="23" cm="1">
        <f t="array" ref="AS33">_xlfn.IFS(Data!$E33&lt;12,((Data!$E33/Data!$D33)*60)*1,AND(Data!$E33&gt;=12,Data!$E33&lt;=15),((Data!$E33/Data!$D33)*60)*1.2,AND(Data!$E33&gt;=16,Data!$E33&lt;=19),((Data!$E33/Data!$D33)*60)*1.5,Data!$E33&gt;=20,((Data!$E33/Data!$D33)*60)*1.8)</f>
        <v>36.89154568744663</v>
      </c>
      <c r="AT33" s="23" cm="1">
        <f t="array" ref="AT33">_xlfn.IFS(Data!$F33&lt;600,((Data!$F33/Data!$D33)*60)*1,AND(Data!$F33&gt;=600,Data!$F33&lt;=625),((Data!$F33/Data!$D33)*60)*1.2,AND(Data!$F33&gt;=626,Data!$F33&lt;=650),((Data!$F33/Data!$D33)*60)*1.5,Data!$F33&gt;=651,((Data!$F33/Data!$D33)*60)*1.8)</f>
        <v>1337.3185311699401</v>
      </c>
      <c r="AU33" s="23">
        <f>(Data!$I33*-1.2)+(Data!$J33*-1.1)+(Data!$K33*1.2)+(Data!$L33*1.3)+(Data!$M33*1.5)</f>
        <v>46.000000000699998</v>
      </c>
      <c r="AV33" s="23">
        <f>(Data!$AS33*0.4)+(Data!$AT33*0.4)+(Data!$AU33*0.2)</f>
        <v>558.88403074309474</v>
      </c>
      <c r="AW33" s="23">
        <f>PERCENTRANK(AV:AV,Data!$AV33)*100</f>
        <v>98.6</v>
      </c>
      <c r="AX33" s="23" t="str">
        <f>_xlfn.CONCAT(TEXT(C33,"mmm"),"-",Data!$AE33)</f>
        <v>Aug-2019</v>
      </c>
    </row>
    <row r="34" spans="1:50" ht="17" thickTop="1" thickBot="1" x14ac:dyDescent="0.25">
      <c r="A34" s="28">
        <v>33</v>
      </c>
      <c r="B34" s="29">
        <f t="shared" si="0"/>
        <v>11</v>
      </c>
      <c r="C34" s="41">
        <v>43679</v>
      </c>
      <c r="D34" s="30">
        <f>SUM(Data!$I34:$M34)</f>
        <v>56.216666666999991</v>
      </c>
      <c r="E34" s="29">
        <v>16</v>
      </c>
      <c r="F34" s="29">
        <v>592</v>
      </c>
      <c r="G34" s="29">
        <v>124</v>
      </c>
      <c r="H34" s="29">
        <v>169</v>
      </c>
      <c r="I34" s="29">
        <v>18.733333333000001</v>
      </c>
      <c r="J34" s="29">
        <v>10.916666666999999</v>
      </c>
      <c r="K34" s="29">
        <v>9.9499999999999993</v>
      </c>
      <c r="L34" s="29">
        <v>14.15</v>
      </c>
      <c r="M34" s="29">
        <v>2.4666666670000001</v>
      </c>
      <c r="N34" s="29" t="s">
        <v>51</v>
      </c>
      <c r="O34" s="29" t="s">
        <v>53</v>
      </c>
      <c r="P34" s="29" t="s">
        <v>52</v>
      </c>
      <c r="Q34" s="29">
        <f t="shared" si="6"/>
        <v>1</v>
      </c>
      <c r="R34" s="29" t="str">
        <f t="shared" si="1"/>
        <v>8-2019</v>
      </c>
      <c r="S34" s="29" t="s">
        <v>48</v>
      </c>
      <c r="T34" s="29" t="str">
        <f t="shared" si="2"/>
        <v>Friday</v>
      </c>
      <c r="U34" s="29">
        <f t="shared" si="3"/>
        <v>1</v>
      </c>
      <c r="V34" s="31">
        <f>IFERROR(Data!$I34/Data!$D34,"")</f>
        <v>0.33323450933096221</v>
      </c>
      <c r="W34" s="31">
        <f>IFERROR(Data!$J34/Data!$D34,"")</f>
        <v>0.19418914913018567</v>
      </c>
      <c r="X34" s="31">
        <f>IFERROR(Data!$K34/Data!$D34,"")</f>
        <v>0.17699377408729919</v>
      </c>
      <c r="Y34" s="31">
        <f>IFERROR(Data!$L34/Data!$D34,"")</f>
        <v>0.25170471390304361</v>
      </c>
      <c r="Z34" s="31">
        <f>IFERROR(Data!$M34/Data!$D34,"")</f>
        <v>4.3877853548509482E-2</v>
      </c>
      <c r="AA34" s="32">
        <v>232.14</v>
      </c>
      <c r="AB34" s="32">
        <f t="shared" si="9"/>
        <v>21.103636363636362</v>
      </c>
      <c r="AC34" s="29">
        <f t="shared" si="4"/>
        <v>627.18181818181813</v>
      </c>
      <c r="AD34" s="29">
        <f t="shared" si="5"/>
        <v>15.090909090909092</v>
      </c>
      <c r="AE34" s="29">
        <f>YEAR(Data!$C34)</f>
        <v>2019</v>
      </c>
      <c r="AF34" s="29"/>
      <c r="AG34" s="29">
        <v>12</v>
      </c>
      <c r="AH34" s="33">
        <f>Data!$F34/Data!$D34</f>
        <v>10.53068485021921</v>
      </c>
      <c r="AI34" s="17" t="str">
        <f>RIGHT(Data!$O34,2)</f>
        <v>PM</v>
      </c>
      <c r="AJ34" s="29" t="str">
        <f>Data!$R34&amp;"-"&amp;WEEKNUM(Data!$C34,1)-WEEKNUM(DATE(YEAR(Data!$C34),MONTH(Data!$C34),1),1)+1</f>
        <v>8-2019-1</v>
      </c>
      <c r="AK34" s="29">
        <f>MONTH(Data!$C34)</f>
        <v>8</v>
      </c>
      <c r="AL34" s="29">
        <f>IFERROR(Data!$F34/Data!$E34,0)</f>
        <v>37</v>
      </c>
      <c r="AM34" s="29">
        <f>COUNTIF(Data!$N$2:$N$825,Data!$N34)</f>
        <v>3</v>
      </c>
      <c r="AN34" s="29" t="str">
        <f>VLOOKUP(Data!$N34,'Helpful Tables'!A:D,4,FALSE)</f>
        <v>Washington, DC</v>
      </c>
      <c r="AO34" s="29">
        <f>COUNTIF(AN:AN,Data!$AN34)/COUNTA(AN:AN)</f>
        <v>0.62424242424242427</v>
      </c>
      <c r="AP34" s="29">
        <v>38.904280999999997</v>
      </c>
      <c r="AQ34" s="29">
        <v>-77.031495000000007</v>
      </c>
      <c r="AR34" s="29">
        <f>COUNTIF(Data!$P$2:$P$825,Data!$P34)</f>
        <v>1</v>
      </c>
      <c r="AS34" s="29" cm="1">
        <f t="array" ref="AS34">_xlfn.IFS(Data!$E34&lt;12,((Data!$E34/Data!$D34)*60)*1,AND(Data!$E34&gt;=12,Data!$E34&lt;=15),((Data!$E34/Data!$D34)*60)*1.2,AND(Data!$E34&gt;=16,Data!$E34&lt;=19),((Data!$E34/Data!$D34)*60)*1.5,Data!$E34&gt;=20,((Data!$E34/Data!$D34)*60)*1.8)</f>
        <v>25.615179365398077</v>
      </c>
      <c r="AT34" s="29" cm="1">
        <f t="array" ref="AT34">_xlfn.IFS(Data!$F34&lt;600,((Data!$F34/Data!$D34)*60)*1,AND(Data!$F34&gt;=600,Data!$F34&lt;=625),((Data!$F34/Data!$D34)*60)*1.2,AND(Data!$F34&gt;=626,Data!$F34&lt;=650),((Data!$F34/Data!$D34)*60)*1.5,Data!$F34&gt;=651,((Data!$F34/Data!$D34)*60)*1.8)</f>
        <v>631.84109101315255</v>
      </c>
      <c r="AU34" s="29">
        <f>(Data!$I34*-1.2)+(Data!$J34*-1.1)+(Data!$K34*1.2)+(Data!$L34*1.3)+(Data!$M34*1.5)</f>
        <v>-0.45333333280000065</v>
      </c>
      <c r="AV34" s="29">
        <f>(Data!$AS34*0.4)+(Data!$AT34*0.4)+(Data!$AU34*0.2)</f>
        <v>262.89184148486021</v>
      </c>
      <c r="AW34" s="29">
        <f>PERCENTRANK(AV:AV,Data!$AV34)*100</f>
        <v>21.099999999999998</v>
      </c>
      <c r="AX34" s="29" t="str">
        <f>_xlfn.CONCAT(TEXT(C34,"mmm"),"-",Data!$AE34)</f>
        <v>Aug-2019</v>
      </c>
    </row>
    <row r="35" spans="1:50" ht="17" thickTop="1" thickBot="1" x14ac:dyDescent="0.25">
      <c r="A35" s="22">
        <v>34</v>
      </c>
      <c r="B35" s="23">
        <f t="shared" si="0"/>
        <v>11</v>
      </c>
      <c r="C35" s="41">
        <v>43683</v>
      </c>
      <c r="D35" s="24">
        <f>SUM(Data!$I35:$M35)</f>
        <v>59.11666666699999</v>
      </c>
      <c r="E35" s="23">
        <v>18</v>
      </c>
      <c r="F35" s="23">
        <v>620</v>
      </c>
      <c r="G35" s="23">
        <v>124</v>
      </c>
      <c r="H35" s="23">
        <v>174</v>
      </c>
      <c r="I35" s="23">
        <v>17</v>
      </c>
      <c r="J35" s="23">
        <v>9.9833333329999991</v>
      </c>
      <c r="K35" s="23">
        <v>14.716666667</v>
      </c>
      <c r="L35" s="23">
        <v>14.7</v>
      </c>
      <c r="M35" s="23">
        <v>2.7166666670000001</v>
      </c>
      <c r="N35" s="23" t="s">
        <v>33</v>
      </c>
      <c r="O35" s="23" t="s">
        <v>39</v>
      </c>
      <c r="P35" s="23" t="s">
        <v>34</v>
      </c>
      <c r="Q35" s="23">
        <f t="shared" si="6"/>
        <v>4</v>
      </c>
      <c r="R35" s="23" t="str">
        <f t="shared" si="1"/>
        <v>8-2019</v>
      </c>
      <c r="S35" s="23" t="s">
        <v>43</v>
      </c>
      <c r="T35" s="23" t="str">
        <f t="shared" si="2"/>
        <v>Tuesday</v>
      </c>
      <c r="U35" s="23">
        <f t="shared" si="3"/>
        <v>1</v>
      </c>
      <c r="V35" s="25">
        <f>IFERROR(Data!$I35/Data!$D35,"")</f>
        <v>0.28756695799104842</v>
      </c>
      <c r="W35" s="25">
        <f>IFERROR(Data!$J35/Data!$D35,"")</f>
        <v>0.16887510571655556</v>
      </c>
      <c r="X35" s="25">
        <f>IFERROR(Data!$K35/Data!$D35,"")</f>
        <v>0.24894276854102659</v>
      </c>
      <c r="Y35" s="25">
        <f>IFERROR(Data!$L35/Data!$D35,"")</f>
        <v>0.24866084014520071</v>
      </c>
      <c r="Z35" s="25">
        <f>IFERROR(Data!$M35/Data!$D35,"")</f>
        <v>4.5954327606168861E-2</v>
      </c>
      <c r="AA35" s="26">
        <v>232.14</v>
      </c>
      <c r="AB35" s="26">
        <f t="shared" si="9"/>
        <v>21.103636363636362</v>
      </c>
      <c r="AC35" s="23">
        <f t="shared" si="4"/>
        <v>627.18181818181813</v>
      </c>
      <c r="AD35" s="23">
        <f t="shared" si="5"/>
        <v>15.090909090909092</v>
      </c>
      <c r="AE35" s="23">
        <f>YEAR(Data!$C35)</f>
        <v>2019</v>
      </c>
      <c r="AF35" s="23"/>
      <c r="AG35" s="23">
        <v>12</v>
      </c>
      <c r="AH35" s="27">
        <f>Data!$F35/Data!$D35</f>
        <v>10.48773611496765</v>
      </c>
      <c r="AI35" s="17" t="str">
        <f>RIGHT(Data!$O35,2)</f>
        <v>PM</v>
      </c>
      <c r="AJ35" s="23" t="str">
        <f>Data!$R35&amp;"-"&amp;WEEKNUM(Data!$C35,1)-WEEKNUM(DATE(YEAR(Data!$C35),MONTH(Data!$C35),1),1)+1</f>
        <v>8-2019-2</v>
      </c>
      <c r="AK35" s="23">
        <f>MONTH(Data!$C35)</f>
        <v>8</v>
      </c>
      <c r="AL35" s="23">
        <f>IFERROR(Data!$F35/Data!$E35,0)</f>
        <v>34.444444444444443</v>
      </c>
      <c r="AM35" s="23">
        <f>COUNTIF(Data!$N$2:$N$825,Data!$N35)</f>
        <v>48</v>
      </c>
      <c r="AN35" s="23" t="str">
        <f>VLOOKUP(Data!$N35,'Helpful Tables'!A:D,4,FALSE)</f>
        <v>Washington, DC</v>
      </c>
      <c r="AO35" s="23">
        <f>COUNTIF(AN:AN,Data!$AN35)/COUNTA(AN:AN)</f>
        <v>0.62424242424242427</v>
      </c>
      <c r="AP35" s="23">
        <v>38.916486999999996</v>
      </c>
      <c r="AQ35" s="23">
        <v>-77.031514000000001</v>
      </c>
      <c r="AR35" s="23">
        <f>COUNTIF(Data!$P$2:$P$825,Data!$P35)</f>
        <v>30</v>
      </c>
      <c r="AS35" s="23" cm="1">
        <f t="array" ref="AS35">_xlfn.IFS(Data!$E35&lt;12,((Data!$E35/Data!$D35)*60)*1,AND(Data!$E35&gt;=12,Data!$E35&lt;=15),((Data!$E35/Data!$D35)*60)*1.2,AND(Data!$E35&gt;=16,Data!$E35&lt;=19),((Data!$E35/Data!$D35)*60)*1.5,Data!$E35&gt;=20,((Data!$E35/Data!$D35)*60)*1.8)</f>
        <v>27.403439526205791</v>
      </c>
      <c r="AT35" s="23" cm="1">
        <f t="array" ref="AT35">_xlfn.IFS(Data!$F35&lt;600,((Data!$F35/Data!$D35)*60)*1,AND(Data!$F35&gt;=600,Data!$F35&lt;=625),((Data!$F35/Data!$D35)*60)*1.2,AND(Data!$F35&gt;=626,Data!$F35&lt;=650),((Data!$F35/Data!$D35)*60)*1.5,Data!$F35&gt;=651,((Data!$F35/Data!$D35)*60)*1.8)</f>
        <v>755.11700027767074</v>
      </c>
      <c r="AU35" s="23">
        <f>(Data!$I35*-1.2)+(Data!$J35*-1.1)+(Data!$K35*1.2)+(Data!$L35*1.3)+(Data!$M35*1.5)</f>
        <v>9.4633333346000015</v>
      </c>
      <c r="AV35" s="23">
        <f>(Data!$AS35*0.4)+(Data!$AT35*0.4)+(Data!$AU35*0.2)</f>
        <v>314.9008425884706</v>
      </c>
      <c r="AW35" s="23">
        <f>PERCENTRANK(AV:AV,Data!$AV35)*100</f>
        <v>33.700000000000003</v>
      </c>
      <c r="AX35" s="23" t="str">
        <f>_xlfn.CONCAT(TEXT(C35,"mmm"),"-",Data!$AE35)</f>
        <v>Aug-2019</v>
      </c>
    </row>
    <row r="36" spans="1:50" ht="17" thickTop="1" thickBot="1" x14ac:dyDescent="0.25">
      <c r="A36" s="28">
        <v>35</v>
      </c>
      <c r="B36" s="29">
        <f t="shared" si="0"/>
        <v>11</v>
      </c>
      <c r="C36" s="41">
        <v>43685</v>
      </c>
      <c r="D36" s="30">
        <f>SUM(Data!$I36:$M36)</f>
        <v>57.166666665999998</v>
      </c>
      <c r="E36" s="29">
        <v>11</v>
      </c>
      <c r="F36" s="29">
        <v>583</v>
      </c>
      <c r="G36" s="29">
        <v>122</v>
      </c>
      <c r="H36" s="29">
        <v>165</v>
      </c>
      <c r="I36" s="29">
        <v>17.149999999999999</v>
      </c>
      <c r="J36" s="29">
        <v>12.483333332999999</v>
      </c>
      <c r="K36" s="29">
        <v>16.350000000000001</v>
      </c>
      <c r="L36" s="29">
        <v>10.133333332999999</v>
      </c>
      <c r="M36" s="29">
        <v>1.05</v>
      </c>
      <c r="N36" s="29" t="s">
        <v>24</v>
      </c>
      <c r="O36" s="29" t="s">
        <v>26</v>
      </c>
      <c r="P36" s="29" t="s">
        <v>25</v>
      </c>
      <c r="Q36" s="29">
        <f t="shared" si="6"/>
        <v>2</v>
      </c>
      <c r="R36" s="29" t="str">
        <f t="shared" si="1"/>
        <v>8-2019</v>
      </c>
      <c r="S36" s="29" t="s">
        <v>43</v>
      </c>
      <c r="T36" s="29" t="str">
        <f t="shared" si="2"/>
        <v>Thursday</v>
      </c>
      <c r="U36" s="29">
        <f t="shared" si="3"/>
        <v>0</v>
      </c>
      <c r="V36" s="31">
        <f>IFERROR(Data!$I36/Data!$D36,"")</f>
        <v>0.30000000000349852</v>
      </c>
      <c r="W36" s="31">
        <f>IFERROR(Data!$J36/Data!$D36,"")</f>
        <v>0.21836734693549115</v>
      </c>
      <c r="X36" s="31">
        <f>IFERROR(Data!$K36/Data!$D36,"")</f>
        <v>0.28600583090712545</v>
      </c>
      <c r="Y36" s="31">
        <f>IFERROR(Data!$L36/Data!$D36,"")</f>
        <v>0.17725947521489516</v>
      </c>
      <c r="Z36" s="31">
        <f>IFERROR(Data!$M36/Data!$D36,"")</f>
        <v>1.8367346938989709E-2</v>
      </c>
      <c r="AA36" s="32">
        <v>232.14</v>
      </c>
      <c r="AB36" s="32">
        <f t="shared" si="9"/>
        <v>21.103636363636362</v>
      </c>
      <c r="AC36" s="29">
        <f t="shared" si="4"/>
        <v>627.18181818181813</v>
      </c>
      <c r="AD36" s="29">
        <f t="shared" si="5"/>
        <v>15.090909090909092</v>
      </c>
      <c r="AE36" s="29">
        <f>YEAR(Data!$C36)</f>
        <v>2019</v>
      </c>
      <c r="AF36" s="29"/>
      <c r="AG36" s="29">
        <v>12</v>
      </c>
      <c r="AH36" s="33">
        <f>Data!$F36/Data!$D36</f>
        <v>10.198250728981904</v>
      </c>
      <c r="AI36" s="17" t="str">
        <f>RIGHT(Data!$O36,2)</f>
        <v>PM</v>
      </c>
      <c r="AJ36" s="29" t="str">
        <f>Data!$R36&amp;"-"&amp;WEEKNUM(Data!$C36,1)-WEEKNUM(DATE(YEAR(Data!$C36),MONTH(Data!$C36),1),1)+1</f>
        <v>8-2019-2</v>
      </c>
      <c r="AK36" s="29">
        <f>MONTH(Data!$C36)</f>
        <v>8</v>
      </c>
      <c r="AL36" s="29">
        <f>IFERROR(Data!$F36/Data!$E36,0)</f>
        <v>53</v>
      </c>
      <c r="AM36" s="29">
        <f>COUNTIF(Data!$N$2:$N$825,Data!$N36)</f>
        <v>35</v>
      </c>
      <c r="AN36" s="29" t="str">
        <f>VLOOKUP(Data!$N36,'Helpful Tables'!A:D,4,FALSE)</f>
        <v>Virginia</v>
      </c>
      <c r="AO36" s="29">
        <f>COUNTIF(AN:AN,Data!$AN36)/COUNTA(AN:AN)</f>
        <v>6.424242424242424E-2</v>
      </c>
      <c r="AP36" s="29">
        <v>38.881884999999997</v>
      </c>
      <c r="AQ36" s="29">
        <v>-77.229702000000003</v>
      </c>
      <c r="AR36" s="29">
        <f>COUNTIF(Data!$P$2:$P$825,Data!$P36)</f>
        <v>13</v>
      </c>
      <c r="AS36" s="29" cm="1">
        <f t="array" ref="AS36">_xlfn.IFS(Data!$E36&lt;12,((Data!$E36/Data!$D36)*60)*1,AND(Data!$E36&gt;=12,Data!$E36&lt;=15),((Data!$E36/Data!$D36)*60)*1.2,AND(Data!$E36&gt;=16,Data!$E36&lt;=19),((Data!$E36/Data!$D36)*60)*1.5,Data!$E36&gt;=20,((Data!$E36/Data!$D36)*60)*1.8)</f>
        <v>11.545189504507817</v>
      </c>
      <c r="AT36" s="29" cm="1">
        <f t="array" ref="AT36">_xlfn.IFS(Data!$F36&lt;600,((Data!$F36/Data!$D36)*60)*1,AND(Data!$F36&gt;=600,Data!$F36&lt;=625),((Data!$F36/Data!$D36)*60)*1.2,AND(Data!$F36&gt;=626,Data!$F36&lt;=650),((Data!$F36/Data!$D36)*60)*1.5,Data!$F36&gt;=651,((Data!$F36/Data!$D36)*60)*1.8)</f>
        <v>611.89504373891418</v>
      </c>
      <c r="AU36" s="29">
        <f>(Data!$I36*-1.2)+(Data!$J36*-1.1)+(Data!$K36*1.2)+(Data!$L36*1.3)+(Data!$M36*1.5)</f>
        <v>5.6666666600002635E-2</v>
      </c>
      <c r="AV36" s="29">
        <f>(Data!$AS36*0.4)+(Data!$AT36*0.4)+(Data!$AU36*0.2)</f>
        <v>249.38742663068882</v>
      </c>
      <c r="AW36" s="29">
        <f>PERCENTRANK(AV:AV,Data!$AV36)*100</f>
        <v>16.8</v>
      </c>
      <c r="AX36" s="29" t="str">
        <f>_xlfn.CONCAT(TEXT(C36,"mmm"),"-",Data!$AE36)</f>
        <v>Aug-2019</v>
      </c>
    </row>
    <row r="37" spans="1:50" ht="17" thickTop="1" thickBot="1" x14ac:dyDescent="0.25">
      <c r="A37" s="22">
        <v>36</v>
      </c>
      <c r="B37" s="23">
        <f t="shared" si="0"/>
        <v>11</v>
      </c>
      <c r="C37" s="41">
        <v>43687</v>
      </c>
      <c r="D37" s="24">
        <f>SUM(Data!$I37:$M37)</f>
        <v>57.933333332999993</v>
      </c>
      <c r="E37" s="23">
        <v>15</v>
      </c>
      <c r="F37" s="23">
        <v>665</v>
      </c>
      <c r="G37" s="23">
        <v>131</v>
      </c>
      <c r="H37" s="23">
        <v>176</v>
      </c>
      <c r="I37" s="23">
        <v>11.65</v>
      </c>
      <c r="J37" s="23">
        <v>11.016666667000001</v>
      </c>
      <c r="K37" s="23">
        <v>19.883333332999999</v>
      </c>
      <c r="L37" s="23">
        <v>7.3333333329999997</v>
      </c>
      <c r="M37" s="23">
        <v>8.0500000000000007</v>
      </c>
      <c r="N37" s="23" t="s">
        <v>33</v>
      </c>
      <c r="O37" s="23" t="s">
        <v>45</v>
      </c>
      <c r="P37" s="23" t="s">
        <v>34</v>
      </c>
      <c r="Q37" s="23">
        <f t="shared" si="6"/>
        <v>2</v>
      </c>
      <c r="R37" s="23" t="str">
        <f t="shared" si="1"/>
        <v>8-2019</v>
      </c>
      <c r="S37" s="23" t="s">
        <v>43</v>
      </c>
      <c r="T37" s="23" t="str">
        <f t="shared" si="2"/>
        <v>Saturday</v>
      </c>
      <c r="U37" s="23">
        <f t="shared" si="3"/>
        <v>1</v>
      </c>
      <c r="V37" s="25">
        <f>IFERROR(Data!$I37/Data!$D37,"")</f>
        <v>0.20109321058803853</v>
      </c>
      <c r="W37" s="25">
        <f>IFERROR(Data!$J37/Data!$D37,"")</f>
        <v>0.19016110472491465</v>
      </c>
      <c r="X37" s="25">
        <f>IFERROR(Data!$K37/Data!$D37,"")</f>
        <v>0.34321058687769401</v>
      </c>
      <c r="Y37" s="25">
        <f>IFERROR(Data!$L37/Data!$D37,"")</f>
        <v>0.12658227847598724</v>
      </c>
      <c r="Z37" s="25">
        <f>IFERROR(Data!$M37/Data!$D37,"")</f>
        <v>0.1389528193333657</v>
      </c>
      <c r="AA37" s="26">
        <v>232.14</v>
      </c>
      <c r="AB37" s="26">
        <f t="shared" si="9"/>
        <v>21.103636363636362</v>
      </c>
      <c r="AC37" s="23">
        <f t="shared" si="4"/>
        <v>627.18181818181813</v>
      </c>
      <c r="AD37" s="23">
        <f t="shared" si="5"/>
        <v>15.090909090909092</v>
      </c>
      <c r="AE37" s="23">
        <f>YEAR(Data!$C37)</f>
        <v>2019</v>
      </c>
      <c r="AF37" s="23"/>
      <c r="AG37" s="23">
        <v>12</v>
      </c>
      <c r="AH37" s="27">
        <f>Data!$F37/Data!$D37</f>
        <v>11.478711162321513</v>
      </c>
      <c r="AI37" s="17" t="str">
        <f>RIGHT(Data!$O37,2)</f>
        <v>AM</v>
      </c>
      <c r="AJ37" s="23" t="str">
        <f>Data!$R37&amp;"-"&amp;WEEKNUM(Data!$C37,1)-WEEKNUM(DATE(YEAR(Data!$C37),MONTH(Data!$C37),1),1)+1</f>
        <v>8-2019-2</v>
      </c>
      <c r="AK37" s="23">
        <f>MONTH(Data!$C37)</f>
        <v>8</v>
      </c>
      <c r="AL37" s="23">
        <f>IFERROR(Data!$F37/Data!$E37,0)</f>
        <v>44.333333333333336</v>
      </c>
      <c r="AM37" s="23">
        <f>COUNTIF(Data!$N$2:$N$825,Data!$N37)</f>
        <v>48</v>
      </c>
      <c r="AN37" s="23" t="str">
        <f>VLOOKUP(Data!$N37,'Helpful Tables'!A:D,4,FALSE)</f>
        <v>Washington, DC</v>
      </c>
      <c r="AO37" s="23">
        <f>COUNTIF(AN:AN,Data!$AN37)/COUNTA(AN:AN)</f>
        <v>0.62424242424242427</v>
      </c>
      <c r="AP37" s="23">
        <v>38.916486999999996</v>
      </c>
      <c r="AQ37" s="23">
        <v>-77.031514000000001</v>
      </c>
      <c r="AR37" s="23">
        <f>COUNTIF(Data!$P$2:$P$825,Data!$P37)</f>
        <v>30</v>
      </c>
      <c r="AS37" s="23" cm="1">
        <f t="array" ref="AS37">_xlfn.IFS(Data!$E37&lt;12,((Data!$E37/Data!$D37)*60)*1,AND(Data!$E37&gt;=12,Data!$E37&lt;=15),((Data!$E37/Data!$D37)*60)*1.2,AND(Data!$E37&gt;=16,Data!$E37&lt;=19),((Data!$E37/Data!$D37)*60)*1.5,Data!$E37&gt;=20,((Data!$E37/Data!$D37)*60)*1.8)</f>
        <v>18.642117376401853</v>
      </c>
      <c r="AT37" s="23" cm="1">
        <f t="array" ref="AT37">_xlfn.IFS(Data!$F37&lt;600,((Data!$F37/Data!$D37)*60)*1,AND(Data!$F37&gt;=600,Data!$F37&lt;=625),((Data!$F37/Data!$D37)*60)*1.2,AND(Data!$F37&gt;=626,Data!$F37&lt;=650),((Data!$F37/Data!$D37)*60)*1.5,Data!$F37&gt;=651,((Data!$F37/Data!$D37)*60)*1.8)</f>
        <v>1239.7008055307235</v>
      </c>
      <c r="AU37" s="23">
        <f>(Data!$I37*-1.2)+(Data!$J37*-1.1)+(Data!$K37*1.2)+(Data!$L37*1.3)+(Data!$M37*1.5)</f>
        <v>19.369999998799997</v>
      </c>
      <c r="AV37" s="23">
        <f>(Data!$AS37*0.4)+(Data!$AT37*0.4)+(Data!$AU37*0.2)</f>
        <v>507.21116916261019</v>
      </c>
      <c r="AW37" s="23">
        <f>PERCENTRANK(AV:AV,Data!$AV37)*100</f>
        <v>82.6</v>
      </c>
      <c r="AX37" s="23" t="str">
        <f>_xlfn.CONCAT(TEXT(C37,"mmm"),"-",Data!$AE37)</f>
        <v>Aug-2019</v>
      </c>
    </row>
    <row r="38" spans="1:50" ht="17" thickTop="1" thickBot="1" x14ac:dyDescent="0.25">
      <c r="A38" s="28">
        <v>37</v>
      </c>
      <c r="B38" s="29">
        <f t="shared" si="0"/>
        <v>11</v>
      </c>
      <c r="C38" s="41">
        <v>43689</v>
      </c>
      <c r="D38" s="30">
        <f>SUM(Data!$I38:$M38)</f>
        <v>57.300000000000004</v>
      </c>
      <c r="E38" s="29">
        <v>13</v>
      </c>
      <c r="F38" s="29">
        <v>659</v>
      </c>
      <c r="G38" s="29">
        <v>131</v>
      </c>
      <c r="H38" s="29">
        <v>167</v>
      </c>
      <c r="I38" s="29">
        <v>6.0833333329999997</v>
      </c>
      <c r="J38" s="29">
        <v>15.2</v>
      </c>
      <c r="K38" s="29">
        <v>23.05</v>
      </c>
      <c r="L38" s="29">
        <v>10.266666667000001</v>
      </c>
      <c r="M38" s="29">
        <v>2.7</v>
      </c>
      <c r="N38" s="29" t="s">
        <v>40</v>
      </c>
      <c r="O38" s="29" t="s">
        <v>26</v>
      </c>
      <c r="P38" s="29" t="s">
        <v>41</v>
      </c>
      <c r="Q38" s="29">
        <f t="shared" si="6"/>
        <v>2</v>
      </c>
      <c r="R38" s="29" t="str">
        <f t="shared" si="1"/>
        <v>8-2019</v>
      </c>
      <c r="S38" s="29" t="s">
        <v>47</v>
      </c>
      <c r="T38" s="29" t="str">
        <f t="shared" si="2"/>
        <v>Monday</v>
      </c>
      <c r="U38" s="29">
        <f t="shared" si="3"/>
        <v>1</v>
      </c>
      <c r="V38" s="31">
        <f>IFERROR(Data!$I38/Data!$D38,"")</f>
        <v>0.10616637579406631</v>
      </c>
      <c r="W38" s="31">
        <f>IFERROR(Data!$J38/Data!$D38,"")</f>
        <v>0.26527050610820241</v>
      </c>
      <c r="X38" s="31">
        <f>IFERROR(Data!$K38/Data!$D38,"")</f>
        <v>0.40226876090750435</v>
      </c>
      <c r="Y38" s="31">
        <f>IFERROR(Data!$L38/Data!$D38,"")</f>
        <v>0.17917393834205933</v>
      </c>
      <c r="Z38" s="31">
        <f>IFERROR(Data!$M38/Data!$D38,"")</f>
        <v>4.712041884816754E-2</v>
      </c>
      <c r="AA38" s="32">
        <v>232.14</v>
      </c>
      <c r="AB38" s="32">
        <f t="shared" si="9"/>
        <v>21.103636363636362</v>
      </c>
      <c r="AC38" s="29">
        <f t="shared" si="4"/>
        <v>627.18181818181813</v>
      </c>
      <c r="AD38" s="29">
        <f t="shared" si="5"/>
        <v>15.090909090909092</v>
      </c>
      <c r="AE38" s="29">
        <f>YEAR(Data!$C38)</f>
        <v>2019</v>
      </c>
      <c r="AF38" s="29"/>
      <c r="AG38" s="29">
        <v>12</v>
      </c>
      <c r="AH38" s="33">
        <f>Data!$F38/Data!$D38</f>
        <v>11.500872600349039</v>
      </c>
      <c r="AI38" s="17" t="str">
        <f>RIGHT(Data!$O38,2)</f>
        <v>PM</v>
      </c>
      <c r="AJ38" s="29" t="str">
        <f>Data!$R38&amp;"-"&amp;WEEKNUM(Data!$C38,1)-WEEKNUM(DATE(YEAR(Data!$C38),MONTH(Data!$C38),1),1)+1</f>
        <v>8-2019-3</v>
      </c>
      <c r="AK38" s="29">
        <f>MONTH(Data!$C38)</f>
        <v>8</v>
      </c>
      <c r="AL38" s="29">
        <f>IFERROR(Data!$F38/Data!$E38,0)</f>
        <v>50.692307692307693</v>
      </c>
      <c r="AM38" s="29">
        <f>COUNTIF(Data!$N$2:$N$825,Data!$N38)</f>
        <v>38</v>
      </c>
      <c r="AN38" s="29" t="str">
        <f>VLOOKUP(Data!$N38,'Helpful Tables'!A:D,4,FALSE)</f>
        <v>Washington, DC</v>
      </c>
      <c r="AO38" s="29">
        <f>COUNTIF(AN:AN,Data!$AN38)/COUNTA(AN:AN)</f>
        <v>0.62424242424242427</v>
      </c>
      <c r="AP38" s="29">
        <v>38.903509999999997</v>
      </c>
      <c r="AQ38" s="29">
        <v>-77.051809000000006</v>
      </c>
      <c r="AR38" s="29">
        <f>COUNTIF(Data!$P$2:$P$825,Data!$P38)</f>
        <v>20</v>
      </c>
      <c r="AS38" s="29" cm="1">
        <f t="array" ref="AS38">_xlfn.IFS(Data!$E38&lt;12,((Data!$E38/Data!$D38)*60)*1,AND(Data!$E38&gt;=12,Data!$E38&lt;=15),((Data!$E38/Data!$D38)*60)*1.2,AND(Data!$E38&gt;=16,Data!$E38&lt;=19),((Data!$E38/Data!$D38)*60)*1.5,Data!$E38&gt;=20,((Data!$E38/Data!$D38)*60)*1.8)</f>
        <v>16.33507853403141</v>
      </c>
      <c r="AT38" s="29" cm="1">
        <f t="array" ref="AT38">_xlfn.IFS(Data!$F38&lt;600,((Data!$F38/Data!$D38)*60)*1,AND(Data!$F38&gt;=600,Data!$F38&lt;=625),((Data!$F38/Data!$D38)*60)*1.2,AND(Data!$F38&gt;=626,Data!$F38&lt;=650),((Data!$F38/Data!$D38)*60)*1.5,Data!$F38&gt;=651,((Data!$F38/Data!$D38)*60)*1.8)</f>
        <v>1242.0942408376964</v>
      </c>
      <c r="AU38" s="29">
        <f>(Data!$I38*-1.2)+(Data!$J38*-1.1)+(Data!$K38*1.2)+(Data!$L38*1.3)+(Data!$M38*1.5)</f>
        <v>21.036666667500004</v>
      </c>
      <c r="AV38" s="29">
        <f>(Data!$AS38*0.4)+(Data!$AT38*0.4)+(Data!$AU38*0.2)</f>
        <v>507.57906108219117</v>
      </c>
      <c r="AW38" s="29">
        <f>PERCENTRANK(AV:AV,Data!$AV38)*100</f>
        <v>83.1</v>
      </c>
      <c r="AX38" s="29" t="str">
        <f>_xlfn.CONCAT(TEXT(C38,"mmm"),"-",Data!$AE38)</f>
        <v>Aug-2019</v>
      </c>
    </row>
    <row r="39" spans="1:50" ht="17" thickTop="1" thickBot="1" x14ac:dyDescent="0.25">
      <c r="A39" s="22">
        <v>38</v>
      </c>
      <c r="B39" s="23">
        <f t="shared" si="0"/>
        <v>11</v>
      </c>
      <c r="C39" s="41">
        <v>43691</v>
      </c>
      <c r="D39" s="24">
        <f>SUM(Data!$I39:$M39)</f>
        <v>59.233333334000008</v>
      </c>
      <c r="E39" s="23">
        <v>16</v>
      </c>
      <c r="F39" s="23">
        <v>523</v>
      </c>
      <c r="G39" s="23">
        <v>113</v>
      </c>
      <c r="H39" s="23">
        <v>172</v>
      </c>
      <c r="I39" s="23">
        <v>31.166666667000001</v>
      </c>
      <c r="J39" s="23">
        <v>4.25</v>
      </c>
      <c r="K39" s="23">
        <v>8.25</v>
      </c>
      <c r="L39" s="23">
        <v>8.8666666670000005</v>
      </c>
      <c r="M39" s="23">
        <v>6.7</v>
      </c>
      <c r="N39" s="23" t="s">
        <v>40</v>
      </c>
      <c r="O39" s="23" t="s">
        <v>26</v>
      </c>
      <c r="P39" s="23" t="s">
        <v>37</v>
      </c>
      <c r="Q39" s="23">
        <f t="shared" si="6"/>
        <v>2</v>
      </c>
      <c r="R39" s="23" t="str">
        <f t="shared" si="1"/>
        <v>8-2019</v>
      </c>
      <c r="S39" s="23" t="s">
        <v>47</v>
      </c>
      <c r="T39" s="23" t="str">
        <f t="shared" si="2"/>
        <v>Wednesday</v>
      </c>
      <c r="U39" s="23">
        <f t="shared" si="3"/>
        <v>1</v>
      </c>
      <c r="V39" s="25">
        <f>IFERROR(Data!$I39/Data!$D39,"")</f>
        <v>0.52616769836774147</v>
      </c>
      <c r="W39" s="25">
        <f>IFERROR(Data!$J39/Data!$D39,"")</f>
        <v>7.1750140685742814E-2</v>
      </c>
      <c r="X39" s="25">
        <f>IFERROR(Data!$K39/Data!$D39,"")</f>
        <v>0.13927968486055958</v>
      </c>
      <c r="Y39" s="25">
        <f>IFERROR(Data!$L39/Data!$D39,"")</f>
        <v>0.14969048959313797</v>
      </c>
      <c r="Z39" s="25">
        <f>IFERROR(Data!$M39/Data!$D39,"")</f>
        <v>0.11311198649281809</v>
      </c>
      <c r="AA39" s="26">
        <v>232.14</v>
      </c>
      <c r="AB39" s="26">
        <f t="shared" si="9"/>
        <v>21.103636363636362</v>
      </c>
      <c r="AC39" s="23">
        <f t="shared" si="4"/>
        <v>627.18181818181813</v>
      </c>
      <c r="AD39" s="23">
        <f t="shared" si="5"/>
        <v>15.090909090909092</v>
      </c>
      <c r="AE39" s="23">
        <f>YEAR(Data!$C39)</f>
        <v>2019</v>
      </c>
      <c r="AF39" s="23"/>
      <c r="AG39" s="23">
        <v>12</v>
      </c>
      <c r="AH39" s="27">
        <f>Data!$F39/Data!$D39</f>
        <v>8.8294879008572913</v>
      </c>
      <c r="AI39" s="17" t="str">
        <f>RIGHT(Data!$O39,2)</f>
        <v>PM</v>
      </c>
      <c r="AJ39" s="23" t="str">
        <f>Data!$R39&amp;"-"&amp;WEEKNUM(Data!$C39,1)-WEEKNUM(DATE(YEAR(Data!$C39),MONTH(Data!$C39),1),1)+1</f>
        <v>8-2019-3</v>
      </c>
      <c r="AK39" s="23">
        <f>MONTH(Data!$C39)</f>
        <v>8</v>
      </c>
      <c r="AL39" s="23">
        <f>IFERROR(Data!$F39/Data!$E39,0)</f>
        <v>32.6875</v>
      </c>
      <c r="AM39" s="23">
        <f>COUNTIF(Data!$N$2:$N$825,Data!$N39)</f>
        <v>38</v>
      </c>
      <c r="AN39" s="23" t="str">
        <f>VLOOKUP(Data!$N39,'Helpful Tables'!A:D,4,FALSE)</f>
        <v>Washington, DC</v>
      </c>
      <c r="AO39" s="23">
        <f>COUNTIF(AN:AN,Data!$AN39)/COUNTA(AN:AN)</f>
        <v>0.62424242424242427</v>
      </c>
      <c r="AP39" s="23">
        <v>38.903509999999997</v>
      </c>
      <c r="AQ39" s="23">
        <v>-77.051809000000006</v>
      </c>
      <c r="AR39" s="23">
        <f>COUNTIF(Data!$P$2:$P$825,Data!$P39)</f>
        <v>12</v>
      </c>
      <c r="AS39" s="23" cm="1">
        <f t="array" ref="AS39">_xlfn.IFS(Data!$E39&lt;12,((Data!$E39/Data!$D39)*60)*1,AND(Data!$E39&gt;=12,Data!$E39&lt;=15),((Data!$E39/Data!$D39)*60)*1.2,AND(Data!$E39&gt;=16,Data!$E39&lt;=19),((Data!$E39/Data!$D39)*60)*1.5,Data!$E39&gt;=20,((Data!$E39/Data!$D39)*60)*1.8)</f>
        <v>24.310635902934038</v>
      </c>
      <c r="AT39" s="23" cm="1">
        <f t="array" ref="AT39">_xlfn.IFS(Data!$F39&lt;600,((Data!$F39/Data!$D39)*60)*1,AND(Data!$F39&gt;=600,Data!$F39&lt;=625),((Data!$F39/Data!$D39)*60)*1.2,AND(Data!$F39&gt;=626,Data!$F39&lt;=650),((Data!$F39/Data!$D39)*60)*1.5,Data!$F39&gt;=651,((Data!$F39/Data!$D39)*60)*1.8)</f>
        <v>529.76927405143749</v>
      </c>
      <c r="AU39" s="23">
        <f>(Data!$I39*-1.2)+(Data!$J39*-1.1)+(Data!$K39*1.2)+(Data!$L39*1.3)+(Data!$M39*1.5)</f>
        <v>-10.598333333299994</v>
      </c>
      <c r="AV39" s="23">
        <f>(Data!$AS39*0.4)+(Data!$AT39*0.4)+(Data!$AU39*0.2)</f>
        <v>219.51229731508863</v>
      </c>
      <c r="AW39" s="23">
        <f>PERCENTRANK(AV:AV,Data!$AV39)*100</f>
        <v>3.5999999999999996</v>
      </c>
      <c r="AX39" s="23" t="str">
        <f>_xlfn.CONCAT(TEXT(C39,"mmm"),"-",Data!$AE39)</f>
        <v>Aug-2019</v>
      </c>
    </row>
    <row r="40" spans="1:50" ht="17" thickTop="1" thickBot="1" x14ac:dyDescent="0.25">
      <c r="A40" s="28">
        <v>39</v>
      </c>
      <c r="B40" s="29">
        <f t="shared" si="0"/>
        <v>11</v>
      </c>
      <c r="C40" s="41">
        <v>43697</v>
      </c>
      <c r="D40" s="30">
        <f>SUM(Data!$I40:$M40)</f>
        <v>60.483333333000004</v>
      </c>
      <c r="E40" s="29">
        <v>8</v>
      </c>
      <c r="F40" s="29">
        <v>632</v>
      </c>
      <c r="G40" s="29">
        <v>124</v>
      </c>
      <c r="H40" s="29">
        <v>171</v>
      </c>
      <c r="I40" s="29">
        <v>12.383333332999999</v>
      </c>
      <c r="J40" s="29">
        <v>17.850000000000001</v>
      </c>
      <c r="K40" s="29">
        <v>21.55</v>
      </c>
      <c r="L40" s="29">
        <v>6.25</v>
      </c>
      <c r="M40" s="29">
        <v>2.4500000000000002</v>
      </c>
      <c r="N40" s="29" t="s">
        <v>24</v>
      </c>
      <c r="O40" s="29" t="s">
        <v>26</v>
      </c>
      <c r="P40" s="29" t="s">
        <v>54</v>
      </c>
      <c r="Q40" s="29">
        <f t="shared" si="6"/>
        <v>6</v>
      </c>
      <c r="R40" s="29" t="str">
        <f t="shared" si="1"/>
        <v>8-2019</v>
      </c>
      <c r="S40" s="29" t="s">
        <v>43</v>
      </c>
      <c r="T40" s="29" t="str">
        <f t="shared" si="2"/>
        <v>Tuesday</v>
      </c>
      <c r="U40" s="29">
        <f t="shared" si="3"/>
        <v>0</v>
      </c>
      <c r="V40" s="31">
        <f>IFERROR(Data!$I40/Data!$D40,"")</f>
        <v>0.20473959768092992</v>
      </c>
      <c r="W40" s="31">
        <f>IFERROR(Data!$J40/Data!$D40,"")</f>
        <v>0.29512262331383371</v>
      </c>
      <c r="X40" s="31">
        <f>IFERROR(Data!$K40/Data!$D40,"")</f>
        <v>0.35629650041530059</v>
      </c>
      <c r="Y40" s="31">
        <f>IFERROR(Data!$L40/Data!$D40,"")</f>
        <v>0.10333425186058602</v>
      </c>
      <c r="Z40" s="31">
        <f>IFERROR(Data!$M40/Data!$D40,"")</f>
        <v>4.0507026729349721E-2</v>
      </c>
      <c r="AA40" s="32">
        <v>232.14</v>
      </c>
      <c r="AB40" s="32">
        <f t="shared" si="9"/>
        <v>21.103636363636362</v>
      </c>
      <c r="AC40" s="29">
        <f t="shared" si="4"/>
        <v>627.18181818181813</v>
      </c>
      <c r="AD40" s="29">
        <f t="shared" si="5"/>
        <v>15.090909090909092</v>
      </c>
      <c r="AE40" s="29">
        <f>YEAR(Data!$C40)</f>
        <v>2019</v>
      </c>
      <c r="AF40" s="29"/>
      <c r="AG40" s="29">
        <v>12</v>
      </c>
      <c r="AH40" s="33">
        <f>Data!$F40/Data!$D40</f>
        <v>10.449159548142458</v>
      </c>
      <c r="AI40" s="17" t="str">
        <f>RIGHT(Data!$O40,2)</f>
        <v>PM</v>
      </c>
      <c r="AJ40" s="29" t="str">
        <f>Data!$R40&amp;"-"&amp;WEEKNUM(Data!$C40,1)-WEEKNUM(DATE(YEAR(Data!$C40),MONTH(Data!$C40),1),1)+1</f>
        <v>8-2019-4</v>
      </c>
      <c r="AK40" s="29">
        <f>MONTH(Data!$C40)</f>
        <v>8</v>
      </c>
      <c r="AL40" s="29">
        <f>IFERROR(Data!$F40/Data!$E40,0)</f>
        <v>79</v>
      </c>
      <c r="AM40" s="29">
        <f>COUNTIF(Data!$N$2:$N$825,Data!$N40)</f>
        <v>35</v>
      </c>
      <c r="AN40" s="29" t="str">
        <f>VLOOKUP(Data!$N40,'Helpful Tables'!A:D,4,FALSE)</f>
        <v>Virginia</v>
      </c>
      <c r="AO40" s="29">
        <f>COUNTIF(AN:AN,Data!$AN40)/COUNTA(AN:AN)</f>
        <v>6.424242424242424E-2</v>
      </c>
      <c r="AP40" s="29">
        <v>38.881884999999997</v>
      </c>
      <c r="AQ40" s="29">
        <v>-77.229702000000003</v>
      </c>
      <c r="AR40" s="29">
        <f>COUNTIF(Data!$P$2:$P$825,Data!$P40)</f>
        <v>1</v>
      </c>
      <c r="AS40" s="29" cm="1">
        <f t="array" ref="AS40">_xlfn.IFS(Data!$E40&lt;12,((Data!$E40/Data!$D40)*60)*1,AND(Data!$E40&gt;=12,Data!$E40&lt;=15),((Data!$E40/Data!$D40)*60)*1.2,AND(Data!$E40&gt;=16,Data!$E40&lt;=19),((Data!$E40/Data!$D40)*60)*1.5,Data!$E40&gt;=20,((Data!$E40/Data!$D40)*60)*1.8)</f>
        <v>7.9360705428930061</v>
      </c>
      <c r="AT40" s="29" cm="1">
        <f t="array" ref="AT40">_xlfn.IFS(Data!$F40&lt;600,((Data!$F40/Data!$D40)*60)*1,AND(Data!$F40&gt;=600,Data!$F40&lt;=625),((Data!$F40/Data!$D40)*60)*1.2,AND(Data!$F40&gt;=626,Data!$F40&lt;=650),((Data!$F40/Data!$D40)*60)*1.5,Data!$F40&gt;=651,((Data!$F40/Data!$D40)*60)*1.8)</f>
        <v>940.42435933282115</v>
      </c>
      <c r="AU40" s="29">
        <f>(Data!$I40*-1.2)+(Data!$J40*-1.1)+(Data!$K40*1.2)+(Data!$L40*1.3)+(Data!$M40*1.5)</f>
        <v>3.1650000004000023</v>
      </c>
      <c r="AV40" s="29">
        <f>(Data!$AS40*0.4)+(Data!$AT40*0.4)+(Data!$AU40*0.2)</f>
        <v>379.97717195036569</v>
      </c>
      <c r="AW40" s="29">
        <f>PERCENTRANK(AV:AV,Data!$AV40)*100</f>
        <v>45.300000000000004</v>
      </c>
      <c r="AX40" s="29" t="str">
        <f>_xlfn.CONCAT(TEXT(C40,"mmm"),"-",Data!$AE40)</f>
        <v>Aug-2019</v>
      </c>
    </row>
    <row r="41" spans="1:50" ht="17" thickTop="1" thickBot="1" x14ac:dyDescent="0.25">
      <c r="A41" s="22">
        <v>40</v>
      </c>
      <c r="B41" s="23">
        <f t="shared" si="0"/>
        <v>11</v>
      </c>
      <c r="C41" s="41">
        <v>43699</v>
      </c>
      <c r="D41" s="24">
        <f>SUM(Data!$I41:$M41)</f>
        <v>54.833333332999999</v>
      </c>
      <c r="E41" s="23">
        <v>16</v>
      </c>
      <c r="F41" s="23">
        <v>633</v>
      </c>
      <c r="G41" s="23">
        <v>131</v>
      </c>
      <c r="H41" s="23">
        <v>172</v>
      </c>
      <c r="I41" s="23">
        <v>8.2666666670000009</v>
      </c>
      <c r="J41" s="23">
        <v>14.3</v>
      </c>
      <c r="K41" s="23">
        <v>16.933333333</v>
      </c>
      <c r="L41" s="23">
        <v>8.6333333329999995</v>
      </c>
      <c r="M41" s="23">
        <v>6.7</v>
      </c>
      <c r="N41" s="23" t="s">
        <v>55</v>
      </c>
      <c r="O41" s="23" t="s">
        <v>57</v>
      </c>
      <c r="P41" s="23" t="s">
        <v>56</v>
      </c>
      <c r="Q41" s="23">
        <f t="shared" si="6"/>
        <v>2</v>
      </c>
      <c r="R41" s="23" t="str">
        <f t="shared" si="1"/>
        <v>8-2019</v>
      </c>
      <c r="S41" s="23" t="s">
        <v>43</v>
      </c>
      <c r="T41" s="23" t="str">
        <f t="shared" si="2"/>
        <v>Thursday</v>
      </c>
      <c r="U41" s="23">
        <f t="shared" si="3"/>
        <v>1</v>
      </c>
      <c r="V41" s="25">
        <f>IFERROR(Data!$I41/Data!$D41,"")</f>
        <v>0.15075987842644842</v>
      </c>
      <c r="W41" s="25">
        <f>IFERROR(Data!$J41/Data!$D41,"")</f>
        <v>0.26079027355781637</v>
      </c>
      <c r="X41" s="25">
        <f>IFERROR(Data!$K41/Data!$D41,"")</f>
        <v>0.30881458966145175</v>
      </c>
      <c r="Y41" s="25">
        <f>IFERROR(Data!$L41/Data!$D41,"")</f>
        <v>0.1574468085055164</v>
      </c>
      <c r="Z41" s="25">
        <f>IFERROR(Data!$M41/Data!$D41,"")</f>
        <v>0.1221884498487671</v>
      </c>
      <c r="AA41" s="26">
        <v>232.14</v>
      </c>
      <c r="AB41" s="26">
        <f t="shared" si="9"/>
        <v>21.103636363636362</v>
      </c>
      <c r="AC41" s="23">
        <f t="shared" si="4"/>
        <v>627.18181818181813</v>
      </c>
      <c r="AD41" s="23">
        <f t="shared" si="5"/>
        <v>15.090909090909092</v>
      </c>
      <c r="AE41" s="23">
        <f>YEAR(Data!$C41)</f>
        <v>2019</v>
      </c>
      <c r="AF41" s="23"/>
      <c r="AG41" s="23">
        <v>12</v>
      </c>
      <c r="AH41" s="27">
        <f>Data!$F41/Data!$D41</f>
        <v>11.544072948398444</v>
      </c>
      <c r="AI41" s="17" t="str">
        <f>RIGHT(Data!$O41,2)</f>
        <v>PM</v>
      </c>
      <c r="AJ41" s="23" t="str">
        <f>Data!$R41&amp;"-"&amp;WEEKNUM(Data!$C41,1)-WEEKNUM(DATE(YEAR(Data!$C41),MONTH(Data!$C41),1),1)+1</f>
        <v>8-2019-4</v>
      </c>
      <c r="AK41" s="23">
        <f>MONTH(Data!$C41)</f>
        <v>8</v>
      </c>
      <c r="AL41" s="23">
        <f>IFERROR(Data!$F41/Data!$E41,0)</f>
        <v>39.5625</v>
      </c>
      <c r="AM41" s="23">
        <f>COUNTIF(Data!$N$2:$N$825,Data!$N41)</f>
        <v>3</v>
      </c>
      <c r="AN41" s="23" t="str">
        <f>VLOOKUP(Data!$N41,'Helpful Tables'!A:D,4,FALSE)</f>
        <v>Washington, DC</v>
      </c>
      <c r="AO41" s="23">
        <f>COUNTIF(AN:AN,Data!$AN41)/COUNTA(AN:AN)</f>
        <v>0.62424242424242427</v>
      </c>
      <c r="AP41" s="23">
        <v>38.901815999999997</v>
      </c>
      <c r="AQ41" s="23">
        <v>-77.017055999999997</v>
      </c>
      <c r="AR41" s="23">
        <f>COUNTIF(Data!$P$2:$P$825,Data!$P41)</f>
        <v>1</v>
      </c>
      <c r="AS41" s="23" cm="1">
        <f t="array" ref="AS41">_xlfn.IFS(Data!$E41&lt;12,((Data!$E41/Data!$D41)*60)*1,AND(Data!$E41&gt;=12,Data!$E41&lt;=15),((Data!$E41/Data!$D41)*60)*1.2,AND(Data!$E41&gt;=16,Data!$E41&lt;=19),((Data!$E41/Data!$D41)*60)*1.5,Data!$E41&gt;=20,((Data!$E41/Data!$D41)*60)*1.8)</f>
        <v>26.26139817645144</v>
      </c>
      <c r="AT41" s="23" cm="1">
        <f t="array" ref="AT41">_xlfn.IFS(Data!$F41&lt;600,((Data!$F41/Data!$D41)*60)*1,AND(Data!$F41&gt;=600,Data!$F41&lt;=625),((Data!$F41/Data!$D41)*60)*1.2,AND(Data!$F41&gt;=626,Data!$F41&lt;=650),((Data!$F41/Data!$D41)*60)*1.5,Data!$F41&gt;=651,((Data!$F41/Data!$D41)*60)*1.8)</f>
        <v>1038.96656535586</v>
      </c>
      <c r="AU41" s="23">
        <f>(Data!$I41*-1.2)+(Data!$J41*-1.1)+(Data!$K41*1.2)+(Data!$L41*1.3)+(Data!$M41*1.5)</f>
        <v>15.943333332099998</v>
      </c>
      <c r="AV41" s="23">
        <f>(Data!$AS41*0.4)+(Data!$AT41*0.4)+(Data!$AU41*0.2)</f>
        <v>429.27985207934455</v>
      </c>
      <c r="AW41" s="23">
        <f>PERCENTRANK(AV:AV,Data!$AV41)*100</f>
        <v>64.099999999999994</v>
      </c>
      <c r="AX41" s="23" t="str">
        <f>_xlfn.CONCAT(TEXT(C41,"mmm"),"-",Data!$AE41)</f>
        <v>Aug-2019</v>
      </c>
    </row>
    <row r="42" spans="1:50" ht="17" thickTop="1" thickBot="1" x14ac:dyDescent="0.25">
      <c r="A42" s="28">
        <v>41</v>
      </c>
      <c r="B42" s="29">
        <f t="shared" si="0"/>
        <v>11</v>
      </c>
      <c r="C42" s="41">
        <v>43700</v>
      </c>
      <c r="D42" s="30">
        <f>SUM(Data!$I42:$M42)</f>
        <v>57.166666667000001</v>
      </c>
      <c r="E42" s="29">
        <v>14</v>
      </c>
      <c r="F42" s="29">
        <v>635</v>
      </c>
      <c r="G42" s="29">
        <v>128</v>
      </c>
      <c r="H42" s="29">
        <v>166</v>
      </c>
      <c r="I42" s="29">
        <v>10.566666667</v>
      </c>
      <c r="J42" s="29">
        <v>13.833333333000001</v>
      </c>
      <c r="K42" s="29">
        <v>18.850000000000001</v>
      </c>
      <c r="L42" s="29">
        <v>12.4</v>
      </c>
      <c r="M42" s="29">
        <v>1.516666667</v>
      </c>
      <c r="N42" s="29" t="s">
        <v>40</v>
      </c>
      <c r="O42" s="29" t="s">
        <v>57</v>
      </c>
      <c r="P42" s="29" t="s">
        <v>41</v>
      </c>
      <c r="Q42" s="29">
        <f t="shared" si="6"/>
        <v>1</v>
      </c>
      <c r="R42" s="29" t="str">
        <f t="shared" si="1"/>
        <v>8-2019</v>
      </c>
      <c r="S42" s="29" t="s">
        <v>47</v>
      </c>
      <c r="T42" s="29" t="str">
        <f t="shared" si="2"/>
        <v>Friday</v>
      </c>
      <c r="U42" s="29">
        <f t="shared" si="3"/>
        <v>1</v>
      </c>
      <c r="V42" s="31">
        <f>IFERROR(Data!$I42/Data!$D42,"")</f>
        <v>0.1848396501505257</v>
      </c>
      <c r="W42" s="31">
        <f>IFERROR(Data!$J42/Data!$D42,"")</f>
        <v>0.24198250728138787</v>
      </c>
      <c r="X42" s="31">
        <f>IFERROR(Data!$K42/Data!$D42,"")</f>
        <v>0.32973760932752344</v>
      </c>
      <c r="Y42" s="31">
        <f>IFERROR(Data!$L42/Data!$D42,"")</f>
        <v>0.21690962098998887</v>
      </c>
      <c r="Z42" s="31">
        <f>IFERROR(Data!$M42/Data!$D42,"")</f>
        <v>2.6530612250574164E-2</v>
      </c>
      <c r="AA42" s="32">
        <v>232.14</v>
      </c>
      <c r="AB42" s="32">
        <f t="shared" si="9"/>
        <v>21.103636363636362</v>
      </c>
      <c r="AC42" s="29">
        <f t="shared" si="4"/>
        <v>627.18181818181813</v>
      </c>
      <c r="AD42" s="29">
        <f t="shared" si="5"/>
        <v>15.090909090909092</v>
      </c>
      <c r="AE42" s="29">
        <f>YEAR(Data!$C42)</f>
        <v>2019</v>
      </c>
      <c r="AF42" s="29"/>
      <c r="AG42" s="29">
        <v>12</v>
      </c>
      <c r="AH42" s="33">
        <f>Data!$F42/Data!$D42</f>
        <v>11.107871720051849</v>
      </c>
      <c r="AI42" s="17" t="str">
        <f>RIGHT(Data!$O42,2)</f>
        <v>PM</v>
      </c>
      <c r="AJ42" s="29" t="str">
        <f>Data!$R42&amp;"-"&amp;WEEKNUM(Data!$C42,1)-WEEKNUM(DATE(YEAR(Data!$C42),MONTH(Data!$C42),1),1)+1</f>
        <v>8-2019-4</v>
      </c>
      <c r="AK42" s="29">
        <f>MONTH(Data!$C42)</f>
        <v>8</v>
      </c>
      <c r="AL42" s="29">
        <f>IFERROR(Data!$F42/Data!$E42,0)</f>
        <v>45.357142857142854</v>
      </c>
      <c r="AM42" s="29">
        <f>COUNTIF(Data!$N$2:$N$825,Data!$N42)</f>
        <v>38</v>
      </c>
      <c r="AN42" s="29" t="str">
        <f>VLOOKUP(Data!$N42,'Helpful Tables'!A:D,4,FALSE)</f>
        <v>Washington, DC</v>
      </c>
      <c r="AO42" s="29">
        <f>COUNTIF(AN:AN,Data!$AN42)/COUNTA(AN:AN)</f>
        <v>0.62424242424242427</v>
      </c>
      <c r="AP42" s="29">
        <v>38.903509999999997</v>
      </c>
      <c r="AQ42" s="29">
        <v>-77.051809000000006</v>
      </c>
      <c r="AR42" s="29">
        <f>COUNTIF(Data!$P$2:$P$825,Data!$P42)</f>
        <v>20</v>
      </c>
      <c r="AS42" s="29" cm="1">
        <f t="array" ref="AS42">_xlfn.IFS(Data!$E42&lt;12,((Data!$E42/Data!$D42)*60)*1,AND(Data!$E42&gt;=12,Data!$E42&lt;=15),((Data!$E42/Data!$D42)*60)*1.2,AND(Data!$E42&gt;=16,Data!$E42&lt;=19),((Data!$E42/Data!$D42)*60)*1.5,Data!$E42&gt;=20,((Data!$E42/Data!$D42)*60)*1.8)</f>
        <v>17.632653061121676</v>
      </c>
      <c r="AT42" s="29" cm="1">
        <f t="array" ref="AT42">_xlfn.IFS(Data!$F42&lt;600,((Data!$F42/Data!$D42)*60)*1,AND(Data!$F42&gt;=600,Data!$F42&lt;=625),((Data!$F42/Data!$D42)*60)*1.2,AND(Data!$F42&gt;=626,Data!$F42&lt;=650),((Data!$F42/Data!$D42)*60)*1.5,Data!$F42&gt;=651,((Data!$F42/Data!$D42)*60)*1.8)</f>
        <v>999.7084548046663</v>
      </c>
      <c r="AU42" s="29">
        <f>(Data!$I42*-1.2)+(Data!$J42*-1.1)+(Data!$K42*1.2)+(Data!$L42*1.3)+(Data!$M42*1.5)</f>
        <v>13.118333333800003</v>
      </c>
      <c r="AV42" s="29">
        <f>(Data!$AS42*0.4)+(Data!$AT42*0.4)+(Data!$AU42*0.2)</f>
        <v>409.56010981307526</v>
      </c>
      <c r="AW42" s="29">
        <f>PERCENTRANK(AV:AV,Data!$AV42)*100</f>
        <v>56.999999999999993</v>
      </c>
      <c r="AX42" s="29" t="str">
        <f>_xlfn.CONCAT(TEXT(C42,"mmm"),"-",Data!$AE42)</f>
        <v>Aug-2019</v>
      </c>
    </row>
    <row r="43" spans="1:50" ht="17" thickTop="1" thickBot="1" x14ac:dyDescent="0.25">
      <c r="A43" s="22">
        <v>42</v>
      </c>
      <c r="B43" s="23">
        <f t="shared" si="0"/>
        <v>11</v>
      </c>
      <c r="C43" s="41">
        <v>43702</v>
      </c>
      <c r="D43" s="24">
        <f>SUM(Data!$I43:$M43)</f>
        <v>58.966666666999991</v>
      </c>
      <c r="E43" s="23">
        <v>19</v>
      </c>
      <c r="F43" s="23">
        <v>632</v>
      </c>
      <c r="G43" s="23">
        <v>126</v>
      </c>
      <c r="H43" s="23">
        <v>169</v>
      </c>
      <c r="I43" s="23">
        <v>16.649999999999999</v>
      </c>
      <c r="J43" s="23">
        <v>12.65</v>
      </c>
      <c r="K43" s="23">
        <v>10.25</v>
      </c>
      <c r="L43" s="23">
        <v>16.05</v>
      </c>
      <c r="M43" s="23">
        <v>3.3666666670000001</v>
      </c>
      <c r="N43" s="23" t="s">
        <v>40</v>
      </c>
      <c r="O43" s="23" t="s">
        <v>58</v>
      </c>
      <c r="P43" s="23" t="s">
        <v>41</v>
      </c>
      <c r="Q43" s="23">
        <f t="shared" si="6"/>
        <v>2</v>
      </c>
      <c r="R43" s="23" t="str">
        <f t="shared" si="1"/>
        <v>8-2019</v>
      </c>
      <c r="S43" s="23" t="s">
        <v>47</v>
      </c>
      <c r="T43" s="23" t="str">
        <f t="shared" si="2"/>
        <v>Sunday</v>
      </c>
      <c r="U43" s="23">
        <f t="shared" si="3"/>
        <v>1</v>
      </c>
      <c r="V43" s="25">
        <f>IFERROR(Data!$I43/Data!$D43,"")</f>
        <v>0.2823629169006085</v>
      </c>
      <c r="W43" s="25">
        <f>IFERROR(Data!$J43/Data!$D43,"")</f>
        <v>0.21452798190947134</v>
      </c>
      <c r="X43" s="25">
        <f>IFERROR(Data!$K43/Data!$D43,"")</f>
        <v>0.17382702091478902</v>
      </c>
      <c r="Y43" s="25">
        <f>IFERROR(Data!$L43/Data!$D43,"")</f>
        <v>0.27218767665193794</v>
      </c>
      <c r="Z43" s="25">
        <f>IFERROR(Data!$M43/Data!$D43,"")</f>
        <v>5.7094403623193374E-2</v>
      </c>
      <c r="AA43" s="26">
        <v>232.14</v>
      </c>
      <c r="AB43" s="26">
        <f t="shared" si="9"/>
        <v>21.103636363636362</v>
      </c>
      <c r="AC43" s="23">
        <f t="shared" si="4"/>
        <v>627.18181818181813</v>
      </c>
      <c r="AD43" s="23">
        <f t="shared" si="5"/>
        <v>15.090909090909092</v>
      </c>
      <c r="AE43" s="23">
        <f>YEAR(Data!$C43)</f>
        <v>2019</v>
      </c>
      <c r="AF43" s="23"/>
      <c r="AG43" s="23">
        <v>12</v>
      </c>
      <c r="AH43" s="27">
        <f>Data!$F43/Data!$D43</f>
        <v>10.717919728599675</v>
      </c>
      <c r="AI43" s="17" t="str">
        <f>RIGHT(Data!$O43,2)</f>
        <v>AM</v>
      </c>
      <c r="AJ43" s="23" t="str">
        <f>Data!$R43&amp;"-"&amp;WEEKNUM(Data!$C43,1)-WEEKNUM(DATE(YEAR(Data!$C43),MONTH(Data!$C43),1),1)+1</f>
        <v>8-2019-5</v>
      </c>
      <c r="AK43" s="23">
        <f>MONTH(Data!$C43)</f>
        <v>8</v>
      </c>
      <c r="AL43" s="23">
        <f>IFERROR(Data!$F43/Data!$E43,0)</f>
        <v>33.263157894736842</v>
      </c>
      <c r="AM43" s="23">
        <f>COUNTIF(Data!$N$2:$N$825,Data!$N43)</f>
        <v>38</v>
      </c>
      <c r="AN43" s="23" t="str">
        <f>VLOOKUP(Data!$N43,'Helpful Tables'!A:D,4,FALSE)</f>
        <v>Washington, DC</v>
      </c>
      <c r="AO43" s="23">
        <f>COUNTIF(AN:AN,Data!$AN43)/COUNTA(AN:AN)</f>
        <v>0.62424242424242427</v>
      </c>
      <c r="AP43" s="23">
        <v>38.903509999999997</v>
      </c>
      <c r="AQ43" s="23">
        <v>-77.051809000000006</v>
      </c>
      <c r="AR43" s="23">
        <f>COUNTIF(Data!$P$2:$P$825,Data!$P43)</f>
        <v>20</v>
      </c>
      <c r="AS43" s="23" cm="1">
        <f t="array" ref="AS43">_xlfn.IFS(Data!$E43&lt;12,((Data!$E43/Data!$D43)*60)*1,AND(Data!$E43&gt;=12,Data!$E43&lt;=15),((Data!$E43/Data!$D43)*60)*1.2,AND(Data!$E43&gt;=16,Data!$E43&lt;=19),((Data!$E43/Data!$D43)*60)*1.5,Data!$E43&gt;=20,((Data!$E43/Data!$D43)*60)*1.8)</f>
        <v>28.999434708711142</v>
      </c>
      <c r="AT43" s="23" cm="1">
        <f t="array" ref="AT43">_xlfn.IFS(Data!$F43&lt;600,((Data!$F43/Data!$D43)*60)*1,AND(Data!$F43&gt;=600,Data!$F43&lt;=625),((Data!$F43/Data!$D43)*60)*1.2,AND(Data!$F43&gt;=626,Data!$F43&lt;=650),((Data!$F43/Data!$D43)*60)*1.5,Data!$F43&gt;=651,((Data!$F43/Data!$D43)*60)*1.8)</f>
        <v>964.61277557397079</v>
      </c>
      <c r="AU43" s="23">
        <f>(Data!$I43*-1.2)+(Data!$J43*-1.1)+(Data!$K43*1.2)+(Data!$L43*1.3)+(Data!$M43*1.5)</f>
        <v>4.320000000500003</v>
      </c>
      <c r="AV43" s="23">
        <f>(Data!$AS43*0.4)+(Data!$AT43*0.4)+(Data!$AU43*0.2)</f>
        <v>398.30888411317278</v>
      </c>
      <c r="AW43" s="23">
        <f>PERCENTRANK(AV:AV,Data!$AV43)*100</f>
        <v>51.4</v>
      </c>
      <c r="AX43" s="23" t="str">
        <f>_xlfn.CONCAT(TEXT(C43,"mmm"),"-",Data!$AE43)</f>
        <v>Aug-2019</v>
      </c>
    </row>
    <row r="44" spans="1:50" ht="17" thickTop="1" thickBot="1" x14ac:dyDescent="0.25">
      <c r="A44" s="28">
        <v>43</v>
      </c>
      <c r="B44" s="29">
        <f t="shared" si="0"/>
        <v>17</v>
      </c>
      <c r="C44" s="41">
        <v>43711</v>
      </c>
      <c r="D44" s="30">
        <f>SUM(Data!$I44:$M44)</f>
        <v>58.766666665999999</v>
      </c>
      <c r="E44" s="29">
        <v>14</v>
      </c>
      <c r="F44" s="29">
        <v>615</v>
      </c>
      <c r="G44" s="29">
        <v>124</v>
      </c>
      <c r="H44" s="29">
        <v>174</v>
      </c>
      <c r="I44" s="29">
        <v>17.233333333000001</v>
      </c>
      <c r="J44" s="29">
        <v>11.85</v>
      </c>
      <c r="K44" s="29">
        <v>15.433333333</v>
      </c>
      <c r="L44" s="29">
        <v>11.15</v>
      </c>
      <c r="M44" s="29">
        <v>3.1</v>
      </c>
      <c r="N44" s="29" t="s">
        <v>33</v>
      </c>
      <c r="O44" s="29" t="s">
        <v>39</v>
      </c>
      <c r="P44" s="29" t="s">
        <v>34</v>
      </c>
      <c r="Q44" s="29">
        <f t="shared" si="6"/>
        <v>9</v>
      </c>
      <c r="R44" s="29" t="str">
        <f t="shared" si="1"/>
        <v>9-2019</v>
      </c>
      <c r="S44" s="29" t="s">
        <v>43</v>
      </c>
      <c r="T44" s="29" t="str">
        <f t="shared" si="2"/>
        <v>Tuesday</v>
      </c>
      <c r="U44" s="29">
        <f t="shared" si="3"/>
        <v>1</v>
      </c>
      <c r="V44" s="31">
        <f>IFERROR(Data!$I44/Data!$D44,"")</f>
        <v>0.29325014180139819</v>
      </c>
      <c r="W44" s="31">
        <f>IFERROR(Data!$J44/Data!$D44,"")</f>
        <v>0.20164492342826595</v>
      </c>
      <c r="X44" s="31">
        <f>IFERROR(Data!$K44/Data!$D44,"")</f>
        <v>0.26262053317938311</v>
      </c>
      <c r="Y44" s="31">
        <f>IFERROR(Data!$L44/Data!$D44,"")</f>
        <v>0.189733408964149</v>
      </c>
      <c r="Z44" s="31">
        <f>IFERROR(Data!$M44/Data!$D44,"")</f>
        <v>5.2750992626803758E-2</v>
      </c>
      <c r="AA44" s="32">
        <v>232.14</v>
      </c>
      <c r="AB44" s="32">
        <f t="shared" si="9"/>
        <v>13.655294117647058</v>
      </c>
      <c r="AC44" s="29">
        <f t="shared" si="4"/>
        <v>592.88235294117646</v>
      </c>
      <c r="AD44" s="29">
        <f t="shared" si="5"/>
        <v>13.647058823529411</v>
      </c>
      <c r="AE44" s="29">
        <f>YEAR(Data!$C44)</f>
        <v>2019</v>
      </c>
      <c r="AF44" s="29"/>
      <c r="AG44" s="29">
        <v>12</v>
      </c>
      <c r="AH44" s="33">
        <f>Data!$F44/Data!$D44</f>
        <v>10.465116279188488</v>
      </c>
      <c r="AI44" s="17" t="str">
        <f>RIGHT(Data!$O44,2)</f>
        <v>PM</v>
      </c>
      <c r="AJ44" s="29" t="str">
        <f>Data!$R44&amp;"-"&amp;WEEKNUM(Data!$C44,1)-WEEKNUM(DATE(YEAR(Data!$C44),MONTH(Data!$C44),1),1)+1</f>
        <v>9-2019-1</v>
      </c>
      <c r="AK44" s="29">
        <f>MONTH(Data!$C44)</f>
        <v>9</v>
      </c>
      <c r="AL44" s="29">
        <f>IFERROR(Data!$F44/Data!$E44,0)</f>
        <v>43.928571428571431</v>
      </c>
      <c r="AM44" s="29">
        <f>COUNTIF(Data!$N$2:$N$825,Data!$N44)</f>
        <v>48</v>
      </c>
      <c r="AN44" s="29" t="str">
        <f>VLOOKUP(Data!$N44,'Helpful Tables'!A:D,4,FALSE)</f>
        <v>Washington, DC</v>
      </c>
      <c r="AO44" s="29">
        <f>COUNTIF(AN:AN,Data!$AN44)/COUNTA(AN:AN)</f>
        <v>0.62424242424242427</v>
      </c>
      <c r="AP44" s="29">
        <v>38.916486999999996</v>
      </c>
      <c r="AQ44" s="29">
        <v>-77.031514000000001</v>
      </c>
      <c r="AR44" s="29">
        <f>COUNTIF(Data!$P$2:$P$825,Data!$P44)</f>
        <v>30</v>
      </c>
      <c r="AS44" s="29" cm="1">
        <f t="array" ref="AS44">_xlfn.IFS(Data!$E44&lt;12,((Data!$E44/Data!$D44)*60)*1,AND(Data!$E44&gt;=12,Data!$E44&lt;=15),((Data!$E44/Data!$D44)*60)*1.2,AND(Data!$E44&gt;=16,Data!$E44&lt;=19),((Data!$E44/Data!$D44)*60)*1.5,Data!$E44&gt;=20,((Data!$E44/Data!$D44)*60)*1.8)</f>
        <v>17.152580828328446</v>
      </c>
      <c r="AT44" s="29" cm="1">
        <f t="array" ref="AT44">_xlfn.IFS(Data!$F44&lt;600,((Data!$F44/Data!$D44)*60)*1,AND(Data!$F44&gt;=600,Data!$F44&lt;=625),((Data!$F44/Data!$D44)*60)*1.2,AND(Data!$F44&gt;=626,Data!$F44&lt;=650),((Data!$F44/Data!$D44)*60)*1.5,Data!$F44&gt;=651,((Data!$F44/Data!$D44)*60)*1.8)</f>
        <v>753.48837210157103</v>
      </c>
      <c r="AU44" s="29">
        <f>(Data!$I44*-1.2)+(Data!$J44*-1.1)+(Data!$K44*1.2)+(Data!$L44*1.3)+(Data!$M44*1.5)</f>
        <v>3.9500000000000046</v>
      </c>
      <c r="AV44" s="29">
        <f>(Data!$AS44*0.4)+(Data!$AT44*0.4)+(Data!$AU44*0.2)</f>
        <v>309.04638117195981</v>
      </c>
      <c r="AW44" s="29">
        <f>PERCENTRANK(AV:AV,Data!$AV44)*100</f>
        <v>30.8</v>
      </c>
      <c r="AX44" s="29" t="str">
        <f>_xlfn.CONCAT(TEXT(C44,"mmm"),"-",Data!$AE44)</f>
        <v>Sep-2019</v>
      </c>
    </row>
    <row r="45" spans="1:50" ht="17" thickTop="1" thickBot="1" x14ac:dyDescent="0.25">
      <c r="A45" s="22">
        <v>44</v>
      </c>
      <c r="B45" s="23">
        <f t="shared" si="0"/>
        <v>17</v>
      </c>
      <c r="C45" s="41">
        <v>43712</v>
      </c>
      <c r="D45" s="24">
        <f>SUM(Data!$I45:$M45)</f>
        <v>56.849999999000005</v>
      </c>
      <c r="E45" s="23">
        <v>15</v>
      </c>
      <c r="F45" s="23">
        <v>567</v>
      </c>
      <c r="G45" s="23">
        <v>121</v>
      </c>
      <c r="H45" s="23">
        <v>173</v>
      </c>
      <c r="I45" s="23">
        <v>21.083333332999999</v>
      </c>
      <c r="J45" s="23">
        <v>14.266666667000001</v>
      </c>
      <c r="K45" s="23">
        <v>6.6333333330000004</v>
      </c>
      <c r="L45" s="23">
        <v>9.1833333330000002</v>
      </c>
      <c r="M45" s="23">
        <v>5.6833333330000002</v>
      </c>
      <c r="N45" s="23" t="s">
        <v>40</v>
      </c>
      <c r="O45" s="23" t="s">
        <v>26</v>
      </c>
      <c r="P45" s="23" t="s">
        <v>37</v>
      </c>
      <c r="Q45" s="23">
        <f t="shared" si="6"/>
        <v>1</v>
      </c>
      <c r="R45" s="23" t="str">
        <f t="shared" si="1"/>
        <v>9-2019</v>
      </c>
      <c r="S45" s="23" t="s">
        <v>47</v>
      </c>
      <c r="T45" s="23" t="str">
        <f t="shared" si="2"/>
        <v>Wednesday</v>
      </c>
      <c r="U45" s="23">
        <f t="shared" si="3"/>
        <v>1</v>
      </c>
      <c r="V45" s="25">
        <f>IFERROR(Data!$I45/Data!$D45,"")</f>
        <v>0.37085898563537123</v>
      </c>
      <c r="W45" s="25">
        <f>IFERROR(Data!$J45/Data!$D45,"")</f>
        <v>0.25095279977574236</v>
      </c>
      <c r="X45" s="25">
        <f>IFERROR(Data!$K45/Data!$D45,"")</f>
        <v>0.11668132512078595</v>
      </c>
      <c r="Y45" s="25">
        <f>IFERROR(Data!$L45/Data!$D45,"")</f>
        <v>0.16153620638806571</v>
      </c>
      <c r="Z45" s="25">
        <f>IFERROR(Data!$M45/Data!$D45,"")</f>
        <v>9.9970683080034664E-2</v>
      </c>
      <c r="AA45" s="26">
        <v>232.14</v>
      </c>
      <c r="AB45" s="26">
        <f t="shared" si="9"/>
        <v>13.655294117647058</v>
      </c>
      <c r="AC45" s="23">
        <f t="shared" si="4"/>
        <v>592.88235294117646</v>
      </c>
      <c r="AD45" s="23">
        <f t="shared" si="5"/>
        <v>13.647058823529411</v>
      </c>
      <c r="AE45" s="23">
        <f>YEAR(Data!$C45)</f>
        <v>2019</v>
      </c>
      <c r="AF45" s="23"/>
      <c r="AG45" s="23">
        <v>12</v>
      </c>
      <c r="AH45" s="27">
        <f>Data!$F45/Data!$D45</f>
        <v>9.9736147759010301</v>
      </c>
      <c r="AI45" s="17" t="str">
        <f>RIGHT(Data!$O45,2)</f>
        <v>PM</v>
      </c>
      <c r="AJ45" s="23" t="str">
        <f>Data!$R45&amp;"-"&amp;WEEKNUM(Data!$C45,1)-WEEKNUM(DATE(YEAR(Data!$C45),MONTH(Data!$C45),1),1)+1</f>
        <v>9-2019-1</v>
      </c>
      <c r="AK45" s="23">
        <f>MONTH(Data!$C45)</f>
        <v>9</v>
      </c>
      <c r="AL45" s="23">
        <f>IFERROR(Data!$F45/Data!$E45,0)</f>
        <v>37.799999999999997</v>
      </c>
      <c r="AM45" s="23">
        <f>COUNTIF(Data!$N$2:$N$825,Data!$N45)</f>
        <v>38</v>
      </c>
      <c r="AN45" s="23" t="str">
        <f>VLOOKUP(Data!$N45,'Helpful Tables'!A:D,4,FALSE)</f>
        <v>Washington, DC</v>
      </c>
      <c r="AO45" s="23">
        <f>COUNTIF(AN:AN,Data!$AN45)/COUNTA(AN:AN)</f>
        <v>0.62424242424242427</v>
      </c>
      <c r="AP45" s="23">
        <v>38.903509999999997</v>
      </c>
      <c r="AQ45" s="23">
        <v>-77.051809000000006</v>
      </c>
      <c r="AR45" s="23">
        <f>COUNTIF(Data!$P$2:$P$825,Data!$P45)</f>
        <v>12</v>
      </c>
      <c r="AS45" s="23" cm="1">
        <f t="array" ref="AS45">_xlfn.IFS(Data!$E45&lt;12,((Data!$E45/Data!$D45)*60)*1,AND(Data!$E45&gt;=12,Data!$E45&lt;=15),((Data!$E45/Data!$D45)*60)*1.2,AND(Data!$E45&gt;=16,Data!$E45&lt;=19),((Data!$E45/Data!$D45)*60)*1.5,Data!$E45&gt;=20,((Data!$E45/Data!$D45)*60)*1.8)</f>
        <v>18.997361477906722</v>
      </c>
      <c r="AT45" s="23" cm="1">
        <f t="array" ref="AT45">_xlfn.IFS(Data!$F45&lt;600,((Data!$F45/Data!$D45)*60)*1,AND(Data!$F45&gt;=600,Data!$F45&lt;=625),((Data!$F45/Data!$D45)*60)*1.2,AND(Data!$F45&gt;=626,Data!$F45&lt;=650),((Data!$F45/Data!$D45)*60)*1.5,Data!$F45&gt;=651,((Data!$F45/Data!$D45)*60)*1.8)</f>
        <v>598.41688655406176</v>
      </c>
      <c r="AU45" s="23">
        <f>(Data!$I45*-1.2)+(Data!$J45*-1.1)+(Data!$K45*1.2)+(Data!$L45*1.3)+(Data!$M45*1.5)</f>
        <v>-12.570000001299999</v>
      </c>
      <c r="AV45" s="23">
        <f>(Data!$AS45*0.4)+(Data!$AT45*0.4)+(Data!$AU45*0.2)</f>
        <v>244.45169921252739</v>
      </c>
      <c r="AW45" s="23">
        <f>PERCENTRANK(AV:AV,Data!$AV45)*100</f>
        <v>14.499999999999998</v>
      </c>
      <c r="AX45" s="23" t="str">
        <f>_xlfn.CONCAT(TEXT(C45,"mmm"),"-",Data!$AE45)</f>
        <v>Sep-2019</v>
      </c>
    </row>
    <row r="46" spans="1:50" ht="17" thickTop="1" thickBot="1" x14ac:dyDescent="0.25">
      <c r="A46" s="28">
        <v>45</v>
      </c>
      <c r="B46" s="29">
        <f t="shared" si="0"/>
        <v>17</v>
      </c>
      <c r="C46" s="41">
        <v>43714</v>
      </c>
      <c r="D46" s="30">
        <f>SUM(Data!$I46:$M46)</f>
        <v>57.550000000000004</v>
      </c>
      <c r="E46" s="29">
        <v>20</v>
      </c>
      <c r="F46" s="29">
        <v>578</v>
      </c>
      <c r="G46" s="29">
        <v>121</v>
      </c>
      <c r="H46" s="29">
        <v>168</v>
      </c>
      <c r="I46" s="29">
        <v>22.083333332999999</v>
      </c>
      <c r="J46" s="29">
        <v>9.7833333329999999</v>
      </c>
      <c r="K46" s="29">
        <v>6.45</v>
      </c>
      <c r="L46" s="29">
        <v>15.566666667</v>
      </c>
      <c r="M46" s="29">
        <v>3.6666666669999999</v>
      </c>
      <c r="N46" s="29" t="s">
        <v>51</v>
      </c>
      <c r="O46" s="29" t="s">
        <v>39</v>
      </c>
      <c r="P46" s="29" t="s">
        <v>59</v>
      </c>
      <c r="Q46" s="29">
        <f t="shared" si="6"/>
        <v>2</v>
      </c>
      <c r="R46" s="29" t="str">
        <f t="shared" si="1"/>
        <v>9-2019</v>
      </c>
      <c r="S46" s="29" t="s">
        <v>48</v>
      </c>
      <c r="T46" s="29" t="str">
        <f t="shared" si="2"/>
        <v>Friday</v>
      </c>
      <c r="U46" s="29">
        <f t="shared" si="3"/>
        <v>1</v>
      </c>
      <c r="V46" s="31">
        <f>IFERROR(Data!$I46/Data!$D46,"")</f>
        <v>0.38372429770634225</v>
      </c>
      <c r="W46" s="31">
        <f>IFERROR(Data!$J46/Data!$D46,"")</f>
        <v>0.16999710396177237</v>
      </c>
      <c r="X46" s="31">
        <f>IFERROR(Data!$K46/Data!$D46,"")</f>
        <v>0.11207645525629886</v>
      </c>
      <c r="Y46" s="31">
        <f>IFERROR(Data!$L46/Data!$D46,"")</f>
        <v>0.27048942948740223</v>
      </c>
      <c r="Z46" s="31">
        <f>IFERROR(Data!$M46/Data!$D46,"")</f>
        <v>6.3712713588184186E-2</v>
      </c>
      <c r="AA46" s="32">
        <v>232.14</v>
      </c>
      <c r="AB46" s="32">
        <f t="shared" si="9"/>
        <v>13.655294117647058</v>
      </c>
      <c r="AC46" s="29">
        <f t="shared" si="4"/>
        <v>592.88235294117646</v>
      </c>
      <c r="AD46" s="29">
        <f t="shared" si="5"/>
        <v>13.647058823529411</v>
      </c>
      <c r="AE46" s="29">
        <f>YEAR(Data!$C46)</f>
        <v>2019</v>
      </c>
      <c r="AF46" s="29"/>
      <c r="AG46" s="29">
        <v>12</v>
      </c>
      <c r="AH46" s="33">
        <f>Data!$F46/Data!$D46</f>
        <v>10.043440486533449</v>
      </c>
      <c r="AI46" s="17" t="str">
        <f>RIGHT(Data!$O46,2)</f>
        <v>PM</v>
      </c>
      <c r="AJ46" s="29" t="str">
        <f>Data!$R46&amp;"-"&amp;WEEKNUM(Data!$C46,1)-WEEKNUM(DATE(YEAR(Data!$C46),MONTH(Data!$C46),1),1)+1</f>
        <v>9-2019-1</v>
      </c>
      <c r="AK46" s="29">
        <f>MONTH(Data!$C46)</f>
        <v>9</v>
      </c>
      <c r="AL46" s="29">
        <f>IFERROR(Data!$F46/Data!$E46,0)</f>
        <v>28.9</v>
      </c>
      <c r="AM46" s="29">
        <f>COUNTIF(Data!$N$2:$N$825,Data!$N46)</f>
        <v>3</v>
      </c>
      <c r="AN46" s="29" t="str">
        <f>VLOOKUP(Data!$N46,'Helpful Tables'!A:D,4,FALSE)</f>
        <v>Washington, DC</v>
      </c>
      <c r="AO46" s="29">
        <f>COUNTIF(AN:AN,Data!$AN46)/COUNTA(AN:AN)</f>
        <v>0.62424242424242427</v>
      </c>
      <c r="AP46" s="29">
        <v>38.904280999999997</v>
      </c>
      <c r="AQ46" s="29">
        <v>-77.031495000000007</v>
      </c>
      <c r="AR46" s="29">
        <f>COUNTIF(Data!$P$2:$P$825,Data!$P46)</f>
        <v>1</v>
      </c>
      <c r="AS46" s="29" cm="1">
        <f t="array" ref="AS46">_xlfn.IFS(Data!$E46&lt;12,((Data!$E46/Data!$D46)*60)*1,AND(Data!$E46&gt;=12,Data!$E46&lt;=15),((Data!$E46/Data!$D46)*60)*1.2,AND(Data!$E46&gt;=16,Data!$E46&lt;=19),((Data!$E46/Data!$D46)*60)*1.5,Data!$E46&gt;=20,((Data!$E46/Data!$D46)*60)*1.8)</f>
        <v>37.532580364900085</v>
      </c>
      <c r="AT46" s="29" cm="1">
        <f t="array" ref="AT46">_xlfn.IFS(Data!$F46&lt;600,((Data!$F46/Data!$D46)*60)*1,AND(Data!$F46&gt;=600,Data!$F46&lt;=625),((Data!$F46/Data!$D46)*60)*1.2,AND(Data!$F46&gt;=626,Data!$F46&lt;=650),((Data!$F46/Data!$D46)*60)*1.5,Data!$F46&gt;=651,((Data!$F46/Data!$D46)*60)*1.8)</f>
        <v>602.60642919200689</v>
      </c>
      <c r="AU46" s="29">
        <f>(Data!$I46*-1.2)+(Data!$J46*-1.1)+(Data!$K46*1.2)+(Data!$L46*1.3)+(Data!$M46*1.5)</f>
        <v>-3.7849999982999929</v>
      </c>
      <c r="AV46" s="29">
        <f>(Data!$AS46*0.4)+(Data!$AT46*0.4)+(Data!$AU46*0.2)</f>
        <v>255.29860382310281</v>
      </c>
      <c r="AW46" s="29">
        <f>PERCENTRANK(AV:AV,Data!$AV46)*100</f>
        <v>19.100000000000001</v>
      </c>
      <c r="AX46" s="29" t="str">
        <f>_xlfn.CONCAT(TEXT(C46,"mmm"),"-",Data!$AE46)</f>
        <v>Sep-2019</v>
      </c>
    </row>
    <row r="47" spans="1:50" ht="17" thickTop="1" thickBot="1" x14ac:dyDescent="0.25">
      <c r="A47" s="22">
        <v>46</v>
      </c>
      <c r="B47" s="23">
        <f t="shared" si="0"/>
        <v>17</v>
      </c>
      <c r="C47" s="41">
        <v>43715</v>
      </c>
      <c r="D47" s="24">
        <f>SUM(Data!$I47:$M47)</f>
        <v>57.633333333000003</v>
      </c>
      <c r="E47" s="23">
        <v>11</v>
      </c>
      <c r="F47" s="23">
        <v>651</v>
      </c>
      <c r="G47" s="23">
        <v>129</v>
      </c>
      <c r="H47" s="23">
        <v>171</v>
      </c>
      <c r="I47" s="23">
        <v>5.8666666669999996</v>
      </c>
      <c r="J47" s="23">
        <v>17.433333333</v>
      </c>
      <c r="K47" s="23">
        <v>22.95</v>
      </c>
      <c r="L47" s="23">
        <v>9.0333333329999999</v>
      </c>
      <c r="M47" s="23">
        <v>2.35</v>
      </c>
      <c r="N47" s="23" t="s">
        <v>33</v>
      </c>
      <c r="O47" s="23" t="s">
        <v>45</v>
      </c>
      <c r="P47" s="23" t="s">
        <v>34</v>
      </c>
      <c r="Q47" s="23">
        <f t="shared" si="6"/>
        <v>1</v>
      </c>
      <c r="R47" s="23" t="str">
        <f t="shared" si="1"/>
        <v>9-2019</v>
      </c>
      <c r="S47" s="23" t="s">
        <v>43</v>
      </c>
      <c r="T47" s="23" t="str">
        <f t="shared" si="2"/>
        <v>Saturday</v>
      </c>
      <c r="U47" s="23">
        <f t="shared" si="3"/>
        <v>0</v>
      </c>
      <c r="V47" s="25">
        <f>IFERROR(Data!$I47/Data!$D47,"")</f>
        <v>0.10179294390457948</v>
      </c>
      <c r="W47" s="25">
        <f>IFERROR(Data!$J47/Data!$D47,"")</f>
        <v>0.30248698669347879</v>
      </c>
      <c r="X47" s="25">
        <f>IFERROR(Data!$K47/Data!$D47,"")</f>
        <v>0.39820705610409601</v>
      </c>
      <c r="Y47" s="25">
        <f>IFERROR(Data!$L47/Data!$D47,"")</f>
        <v>0.15673799883838482</v>
      </c>
      <c r="Z47" s="25">
        <f>IFERROR(Data!$M47/Data!$D47,"")</f>
        <v>4.0775014459460815E-2</v>
      </c>
      <c r="AA47" s="26">
        <v>232.14</v>
      </c>
      <c r="AB47" s="26">
        <f t="shared" si="9"/>
        <v>13.655294117647058</v>
      </c>
      <c r="AC47" s="23">
        <f t="shared" si="4"/>
        <v>592.88235294117646</v>
      </c>
      <c r="AD47" s="23">
        <f t="shared" si="5"/>
        <v>13.647058823529411</v>
      </c>
      <c r="AE47" s="23">
        <f>YEAR(Data!$C47)</f>
        <v>2019</v>
      </c>
      <c r="AF47" s="23"/>
      <c r="AG47" s="23">
        <v>12</v>
      </c>
      <c r="AH47" s="27">
        <f>Data!$F47/Data!$D47</f>
        <v>11.295546558769782</v>
      </c>
      <c r="AI47" s="17" t="str">
        <f>RIGHT(Data!$O47,2)</f>
        <v>AM</v>
      </c>
      <c r="AJ47" s="23" t="str">
        <f>Data!$R47&amp;"-"&amp;WEEKNUM(Data!$C47,1)-WEEKNUM(DATE(YEAR(Data!$C47),MONTH(Data!$C47),1),1)+1</f>
        <v>9-2019-1</v>
      </c>
      <c r="AK47" s="23">
        <f>MONTH(Data!$C47)</f>
        <v>9</v>
      </c>
      <c r="AL47" s="23">
        <f>IFERROR(Data!$F47/Data!$E47,0)</f>
        <v>59.18181818181818</v>
      </c>
      <c r="AM47" s="23">
        <f>COUNTIF(Data!$N$2:$N$825,Data!$N47)</f>
        <v>48</v>
      </c>
      <c r="AN47" s="23" t="str">
        <f>VLOOKUP(Data!$N47,'Helpful Tables'!A:D,4,FALSE)</f>
        <v>Washington, DC</v>
      </c>
      <c r="AO47" s="23">
        <f>COUNTIF(AN:AN,Data!$AN47)/COUNTA(AN:AN)</f>
        <v>0.62424242424242427</v>
      </c>
      <c r="AP47" s="23">
        <v>38.916486999999996</v>
      </c>
      <c r="AQ47" s="23">
        <v>-77.031514000000001</v>
      </c>
      <c r="AR47" s="23">
        <f>COUNTIF(Data!$P$2:$P$825,Data!$P47)</f>
        <v>30</v>
      </c>
      <c r="AS47" s="23" cm="1">
        <f t="array" ref="AS47">_xlfn.IFS(Data!$E47&lt;12,((Data!$E47/Data!$D47)*60)*1,AND(Data!$E47&gt;=12,Data!$E47&lt;=15),((Data!$E47/Data!$D47)*60)*1.2,AND(Data!$E47&gt;=16,Data!$E47&lt;=19),((Data!$E47/Data!$D47)*60)*1.5,Data!$E47&gt;=20,((Data!$E47/Data!$D47)*60)*1.8)</f>
        <v>11.451706188614526</v>
      </c>
      <c r="AT47" s="23" cm="1">
        <f t="array" ref="AT47">_xlfn.IFS(Data!$F47&lt;600,((Data!$F47/Data!$D47)*60)*1,AND(Data!$F47&gt;=600,Data!$F47&lt;=625),((Data!$F47/Data!$D47)*60)*1.2,AND(Data!$F47&gt;=626,Data!$F47&lt;=650),((Data!$F47/Data!$D47)*60)*1.5,Data!$F47&gt;=651,((Data!$F47/Data!$D47)*60)*1.8)</f>
        <v>1219.9190283471364</v>
      </c>
      <c r="AU47" s="23">
        <f>(Data!$I47*-1.2)+(Data!$J47*-1.1)+(Data!$K47*1.2)+(Data!$L47*1.3)+(Data!$M47*1.5)</f>
        <v>16.591666666199998</v>
      </c>
      <c r="AV47" s="23">
        <f>(Data!$AS47*0.4)+(Data!$AT47*0.4)+(Data!$AU47*0.2)</f>
        <v>495.86662714754038</v>
      </c>
      <c r="AW47" s="23">
        <f>PERCENTRANK(AV:AV,Data!$AV47)*100</f>
        <v>75.400000000000006</v>
      </c>
      <c r="AX47" s="23" t="str">
        <f>_xlfn.CONCAT(TEXT(C47,"mmm"),"-",Data!$AE47)</f>
        <v>Sep-2019</v>
      </c>
    </row>
    <row r="48" spans="1:50" ht="17" thickTop="1" thickBot="1" x14ac:dyDescent="0.25">
      <c r="A48" s="28">
        <v>47</v>
      </c>
      <c r="B48" s="29">
        <f t="shared" si="0"/>
        <v>17</v>
      </c>
      <c r="C48" s="41">
        <v>43718</v>
      </c>
      <c r="D48" s="30">
        <f>SUM(Data!$I48:$M48)</f>
        <v>57.216666666999991</v>
      </c>
      <c r="E48" s="29">
        <v>16</v>
      </c>
      <c r="F48" s="29">
        <v>636</v>
      </c>
      <c r="G48" s="29">
        <v>128</v>
      </c>
      <c r="H48" s="29">
        <v>179</v>
      </c>
      <c r="I48" s="29">
        <v>13.516666667000001</v>
      </c>
      <c r="J48" s="29">
        <v>10.45</v>
      </c>
      <c r="K48" s="29">
        <v>17.649999999999999</v>
      </c>
      <c r="L48" s="29">
        <v>11.733333332999999</v>
      </c>
      <c r="M48" s="29">
        <v>3.8666666670000001</v>
      </c>
      <c r="N48" s="29" t="s">
        <v>24</v>
      </c>
      <c r="O48" s="29" t="s">
        <v>26</v>
      </c>
      <c r="P48" s="29" t="s">
        <v>28</v>
      </c>
      <c r="Q48" s="29">
        <f t="shared" si="6"/>
        <v>3</v>
      </c>
      <c r="R48" s="29" t="str">
        <f t="shared" si="1"/>
        <v>9-2019</v>
      </c>
      <c r="S48" s="29" t="s">
        <v>43</v>
      </c>
      <c r="T48" s="29" t="str">
        <f t="shared" si="2"/>
        <v>Tuesday</v>
      </c>
      <c r="U48" s="29">
        <f t="shared" si="3"/>
        <v>1</v>
      </c>
      <c r="V48" s="31">
        <f>IFERROR(Data!$I48/Data!$D48,"")</f>
        <v>0.23623652782268437</v>
      </c>
      <c r="W48" s="31">
        <f>IFERROR(Data!$J48/Data!$D48,"")</f>
        <v>0.18263909117283639</v>
      </c>
      <c r="X48" s="31">
        <f>IFERROR(Data!$K48/Data!$D48,"")</f>
        <v>0.30847655111967098</v>
      </c>
      <c r="Y48" s="31">
        <f>IFERROR(Data!$L48/Data!$D48,"")</f>
        <v>0.20506845324086767</v>
      </c>
      <c r="Z48" s="31">
        <f>IFERROR(Data!$M48/Data!$D48,"")</f>
        <v>6.7579376643940703E-2</v>
      </c>
      <c r="AA48" s="32">
        <v>232.14</v>
      </c>
      <c r="AB48" s="32">
        <f t="shared" si="9"/>
        <v>13.655294117647058</v>
      </c>
      <c r="AC48" s="29">
        <f t="shared" si="4"/>
        <v>592.88235294117646</v>
      </c>
      <c r="AD48" s="29">
        <f t="shared" si="5"/>
        <v>13.647058823529411</v>
      </c>
      <c r="AE48" s="29">
        <f>YEAR(Data!$C48)</f>
        <v>2019</v>
      </c>
      <c r="AF48" s="29"/>
      <c r="AG48" s="29">
        <v>12</v>
      </c>
      <c r="AH48" s="33">
        <f>Data!$F48/Data!$D48</f>
        <v>11.115642295303726</v>
      </c>
      <c r="AI48" s="17" t="str">
        <f>RIGHT(Data!$O48,2)</f>
        <v>PM</v>
      </c>
      <c r="AJ48" s="29" t="str">
        <f>Data!$R48&amp;"-"&amp;WEEKNUM(Data!$C48,1)-WEEKNUM(DATE(YEAR(Data!$C48),MONTH(Data!$C48),1),1)+1</f>
        <v>9-2019-2</v>
      </c>
      <c r="AK48" s="29">
        <f>MONTH(Data!$C48)</f>
        <v>9</v>
      </c>
      <c r="AL48" s="29">
        <f>IFERROR(Data!$F48/Data!$E48,0)</f>
        <v>39.75</v>
      </c>
      <c r="AM48" s="29">
        <f>COUNTIF(Data!$N$2:$N$825,Data!$N48)</f>
        <v>35</v>
      </c>
      <c r="AN48" s="29" t="str">
        <f>VLOOKUP(Data!$N48,'Helpful Tables'!A:D,4,FALSE)</f>
        <v>Virginia</v>
      </c>
      <c r="AO48" s="29">
        <f>COUNTIF(AN:AN,Data!$AN48)/COUNTA(AN:AN)</f>
        <v>6.424242424242424E-2</v>
      </c>
      <c r="AP48" s="29">
        <v>38.881884999999997</v>
      </c>
      <c r="AQ48" s="29">
        <v>-77.229702000000003</v>
      </c>
      <c r="AR48" s="29">
        <f>COUNTIF(Data!$P$2:$P$825,Data!$P48)</f>
        <v>10</v>
      </c>
      <c r="AS48" s="29" cm="1">
        <f t="array" ref="AS48">_xlfn.IFS(Data!$E48&lt;12,((Data!$E48/Data!$D48)*60)*1,AND(Data!$E48&gt;=12,Data!$E48&lt;=15),((Data!$E48/Data!$D48)*60)*1.2,AND(Data!$E48&gt;=16,Data!$E48&lt;=19),((Data!$E48/Data!$D48)*60)*1.5,Data!$E48&gt;=20,((Data!$E48/Data!$D48)*60)*1.8)</f>
        <v>25.16749198936693</v>
      </c>
      <c r="AT48" s="29" cm="1">
        <f t="array" ref="AT48">_xlfn.IFS(Data!$F48&lt;600,((Data!$F48/Data!$D48)*60)*1,AND(Data!$F48&gt;=600,Data!$F48&lt;=625),((Data!$F48/Data!$D48)*60)*1.2,AND(Data!$F48&gt;=626,Data!$F48&lt;=650),((Data!$F48/Data!$D48)*60)*1.5,Data!$F48&gt;=651,((Data!$F48/Data!$D48)*60)*1.8)</f>
        <v>1000.4078065773354</v>
      </c>
      <c r="AU48" s="29">
        <f>(Data!$I48*-1.2)+(Data!$J48*-1.1)+(Data!$K48*1.2)+(Data!$L48*1.3)+(Data!$M48*1.5)</f>
        <v>14.518333332999994</v>
      </c>
      <c r="AV48" s="29">
        <f>(Data!$AS48*0.4)+(Data!$AT48*0.4)+(Data!$AU48*0.2)</f>
        <v>413.13378609328089</v>
      </c>
      <c r="AW48" s="29">
        <f>PERCENTRANK(AV:AV,Data!$AV48)*100</f>
        <v>58.8</v>
      </c>
      <c r="AX48" s="29" t="str">
        <f>_xlfn.CONCAT(TEXT(C48,"mmm"),"-",Data!$AE48)</f>
        <v>Sep-2019</v>
      </c>
    </row>
    <row r="49" spans="1:50" ht="17" thickTop="1" thickBot="1" x14ac:dyDescent="0.25">
      <c r="A49" s="22">
        <v>48</v>
      </c>
      <c r="B49" s="23">
        <f t="shared" si="0"/>
        <v>17</v>
      </c>
      <c r="C49" s="41">
        <v>43719</v>
      </c>
      <c r="D49" s="24">
        <f>SUM(Data!$I49:$M49)</f>
        <v>55.266666666999996</v>
      </c>
      <c r="E49" s="23">
        <v>14</v>
      </c>
      <c r="F49" s="23">
        <v>588</v>
      </c>
      <c r="G49" s="23">
        <v>125</v>
      </c>
      <c r="H49" s="23">
        <v>169</v>
      </c>
      <c r="I49" s="23">
        <v>15.366666667000001</v>
      </c>
      <c r="J49" s="23">
        <v>12.8</v>
      </c>
      <c r="K49" s="23">
        <v>12.633333332999999</v>
      </c>
      <c r="L49" s="23">
        <v>12.466666667</v>
      </c>
      <c r="M49" s="23">
        <v>2</v>
      </c>
      <c r="N49" s="23" t="s">
        <v>40</v>
      </c>
      <c r="O49" s="23" t="s">
        <v>26</v>
      </c>
      <c r="P49" s="23" t="s">
        <v>37</v>
      </c>
      <c r="Q49" s="23">
        <f t="shared" si="6"/>
        <v>1</v>
      </c>
      <c r="R49" s="23" t="str">
        <f t="shared" si="1"/>
        <v>9-2019</v>
      </c>
      <c r="S49" s="23" t="s">
        <v>47</v>
      </c>
      <c r="T49" s="23" t="str">
        <f t="shared" si="2"/>
        <v>Wednesday</v>
      </c>
      <c r="U49" s="23">
        <f t="shared" si="3"/>
        <v>1</v>
      </c>
      <c r="V49" s="25">
        <f>IFERROR(Data!$I49/Data!$D49,"")</f>
        <v>0.27804583836382363</v>
      </c>
      <c r="W49" s="25">
        <f>IFERROR(Data!$J49/Data!$D49,"")</f>
        <v>0.23160434258002655</v>
      </c>
      <c r="X49" s="25">
        <f>IFERROR(Data!$K49/Data!$D49,"")</f>
        <v>0.2285886610299844</v>
      </c>
      <c r="Y49" s="25">
        <f>IFERROR(Data!$L49/Data!$D49,"")</f>
        <v>0.22557297949803637</v>
      </c>
      <c r="Z49" s="25">
        <f>IFERROR(Data!$M49/Data!$D49,"")</f>
        <v>3.6188178528129146E-2</v>
      </c>
      <c r="AA49" s="26">
        <v>232.14</v>
      </c>
      <c r="AB49" s="26">
        <f t="shared" si="9"/>
        <v>13.655294117647058</v>
      </c>
      <c r="AC49" s="23">
        <f t="shared" si="4"/>
        <v>592.88235294117646</v>
      </c>
      <c r="AD49" s="23">
        <f t="shared" si="5"/>
        <v>13.647058823529411</v>
      </c>
      <c r="AE49" s="23">
        <f>YEAR(Data!$C49)</f>
        <v>2019</v>
      </c>
      <c r="AF49" s="23"/>
      <c r="AG49" s="23">
        <v>12</v>
      </c>
      <c r="AH49" s="27">
        <f>Data!$F49/Data!$D49</f>
        <v>10.639324487269969</v>
      </c>
      <c r="AI49" s="17" t="str">
        <f>RIGHT(Data!$O49,2)</f>
        <v>PM</v>
      </c>
      <c r="AJ49" s="23" t="str">
        <f>Data!$R49&amp;"-"&amp;WEEKNUM(Data!$C49,1)-WEEKNUM(DATE(YEAR(Data!$C49),MONTH(Data!$C49),1),1)+1</f>
        <v>9-2019-2</v>
      </c>
      <c r="AK49" s="23">
        <f>MONTH(Data!$C49)</f>
        <v>9</v>
      </c>
      <c r="AL49" s="23">
        <f>IFERROR(Data!$F49/Data!$E49,0)</f>
        <v>42</v>
      </c>
      <c r="AM49" s="23">
        <f>COUNTIF(Data!$N$2:$N$825,Data!$N49)</f>
        <v>38</v>
      </c>
      <c r="AN49" s="23" t="str">
        <f>VLOOKUP(Data!$N49,'Helpful Tables'!A:D,4,FALSE)</f>
        <v>Washington, DC</v>
      </c>
      <c r="AO49" s="23">
        <f>COUNTIF(AN:AN,Data!$AN49)/COUNTA(AN:AN)</f>
        <v>0.62424242424242427</v>
      </c>
      <c r="AP49" s="23">
        <v>38.903509999999997</v>
      </c>
      <c r="AQ49" s="23">
        <v>-77.051809000000006</v>
      </c>
      <c r="AR49" s="23">
        <f>COUNTIF(Data!$P$2:$P$825,Data!$P49)</f>
        <v>12</v>
      </c>
      <c r="AS49" s="23" cm="1">
        <f t="array" ref="AS49">_xlfn.IFS(Data!$E49&lt;12,((Data!$E49/Data!$D49)*60)*1,AND(Data!$E49&gt;=12,Data!$E49&lt;=15),((Data!$E49/Data!$D49)*60)*1.2,AND(Data!$E49&gt;=16,Data!$E49&lt;=19),((Data!$E49/Data!$D49)*60)*1.5,Data!$E49&gt;=20,((Data!$E49/Data!$D49)*60)*1.8)</f>
        <v>18.238841978177089</v>
      </c>
      <c r="AT49" s="23" cm="1">
        <f t="array" ref="AT49">_xlfn.IFS(Data!$F49&lt;600,((Data!$F49/Data!$D49)*60)*1,AND(Data!$F49&gt;=600,Data!$F49&lt;=625),((Data!$F49/Data!$D49)*60)*1.2,AND(Data!$F49&gt;=626,Data!$F49&lt;=650),((Data!$F49/Data!$D49)*60)*1.5,Data!$F49&gt;=651,((Data!$F49/Data!$D49)*60)*1.8)</f>
        <v>638.35946923619815</v>
      </c>
      <c r="AU49" s="23">
        <f>(Data!$I49*-1.2)+(Data!$J49*-1.1)+(Data!$K49*1.2)+(Data!$L49*1.3)+(Data!$M49*1.5)</f>
        <v>1.8466666662999955</v>
      </c>
      <c r="AV49" s="23">
        <f>(Data!$AS49*0.4)+(Data!$AT49*0.4)+(Data!$AU49*0.2)</f>
        <v>263.00865781901007</v>
      </c>
      <c r="AW49" s="23">
        <f>PERCENTRANK(AV:AV,Data!$AV49)*100</f>
        <v>21.2</v>
      </c>
      <c r="AX49" s="23" t="str">
        <f>_xlfn.CONCAT(TEXT(C49,"mmm"),"-",Data!$AE49)</f>
        <v>Sep-2019</v>
      </c>
    </row>
    <row r="50" spans="1:50" ht="17" thickTop="1" thickBot="1" x14ac:dyDescent="0.25">
      <c r="A50" s="28">
        <v>49</v>
      </c>
      <c r="B50" s="29">
        <f t="shared" si="0"/>
        <v>17</v>
      </c>
      <c r="C50" s="41">
        <v>43721</v>
      </c>
      <c r="D50" s="30">
        <f>SUM(Data!$I50:$M50)</f>
        <v>60.966666665999995</v>
      </c>
      <c r="E50" s="29">
        <v>14</v>
      </c>
      <c r="F50" s="29">
        <v>577</v>
      </c>
      <c r="G50" s="29">
        <v>117</v>
      </c>
      <c r="H50" s="29">
        <v>168</v>
      </c>
      <c r="I50" s="29">
        <v>24.75</v>
      </c>
      <c r="J50" s="29">
        <v>10.25</v>
      </c>
      <c r="K50" s="29">
        <v>12</v>
      </c>
      <c r="L50" s="29">
        <v>10.733333332999999</v>
      </c>
      <c r="M50" s="29">
        <v>3.233333333</v>
      </c>
      <c r="N50" s="29" t="s">
        <v>60</v>
      </c>
      <c r="O50" s="29" t="s">
        <v>39</v>
      </c>
      <c r="P50" s="29" t="s">
        <v>61</v>
      </c>
      <c r="Q50" s="29">
        <f t="shared" si="6"/>
        <v>2</v>
      </c>
      <c r="R50" s="29" t="str">
        <f t="shared" si="1"/>
        <v>9-2019</v>
      </c>
      <c r="S50" s="29" t="s">
        <v>47</v>
      </c>
      <c r="T50" s="29" t="str">
        <f t="shared" si="2"/>
        <v>Friday</v>
      </c>
      <c r="U50" s="29">
        <f t="shared" si="3"/>
        <v>1</v>
      </c>
      <c r="V50" s="31">
        <f>IFERROR(Data!$I50/Data!$D50,"")</f>
        <v>0.40595954073707996</v>
      </c>
      <c r="W50" s="31">
        <f>IFERROR(Data!$J50/Data!$D50,"")</f>
        <v>0.16812465828505332</v>
      </c>
      <c r="X50" s="31">
        <f>IFERROR(Data!$K50/Data!$D50,"")</f>
        <v>0.19682886823615997</v>
      </c>
      <c r="Y50" s="31">
        <f>IFERROR(Data!$L50/Data!$D50,"")</f>
        <v>0.1760524876946534</v>
      </c>
      <c r="Z50" s="31">
        <f>IFERROR(Data!$M50/Data!$D50,"")</f>
        <v>5.3034445047053416E-2</v>
      </c>
      <c r="AA50" s="32">
        <v>232.14</v>
      </c>
      <c r="AB50" s="32">
        <f t="shared" si="9"/>
        <v>13.655294117647058</v>
      </c>
      <c r="AC50" s="29">
        <f t="shared" si="4"/>
        <v>592.88235294117646</v>
      </c>
      <c r="AD50" s="29">
        <f t="shared" si="5"/>
        <v>13.647058823529411</v>
      </c>
      <c r="AE50" s="29">
        <f>YEAR(Data!$C50)</f>
        <v>2019</v>
      </c>
      <c r="AF50" s="29"/>
      <c r="AG50" s="29">
        <v>12</v>
      </c>
      <c r="AH50" s="33">
        <f>Data!$F50/Data!$D50</f>
        <v>9.4641880810220265</v>
      </c>
      <c r="AI50" s="17" t="str">
        <f>RIGHT(Data!$O50,2)</f>
        <v>PM</v>
      </c>
      <c r="AJ50" s="29" t="str">
        <f>Data!$R50&amp;"-"&amp;WEEKNUM(Data!$C50,1)-WEEKNUM(DATE(YEAR(Data!$C50),MONTH(Data!$C50),1),1)+1</f>
        <v>9-2019-2</v>
      </c>
      <c r="AK50" s="29">
        <f>MONTH(Data!$C50)</f>
        <v>9</v>
      </c>
      <c r="AL50" s="29">
        <f>IFERROR(Data!$F50/Data!$E50,0)</f>
        <v>41.214285714285715</v>
      </c>
      <c r="AM50" s="29">
        <f>COUNTIF(Data!$N$2:$N$825,Data!$N50)</f>
        <v>10</v>
      </c>
      <c r="AN50" s="29" t="str">
        <f>VLOOKUP(Data!$N50,'Helpful Tables'!A:D,4,FALSE)</f>
        <v>Washington, DC</v>
      </c>
      <c r="AO50" s="29">
        <f>COUNTIF(AN:AN,Data!$AN50)/COUNTA(AN:AN)</f>
        <v>0.62424242424242427</v>
      </c>
      <c r="AP50" s="29">
        <v>38.879828000000003</v>
      </c>
      <c r="AQ50" s="29">
        <v>-77.005566000000002</v>
      </c>
      <c r="AR50" s="29">
        <f>COUNTIF(Data!$P$2:$P$825,Data!$P50)</f>
        <v>9</v>
      </c>
      <c r="AS50" s="29" cm="1">
        <f t="array" ref="AS50">_xlfn.IFS(Data!$E50&lt;12,((Data!$E50/Data!$D50)*60)*1,AND(Data!$E50&gt;=12,Data!$E50&lt;=15),((Data!$E50/Data!$D50)*60)*1.2,AND(Data!$E50&gt;=16,Data!$E50&lt;=19),((Data!$E50/Data!$D50)*60)*1.5,Data!$E50&gt;=20,((Data!$E50/Data!$D50)*60)*1.8)</f>
        <v>16.533624931837437</v>
      </c>
      <c r="AT50" s="29" cm="1">
        <f t="array" ref="AT50">_xlfn.IFS(Data!$F50&lt;600,((Data!$F50/Data!$D50)*60)*1,AND(Data!$F50&gt;=600,Data!$F50&lt;=625),((Data!$F50/Data!$D50)*60)*1.2,AND(Data!$F50&gt;=626,Data!$F50&lt;=650),((Data!$F50/Data!$D50)*60)*1.5,Data!$F50&gt;=651,((Data!$F50/Data!$D50)*60)*1.8)</f>
        <v>567.85128486132157</v>
      </c>
      <c r="AU50" s="29">
        <f>(Data!$I50*-1.2)+(Data!$J50*-1.1)+(Data!$K50*1.2)+(Data!$L50*1.3)+(Data!$M50*1.5)</f>
        <v>-7.7716666676000035</v>
      </c>
      <c r="AV50" s="29">
        <f>(Data!$AS50*0.4)+(Data!$AT50*0.4)+(Data!$AU50*0.2)</f>
        <v>232.19963058374361</v>
      </c>
      <c r="AW50" s="29">
        <f>PERCENTRANK(AV:AV,Data!$AV50)*100</f>
        <v>8.3000000000000007</v>
      </c>
      <c r="AX50" s="29" t="str">
        <f>_xlfn.CONCAT(TEXT(C50,"mmm"),"-",Data!$AE50)</f>
        <v>Sep-2019</v>
      </c>
    </row>
    <row r="51" spans="1:50" ht="17" thickTop="1" thickBot="1" x14ac:dyDescent="0.25">
      <c r="A51" s="22">
        <v>50</v>
      </c>
      <c r="B51" s="23">
        <f t="shared" si="0"/>
        <v>17</v>
      </c>
      <c r="C51" s="41">
        <v>43722</v>
      </c>
      <c r="D51" s="24">
        <f>SUM(Data!$I51:$M51)</f>
        <v>57.366666666999997</v>
      </c>
      <c r="E51" s="23">
        <v>11</v>
      </c>
      <c r="F51" s="23">
        <v>633</v>
      </c>
      <c r="G51" s="23">
        <v>128</v>
      </c>
      <c r="H51" s="23">
        <v>167</v>
      </c>
      <c r="I51" s="23">
        <v>10.55</v>
      </c>
      <c r="J51" s="23">
        <v>14.066666667</v>
      </c>
      <c r="K51" s="23">
        <v>21.516666666999999</v>
      </c>
      <c r="L51" s="23">
        <v>10.333333333000001</v>
      </c>
      <c r="M51" s="23">
        <v>0.9</v>
      </c>
      <c r="N51" s="23" t="s">
        <v>33</v>
      </c>
      <c r="O51" s="23" t="s">
        <v>45</v>
      </c>
      <c r="P51" s="23" t="s">
        <v>37</v>
      </c>
      <c r="Q51" s="23">
        <f t="shared" si="6"/>
        <v>1</v>
      </c>
      <c r="R51" s="23" t="str">
        <f t="shared" si="1"/>
        <v>9-2019</v>
      </c>
      <c r="S51" s="23" t="s">
        <v>43</v>
      </c>
      <c r="T51" s="23" t="str">
        <f t="shared" si="2"/>
        <v>Saturday</v>
      </c>
      <c r="U51" s="23">
        <f t="shared" si="3"/>
        <v>0</v>
      </c>
      <c r="V51" s="25">
        <f>IFERROR(Data!$I51/Data!$D51,"")</f>
        <v>0.18390470656488145</v>
      </c>
      <c r="W51" s="25">
        <f>IFERROR(Data!$J51/Data!$D51,"")</f>
        <v>0.24520627542565249</v>
      </c>
      <c r="X51" s="25">
        <f>IFERROR(Data!$K51/Data!$D51,"")</f>
        <v>0.37507263219421805</v>
      </c>
      <c r="Y51" s="25">
        <f>IFERROR(Data!$L51/Data!$D51,"")</f>
        <v>0.18012783264857568</v>
      </c>
      <c r="Z51" s="25">
        <f>IFERROR(Data!$M51/Data!$D51,"")</f>
        <v>1.568855316667235E-2</v>
      </c>
      <c r="AA51" s="26">
        <v>232.14</v>
      </c>
      <c r="AB51" s="26">
        <f t="shared" si="9"/>
        <v>13.655294117647058</v>
      </c>
      <c r="AC51" s="23">
        <f t="shared" si="4"/>
        <v>592.88235294117646</v>
      </c>
      <c r="AD51" s="23">
        <f t="shared" si="5"/>
        <v>13.647058823529411</v>
      </c>
      <c r="AE51" s="23">
        <f>YEAR(Data!$C51)</f>
        <v>2019</v>
      </c>
      <c r="AF51" s="23"/>
      <c r="AG51" s="23">
        <v>12</v>
      </c>
      <c r="AH51" s="27">
        <f>Data!$F51/Data!$D51</f>
        <v>11.034282393892887</v>
      </c>
      <c r="AI51" s="17" t="str">
        <f>RIGHT(Data!$O51,2)</f>
        <v>AM</v>
      </c>
      <c r="AJ51" s="23" t="str">
        <f>Data!$R51&amp;"-"&amp;WEEKNUM(Data!$C51,1)-WEEKNUM(DATE(YEAR(Data!$C51),MONTH(Data!$C51),1),1)+1</f>
        <v>9-2019-2</v>
      </c>
      <c r="AK51" s="23">
        <f>MONTH(Data!$C51)</f>
        <v>9</v>
      </c>
      <c r="AL51" s="23">
        <f>IFERROR(Data!$F51/Data!$E51,0)</f>
        <v>57.545454545454547</v>
      </c>
      <c r="AM51" s="23">
        <f>COUNTIF(Data!$N$2:$N$825,Data!$N51)</f>
        <v>48</v>
      </c>
      <c r="AN51" s="23" t="str">
        <f>VLOOKUP(Data!$N51,'Helpful Tables'!A:D,4,FALSE)</f>
        <v>Washington, DC</v>
      </c>
      <c r="AO51" s="23">
        <f>COUNTIF(AN:AN,Data!$AN51)/COUNTA(AN:AN)</f>
        <v>0.62424242424242427</v>
      </c>
      <c r="AP51" s="23">
        <v>38.916486999999996</v>
      </c>
      <c r="AQ51" s="23">
        <v>-77.031514000000001</v>
      </c>
      <c r="AR51" s="23">
        <f>COUNTIF(Data!$P$2:$P$825,Data!$P51)</f>
        <v>12</v>
      </c>
      <c r="AS51" s="23" cm="1">
        <f t="array" ref="AS51">_xlfn.IFS(Data!$E51&lt;12,((Data!$E51/Data!$D51)*60)*1,AND(Data!$E51&gt;=12,Data!$E51&lt;=15),((Data!$E51/Data!$D51)*60)*1.2,AND(Data!$E51&gt;=16,Data!$E51&lt;=19),((Data!$E51/Data!$D51)*60)*1.5,Data!$E51&gt;=20,((Data!$E51/Data!$D51)*60)*1.8)</f>
        <v>11.504938988893057</v>
      </c>
      <c r="AT51" s="23" cm="1">
        <f t="array" ref="AT51">_xlfn.IFS(Data!$F51&lt;600,((Data!$F51/Data!$D51)*60)*1,AND(Data!$F51&gt;=600,Data!$F51&lt;=625),((Data!$F51/Data!$D51)*60)*1.2,AND(Data!$F51&gt;=626,Data!$F51&lt;=650),((Data!$F51/Data!$D51)*60)*1.5,Data!$F51&gt;=651,((Data!$F51/Data!$D51)*60)*1.8)</f>
        <v>993.08541545035996</v>
      </c>
      <c r="AU51" s="23">
        <f>(Data!$I51*-1.2)+(Data!$J51*-1.1)+(Data!$K51*1.2)+(Data!$L51*1.3)+(Data!$M51*1.5)</f>
        <v>12.469999999599997</v>
      </c>
      <c r="AV51" s="23">
        <f>(Data!$AS51*0.4)+(Data!$AT51*0.4)+(Data!$AU51*0.2)</f>
        <v>404.33014177562126</v>
      </c>
      <c r="AW51" s="23">
        <f>PERCENTRANK(AV:AV,Data!$AV51)*100</f>
        <v>55.000000000000007</v>
      </c>
      <c r="AX51" s="23" t="str">
        <f>_xlfn.CONCAT(TEXT(C51,"mmm"),"-",Data!$AE51)</f>
        <v>Sep-2019</v>
      </c>
    </row>
    <row r="52" spans="1:50" ht="17" thickTop="1" thickBot="1" x14ac:dyDescent="0.25">
      <c r="A52" s="28">
        <v>51</v>
      </c>
      <c r="B52" s="29">
        <f t="shared" si="0"/>
        <v>17</v>
      </c>
      <c r="C52" s="41">
        <v>43725</v>
      </c>
      <c r="D52" s="30">
        <f>SUM(Data!$I52:$M52)</f>
        <v>58</v>
      </c>
      <c r="E52" s="29">
        <v>8</v>
      </c>
      <c r="F52" s="29">
        <v>574</v>
      </c>
      <c r="G52" s="29">
        <v>120</v>
      </c>
      <c r="H52" s="29">
        <v>167</v>
      </c>
      <c r="I52" s="29">
        <v>19.883333332999999</v>
      </c>
      <c r="J52" s="29">
        <v>13.466666667</v>
      </c>
      <c r="K52" s="29">
        <v>16.816666667</v>
      </c>
      <c r="L52" s="29">
        <v>6.3333333329999997</v>
      </c>
      <c r="M52" s="29">
        <v>1.5</v>
      </c>
      <c r="N52" s="29" t="s">
        <v>24</v>
      </c>
      <c r="O52" s="29" t="s">
        <v>26</v>
      </c>
      <c r="P52" s="29" t="s">
        <v>28</v>
      </c>
      <c r="Q52" s="29">
        <f t="shared" si="6"/>
        <v>3</v>
      </c>
      <c r="R52" s="29" t="str">
        <f t="shared" si="1"/>
        <v>9-2019</v>
      </c>
      <c r="S52" s="29" t="s">
        <v>43</v>
      </c>
      <c r="T52" s="29" t="str">
        <f t="shared" si="2"/>
        <v>Tuesday</v>
      </c>
      <c r="U52" s="29">
        <f t="shared" si="3"/>
        <v>0</v>
      </c>
      <c r="V52" s="31">
        <f>IFERROR(Data!$I52/Data!$D52,"")</f>
        <v>0.34281609194827584</v>
      </c>
      <c r="W52" s="31">
        <f>IFERROR(Data!$J52/Data!$D52,"")</f>
        <v>0.23218390805172415</v>
      </c>
      <c r="X52" s="31">
        <f>IFERROR(Data!$K52/Data!$D52,"")</f>
        <v>0.28994252874137932</v>
      </c>
      <c r="Y52" s="31">
        <f>IFERROR(Data!$L52/Data!$D52,"")</f>
        <v>0.10919540229310344</v>
      </c>
      <c r="Z52" s="31">
        <f>IFERROR(Data!$M52/Data!$D52,"")</f>
        <v>2.5862068965517241E-2</v>
      </c>
      <c r="AA52" s="32">
        <v>232.14</v>
      </c>
      <c r="AB52" s="32">
        <f t="shared" si="9"/>
        <v>13.655294117647058</v>
      </c>
      <c r="AC52" s="29">
        <f t="shared" si="4"/>
        <v>592.88235294117646</v>
      </c>
      <c r="AD52" s="29">
        <f t="shared" si="5"/>
        <v>13.647058823529411</v>
      </c>
      <c r="AE52" s="29">
        <f>YEAR(Data!$C52)</f>
        <v>2019</v>
      </c>
      <c r="AF52" s="29"/>
      <c r="AG52" s="29">
        <v>12</v>
      </c>
      <c r="AH52" s="33">
        <f>Data!$F52/Data!$D52</f>
        <v>9.8965517241379306</v>
      </c>
      <c r="AI52" s="17" t="str">
        <f>RIGHT(Data!$O52,2)</f>
        <v>PM</v>
      </c>
      <c r="AJ52" s="29" t="str">
        <f>Data!$R52&amp;"-"&amp;WEEKNUM(Data!$C52,1)-WEEKNUM(DATE(YEAR(Data!$C52),MONTH(Data!$C52),1),1)+1</f>
        <v>9-2019-3</v>
      </c>
      <c r="AK52" s="29">
        <f>MONTH(Data!$C52)</f>
        <v>9</v>
      </c>
      <c r="AL52" s="29">
        <f>IFERROR(Data!$F52/Data!$E52,0)</f>
        <v>71.75</v>
      </c>
      <c r="AM52" s="29">
        <f>COUNTIF(Data!$N$2:$N$825,Data!$N52)</f>
        <v>35</v>
      </c>
      <c r="AN52" s="29" t="str">
        <f>VLOOKUP(Data!$N52,'Helpful Tables'!A:D,4,FALSE)</f>
        <v>Virginia</v>
      </c>
      <c r="AO52" s="29">
        <f>COUNTIF(AN:AN,Data!$AN52)/COUNTA(AN:AN)</f>
        <v>6.424242424242424E-2</v>
      </c>
      <c r="AP52" s="29">
        <v>38.881884999999997</v>
      </c>
      <c r="AQ52" s="29">
        <v>-77.229702000000003</v>
      </c>
      <c r="AR52" s="29">
        <f>COUNTIF(Data!$P$2:$P$825,Data!$P52)</f>
        <v>10</v>
      </c>
      <c r="AS52" s="29" cm="1">
        <f t="array" ref="AS52">_xlfn.IFS(Data!$E52&lt;12,((Data!$E52/Data!$D52)*60)*1,AND(Data!$E52&gt;=12,Data!$E52&lt;=15),((Data!$E52/Data!$D52)*60)*1.2,AND(Data!$E52&gt;=16,Data!$E52&lt;=19),((Data!$E52/Data!$D52)*60)*1.5,Data!$E52&gt;=20,((Data!$E52/Data!$D52)*60)*1.8)</f>
        <v>8.2758620689655178</v>
      </c>
      <c r="AT52" s="29" cm="1">
        <f t="array" ref="AT52">_xlfn.IFS(Data!$F52&lt;600,((Data!$F52/Data!$D52)*60)*1,AND(Data!$F52&gt;=600,Data!$F52&lt;=625),((Data!$F52/Data!$D52)*60)*1.2,AND(Data!$F52&gt;=626,Data!$F52&lt;=650),((Data!$F52/Data!$D52)*60)*1.5,Data!$F52&gt;=651,((Data!$F52/Data!$D52)*60)*1.8)</f>
        <v>593.79310344827582</v>
      </c>
      <c r="AU52" s="29">
        <f>(Data!$I52*-1.2)+(Data!$J52*-1.1)+(Data!$K52*1.2)+(Data!$L52*1.3)+(Data!$M52*1.5)</f>
        <v>-8.0100000000000016</v>
      </c>
      <c r="AV52" s="29">
        <f>(Data!$AS52*0.4)+(Data!$AT52*0.4)+(Data!$AU52*0.2)</f>
        <v>239.22558620689657</v>
      </c>
      <c r="AW52" s="29">
        <f>PERCENTRANK(AV:AV,Data!$AV52)*100</f>
        <v>11.700000000000001</v>
      </c>
      <c r="AX52" s="29" t="str">
        <f>_xlfn.CONCAT(TEXT(C52,"mmm"),"-",Data!$AE52)</f>
        <v>Sep-2019</v>
      </c>
    </row>
    <row r="53" spans="1:50" ht="17" thickTop="1" thickBot="1" x14ac:dyDescent="0.25">
      <c r="A53" s="22">
        <v>52</v>
      </c>
      <c r="B53" s="23">
        <f t="shared" si="0"/>
        <v>17</v>
      </c>
      <c r="C53" s="41">
        <v>43726</v>
      </c>
      <c r="D53" s="24">
        <f>SUM(Data!$I53:$M53)</f>
        <v>56.550000000000004</v>
      </c>
      <c r="E53" s="23">
        <v>17</v>
      </c>
      <c r="F53" s="23">
        <v>554</v>
      </c>
      <c r="G53" s="23">
        <v>119</v>
      </c>
      <c r="H53" s="23">
        <v>166</v>
      </c>
      <c r="I53" s="23">
        <v>24.6</v>
      </c>
      <c r="J53" s="23">
        <v>7.1</v>
      </c>
      <c r="K53" s="23">
        <v>7.65</v>
      </c>
      <c r="L53" s="23">
        <v>15.183333333</v>
      </c>
      <c r="M53" s="23">
        <v>2.016666667</v>
      </c>
      <c r="N53" s="23" t="s">
        <v>40</v>
      </c>
      <c r="O53" s="23" t="s">
        <v>26</v>
      </c>
      <c r="P53" s="23" t="s">
        <v>37</v>
      </c>
      <c r="Q53" s="23">
        <f t="shared" si="6"/>
        <v>1</v>
      </c>
      <c r="R53" s="23" t="str">
        <f t="shared" si="1"/>
        <v>9-2019</v>
      </c>
      <c r="S53" s="23" t="s">
        <v>47</v>
      </c>
      <c r="T53" s="23" t="str">
        <f t="shared" si="2"/>
        <v>Wednesday</v>
      </c>
      <c r="U53" s="23">
        <f t="shared" si="3"/>
        <v>1</v>
      </c>
      <c r="V53" s="25">
        <f>IFERROR(Data!$I53/Data!$D53,"")</f>
        <v>0.43501326259946949</v>
      </c>
      <c r="W53" s="25">
        <f>IFERROR(Data!$J53/Data!$D53,"")</f>
        <v>0.125552608311229</v>
      </c>
      <c r="X53" s="25">
        <f>IFERROR(Data!$K53/Data!$D53,"")</f>
        <v>0.13527851458885942</v>
      </c>
      <c r="Y53" s="25">
        <f>IFERROR(Data!$L53/Data!$D53,"")</f>
        <v>0.26849395814323607</v>
      </c>
      <c r="Z53" s="25">
        <f>IFERROR(Data!$M53/Data!$D53,"")</f>
        <v>3.5661656357206008E-2</v>
      </c>
      <c r="AA53" s="26">
        <v>232.14</v>
      </c>
      <c r="AB53" s="26">
        <f t="shared" si="9"/>
        <v>13.655294117647058</v>
      </c>
      <c r="AC53" s="23">
        <f t="shared" si="4"/>
        <v>592.88235294117646</v>
      </c>
      <c r="AD53" s="23">
        <f t="shared" si="5"/>
        <v>13.647058823529411</v>
      </c>
      <c r="AE53" s="23">
        <f>YEAR(Data!$C53)</f>
        <v>2019</v>
      </c>
      <c r="AF53" s="23"/>
      <c r="AG53" s="23">
        <v>12</v>
      </c>
      <c r="AH53" s="27">
        <f>Data!$F53/Data!$D53</f>
        <v>9.7966401414677264</v>
      </c>
      <c r="AI53" s="17" t="str">
        <f>RIGHT(Data!$O53,2)</f>
        <v>PM</v>
      </c>
      <c r="AJ53" s="23" t="str">
        <f>Data!$R53&amp;"-"&amp;WEEKNUM(Data!$C53,1)-WEEKNUM(DATE(YEAR(Data!$C53),MONTH(Data!$C53),1),1)+1</f>
        <v>9-2019-3</v>
      </c>
      <c r="AK53" s="23">
        <f>MONTH(Data!$C53)</f>
        <v>9</v>
      </c>
      <c r="AL53" s="23">
        <f>IFERROR(Data!$F53/Data!$E53,0)</f>
        <v>32.588235294117645</v>
      </c>
      <c r="AM53" s="23">
        <f>COUNTIF(Data!$N$2:$N$825,Data!$N53)</f>
        <v>38</v>
      </c>
      <c r="AN53" s="23" t="str">
        <f>VLOOKUP(Data!$N53,'Helpful Tables'!A:D,4,FALSE)</f>
        <v>Washington, DC</v>
      </c>
      <c r="AO53" s="23">
        <f>COUNTIF(AN:AN,Data!$AN53)/COUNTA(AN:AN)</f>
        <v>0.62424242424242427</v>
      </c>
      <c r="AP53" s="23">
        <v>38.903509999999997</v>
      </c>
      <c r="AQ53" s="23">
        <v>-77.051809000000006</v>
      </c>
      <c r="AR53" s="23">
        <f>COUNTIF(Data!$P$2:$P$825,Data!$P53)</f>
        <v>12</v>
      </c>
      <c r="AS53" s="23" cm="1">
        <f t="array" ref="AS53">_xlfn.IFS(Data!$E53&lt;12,((Data!$E53/Data!$D53)*60)*1,AND(Data!$E53&gt;=12,Data!$E53&lt;=15),((Data!$E53/Data!$D53)*60)*1.2,AND(Data!$E53&gt;=16,Data!$E53&lt;=19),((Data!$E53/Data!$D53)*60)*1.5,Data!$E53&gt;=20,((Data!$E53/Data!$D53)*60)*1.8)</f>
        <v>27.055702917771885</v>
      </c>
      <c r="AT53" s="23" cm="1">
        <f t="array" ref="AT53">_xlfn.IFS(Data!$F53&lt;600,((Data!$F53/Data!$D53)*60)*1,AND(Data!$F53&gt;=600,Data!$F53&lt;=625),((Data!$F53/Data!$D53)*60)*1.2,AND(Data!$F53&gt;=626,Data!$F53&lt;=650),((Data!$F53/Data!$D53)*60)*1.5,Data!$F53&gt;=651,((Data!$F53/Data!$D53)*60)*1.8)</f>
        <v>587.79840848806361</v>
      </c>
      <c r="AU53" s="23">
        <f>(Data!$I53*-1.2)+(Data!$J53*-1.1)+(Data!$K53*1.2)+(Data!$L53*1.3)+(Data!$M53*1.5)</f>
        <v>-5.3866666665999965</v>
      </c>
      <c r="AV53" s="23">
        <f>(Data!$AS53*0.4)+(Data!$AT53*0.4)+(Data!$AU53*0.2)</f>
        <v>244.86431122901419</v>
      </c>
      <c r="AW53" s="23">
        <f>PERCENTRANK(AV:AV,Data!$AV53)*100</f>
        <v>15.1</v>
      </c>
      <c r="AX53" s="23" t="str">
        <f>_xlfn.CONCAT(TEXT(C53,"mmm"),"-",Data!$AE53)</f>
        <v>Sep-2019</v>
      </c>
    </row>
    <row r="54" spans="1:50" ht="17" thickTop="1" thickBot="1" x14ac:dyDescent="0.25">
      <c r="A54" s="28">
        <v>53</v>
      </c>
      <c r="B54" s="29">
        <f t="shared" si="0"/>
        <v>17</v>
      </c>
      <c r="C54" s="41">
        <v>43728</v>
      </c>
      <c r="D54" s="30">
        <f>SUM(Data!$I54:$M54)</f>
        <v>51.98333333299999</v>
      </c>
      <c r="E54" s="29">
        <v>15</v>
      </c>
      <c r="F54" s="29">
        <v>553</v>
      </c>
      <c r="G54" s="29">
        <v>125</v>
      </c>
      <c r="H54" s="29">
        <v>166</v>
      </c>
      <c r="I54" s="29">
        <v>14.2</v>
      </c>
      <c r="J54" s="29">
        <v>15.166666666999999</v>
      </c>
      <c r="K54" s="29">
        <v>8.0833333330000006</v>
      </c>
      <c r="L54" s="29">
        <v>8.9833333329999991</v>
      </c>
      <c r="M54" s="29">
        <v>5.55</v>
      </c>
      <c r="N54" s="29" t="s">
        <v>55</v>
      </c>
      <c r="O54" s="29" t="s">
        <v>39</v>
      </c>
      <c r="P54" s="29" t="s">
        <v>62</v>
      </c>
      <c r="Q54" s="29">
        <f t="shared" si="6"/>
        <v>2</v>
      </c>
      <c r="R54" s="29" t="str">
        <f t="shared" si="1"/>
        <v>9-2019</v>
      </c>
      <c r="S54" s="29" t="s">
        <v>47</v>
      </c>
      <c r="T54" s="29" t="str">
        <f t="shared" si="2"/>
        <v>Friday</v>
      </c>
      <c r="U54" s="29">
        <f t="shared" si="3"/>
        <v>1</v>
      </c>
      <c r="V54" s="31">
        <f>IFERROR(Data!$I54/Data!$D54,"")</f>
        <v>0.2731644757952752</v>
      </c>
      <c r="W54" s="31">
        <f>IFERROR(Data!$J54/Data!$D54,"")</f>
        <v>0.29176017955300909</v>
      </c>
      <c r="X54" s="31">
        <f>IFERROR(Data!$K54/Data!$D54,"")</f>
        <v>0.15549855722446621</v>
      </c>
      <c r="Y54" s="31">
        <f>IFERROR(Data!$L54/Data!$D54,"")</f>
        <v>0.17281179864811039</v>
      </c>
      <c r="Z54" s="31">
        <f>IFERROR(Data!$M54/Data!$D54,"")</f>
        <v>0.10676498877913926</v>
      </c>
      <c r="AA54" s="32">
        <v>232.14</v>
      </c>
      <c r="AB54" s="32">
        <f t="shared" si="9"/>
        <v>13.655294117647058</v>
      </c>
      <c r="AC54" s="29">
        <f t="shared" si="4"/>
        <v>592.88235294117646</v>
      </c>
      <c r="AD54" s="29">
        <f t="shared" si="5"/>
        <v>13.647058823529411</v>
      </c>
      <c r="AE54" s="29">
        <f>YEAR(Data!$C54)</f>
        <v>2019</v>
      </c>
      <c r="AF54" s="29"/>
      <c r="AG54" s="29">
        <v>12</v>
      </c>
      <c r="AH54" s="33">
        <f>Data!$F54/Data!$D54</f>
        <v>10.638025008083606</v>
      </c>
      <c r="AI54" s="17" t="str">
        <f>RIGHT(Data!$O54,2)</f>
        <v>PM</v>
      </c>
      <c r="AJ54" s="29" t="str">
        <f>Data!$R54&amp;"-"&amp;WEEKNUM(Data!$C54,1)-WEEKNUM(DATE(YEAR(Data!$C54),MONTH(Data!$C54),1),1)+1</f>
        <v>9-2019-3</v>
      </c>
      <c r="AK54" s="29">
        <f>MONTH(Data!$C54)</f>
        <v>9</v>
      </c>
      <c r="AL54" s="29">
        <f>IFERROR(Data!$F54/Data!$E54,0)</f>
        <v>36.866666666666667</v>
      </c>
      <c r="AM54" s="29">
        <f>COUNTIF(Data!$N$2:$N$825,Data!$N54)</f>
        <v>3</v>
      </c>
      <c r="AN54" s="29" t="str">
        <f>VLOOKUP(Data!$N54,'Helpful Tables'!A:D,4,FALSE)</f>
        <v>Washington, DC</v>
      </c>
      <c r="AO54" s="29">
        <f>COUNTIF(AN:AN,Data!$AN54)/COUNTA(AN:AN)</f>
        <v>0.62424242424242427</v>
      </c>
      <c r="AP54" s="29">
        <v>38.901815999999997</v>
      </c>
      <c r="AQ54" s="29">
        <v>-77.017055999999997</v>
      </c>
      <c r="AR54" s="29">
        <f>COUNTIF(Data!$P$2:$P$825,Data!$P54)</f>
        <v>2</v>
      </c>
      <c r="AS54" s="29" cm="1">
        <f t="array" ref="AS54">_xlfn.IFS(Data!$E54&lt;12,((Data!$E54/Data!$D54)*60)*1,AND(Data!$E54&gt;=12,Data!$E54&lt;=15),((Data!$E54/Data!$D54)*60)*1.2,AND(Data!$E54&gt;=16,Data!$E54&lt;=19),((Data!$E54/Data!$D54)*60)*1.5,Data!$E54&gt;=20,((Data!$E54/Data!$D54)*60)*1.8)</f>
        <v>20.775889708373043</v>
      </c>
      <c r="AT54" s="29" cm="1">
        <f t="array" ref="AT54">_xlfn.IFS(Data!$F54&lt;600,((Data!$F54/Data!$D54)*60)*1,AND(Data!$F54&gt;=600,Data!$F54&lt;=625),((Data!$F54/Data!$D54)*60)*1.2,AND(Data!$F54&gt;=626,Data!$F54&lt;=650),((Data!$F54/Data!$D54)*60)*1.5,Data!$F54&gt;=651,((Data!$F54/Data!$D54)*60)*1.8)</f>
        <v>638.28150048501629</v>
      </c>
      <c r="AU54" s="29">
        <f>(Data!$I54*-1.2)+(Data!$J54*-1.1)+(Data!$K54*1.2)+(Data!$L54*1.3)+(Data!$M54*1.5)</f>
        <v>-4.0200000011999961</v>
      </c>
      <c r="AV54" s="29">
        <f>(Data!$AS54*0.4)+(Data!$AT54*0.4)+(Data!$AU54*0.2)</f>
        <v>262.81895607711573</v>
      </c>
      <c r="AW54" s="29">
        <f>PERCENTRANK(AV:AV,Data!$AV54)*100</f>
        <v>21</v>
      </c>
      <c r="AX54" s="29" t="str">
        <f>_xlfn.CONCAT(TEXT(C54,"mmm"),"-",Data!$AE54)</f>
        <v>Sep-2019</v>
      </c>
    </row>
    <row r="55" spans="1:50" ht="17" thickTop="1" thickBot="1" x14ac:dyDescent="0.25">
      <c r="A55" s="22">
        <v>54</v>
      </c>
      <c r="B55" s="23">
        <f t="shared" si="0"/>
        <v>17</v>
      </c>
      <c r="C55" s="41">
        <v>43729</v>
      </c>
      <c r="D55" s="24">
        <f>SUM(Data!$I55:$M55)</f>
        <v>56.683333333</v>
      </c>
      <c r="E55" s="23">
        <v>18</v>
      </c>
      <c r="F55" s="23">
        <v>664</v>
      </c>
      <c r="G55" s="23">
        <v>132</v>
      </c>
      <c r="H55" s="23">
        <v>171</v>
      </c>
      <c r="I55" s="23">
        <v>5.6</v>
      </c>
      <c r="J55" s="23">
        <v>17.95</v>
      </c>
      <c r="K55" s="23">
        <v>15.516666667000001</v>
      </c>
      <c r="L55" s="23">
        <v>15.983333332999999</v>
      </c>
      <c r="M55" s="23">
        <v>1.6333333329999999</v>
      </c>
      <c r="N55" s="23" t="s">
        <v>33</v>
      </c>
      <c r="O55" s="23" t="s">
        <v>45</v>
      </c>
      <c r="P55" s="23" t="s">
        <v>34</v>
      </c>
      <c r="Q55" s="23">
        <f t="shared" si="6"/>
        <v>1</v>
      </c>
      <c r="R55" s="23" t="str">
        <f t="shared" si="1"/>
        <v>9-2019</v>
      </c>
      <c r="S55" s="23" t="s">
        <v>43</v>
      </c>
      <c r="T55" s="23" t="str">
        <f t="shared" si="2"/>
        <v>Saturday</v>
      </c>
      <c r="U55" s="23">
        <f t="shared" si="3"/>
        <v>1</v>
      </c>
      <c r="V55" s="25">
        <f>IFERROR(Data!$I55/Data!$D55,"")</f>
        <v>9.8794472214635651E-2</v>
      </c>
      <c r="W55" s="25">
        <f>IFERROR(Data!$J55/Data!$D55,"")</f>
        <v>0.31667156718798395</v>
      </c>
      <c r="X55" s="25">
        <f>IFERROR(Data!$K55/Data!$D55,"")</f>
        <v>0.27374301676726698</v>
      </c>
      <c r="Y55" s="25">
        <f>IFERROR(Data!$L55/Data!$D55,"")</f>
        <v>0.28197588944005864</v>
      </c>
      <c r="Z55" s="25">
        <f>IFERROR(Data!$M55/Data!$D55,"")</f>
        <v>2.8815054390054776E-2</v>
      </c>
      <c r="AA55" s="26">
        <v>232.14</v>
      </c>
      <c r="AB55" s="26">
        <f t="shared" si="9"/>
        <v>13.655294117647058</v>
      </c>
      <c r="AC55" s="23">
        <f t="shared" si="4"/>
        <v>592.88235294117646</v>
      </c>
      <c r="AD55" s="23">
        <f t="shared" si="5"/>
        <v>13.647058823529411</v>
      </c>
      <c r="AE55" s="23">
        <f>YEAR(Data!$C55)</f>
        <v>2019</v>
      </c>
      <c r="AF55" s="23"/>
      <c r="AG55" s="23">
        <v>12</v>
      </c>
      <c r="AH55" s="27">
        <f>Data!$F55/Data!$D55</f>
        <v>11.714201705449657</v>
      </c>
      <c r="AI55" s="17" t="str">
        <f>RIGHT(Data!$O55,2)</f>
        <v>AM</v>
      </c>
      <c r="AJ55" s="23" t="str">
        <f>Data!$R55&amp;"-"&amp;WEEKNUM(Data!$C55,1)-WEEKNUM(DATE(YEAR(Data!$C55),MONTH(Data!$C55),1),1)+1</f>
        <v>9-2019-3</v>
      </c>
      <c r="AK55" s="23">
        <f>MONTH(Data!$C55)</f>
        <v>9</v>
      </c>
      <c r="AL55" s="23">
        <f>IFERROR(Data!$F55/Data!$E55,0)</f>
        <v>36.888888888888886</v>
      </c>
      <c r="AM55" s="23">
        <f>COUNTIF(Data!$N$2:$N$825,Data!$N55)</f>
        <v>48</v>
      </c>
      <c r="AN55" s="23" t="str">
        <f>VLOOKUP(Data!$N55,'Helpful Tables'!A:D,4,FALSE)</f>
        <v>Washington, DC</v>
      </c>
      <c r="AO55" s="23">
        <f>COUNTIF(AN:AN,Data!$AN55)/COUNTA(AN:AN)</f>
        <v>0.62424242424242427</v>
      </c>
      <c r="AP55" s="23">
        <v>38.916486999999996</v>
      </c>
      <c r="AQ55" s="23">
        <v>-77.031514000000001</v>
      </c>
      <c r="AR55" s="23">
        <f>COUNTIF(Data!$P$2:$P$825,Data!$P55)</f>
        <v>30</v>
      </c>
      <c r="AS55" s="23" cm="1">
        <f t="array" ref="AS55">_xlfn.IFS(Data!$E55&lt;12,((Data!$E55/Data!$D55)*60)*1,AND(Data!$E55&gt;=12,Data!$E55&lt;=15),((Data!$E55/Data!$D55)*60)*1.2,AND(Data!$E55&gt;=16,Data!$E55&lt;=19),((Data!$E55/Data!$D55)*60)*1.5,Data!$E55&gt;=20,((Data!$E55/Data!$D55)*60)*1.8)</f>
        <v>28.579829462091027</v>
      </c>
      <c r="AT55" s="23" cm="1">
        <f t="array" ref="AT55">_xlfn.IFS(Data!$F55&lt;600,((Data!$F55/Data!$D55)*60)*1,AND(Data!$F55&gt;=600,Data!$F55&lt;=625),((Data!$F55/Data!$D55)*60)*1.2,AND(Data!$F55&gt;=626,Data!$F55&lt;=650),((Data!$F55/Data!$D55)*60)*1.5,Data!$F55&gt;=651,((Data!$F55/Data!$D55)*60)*1.8)</f>
        <v>1265.1337841885629</v>
      </c>
      <c r="AU55" s="23">
        <f>(Data!$I55*-1.2)+(Data!$J55*-1.1)+(Data!$K55*1.2)+(Data!$L55*1.3)+(Data!$M55*1.5)</f>
        <v>15.383333332800003</v>
      </c>
      <c r="AV55" s="23">
        <f>(Data!$AS55*0.4)+(Data!$AT55*0.4)+(Data!$AU55*0.2)</f>
        <v>520.56211212682149</v>
      </c>
      <c r="AW55" s="23">
        <f>PERCENTRANK(AV:AV,Data!$AV55)*100</f>
        <v>89.8</v>
      </c>
      <c r="AX55" s="23" t="str">
        <f>_xlfn.CONCAT(TEXT(C55,"mmm"),"-",Data!$AE55)</f>
        <v>Sep-2019</v>
      </c>
    </row>
    <row r="56" spans="1:50" ht="17" thickTop="1" thickBot="1" x14ac:dyDescent="0.25">
      <c r="A56" s="28">
        <v>55</v>
      </c>
      <c r="B56" s="29">
        <f t="shared" si="0"/>
        <v>17</v>
      </c>
      <c r="C56" s="41">
        <v>43732</v>
      </c>
      <c r="D56" s="30">
        <f>SUM(Data!$I56:$M56)</f>
        <v>58.5</v>
      </c>
      <c r="E56" s="29">
        <v>10</v>
      </c>
      <c r="F56" s="29">
        <v>587</v>
      </c>
      <c r="G56" s="29">
        <v>121</v>
      </c>
      <c r="H56" s="29">
        <v>166</v>
      </c>
      <c r="I56" s="29">
        <v>19.866666667000001</v>
      </c>
      <c r="J56" s="29">
        <v>10.75</v>
      </c>
      <c r="K56" s="29">
        <v>17.433333333</v>
      </c>
      <c r="L56" s="29">
        <v>9.0333333329999999</v>
      </c>
      <c r="M56" s="29">
        <v>1.4166666670000001</v>
      </c>
      <c r="N56" s="29" t="s">
        <v>24</v>
      </c>
      <c r="O56" s="29" t="s">
        <v>26</v>
      </c>
      <c r="P56" s="29" t="s">
        <v>28</v>
      </c>
      <c r="Q56" s="29">
        <f t="shared" si="6"/>
        <v>3</v>
      </c>
      <c r="R56" s="29" t="str">
        <f t="shared" si="1"/>
        <v>9-2019</v>
      </c>
      <c r="S56" s="29" t="s">
        <v>47</v>
      </c>
      <c r="T56" s="29" t="str">
        <f t="shared" si="2"/>
        <v>Tuesday</v>
      </c>
      <c r="U56" s="29">
        <f t="shared" si="3"/>
        <v>0</v>
      </c>
      <c r="V56" s="31">
        <f>IFERROR(Data!$I56/Data!$D56,"")</f>
        <v>0.33960113960683763</v>
      </c>
      <c r="W56" s="31">
        <f>IFERROR(Data!$J56/Data!$D56,"")</f>
        <v>0.18376068376068377</v>
      </c>
      <c r="X56" s="31">
        <f>IFERROR(Data!$K56/Data!$D56,"")</f>
        <v>0.29800569799999999</v>
      </c>
      <c r="Y56" s="31">
        <f>IFERROR(Data!$L56/Data!$D56,"")</f>
        <v>0.15441595441025641</v>
      </c>
      <c r="Z56" s="31">
        <f>IFERROR(Data!$M56/Data!$D56,"")</f>
        <v>2.4216524222222223E-2</v>
      </c>
      <c r="AA56" s="32">
        <v>232.14</v>
      </c>
      <c r="AB56" s="32">
        <f t="shared" si="9"/>
        <v>13.655294117647058</v>
      </c>
      <c r="AC56" s="29">
        <f t="shared" si="4"/>
        <v>592.88235294117646</v>
      </c>
      <c r="AD56" s="29">
        <f t="shared" si="5"/>
        <v>13.647058823529411</v>
      </c>
      <c r="AE56" s="29">
        <f>YEAR(Data!$C56)</f>
        <v>2019</v>
      </c>
      <c r="AF56" s="29"/>
      <c r="AG56" s="29">
        <v>12</v>
      </c>
      <c r="AH56" s="33">
        <f>Data!$F56/Data!$D56</f>
        <v>10.034188034188034</v>
      </c>
      <c r="AI56" s="17" t="str">
        <f>RIGHT(Data!$O56,2)</f>
        <v>PM</v>
      </c>
      <c r="AJ56" s="29" t="str">
        <f>Data!$R56&amp;"-"&amp;WEEKNUM(Data!$C56,1)-WEEKNUM(DATE(YEAR(Data!$C56),MONTH(Data!$C56),1),1)+1</f>
        <v>9-2019-4</v>
      </c>
      <c r="AK56" s="29">
        <f>MONTH(Data!$C56)</f>
        <v>9</v>
      </c>
      <c r="AL56" s="29">
        <f>IFERROR(Data!$F56/Data!$E56,0)</f>
        <v>58.7</v>
      </c>
      <c r="AM56" s="29">
        <f>COUNTIF(Data!$N$2:$N$825,Data!$N56)</f>
        <v>35</v>
      </c>
      <c r="AN56" s="29" t="str">
        <f>VLOOKUP(Data!$N56,'Helpful Tables'!A:D,4,FALSE)</f>
        <v>Virginia</v>
      </c>
      <c r="AO56" s="29">
        <f>COUNTIF(AN:AN,Data!$AN56)/COUNTA(AN:AN)</f>
        <v>6.424242424242424E-2</v>
      </c>
      <c r="AP56" s="29">
        <v>38.881884999999997</v>
      </c>
      <c r="AQ56" s="29">
        <v>-77.229702000000003</v>
      </c>
      <c r="AR56" s="29">
        <f>COUNTIF(Data!$P$2:$P$825,Data!$P56)</f>
        <v>10</v>
      </c>
      <c r="AS56" s="29" cm="1">
        <f t="array" ref="AS56">_xlfn.IFS(Data!$E56&lt;12,((Data!$E56/Data!$D56)*60)*1,AND(Data!$E56&gt;=12,Data!$E56&lt;=15),((Data!$E56/Data!$D56)*60)*1.2,AND(Data!$E56&gt;=16,Data!$E56&lt;=19),((Data!$E56/Data!$D56)*60)*1.5,Data!$E56&gt;=20,((Data!$E56/Data!$D56)*60)*1.8)</f>
        <v>10.256410256410257</v>
      </c>
      <c r="AT56" s="29" cm="1">
        <f t="array" ref="AT56">_xlfn.IFS(Data!$F56&lt;600,((Data!$F56/Data!$D56)*60)*1,AND(Data!$F56&gt;=600,Data!$F56&lt;=625),((Data!$F56/Data!$D56)*60)*1.2,AND(Data!$F56&gt;=626,Data!$F56&lt;=650),((Data!$F56/Data!$D56)*60)*1.5,Data!$F56&gt;=651,((Data!$F56/Data!$D56)*60)*1.8)</f>
        <v>602.05128205128199</v>
      </c>
      <c r="AU56" s="29">
        <f>(Data!$I56*-1.2)+(Data!$J56*-1.1)+(Data!$K56*1.2)+(Data!$L56*1.3)+(Data!$M56*1.5)</f>
        <v>-0.87666666740000032</v>
      </c>
      <c r="AV56" s="29">
        <f>(Data!$AS56*0.4)+(Data!$AT56*0.4)+(Data!$AU56*0.2)</f>
        <v>244.74774358959692</v>
      </c>
      <c r="AW56" s="29">
        <f>PERCENTRANK(AV:AV,Data!$AV56)*100</f>
        <v>15</v>
      </c>
      <c r="AX56" s="29" t="str">
        <f>_xlfn.CONCAT(TEXT(C56,"mmm"),"-",Data!$AE56)</f>
        <v>Sep-2019</v>
      </c>
    </row>
    <row r="57" spans="1:50" ht="17" thickTop="1" thickBot="1" x14ac:dyDescent="0.25">
      <c r="A57" s="22">
        <v>56</v>
      </c>
      <c r="B57" s="23">
        <f t="shared" si="0"/>
        <v>17</v>
      </c>
      <c r="C57" s="41">
        <v>43734</v>
      </c>
      <c r="D57" s="24">
        <f>SUM(Data!$I57:$M57)</f>
        <v>59.349999999999994</v>
      </c>
      <c r="E57" s="23">
        <v>12</v>
      </c>
      <c r="F57" s="23">
        <v>575</v>
      </c>
      <c r="G57" s="23">
        <v>119</v>
      </c>
      <c r="H57" s="23">
        <v>171</v>
      </c>
      <c r="I57" s="23">
        <v>24.766666666999999</v>
      </c>
      <c r="J57" s="23">
        <v>10.25</v>
      </c>
      <c r="K57" s="23">
        <v>12.733333332999999</v>
      </c>
      <c r="L57" s="23">
        <v>6.7166666670000001</v>
      </c>
      <c r="M57" s="23">
        <v>4.8833333330000004</v>
      </c>
      <c r="N57" s="23" t="s">
        <v>33</v>
      </c>
      <c r="O57" s="23" t="s">
        <v>39</v>
      </c>
      <c r="P57" s="23" t="s">
        <v>63</v>
      </c>
      <c r="Q57" s="23">
        <f t="shared" si="6"/>
        <v>2</v>
      </c>
      <c r="R57" s="23" t="str">
        <f t="shared" si="1"/>
        <v>9-2019</v>
      </c>
      <c r="S57" s="23" t="s">
        <v>43</v>
      </c>
      <c r="T57" s="23" t="str">
        <f t="shared" si="2"/>
        <v>Thursday</v>
      </c>
      <c r="U57" s="23">
        <f t="shared" si="3"/>
        <v>1</v>
      </c>
      <c r="V57" s="25">
        <f>IFERROR(Data!$I57/Data!$D57,"")</f>
        <v>0.41729851165964621</v>
      </c>
      <c r="W57" s="25">
        <f>IFERROR(Data!$J57/Data!$D57,"")</f>
        <v>0.1727042965459141</v>
      </c>
      <c r="X57" s="25">
        <f>IFERROR(Data!$K57/Data!$D57,"")</f>
        <v>0.21454647570345409</v>
      </c>
      <c r="Y57" s="25">
        <f>IFERROR(Data!$L57/Data!$D57,"")</f>
        <v>0.11317045774220726</v>
      </c>
      <c r="Z57" s="25">
        <f>IFERROR(Data!$M57/Data!$D57,"")</f>
        <v>8.2280258348778446E-2</v>
      </c>
      <c r="AA57" s="26">
        <v>232.14</v>
      </c>
      <c r="AB57" s="26">
        <f t="shared" si="9"/>
        <v>13.655294117647058</v>
      </c>
      <c r="AC57" s="23">
        <f t="shared" si="4"/>
        <v>592.88235294117646</v>
      </c>
      <c r="AD57" s="23">
        <f t="shared" si="5"/>
        <v>13.647058823529411</v>
      </c>
      <c r="AE57" s="23">
        <f>YEAR(Data!$C57)</f>
        <v>2019</v>
      </c>
      <c r="AF57" s="23"/>
      <c r="AG57" s="23">
        <v>12</v>
      </c>
      <c r="AH57" s="27">
        <f>Data!$F57/Data!$D57</f>
        <v>9.688289806234204</v>
      </c>
      <c r="AI57" s="17" t="str">
        <f>RIGHT(Data!$O57,2)</f>
        <v>PM</v>
      </c>
      <c r="AJ57" s="23" t="str">
        <f>Data!$R57&amp;"-"&amp;WEEKNUM(Data!$C57,1)-WEEKNUM(DATE(YEAR(Data!$C57),MONTH(Data!$C57),1),1)+1</f>
        <v>9-2019-4</v>
      </c>
      <c r="AK57" s="23">
        <f>MONTH(Data!$C57)</f>
        <v>9</v>
      </c>
      <c r="AL57" s="23">
        <f>IFERROR(Data!$F57/Data!$E57,0)</f>
        <v>47.916666666666664</v>
      </c>
      <c r="AM57" s="23">
        <f>COUNTIF(Data!$N$2:$N$825,Data!$N57)</f>
        <v>48</v>
      </c>
      <c r="AN57" s="23" t="str">
        <f>VLOOKUP(Data!$N57,'Helpful Tables'!A:D,4,FALSE)</f>
        <v>Washington, DC</v>
      </c>
      <c r="AO57" s="23">
        <f>COUNTIF(AN:AN,Data!$AN57)/COUNTA(AN:AN)</f>
        <v>0.62424242424242427</v>
      </c>
      <c r="AP57" s="23">
        <v>38.916486999999996</v>
      </c>
      <c r="AQ57" s="23">
        <v>-77.031514000000001</v>
      </c>
      <c r="AR57" s="23">
        <f>COUNTIF(Data!$P$2:$P$825,Data!$P57)</f>
        <v>1</v>
      </c>
      <c r="AS57" s="23" cm="1">
        <f t="array" ref="AS57">_xlfn.IFS(Data!$E57&lt;12,((Data!$E57/Data!$D57)*60)*1,AND(Data!$E57&gt;=12,Data!$E57&lt;=15),((Data!$E57/Data!$D57)*60)*1.2,AND(Data!$E57&gt;=16,Data!$E57&lt;=19),((Data!$E57/Data!$D57)*60)*1.5,Data!$E57&gt;=20,((Data!$E57/Data!$D57)*60)*1.8)</f>
        <v>14.557708508845829</v>
      </c>
      <c r="AT57" s="23" cm="1">
        <f t="array" ref="AT57">_xlfn.IFS(Data!$F57&lt;600,((Data!$F57/Data!$D57)*60)*1,AND(Data!$F57&gt;=600,Data!$F57&lt;=625),((Data!$F57/Data!$D57)*60)*1.2,AND(Data!$F57&gt;=626,Data!$F57&lt;=650),((Data!$F57/Data!$D57)*60)*1.5,Data!$F57&gt;=651,((Data!$F57/Data!$D57)*60)*1.8)</f>
        <v>581.29738837405228</v>
      </c>
      <c r="AU57" s="23">
        <f>(Data!$I57*-1.2)+(Data!$J57*-1.1)+(Data!$K57*1.2)+(Data!$L57*1.3)+(Data!$M57*1.5)</f>
        <v>-9.6583333341999982</v>
      </c>
      <c r="AV57" s="23">
        <f>(Data!$AS57*0.4)+(Data!$AT57*0.4)+(Data!$AU57*0.2)</f>
        <v>236.41037208631926</v>
      </c>
      <c r="AW57" s="23">
        <f>PERCENTRANK(AV:AV,Data!$AV57)*100</f>
        <v>10.299999999999999</v>
      </c>
      <c r="AX57" s="23" t="str">
        <f>_xlfn.CONCAT(TEXT(C57,"mmm"),"-",Data!$AE57)</f>
        <v>Sep-2019</v>
      </c>
    </row>
    <row r="58" spans="1:50" ht="17" thickTop="1" thickBot="1" x14ac:dyDescent="0.25">
      <c r="A58" s="28">
        <v>57</v>
      </c>
      <c r="B58" s="29">
        <f t="shared" si="0"/>
        <v>17</v>
      </c>
      <c r="C58" s="41">
        <v>43735</v>
      </c>
      <c r="D58" s="30">
        <f>SUM(Data!$I58:$M58)</f>
        <v>59.466666665999988</v>
      </c>
      <c r="E58" s="29">
        <v>15</v>
      </c>
      <c r="F58" s="29">
        <v>557</v>
      </c>
      <c r="G58" s="29">
        <v>116</v>
      </c>
      <c r="H58" s="29">
        <v>167</v>
      </c>
      <c r="I58" s="29">
        <v>22.45</v>
      </c>
      <c r="J58" s="29">
        <v>12.433333333</v>
      </c>
      <c r="K58" s="29">
        <v>9.5500000000000007</v>
      </c>
      <c r="L58" s="29">
        <v>11.8</v>
      </c>
      <c r="M58" s="29">
        <v>3.233333333</v>
      </c>
      <c r="N58" s="29" t="s">
        <v>60</v>
      </c>
      <c r="O58" s="29" t="s">
        <v>39</v>
      </c>
      <c r="P58" s="29" t="s">
        <v>61</v>
      </c>
      <c r="Q58" s="29">
        <f t="shared" si="6"/>
        <v>1</v>
      </c>
      <c r="R58" s="29" t="str">
        <f t="shared" si="1"/>
        <v>9-2019</v>
      </c>
      <c r="S58" s="29" t="s">
        <v>47</v>
      </c>
      <c r="T58" s="29" t="str">
        <f t="shared" si="2"/>
        <v>Friday</v>
      </c>
      <c r="U58" s="29">
        <f t="shared" si="3"/>
        <v>1</v>
      </c>
      <c r="V58" s="31">
        <f>IFERROR(Data!$I58/Data!$D58,"")</f>
        <v>0.37752242152889603</v>
      </c>
      <c r="W58" s="31">
        <f>IFERROR(Data!$J58/Data!$D58,"")</f>
        <v>0.20908071748552787</v>
      </c>
      <c r="X58" s="31">
        <f>IFERROR(Data!$K58/Data!$D58,"")</f>
        <v>0.16059417040538787</v>
      </c>
      <c r="Y58" s="31">
        <f>IFERROR(Data!$L58/Data!$D58,"")</f>
        <v>0.1984304932757672</v>
      </c>
      <c r="Z58" s="31">
        <f>IFERROR(Data!$M58/Data!$D58,"")</f>
        <v>5.4372197304421221E-2</v>
      </c>
      <c r="AA58" s="32">
        <v>232.14</v>
      </c>
      <c r="AB58" s="32">
        <f t="shared" si="9"/>
        <v>13.655294117647058</v>
      </c>
      <c r="AC58" s="29">
        <f t="shared" si="4"/>
        <v>592.88235294117646</v>
      </c>
      <c r="AD58" s="29">
        <f t="shared" si="5"/>
        <v>13.647058823529411</v>
      </c>
      <c r="AE58" s="29">
        <f>YEAR(Data!$C58)</f>
        <v>2019</v>
      </c>
      <c r="AF58" s="29"/>
      <c r="AG58" s="29">
        <v>12</v>
      </c>
      <c r="AH58" s="33">
        <f>Data!$F58/Data!$D58</f>
        <v>9.3665919283561294</v>
      </c>
      <c r="AI58" s="17" t="str">
        <f>RIGHT(Data!$O58,2)</f>
        <v>PM</v>
      </c>
      <c r="AJ58" s="29" t="str">
        <f>Data!$R58&amp;"-"&amp;WEEKNUM(Data!$C58,1)-WEEKNUM(DATE(YEAR(Data!$C58),MONTH(Data!$C58),1),1)+1</f>
        <v>9-2019-4</v>
      </c>
      <c r="AK58" s="29">
        <f>MONTH(Data!$C58)</f>
        <v>9</v>
      </c>
      <c r="AL58" s="29">
        <f>IFERROR(Data!$F58/Data!$E58,0)</f>
        <v>37.133333333333333</v>
      </c>
      <c r="AM58" s="29">
        <f>COUNTIF(Data!$N$2:$N$825,Data!$N58)</f>
        <v>10</v>
      </c>
      <c r="AN58" s="29" t="str">
        <f>VLOOKUP(Data!$N58,'Helpful Tables'!A:D,4,FALSE)</f>
        <v>Washington, DC</v>
      </c>
      <c r="AO58" s="29">
        <f>COUNTIF(AN:AN,Data!$AN58)/COUNTA(AN:AN)</f>
        <v>0.62424242424242427</v>
      </c>
      <c r="AP58" s="29">
        <v>38.879828000000003</v>
      </c>
      <c r="AQ58" s="29">
        <v>-77.005566000000002</v>
      </c>
      <c r="AR58" s="29">
        <f>COUNTIF(Data!$P$2:$P$825,Data!$P58)</f>
        <v>9</v>
      </c>
      <c r="AS58" s="29" cm="1">
        <f t="array" ref="AS58">_xlfn.IFS(Data!$E58&lt;12,((Data!$E58/Data!$D58)*60)*1,AND(Data!$E58&gt;=12,Data!$E58&lt;=15),((Data!$E58/Data!$D58)*60)*1.2,AND(Data!$E58&gt;=16,Data!$E58&lt;=19),((Data!$E58/Data!$D58)*60)*1.5,Data!$E58&gt;=20,((Data!$E58/Data!$D58)*60)*1.8)</f>
        <v>18.161434977782083</v>
      </c>
      <c r="AT58" s="29" cm="1">
        <f t="array" ref="AT58">_xlfn.IFS(Data!$F58&lt;600,((Data!$F58/Data!$D58)*60)*1,AND(Data!$F58&gt;=600,Data!$F58&lt;=625),((Data!$F58/Data!$D58)*60)*1.2,AND(Data!$F58&gt;=626,Data!$F58&lt;=650),((Data!$F58/Data!$D58)*60)*1.5,Data!$F58&gt;=651,((Data!$F58/Data!$D58)*60)*1.8)</f>
        <v>561.99551570136782</v>
      </c>
      <c r="AU58" s="29">
        <f>(Data!$I58*-1.2)+(Data!$J58*-1.1)+(Data!$K58*1.2)+(Data!$L58*1.3)+(Data!$M58*1.5)</f>
        <v>-8.9666666667999966</v>
      </c>
      <c r="AV58" s="29">
        <f>(Data!$AS58*0.4)+(Data!$AT58*0.4)+(Data!$AU58*0.2)</f>
        <v>230.26944693829995</v>
      </c>
      <c r="AW58" s="29">
        <f>PERCENTRANK(AV:AV,Data!$AV58)*100</f>
        <v>7.3</v>
      </c>
      <c r="AX58" s="29" t="str">
        <f>_xlfn.CONCAT(TEXT(C58,"mmm"),"-",Data!$AE58)</f>
        <v>Sep-2019</v>
      </c>
    </row>
    <row r="59" spans="1:50" ht="17" thickTop="1" thickBot="1" x14ac:dyDescent="0.25">
      <c r="A59" s="22">
        <v>58</v>
      </c>
      <c r="B59" s="23">
        <f t="shared" si="0"/>
        <v>17</v>
      </c>
      <c r="C59" s="41">
        <v>43737</v>
      </c>
      <c r="D59" s="24">
        <f>SUM(Data!$I59:$M59)</f>
        <v>53.550000000000004</v>
      </c>
      <c r="E59" s="23">
        <v>7</v>
      </c>
      <c r="F59" s="23">
        <v>583</v>
      </c>
      <c r="G59" s="23">
        <v>127</v>
      </c>
      <c r="H59" s="23">
        <v>164</v>
      </c>
      <c r="I59" s="23">
        <v>8.0166666670000009</v>
      </c>
      <c r="J59" s="23">
        <v>14.733333332999999</v>
      </c>
      <c r="K59" s="23">
        <v>24.483333333000001</v>
      </c>
      <c r="L59" s="23">
        <v>5.7</v>
      </c>
      <c r="M59" s="23">
        <v>0.61666666699999995</v>
      </c>
      <c r="N59" s="23" t="s">
        <v>33</v>
      </c>
      <c r="O59" s="23" t="s">
        <v>45</v>
      </c>
      <c r="P59" s="23" t="s">
        <v>34</v>
      </c>
      <c r="Q59" s="23">
        <f t="shared" si="6"/>
        <v>2</v>
      </c>
      <c r="R59" s="23" t="str">
        <f t="shared" si="1"/>
        <v>9-2019</v>
      </c>
      <c r="S59" s="23" t="s">
        <v>43</v>
      </c>
      <c r="T59" s="23" t="str">
        <f t="shared" si="2"/>
        <v>Sunday</v>
      </c>
      <c r="U59" s="23">
        <f t="shared" si="3"/>
        <v>0</v>
      </c>
      <c r="V59" s="25">
        <f>IFERROR(Data!$I59/Data!$D59,"")</f>
        <v>0.14970432618113913</v>
      </c>
      <c r="W59" s="25">
        <f>IFERROR(Data!$J59/Data!$D59,"")</f>
        <v>0.27513227512605037</v>
      </c>
      <c r="X59" s="25">
        <f>IFERROR(Data!$K59/Data!$D59,"")</f>
        <v>0.45720510425770305</v>
      </c>
      <c r="Y59" s="25">
        <f>IFERROR(Data!$L59/Data!$D59,"")</f>
        <v>0.10644257703081232</v>
      </c>
      <c r="Z59" s="25">
        <f>IFERROR(Data!$M59/Data!$D59,"")</f>
        <v>1.1515717404295049E-2</v>
      </c>
      <c r="AA59" s="26">
        <v>232.14</v>
      </c>
      <c r="AB59" s="26">
        <f t="shared" si="9"/>
        <v>13.655294117647058</v>
      </c>
      <c r="AC59" s="23">
        <f t="shared" si="4"/>
        <v>592.88235294117646</v>
      </c>
      <c r="AD59" s="23">
        <f t="shared" si="5"/>
        <v>13.647058823529411</v>
      </c>
      <c r="AE59" s="23">
        <f>YEAR(Data!$C59)</f>
        <v>2019</v>
      </c>
      <c r="AF59" s="23"/>
      <c r="AG59" s="23">
        <v>12</v>
      </c>
      <c r="AH59" s="27">
        <f>Data!$F59/Data!$D59</f>
        <v>10.887021475256768</v>
      </c>
      <c r="AI59" s="17" t="str">
        <f>RIGHT(Data!$O59,2)</f>
        <v>AM</v>
      </c>
      <c r="AJ59" s="23" t="str">
        <f>Data!$R59&amp;"-"&amp;WEEKNUM(Data!$C59,1)-WEEKNUM(DATE(YEAR(Data!$C59),MONTH(Data!$C59),1),1)+1</f>
        <v>9-2019-5</v>
      </c>
      <c r="AK59" s="23">
        <f>MONTH(Data!$C59)</f>
        <v>9</v>
      </c>
      <c r="AL59" s="23">
        <f>IFERROR(Data!$F59/Data!$E59,0)</f>
        <v>83.285714285714292</v>
      </c>
      <c r="AM59" s="23">
        <f>COUNTIF(Data!$N$2:$N$825,Data!$N59)</f>
        <v>48</v>
      </c>
      <c r="AN59" s="23" t="str">
        <f>VLOOKUP(Data!$N59,'Helpful Tables'!A:D,4,FALSE)</f>
        <v>Washington, DC</v>
      </c>
      <c r="AO59" s="23">
        <f>COUNTIF(AN:AN,Data!$AN59)/COUNTA(AN:AN)</f>
        <v>0.62424242424242427</v>
      </c>
      <c r="AP59" s="23">
        <v>38.916486999999996</v>
      </c>
      <c r="AQ59" s="23">
        <v>-77.031514000000001</v>
      </c>
      <c r="AR59" s="23">
        <f>COUNTIF(Data!$P$2:$P$825,Data!$P59)</f>
        <v>30</v>
      </c>
      <c r="AS59" s="23" cm="1">
        <f t="array" ref="AS59">_xlfn.IFS(Data!$E59&lt;12,((Data!$E59/Data!$D59)*60)*1,AND(Data!$E59&gt;=12,Data!$E59&lt;=15),((Data!$E59/Data!$D59)*60)*1.2,AND(Data!$E59&gt;=16,Data!$E59&lt;=19),((Data!$E59/Data!$D59)*60)*1.5,Data!$E59&gt;=20,((Data!$E59/Data!$D59)*60)*1.8)</f>
        <v>7.8431372549019596</v>
      </c>
      <c r="AT59" s="23" cm="1">
        <f t="array" ref="AT59">_xlfn.IFS(Data!$F59&lt;600,((Data!$F59/Data!$D59)*60)*1,AND(Data!$F59&gt;=600,Data!$F59&lt;=625),((Data!$F59/Data!$D59)*60)*1.2,AND(Data!$F59&gt;=626,Data!$F59&lt;=650),((Data!$F59/Data!$D59)*60)*1.5,Data!$F59&gt;=651,((Data!$F59/Data!$D59)*60)*1.8)</f>
        <v>653.22128851540606</v>
      </c>
      <c r="AU59" s="23">
        <f>(Data!$I59*-1.2)+(Data!$J59*-1.1)+(Data!$K59*1.2)+(Data!$L59*1.3)+(Data!$M59*1.5)</f>
        <v>11.888333333399995</v>
      </c>
      <c r="AV59" s="23">
        <f>(Data!$AS59*0.4)+(Data!$AT59*0.4)+(Data!$AU59*0.2)</f>
        <v>266.80343697480322</v>
      </c>
      <c r="AW59" s="23">
        <f>PERCENTRANK(AV:AV,Data!$AV59)*100</f>
        <v>22</v>
      </c>
      <c r="AX59" s="23" t="str">
        <f>_xlfn.CONCAT(TEXT(C59,"mmm"),"-",Data!$AE59)</f>
        <v>Sep-2019</v>
      </c>
    </row>
    <row r="60" spans="1:50" ht="17" thickTop="1" thickBot="1" x14ac:dyDescent="0.25">
      <c r="A60" s="28">
        <v>59</v>
      </c>
      <c r="B60" s="29">
        <f t="shared" si="0"/>
        <v>17</v>
      </c>
      <c r="C60" s="41">
        <v>43738</v>
      </c>
      <c r="D60" s="30">
        <f>SUM(Data!$I60:$M60)</f>
        <v>58.283333332999995</v>
      </c>
      <c r="E60" s="29">
        <v>15</v>
      </c>
      <c r="F60" s="29">
        <v>587</v>
      </c>
      <c r="G60" s="29">
        <v>121</v>
      </c>
      <c r="H60" s="29">
        <v>167</v>
      </c>
      <c r="I60" s="29">
        <v>19</v>
      </c>
      <c r="J60" s="29">
        <v>13.183333333</v>
      </c>
      <c r="K60" s="29">
        <v>11.333333333000001</v>
      </c>
      <c r="L60" s="29">
        <v>10.616666667000001</v>
      </c>
      <c r="M60" s="29">
        <v>4.1500000000000004</v>
      </c>
      <c r="N60" s="29" t="s">
        <v>40</v>
      </c>
      <c r="O60" s="29" t="s">
        <v>26</v>
      </c>
      <c r="P60" s="29" t="s">
        <v>64</v>
      </c>
      <c r="Q60" s="29">
        <f t="shared" si="6"/>
        <v>1</v>
      </c>
      <c r="R60" s="29" t="str">
        <f t="shared" si="1"/>
        <v>9-2019</v>
      </c>
      <c r="S60" s="29" t="s">
        <v>47</v>
      </c>
      <c r="T60" s="29" t="str">
        <f t="shared" si="2"/>
        <v>Monday</v>
      </c>
      <c r="U60" s="29">
        <f t="shared" si="3"/>
        <v>1</v>
      </c>
      <c r="V60" s="31">
        <f>IFERROR(Data!$I60/Data!$D60,"")</f>
        <v>0.32599370889520157</v>
      </c>
      <c r="W60" s="31">
        <f>IFERROR(Data!$J60/Data!$D60,"")</f>
        <v>0.22619388046454789</v>
      </c>
      <c r="X60" s="31">
        <f>IFERROR(Data!$K60/Data!$D60,"")</f>
        <v>0.19445238775633089</v>
      </c>
      <c r="Y60" s="31">
        <f>IFERROR(Data!$L60/Data!$D60,"")</f>
        <v>0.18215613383575729</v>
      </c>
      <c r="Z60" s="31">
        <f>IFERROR(Data!$M60/Data!$D60,"")</f>
        <v>7.1203889048162466E-2</v>
      </c>
      <c r="AA60" s="32">
        <v>232.14</v>
      </c>
      <c r="AB60" s="32">
        <f t="shared" si="9"/>
        <v>13.655294117647058</v>
      </c>
      <c r="AC60" s="29">
        <f t="shared" si="4"/>
        <v>592.88235294117646</v>
      </c>
      <c r="AD60" s="29">
        <f t="shared" si="5"/>
        <v>13.647058823529411</v>
      </c>
      <c r="AE60" s="29">
        <f>YEAR(Data!$C60)</f>
        <v>2019</v>
      </c>
      <c r="AF60" s="29"/>
      <c r="AG60" s="29">
        <v>12</v>
      </c>
      <c r="AH60" s="33">
        <f>Data!$F60/Data!$D60</f>
        <v>10.071489848499123</v>
      </c>
      <c r="AI60" s="17" t="str">
        <f>RIGHT(Data!$O60,2)</f>
        <v>PM</v>
      </c>
      <c r="AJ60" s="29" t="str">
        <f>Data!$R60&amp;"-"&amp;WEEKNUM(Data!$C60,1)-WEEKNUM(DATE(YEAR(Data!$C60),MONTH(Data!$C60),1),1)+1</f>
        <v>9-2019-5</v>
      </c>
      <c r="AK60" s="29">
        <f>MONTH(Data!$C60)</f>
        <v>9</v>
      </c>
      <c r="AL60" s="29">
        <f>IFERROR(Data!$F60/Data!$E60,0)</f>
        <v>39.133333333333333</v>
      </c>
      <c r="AM60" s="29">
        <f>COUNTIF(Data!$N$2:$N$825,Data!$N60)</f>
        <v>38</v>
      </c>
      <c r="AN60" s="29" t="str">
        <f>VLOOKUP(Data!$N60,'Helpful Tables'!A:D,4,FALSE)</f>
        <v>Washington, DC</v>
      </c>
      <c r="AO60" s="29">
        <f>COUNTIF(AN:AN,Data!$AN60)/COUNTA(AN:AN)</f>
        <v>0.62424242424242427</v>
      </c>
      <c r="AP60" s="29">
        <v>38.903509999999997</v>
      </c>
      <c r="AQ60" s="29">
        <v>-77.051809000000006</v>
      </c>
      <c r="AR60" s="29">
        <f>COUNTIF(Data!$P$2:$P$825,Data!$P60)</f>
        <v>8</v>
      </c>
      <c r="AS60" s="29" cm="1">
        <f t="array" ref="AS60">_xlfn.IFS(Data!$E60&lt;12,((Data!$E60/Data!$D60)*60)*1,AND(Data!$E60&gt;=12,Data!$E60&lt;=15),((Data!$E60/Data!$D60)*60)*1.2,AND(Data!$E60&gt;=16,Data!$E60&lt;=19),((Data!$E60/Data!$D60)*60)*1.5,Data!$E60&gt;=20,((Data!$E60/Data!$D60)*60)*1.8)</f>
        <v>18.530168716148303</v>
      </c>
      <c r="AT60" s="29" cm="1">
        <f t="array" ref="AT60">_xlfn.IFS(Data!$F60&lt;600,((Data!$F60/Data!$D60)*60)*1,AND(Data!$F60&gt;=600,Data!$F60&lt;=625),((Data!$F60/Data!$D60)*60)*1.2,AND(Data!$F60&gt;=626,Data!$F60&lt;=650),((Data!$F60/Data!$D60)*60)*1.5,Data!$F60&gt;=651,((Data!$F60/Data!$D60)*60)*1.8)</f>
        <v>604.28939090994743</v>
      </c>
      <c r="AU60" s="29">
        <f>(Data!$I60*-1.2)+(Data!$J60*-1.1)+(Data!$K60*1.2)+(Data!$L60*1.3)+(Data!$M60*1.5)</f>
        <v>-3.674999999599998</v>
      </c>
      <c r="AV60" s="29">
        <f>(Data!$AS60*0.4)+(Data!$AT60*0.4)+(Data!$AU60*0.2)</f>
        <v>248.39282385051828</v>
      </c>
      <c r="AW60" s="29">
        <f>PERCENTRANK(AV:AV,Data!$AV60)*100</f>
        <v>16.5</v>
      </c>
      <c r="AX60" s="29" t="str">
        <f>_xlfn.CONCAT(TEXT(C60,"mmm"),"-",Data!$AE60)</f>
        <v>Sep-2019</v>
      </c>
    </row>
    <row r="61" spans="1:50" ht="17" thickTop="1" thickBot="1" x14ac:dyDescent="0.25">
      <c r="A61" s="22">
        <v>60</v>
      </c>
      <c r="B61" s="23">
        <f t="shared" si="0"/>
        <v>17</v>
      </c>
      <c r="C61" s="41">
        <v>43741</v>
      </c>
      <c r="D61" s="24">
        <f>SUM(Data!$I61:$M61)</f>
        <v>60.000000000000007</v>
      </c>
      <c r="E61" s="23">
        <v>17</v>
      </c>
      <c r="F61" s="23">
        <v>655</v>
      </c>
      <c r="G61" s="23">
        <v>127</v>
      </c>
      <c r="H61" s="23">
        <v>167</v>
      </c>
      <c r="I61" s="23">
        <v>15.55</v>
      </c>
      <c r="J61" s="23">
        <v>11.75</v>
      </c>
      <c r="K61" s="23">
        <v>15.566666667</v>
      </c>
      <c r="L61" s="23">
        <v>14.683333333</v>
      </c>
      <c r="M61" s="23">
        <v>2.4500000000000002</v>
      </c>
      <c r="N61" s="23" t="s">
        <v>24</v>
      </c>
      <c r="O61" s="23" t="s">
        <v>26</v>
      </c>
      <c r="P61" s="23" t="s">
        <v>65</v>
      </c>
      <c r="Q61" s="23">
        <f t="shared" si="6"/>
        <v>3</v>
      </c>
      <c r="R61" s="23" t="str">
        <f t="shared" si="1"/>
        <v>10-2019</v>
      </c>
      <c r="S61" s="23" t="s">
        <v>43</v>
      </c>
      <c r="T61" s="23" t="str">
        <f t="shared" si="2"/>
        <v>Thursday</v>
      </c>
      <c r="U61" s="23">
        <f t="shared" si="3"/>
        <v>1</v>
      </c>
      <c r="V61" s="25">
        <f>IFERROR(Data!$I61/Data!$D61,"")</f>
        <v>0.25916666666666666</v>
      </c>
      <c r="W61" s="25">
        <f>IFERROR(Data!$J61/Data!$D61,"")</f>
        <v>0.1958333333333333</v>
      </c>
      <c r="X61" s="25">
        <f>IFERROR(Data!$K61/Data!$D61,"")</f>
        <v>0.25944444444999998</v>
      </c>
      <c r="Y61" s="25">
        <f>IFERROR(Data!$L61/Data!$D61,"")</f>
        <v>0.24472222221666665</v>
      </c>
      <c r="Z61" s="25">
        <f>IFERROR(Data!$M61/Data!$D61,"")</f>
        <v>4.0833333333333333E-2</v>
      </c>
      <c r="AA61" s="26">
        <v>327.14</v>
      </c>
      <c r="AB61" s="26">
        <f t="shared" si="9"/>
        <v>19.243529411764705</v>
      </c>
      <c r="AC61" s="23">
        <f t="shared" si="4"/>
        <v>585.94117647058829</v>
      </c>
      <c r="AD61" s="23">
        <f t="shared" si="5"/>
        <v>13.823529411764707</v>
      </c>
      <c r="AE61" s="23">
        <f>YEAR(Data!$C61)</f>
        <v>2019</v>
      </c>
      <c r="AF61" s="23"/>
      <c r="AG61" s="23">
        <v>12</v>
      </c>
      <c r="AH61" s="27">
        <f>Data!$F61/Data!$D61</f>
        <v>10.916666666666666</v>
      </c>
      <c r="AI61" s="17" t="str">
        <f>RIGHT(Data!$O61,2)</f>
        <v>PM</v>
      </c>
      <c r="AJ61" s="23" t="str">
        <f>Data!$R61&amp;"-"&amp;WEEKNUM(Data!$C61,1)-WEEKNUM(DATE(YEAR(Data!$C61),MONTH(Data!$C61),1),1)+1</f>
        <v>10-2019-1</v>
      </c>
      <c r="AK61" s="23">
        <f>MONTH(Data!$C61)</f>
        <v>10</v>
      </c>
      <c r="AL61" s="23">
        <f>IFERROR(Data!$F61/Data!$E61,0)</f>
        <v>38.529411764705884</v>
      </c>
      <c r="AM61" s="23">
        <f>COUNTIF(Data!$N$2:$N$825,Data!$N61)</f>
        <v>35</v>
      </c>
      <c r="AN61" s="23" t="str">
        <f>VLOOKUP(Data!$N61,'Helpful Tables'!A:D,4,FALSE)</f>
        <v>Virginia</v>
      </c>
      <c r="AO61" s="23">
        <f>COUNTIF(AN:AN,Data!$AN61)/COUNTA(AN:AN)</f>
        <v>6.424242424242424E-2</v>
      </c>
      <c r="AP61" s="23">
        <v>38.881884999999997</v>
      </c>
      <c r="AQ61" s="23">
        <v>-77.229702000000003</v>
      </c>
      <c r="AR61" s="23">
        <f>COUNTIF(Data!$P$2:$P$825,Data!$P61)</f>
        <v>1</v>
      </c>
      <c r="AS61" s="23" cm="1">
        <f t="array" ref="AS61">_xlfn.IFS(Data!$E61&lt;12,((Data!$E61/Data!$D61)*60)*1,AND(Data!$E61&gt;=12,Data!$E61&lt;=15),((Data!$E61/Data!$D61)*60)*1.2,AND(Data!$E61&gt;=16,Data!$E61&lt;=19),((Data!$E61/Data!$D61)*60)*1.5,Data!$E61&gt;=20,((Data!$E61/Data!$D61)*60)*1.8)</f>
        <v>25.5</v>
      </c>
      <c r="AT61" s="23" cm="1">
        <f t="array" ref="AT61">_xlfn.IFS(Data!$F61&lt;600,((Data!$F61/Data!$D61)*60)*1,AND(Data!$F61&gt;=600,Data!$F61&lt;=625),((Data!$F61/Data!$D61)*60)*1.2,AND(Data!$F61&gt;=626,Data!$F61&lt;=650),((Data!$F61/Data!$D61)*60)*1.5,Data!$F61&gt;=651,((Data!$F61/Data!$D61)*60)*1.8)</f>
        <v>1179</v>
      </c>
      <c r="AU61" s="23">
        <f>(Data!$I61*-1.2)+(Data!$J61*-1.1)+(Data!$K61*1.2)+(Data!$L61*1.3)+(Data!$M61*1.5)</f>
        <v>9.8583333332999992</v>
      </c>
      <c r="AV61" s="23">
        <f>(Data!$AS61*0.4)+(Data!$AT61*0.4)+(Data!$AU61*0.2)</f>
        <v>483.77166666666</v>
      </c>
      <c r="AW61" s="23">
        <f>PERCENTRANK(AV:AV,Data!$AV61)*100</f>
        <v>70.099999999999994</v>
      </c>
      <c r="AX61" s="23" t="str">
        <f>_xlfn.CONCAT(TEXT(C61,"mmm"),"-",Data!$AE61)</f>
        <v>Oct-2019</v>
      </c>
    </row>
    <row r="62" spans="1:50" ht="17" thickTop="1" thickBot="1" x14ac:dyDescent="0.25">
      <c r="A62" s="28">
        <v>61</v>
      </c>
      <c r="B62" s="29">
        <f t="shared" si="0"/>
        <v>17</v>
      </c>
      <c r="C62" s="41">
        <v>43742</v>
      </c>
      <c r="D62" s="30">
        <f>SUM(Data!$I62:$M62)</f>
        <v>58.749999999999993</v>
      </c>
      <c r="E62" s="29">
        <v>18</v>
      </c>
      <c r="F62" s="29">
        <v>545</v>
      </c>
      <c r="G62" s="29">
        <v>116</v>
      </c>
      <c r="H62" s="29">
        <v>171</v>
      </c>
      <c r="I62" s="29">
        <v>28.066666667</v>
      </c>
      <c r="J62" s="29">
        <v>5.6166666669999996</v>
      </c>
      <c r="K62" s="29">
        <v>7.0333333329999999</v>
      </c>
      <c r="L62" s="29">
        <v>14.883333332999999</v>
      </c>
      <c r="M62" s="29">
        <v>3.15</v>
      </c>
      <c r="N62" s="29" t="s">
        <v>60</v>
      </c>
      <c r="O62" s="29" t="s">
        <v>39</v>
      </c>
      <c r="P62" s="29" t="s">
        <v>66</v>
      </c>
      <c r="Q62" s="29">
        <f t="shared" si="6"/>
        <v>1</v>
      </c>
      <c r="R62" s="29" t="str">
        <f t="shared" si="1"/>
        <v>10-2019</v>
      </c>
      <c r="S62" s="29" t="s">
        <v>47</v>
      </c>
      <c r="T62" s="29" t="str">
        <f t="shared" si="2"/>
        <v>Friday</v>
      </c>
      <c r="U62" s="29">
        <f t="shared" si="3"/>
        <v>1</v>
      </c>
      <c r="V62" s="31">
        <f>IFERROR(Data!$I62/Data!$D62,"")</f>
        <v>0.47773049645957455</v>
      </c>
      <c r="W62" s="31">
        <f>IFERROR(Data!$J62/Data!$D62,"")</f>
        <v>9.5602836885106388E-2</v>
      </c>
      <c r="X62" s="31">
        <f>IFERROR(Data!$K62/Data!$D62,"")</f>
        <v>0.11971631205106384</v>
      </c>
      <c r="Y62" s="31">
        <f>IFERROR(Data!$L62/Data!$D62,"")</f>
        <v>0.25333333332765962</v>
      </c>
      <c r="Z62" s="31">
        <f>IFERROR(Data!$M62/Data!$D62,"")</f>
        <v>5.3617021276595747E-2</v>
      </c>
      <c r="AA62" s="32">
        <v>327.14</v>
      </c>
      <c r="AB62" s="32">
        <f t="shared" si="9"/>
        <v>19.243529411764705</v>
      </c>
      <c r="AC62" s="29">
        <f t="shared" si="4"/>
        <v>585.94117647058829</v>
      </c>
      <c r="AD62" s="29">
        <f t="shared" si="5"/>
        <v>13.823529411764707</v>
      </c>
      <c r="AE62" s="29">
        <f>YEAR(Data!$C62)</f>
        <v>2019</v>
      </c>
      <c r="AF62" s="29"/>
      <c r="AG62" s="29">
        <v>12</v>
      </c>
      <c r="AH62" s="33">
        <f>Data!$F62/Data!$D62</f>
        <v>9.2765957446808525</v>
      </c>
      <c r="AI62" s="17" t="str">
        <f>RIGHT(Data!$O62,2)</f>
        <v>PM</v>
      </c>
      <c r="AJ62" s="29" t="str">
        <f>Data!$R62&amp;"-"&amp;WEEKNUM(Data!$C62,1)-WEEKNUM(DATE(YEAR(Data!$C62),MONTH(Data!$C62),1),1)+1</f>
        <v>10-2019-1</v>
      </c>
      <c r="AK62" s="29">
        <f>MONTH(Data!$C62)</f>
        <v>10</v>
      </c>
      <c r="AL62" s="29">
        <f>IFERROR(Data!$F62/Data!$E62,0)</f>
        <v>30.277777777777779</v>
      </c>
      <c r="AM62" s="29">
        <f>COUNTIF(Data!$N$2:$N$825,Data!$N62)</f>
        <v>10</v>
      </c>
      <c r="AN62" s="29" t="str">
        <f>VLOOKUP(Data!$N62,'Helpful Tables'!A:D,4,FALSE)</f>
        <v>Washington, DC</v>
      </c>
      <c r="AO62" s="29">
        <f>COUNTIF(AN:AN,Data!$AN62)/COUNTA(AN:AN)</f>
        <v>0.62424242424242427</v>
      </c>
      <c r="AP62" s="29">
        <v>38.879828000000003</v>
      </c>
      <c r="AQ62" s="29">
        <v>-77.005566000000002</v>
      </c>
      <c r="AR62" s="29">
        <f>COUNTIF(Data!$P$2:$P$825,Data!$P62)</f>
        <v>1</v>
      </c>
      <c r="AS62" s="29" cm="1">
        <f t="array" ref="AS62">_xlfn.IFS(Data!$E62&lt;12,((Data!$E62/Data!$D62)*60)*1,AND(Data!$E62&gt;=12,Data!$E62&lt;=15),((Data!$E62/Data!$D62)*60)*1.2,AND(Data!$E62&gt;=16,Data!$E62&lt;=19),((Data!$E62/Data!$D62)*60)*1.5,Data!$E62&gt;=20,((Data!$E62/Data!$D62)*60)*1.8)</f>
        <v>27.574468085106385</v>
      </c>
      <c r="AT62" s="29" cm="1">
        <f t="array" ref="AT62">_xlfn.IFS(Data!$F62&lt;600,((Data!$F62/Data!$D62)*60)*1,AND(Data!$F62&gt;=600,Data!$F62&lt;=625),((Data!$F62/Data!$D62)*60)*1.2,AND(Data!$F62&gt;=626,Data!$F62&lt;=650),((Data!$F62/Data!$D62)*60)*1.5,Data!$F62&gt;=651,((Data!$F62/Data!$D62)*60)*1.8)</f>
        <v>556.59574468085111</v>
      </c>
      <c r="AU62" s="29">
        <f>(Data!$I62*-1.2)+(Data!$J62*-1.1)+(Data!$K62*1.2)+(Data!$L62*1.3)+(Data!$M62*1.5)</f>
        <v>-7.3450000016000043</v>
      </c>
      <c r="AV62" s="29">
        <f>(Data!$AS62*0.4)+(Data!$AT62*0.4)+(Data!$AU62*0.2)</f>
        <v>232.199085106063</v>
      </c>
      <c r="AW62" s="29">
        <f>PERCENTRANK(AV:AV,Data!$AV62)*100</f>
        <v>8.1</v>
      </c>
      <c r="AX62" s="29" t="str">
        <f>_xlfn.CONCAT(TEXT(C62,"mmm"),"-",Data!$AE62)</f>
        <v>Oct-2019</v>
      </c>
    </row>
    <row r="63" spans="1:50" ht="17" thickTop="1" thickBot="1" x14ac:dyDescent="0.25">
      <c r="A63" s="22">
        <v>62</v>
      </c>
      <c r="B63" s="23">
        <f t="shared" si="0"/>
        <v>17</v>
      </c>
      <c r="C63" s="41">
        <v>43744</v>
      </c>
      <c r="D63" s="24">
        <f>SUM(Data!$I63:$M63)</f>
        <v>52.883333332999996</v>
      </c>
      <c r="E63" s="23">
        <v>15</v>
      </c>
      <c r="F63" s="23">
        <v>598</v>
      </c>
      <c r="G63" s="23">
        <v>129</v>
      </c>
      <c r="H63" s="23">
        <v>166</v>
      </c>
      <c r="I63" s="23">
        <v>12.65</v>
      </c>
      <c r="J63" s="23">
        <v>9.2166666670000001</v>
      </c>
      <c r="K63" s="23">
        <v>16.100000000000001</v>
      </c>
      <c r="L63" s="23">
        <v>13.383333332999999</v>
      </c>
      <c r="M63" s="23">
        <v>1.5333333330000001</v>
      </c>
      <c r="N63" s="23" t="s">
        <v>33</v>
      </c>
      <c r="O63" s="23" t="s">
        <v>45</v>
      </c>
      <c r="P63" s="23" t="s">
        <v>34</v>
      </c>
      <c r="Q63" s="23">
        <f t="shared" si="6"/>
        <v>2</v>
      </c>
      <c r="R63" s="23" t="str">
        <f t="shared" si="1"/>
        <v>10-2019</v>
      </c>
      <c r="S63" s="23" t="s">
        <v>43</v>
      </c>
      <c r="T63" s="23" t="str">
        <f t="shared" si="2"/>
        <v>Sunday</v>
      </c>
      <c r="U63" s="23">
        <f t="shared" si="3"/>
        <v>1</v>
      </c>
      <c r="V63" s="25">
        <f>IFERROR(Data!$I63/Data!$D63,"")</f>
        <v>0.23920579892996666</v>
      </c>
      <c r="W63" s="25">
        <f>IFERROR(Data!$J63/Data!$D63,"")</f>
        <v>0.17428301292892712</v>
      </c>
      <c r="X63" s="25">
        <f>IFERROR(Data!$K63/Data!$D63,"")</f>
        <v>0.30444374409268488</v>
      </c>
      <c r="Y63" s="25">
        <f>IFERROR(Data!$L63/Data!$D63,"")</f>
        <v>0.25307280176018326</v>
      </c>
      <c r="Z63" s="25">
        <f>IFERROR(Data!$M63/Data!$D63,"")</f>
        <v>2.8994642288238229E-2</v>
      </c>
      <c r="AA63" s="26">
        <v>327.14</v>
      </c>
      <c r="AB63" s="26">
        <f t="shared" si="9"/>
        <v>19.243529411764705</v>
      </c>
      <c r="AC63" s="23">
        <f t="shared" si="4"/>
        <v>585.94117647058829</v>
      </c>
      <c r="AD63" s="23">
        <f t="shared" si="5"/>
        <v>13.823529411764707</v>
      </c>
      <c r="AE63" s="23">
        <f>YEAR(Data!$C63)</f>
        <v>2019</v>
      </c>
      <c r="AF63" s="23"/>
      <c r="AG63" s="23">
        <v>12</v>
      </c>
      <c r="AH63" s="27">
        <f>Data!$F63/Data!$D63</f>
        <v>11.30791049487115</v>
      </c>
      <c r="AI63" s="17" t="str">
        <f>RIGHT(Data!$O63,2)</f>
        <v>AM</v>
      </c>
      <c r="AJ63" s="23" t="str">
        <f>Data!$R63&amp;"-"&amp;WEEKNUM(Data!$C63,1)-WEEKNUM(DATE(YEAR(Data!$C63),MONTH(Data!$C63),1),1)+1</f>
        <v>10-2019-2</v>
      </c>
      <c r="AK63" s="23">
        <f>MONTH(Data!$C63)</f>
        <v>10</v>
      </c>
      <c r="AL63" s="23">
        <f>IFERROR(Data!$F63/Data!$E63,0)</f>
        <v>39.866666666666667</v>
      </c>
      <c r="AM63" s="23">
        <f>COUNTIF(Data!$N$2:$N$825,Data!$N63)</f>
        <v>48</v>
      </c>
      <c r="AN63" s="23" t="str">
        <f>VLOOKUP(Data!$N63,'Helpful Tables'!A:D,4,FALSE)</f>
        <v>Washington, DC</v>
      </c>
      <c r="AO63" s="23">
        <f>COUNTIF(AN:AN,Data!$AN63)/COUNTA(AN:AN)</f>
        <v>0.62424242424242427</v>
      </c>
      <c r="AP63" s="23">
        <v>38.916486999999996</v>
      </c>
      <c r="AQ63" s="23">
        <v>-77.031514000000001</v>
      </c>
      <c r="AR63" s="23">
        <f>COUNTIF(Data!$P$2:$P$825,Data!$P63)</f>
        <v>30</v>
      </c>
      <c r="AS63" s="23" cm="1">
        <f t="array" ref="AS63">_xlfn.IFS(Data!$E63&lt;12,((Data!$E63/Data!$D63)*60)*1,AND(Data!$E63&gt;=12,Data!$E63&lt;=15),((Data!$E63/Data!$D63)*60)*1.2,AND(Data!$E63&gt;=16,Data!$E63&lt;=19),((Data!$E63/Data!$D63)*60)*1.5,Data!$E63&gt;=20,((Data!$E63/Data!$D63)*60)*1.8)</f>
        <v>20.422313268329169</v>
      </c>
      <c r="AT63" s="23" cm="1">
        <f t="array" ref="AT63">_xlfn.IFS(Data!$F63&lt;600,((Data!$F63/Data!$D63)*60)*1,AND(Data!$F63&gt;=600,Data!$F63&lt;=625),((Data!$F63/Data!$D63)*60)*1.2,AND(Data!$F63&gt;=626,Data!$F63&lt;=650),((Data!$F63/Data!$D63)*60)*1.5,Data!$F63&gt;=651,((Data!$F63/Data!$D63)*60)*1.8)</f>
        <v>678.47462969226899</v>
      </c>
      <c r="AU63" s="23">
        <f>(Data!$I63*-1.2)+(Data!$J63*-1.1)+(Data!$K63*1.2)+(Data!$L63*1.3)+(Data!$M63*1.5)</f>
        <v>13.699999998699999</v>
      </c>
      <c r="AV63" s="23">
        <f>(Data!$AS63*0.4)+(Data!$AT63*0.4)+(Data!$AU63*0.2)</f>
        <v>282.29877718397927</v>
      </c>
      <c r="AW63" s="23">
        <f>PERCENTRANK(AV:AV,Data!$AV63)*100</f>
        <v>23.3</v>
      </c>
      <c r="AX63" s="23" t="str">
        <f>_xlfn.CONCAT(TEXT(C63,"mmm"),"-",Data!$AE63)</f>
        <v>Oct-2019</v>
      </c>
    </row>
    <row r="64" spans="1:50" ht="17" thickTop="1" thickBot="1" x14ac:dyDescent="0.25">
      <c r="A64" s="28">
        <v>63</v>
      </c>
      <c r="B64" s="29">
        <f t="shared" si="0"/>
        <v>17</v>
      </c>
      <c r="C64" s="41">
        <v>43746</v>
      </c>
      <c r="D64" s="30">
        <f>SUM(Data!$I64:$M64)</f>
        <v>58.016666668000006</v>
      </c>
      <c r="E64" s="29">
        <v>11</v>
      </c>
      <c r="F64" s="29">
        <v>585</v>
      </c>
      <c r="G64" s="29">
        <v>121</v>
      </c>
      <c r="H64" s="29">
        <v>168</v>
      </c>
      <c r="I64" s="29">
        <v>23.266666666999999</v>
      </c>
      <c r="J64" s="29">
        <v>7.766666667</v>
      </c>
      <c r="K64" s="29">
        <v>16.266666666999999</v>
      </c>
      <c r="L64" s="29">
        <v>8.1999999999999993</v>
      </c>
      <c r="M64" s="29">
        <v>2.516666667</v>
      </c>
      <c r="N64" s="29" t="s">
        <v>24</v>
      </c>
      <c r="O64" s="29" t="s">
        <v>57</v>
      </c>
      <c r="P64" s="29" t="s">
        <v>67</v>
      </c>
      <c r="Q64" s="29">
        <f t="shared" si="6"/>
        <v>2</v>
      </c>
      <c r="R64" s="29" t="str">
        <f t="shared" si="1"/>
        <v>10-2019</v>
      </c>
      <c r="S64" s="29" t="s">
        <v>43</v>
      </c>
      <c r="T64" s="29" t="str">
        <f t="shared" si="2"/>
        <v>Tuesday</v>
      </c>
      <c r="U64" s="29">
        <f t="shared" si="3"/>
        <v>0</v>
      </c>
      <c r="V64" s="31">
        <f>IFERROR(Data!$I64/Data!$D64,"")</f>
        <v>0.40103418557538556</v>
      </c>
      <c r="W64" s="31">
        <f>IFERROR(Data!$J64/Data!$D64,"")</f>
        <v>0.13386957771022417</v>
      </c>
      <c r="X64" s="31">
        <f>IFERROR(Data!$K64/Data!$D64,"")</f>
        <v>0.28037920137821587</v>
      </c>
      <c r="Y64" s="31">
        <f>IFERROR(Data!$L64/Data!$D64,"")</f>
        <v>0.14133869577382729</v>
      </c>
      <c r="Z64" s="31">
        <f>IFERROR(Data!$M64/Data!$D64,"")</f>
        <v>4.3378339562346942E-2</v>
      </c>
      <c r="AA64" s="32">
        <v>327.14</v>
      </c>
      <c r="AB64" s="32">
        <f t="shared" si="9"/>
        <v>19.243529411764705</v>
      </c>
      <c r="AC64" s="29">
        <f t="shared" si="4"/>
        <v>585.94117647058829</v>
      </c>
      <c r="AD64" s="29">
        <f t="shared" si="5"/>
        <v>13.823529411764707</v>
      </c>
      <c r="AE64" s="29">
        <f>YEAR(Data!$C64)</f>
        <v>2019</v>
      </c>
      <c r="AF64" s="29"/>
      <c r="AG64" s="29">
        <v>12</v>
      </c>
      <c r="AH64" s="33">
        <f>Data!$F64/Data!$D64</f>
        <v>10.083309393620606</v>
      </c>
      <c r="AI64" s="17" t="str">
        <f>RIGHT(Data!$O64,2)</f>
        <v>PM</v>
      </c>
      <c r="AJ64" s="29" t="str">
        <f>Data!$R64&amp;"-"&amp;WEEKNUM(Data!$C64,1)-WEEKNUM(DATE(YEAR(Data!$C64),MONTH(Data!$C64),1),1)+1</f>
        <v>10-2019-2</v>
      </c>
      <c r="AK64" s="29">
        <f>MONTH(Data!$C64)</f>
        <v>10</v>
      </c>
      <c r="AL64" s="29">
        <f>IFERROR(Data!$F64/Data!$E64,0)</f>
        <v>53.18181818181818</v>
      </c>
      <c r="AM64" s="29">
        <f>COUNTIF(Data!$N$2:$N$825,Data!$N64)</f>
        <v>35</v>
      </c>
      <c r="AN64" s="29" t="str">
        <f>VLOOKUP(Data!$N64,'Helpful Tables'!A:D,4,FALSE)</f>
        <v>Virginia</v>
      </c>
      <c r="AO64" s="29">
        <f>COUNTIF(AN:AN,Data!$AN64)/COUNTA(AN:AN)</f>
        <v>6.424242424242424E-2</v>
      </c>
      <c r="AP64" s="29">
        <v>38.881884999999997</v>
      </c>
      <c r="AQ64" s="29">
        <v>-77.229702000000003</v>
      </c>
      <c r="AR64" s="29">
        <f>COUNTIF(Data!$P$2:$P$825,Data!$P64)</f>
        <v>2</v>
      </c>
      <c r="AS64" s="29" cm="1">
        <f t="array" ref="AS64">_xlfn.IFS(Data!$E64&lt;12,((Data!$E64/Data!$D64)*60)*1,AND(Data!$E64&gt;=12,Data!$E64&lt;=15),((Data!$E64/Data!$D64)*60)*1.2,AND(Data!$E64&gt;=16,Data!$E64&lt;=19),((Data!$E64/Data!$D64)*60)*1.5,Data!$E64&gt;=20,((Data!$E64/Data!$D64)*60)*1.8)</f>
        <v>11.37604136716171</v>
      </c>
      <c r="AT64" s="29" cm="1">
        <f t="array" ref="AT64">_xlfn.IFS(Data!$F64&lt;600,((Data!$F64/Data!$D64)*60)*1,AND(Data!$F64&gt;=600,Data!$F64&lt;=625),((Data!$F64/Data!$D64)*60)*1.2,AND(Data!$F64&gt;=626,Data!$F64&lt;=650),((Data!$F64/Data!$D64)*60)*1.5,Data!$F64&gt;=651,((Data!$F64/Data!$D64)*60)*1.8)</f>
        <v>604.99856361723641</v>
      </c>
      <c r="AU64" s="29">
        <f>(Data!$I64*-1.2)+(Data!$J64*-1.1)+(Data!$K64*1.2)+(Data!$L64*1.3)+(Data!$M64*1.5)</f>
        <v>-2.5083333332</v>
      </c>
      <c r="AV64" s="29">
        <f>(Data!$AS64*0.4)+(Data!$AT64*0.4)+(Data!$AU64*0.2)</f>
        <v>246.04817532711925</v>
      </c>
      <c r="AW64" s="29">
        <f>PERCENTRANK(AV:AV,Data!$AV64)*100</f>
        <v>15.7</v>
      </c>
      <c r="AX64" s="29" t="str">
        <f>_xlfn.CONCAT(TEXT(C64,"mmm"),"-",Data!$AE64)</f>
        <v>Oct-2019</v>
      </c>
    </row>
    <row r="65" spans="1:50" ht="17" thickTop="1" thickBot="1" x14ac:dyDescent="0.25">
      <c r="A65" s="22">
        <v>64</v>
      </c>
      <c r="B65" s="23">
        <f t="shared" si="0"/>
        <v>17</v>
      </c>
      <c r="C65" s="41">
        <v>43749</v>
      </c>
      <c r="D65" s="24">
        <f>SUM(Data!$I65:$M65)</f>
        <v>56.016666667000003</v>
      </c>
      <c r="E65" s="23">
        <v>19</v>
      </c>
      <c r="F65" s="23">
        <v>572</v>
      </c>
      <c r="G65" s="23">
        <v>122</v>
      </c>
      <c r="H65" s="23">
        <v>173</v>
      </c>
      <c r="I65" s="23">
        <v>25.983333333000001</v>
      </c>
      <c r="J65" s="23">
        <v>4.5</v>
      </c>
      <c r="K65" s="23">
        <v>6.4666666670000001</v>
      </c>
      <c r="L65" s="23">
        <v>9.9166666669999994</v>
      </c>
      <c r="M65" s="23">
        <v>9.15</v>
      </c>
      <c r="N65" s="23" t="s">
        <v>33</v>
      </c>
      <c r="O65" s="23" t="s">
        <v>39</v>
      </c>
      <c r="P65" s="23" t="s">
        <v>68</v>
      </c>
      <c r="Q65" s="23">
        <f t="shared" si="6"/>
        <v>3</v>
      </c>
      <c r="R65" s="23" t="str">
        <f t="shared" si="1"/>
        <v>10-2019</v>
      </c>
      <c r="S65" s="23" t="s">
        <v>48</v>
      </c>
      <c r="T65" s="23" t="str">
        <f t="shared" si="2"/>
        <v>Friday</v>
      </c>
      <c r="U65" s="23">
        <f t="shared" si="3"/>
        <v>1</v>
      </c>
      <c r="V65" s="25">
        <f>IFERROR(Data!$I65/Data!$D65,"")</f>
        <v>0.46385004462086371</v>
      </c>
      <c r="W65" s="25">
        <f>IFERROR(Data!$J65/Data!$D65,"")</f>
        <v>8.0333234156023003E-2</v>
      </c>
      <c r="X65" s="25">
        <f>IFERROR(Data!$K65/Data!$D65,"")</f>
        <v>0.11544183279312441</v>
      </c>
      <c r="Y65" s="25">
        <f>IFERROR(Data!$L65/Data!$D65,"")</f>
        <v>0.17703064564607537</v>
      </c>
      <c r="Z65" s="25">
        <f>IFERROR(Data!$M65/Data!$D65,"")</f>
        <v>0.16334424278391346</v>
      </c>
      <c r="AA65" s="26">
        <v>327.14</v>
      </c>
      <c r="AB65" s="26">
        <f t="shared" si="9"/>
        <v>19.243529411764705</v>
      </c>
      <c r="AC65" s="23">
        <f t="shared" si="4"/>
        <v>585.94117647058829</v>
      </c>
      <c r="AD65" s="23">
        <f t="shared" si="5"/>
        <v>13.823529411764707</v>
      </c>
      <c r="AE65" s="23">
        <f>YEAR(Data!$C65)</f>
        <v>2019</v>
      </c>
      <c r="AF65" s="23"/>
      <c r="AG65" s="23">
        <v>12</v>
      </c>
      <c r="AH65" s="27">
        <f>Data!$F65/Data!$D65</f>
        <v>10.211246652721147</v>
      </c>
      <c r="AI65" s="17" t="str">
        <f>RIGHT(Data!$O65,2)</f>
        <v>PM</v>
      </c>
      <c r="AJ65" s="23" t="str">
        <f>Data!$R65&amp;"-"&amp;WEEKNUM(Data!$C65,1)-WEEKNUM(DATE(YEAR(Data!$C65),MONTH(Data!$C65),1),1)+1</f>
        <v>10-2019-2</v>
      </c>
      <c r="AK65" s="23">
        <f>MONTH(Data!$C65)</f>
        <v>10</v>
      </c>
      <c r="AL65" s="23">
        <f>IFERROR(Data!$F65/Data!$E65,0)</f>
        <v>30.105263157894736</v>
      </c>
      <c r="AM65" s="23">
        <f>COUNTIF(Data!$N$2:$N$825,Data!$N65)</f>
        <v>48</v>
      </c>
      <c r="AN65" s="23" t="str">
        <f>VLOOKUP(Data!$N65,'Helpful Tables'!A:D,4,FALSE)</f>
        <v>Washington, DC</v>
      </c>
      <c r="AO65" s="23">
        <f>COUNTIF(AN:AN,Data!$AN65)/COUNTA(AN:AN)</f>
        <v>0.62424242424242427</v>
      </c>
      <c r="AP65" s="23">
        <v>38.916486999999996</v>
      </c>
      <c r="AQ65" s="23">
        <v>-77.031514000000001</v>
      </c>
      <c r="AR65" s="23">
        <f>COUNTIF(Data!$P$2:$P$825,Data!$P65)</f>
        <v>5</v>
      </c>
      <c r="AS65" s="23" cm="1">
        <f t="array" ref="AS65">_xlfn.IFS(Data!$E65&lt;12,((Data!$E65/Data!$D65)*60)*1,AND(Data!$E65&gt;=12,Data!$E65&lt;=15),((Data!$E65/Data!$D65)*60)*1.2,AND(Data!$E65&gt;=16,Data!$E65&lt;=19),((Data!$E65/Data!$D65)*60)*1.5,Data!$E65&gt;=20,((Data!$E65/Data!$D65)*60)*1.8)</f>
        <v>30.526628979288745</v>
      </c>
      <c r="AT65" s="23" cm="1">
        <f t="array" ref="AT65">_xlfn.IFS(Data!$F65&lt;600,((Data!$F65/Data!$D65)*60)*1,AND(Data!$F65&gt;=600,Data!$F65&lt;=625),((Data!$F65/Data!$D65)*60)*1.2,AND(Data!$F65&gt;=626,Data!$F65&lt;=650),((Data!$F65/Data!$D65)*60)*1.5,Data!$F65&gt;=651,((Data!$F65/Data!$D65)*60)*1.8)</f>
        <v>612.67479916326886</v>
      </c>
      <c r="AU65" s="23">
        <f>(Data!$I65*-1.2)+(Data!$J65*-1.1)+(Data!$K65*1.2)+(Data!$L65*1.3)+(Data!$M65*1.5)</f>
        <v>-1.753333332100004</v>
      </c>
      <c r="AV65" s="23">
        <f>(Data!$AS65*0.4)+(Data!$AT65*0.4)+(Data!$AU65*0.2)</f>
        <v>256.92990459060303</v>
      </c>
      <c r="AW65" s="23">
        <f>PERCENTRANK(AV:AV,Data!$AV65)*100</f>
        <v>20</v>
      </c>
      <c r="AX65" s="23" t="str">
        <f>_xlfn.CONCAT(TEXT(C65,"mmm"),"-",Data!$AE65)</f>
        <v>Oct-2019</v>
      </c>
    </row>
    <row r="66" spans="1:50" ht="17" thickTop="1" thickBot="1" x14ac:dyDescent="0.25">
      <c r="A66" s="28">
        <v>65</v>
      </c>
      <c r="B66" s="29">
        <f t="shared" ref="B66:B129" si="10">COUNTIF(R:R,R66)</f>
        <v>17</v>
      </c>
      <c r="C66" s="41">
        <v>43751</v>
      </c>
      <c r="D66" s="30">
        <f>SUM(Data!$I66:$M66)</f>
        <v>55.599999998999998</v>
      </c>
      <c r="E66" s="29">
        <v>16</v>
      </c>
      <c r="F66" s="29">
        <v>647</v>
      </c>
      <c r="G66" s="29">
        <v>132</v>
      </c>
      <c r="H66" s="29">
        <v>168</v>
      </c>
      <c r="I66" s="29">
        <v>8.8000000000000007</v>
      </c>
      <c r="J66" s="29">
        <v>11.883333332999999</v>
      </c>
      <c r="K66" s="29">
        <v>18.933333333</v>
      </c>
      <c r="L66" s="29">
        <v>14.883333332999999</v>
      </c>
      <c r="M66" s="29">
        <v>1.1000000000000001</v>
      </c>
      <c r="N66" s="29" t="s">
        <v>33</v>
      </c>
      <c r="O66" s="29" t="s">
        <v>38</v>
      </c>
      <c r="P66" s="29" t="s">
        <v>37</v>
      </c>
      <c r="Q66" s="29">
        <f t="shared" si="6"/>
        <v>2</v>
      </c>
      <c r="R66" s="29" t="str">
        <f t="shared" ref="R66:R129" si="11">MONTH(C66)&amp;"-"&amp;YEAR(C66)</f>
        <v>10-2019</v>
      </c>
      <c r="S66" s="29" t="s">
        <v>48</v>
      </c>
      <c r="T66" s="29" t="str">
        <f t="shared" ref="T66:T129" si="12">IF(WEEKDAY(C66)=1,"Sunday",IF(WEEKDAY(C66)=2,"Monday",IF(WEEKDAY(C66)=3,"Tuesday",IF(WEEKDAY(C66)=4,"Wednesday",IF(WEEKDAY(C66)=5,"Thursday",IF(WEEKDAY(C66)=6,"Friday","Saturday"))))))</f>
        <v>Sunday</v>
      </c>
      <c r="U66" s="29">
        <f t="shared" ref="U66:U129" si="13">IF(E66&gt;=12,1,0)</f>
        <v>1</v>
      </c>
      <c r="V66" s="31">
        <f>IFERROR(Data!$I66/Data!$D66,"")</f>
        <v>0.15827338129781068</v>
      </c>
      <c r="W66" s="31">
        <f>IFERROR(Data!$J66/Data!$D66,"")</f>
        <v>0.21372901678441958</v>
      </c>
      <c r="X66" s="31">
        <f>IFERROR(Data!$K66/Data!$D66,"")</f>
        <v>0.34052757793777927</v>
      </c>
      <c r="Y66" s="31">
        <f>IFERROR(Data!$L66/Data!$D66,"")</f>
        <v>0.26768585131776412</v>
      </c>
      <c r="Z66" s="31">
        <f>IFERROR(Data!$M66/Data!$D66,"")</f>
        <v>1.9784172662226335E-2</v>
      </c>
      <c r="AA66" s="32">
        <v>327.14</v>
      </c>
      <c r="AB66" s="32">
        <f t="shared" si="9"/>
        <v>19.243529411764705</v>
      </c>
      <c r="AC66" s="29">
        <f t="shared" ref="AC66:AC129" si="14">AVERAGEIF(R:R,R66,F:F)</f>
        <v>585.94117647058829</v>
      </c>
      <c r="AD66" s="29">
        <f t="shared" ref="AD66:AD129" si="15">AVERAGEIF(R:R,R66,E:E)</f>
        <v>13.823529411764707</v>
      </c>
      <c r="AE66" s="29">
        <f>YEAR(Data!$C66)</f>
        <v>2019</v>
      </c>
      <c r="AF66" s="29"/>
      <c r="AG66" s="29">
        <v>12</v>
      </c>
      <c r="AH66" s="33">
        <f>Data!$F66/Data!$D66</f>
        <v>11.636690647691308</v>
      </c>
      <c r="AI66" s="17" t="str">
        <f>RIGHT(Data!$O66,2)</f>
        <v>PM</v>
      </c>
      <c r="AJ66" s="29" t="str">
        <f>Data!$R66&amp;"-"&amp;WEEKNUM(Data!$C66,1)-WEEKNUM(DATE(YEAR(Data!$C66),MONTH(Data!$C66),1),1)+1</f>
        <v>10-2019-3</v>
      </c>
      <c r="AK66" s="29">
        <f>MONTH(Data!$C66)</f>
        <v>10</v>
      </c>
      <c r="AL66" s="29">
        <f>IFERROR(Data!$F66/Data!$E66,0)</f>
        <v>40.4375</v>
      </c>
      <c r="AM66" s="29">
        <f>COUNTIF(Data!$N$2:$N$825,Data!$N66)</f>
        <v>48</v>
      </c>
      <c r="AN66" s="29" t="str">
        <f>VLOOKUP(Data!$N66,'Helpful Tables'!A:D,4,FALSE)</f>
        <v>Washington, DC</v>
      </c>
      <c r="AO66" s="29">
        <f>COUNTIF(AN:AN,Data!$AN66)/COUNTA(AN:AN)</f>
        <v>0.62424242424242427</v>
      </c>
      <c r="AP66" s="29">
        <v>38.916486999999996</v>
      </c>
      <c r="AQ66" s="29">
        <v>-77.031514000000001</v>
      </c>
      <c r="AR66" s="29">
        <f>COUNTIF(Data!$P$2:$P$825,Data!$P66)</f>
        <v>12</v>
      </c>
      <c r="AS66" s="29" cm="1">
        <f t="array" ref="AS66">_xlfn.IFS(Data!$E66&lt;12,((Data!$E66/Data!$D66)*60)*1,AND(Data!$E66&gt;=12,Data!$E66&lt;=15),((Data!$E66/Data!$D66)*60)*1.2,AND(Data!$E66&gt;=16,Data!$E66&lt;=19),((Data!$E66/Data!$D66)*60)*1.5,Data!$E66&gt;=20,((Data!$E66/Data!$D66)*60)*1.8)</f>
        <v>25.899280576005388</v>
      </c>
      <c r="AT66" s="29" cm="1">
        <f t="array" ref="AT66">_xlfn.IFS(Data!$F66&lt;600,((Data!$F66/Data!$D66)*60)*1,AND(Data!$F66&gt;=600,Data!$F66&lt;=625),((Data!$F66/Data!$D66)*60)*1.2,AND(Data!$F66&gt;=626,Data!$F66&lt;=650),((Data!$F66/Data!$D66)*60)*1.5,Data!$F66&gt;=651,((Data!$F66/Data!$D66)*60)*1.8)</f>
        <v>1047.3021582922179</v>
      </c>
      <c r="AU66" s="29">
        <f>(Data!$I66*-1.2)+(Data!$J66*-1.1)+(Data!$K66*1.2)+(Data!$L66*1.3)+(Data!$M66*1.5)</f>
        <v>20.086666666199999</v>
      </c>
      <c r="AV66" s="29">
        <f>(Data!$AS66*0.4)+(Data!$AT66*0.4)+(Data!$AU66*0.2)</f>
        <v>433.29790888052935</v>
      </c>
      <c r="AW66" s="29">
        <f>PERCENTRANK(AV:AV,Data!$AV66)*100</f>
        <v>65</v>
      </c>
      <c r="AX66" s="29" t="str">
        <f>_xlfn.CONCAT(TEXT(C66,"mmm"),"-",Data!$AE66)</f>
        <v>Oct-2019</v>
      </c>
    </row>
    <row r="67" spans="1:50" ht="17" thickTop="1" thickBot="1" x14ac:dyDescent="0.25">
      <c r="A67" s="22">
        <v>66</v>
      </c>
      <c r="B67" s="23">
        <f t="shared" si="10"/>
        <v>17</v>
      </c>
      <c r="C67" s="41">
        <v>43752</v>
      </c>
      <c r="D67" s="24">
        <f>SUM(Data!$I67:$M67)</f>
        <v>55.466666666999998</v>
      </c>
      <c r="E67" s="23">
        <v>12</v>
      </c>
      <c r="F67" s="23">
        <v>577</v>
      </c>
      <c r="G67" s="23">
        <v>124</v>
      </c>
      <c r="H67" s="23">
        <v>170</v>
      </c>
      <c r="I67" s="23">
        <v>17.95</v>
      </c>
      <c r="J67" s="23">
        <v>9.8000000000000007</v>
      </c>
      <c r="K67" s="23">
        <v>15.666666666999999</v>
      </c>
      <c r="L67" s="23">
        <v>9.4</v>
      </c>
      <c r="M67" s="23">
        <v>2.65</v>
      </c>
      <c r="N67" s="23" t="s">
        <v>40</v>
      </c>
      <c r="O67" s="23" t="s">
        <v>69</v>
      </c>
      <c r="P67" s="23" t="s">
        <v>41</v>
      </c>
      <c r="Q67" s="23">
        <f t="shared" ref="Q67:Q130" si="16">C67-C66</f>
        <v>1</v>
      </c>
      <c r="R67" s="23" t="str">
        <f t="shared" si="11"/>
        <v>10-2019</v>
      </c>
      <c r="S67" s="23" t="s">
        <v>47</v>
      </c>
      <c r="T67" s="23" t="str">
        <f t="shared" si="12"/>
        <v>Monday</v>
      </c>
      <c r="U67" s="23">
        <f t="shared" si="13"/>
        <v>1</v>
      </c>
      <c r="V67" s="25">
        <f>IFERROR(Data!$I67/Data!$D67,"")</f>
        <v>0.32361778845959366</v>
      </c>
      <c r="W67" s="25">
        <f>IFERROR(Data!$J67/Data!$D67,"")</f>
        <v>0.17668269230663053</v>
      </c>
      <c r="X67" s="25">
        <f>IFERROR(Data!$K67/Data!$D67,"")</f>
        <v>0.28245192308123529</v>
      </c>
      <c r="Y67" s="25">
        <f>IFERROR(Data!$L67/Data!$D67,"")</f>
        <v>0.16947115384513539</v>
      </c>
      <c r="Z67" s="25">
        <f>IFERROR(Data!$M67/Data!$D67,"")</f>
        <v>4.7776442307405187E-2</v>
      </c>
      <c r="AA67" s="26">
        <v>327.14</v>
      </c>
      <c r="AB67" s="26">
        <f t="shared" si="9"/>
        <v>19.243529411764705</v>
      </c>
      <c r="AC67" s="23">
        <f t="shared" si="14"/>
        <v>585.94117647058829</v>
      </c>
      <c r="AD67" s="23">
        <f t="shared" si="15"/>
        <v>13.823529411764707</v>
      </c>
      <c r="AE67" s="23">
        <f>YEAR(Data!$C67)</f>
        <v>2019</v>
      </c>
      <c r="AF67" s="23"/>
      <c r="AG67" s="23">
        <v>12</v>
      </c>
      <c r="AH67" s="27">
        <f>Data!$F67/Data!$D67</f>
        <v>10.402644230706715</v>
      </c>
      <c r="AI67" s="17" t="str">
        <f>RIGHT(Data!$O67,2)</f>
        <v>AM</v>
      </c>
      <c r="AJ67" s="23" t="str">
        <f>Data!$R67&amp;"-"&amp;WEEKNUM(Data!$C67,1)-WEEKNUM(DATE(YEAR(Data!$C67),MONTH(Data!$C67),1),1)+1</f>
        <v>10-2019-3</v>
      </c>
      <c r="AK67" s="23">
        <f>MONTH(Data!$C67)</f>
        <v>10</v>
      </c>
      <c r="AL67" s="23">
        <f>IFERROR(Data!$F67/Data!$E67,0)</f>
        <v>48.083333333333336</v>
      </c>
      <c r="AM67" s="23">
        <f>COUNTIF(Data!$N$2:$N$825,Data!$N67)</f>
        <v>38</v>
      </c>
      <c r="AN67" s="23" t="str">
        <f>VLOOKUP(Data!$N67,'Helpful Tables'!A:D,4,FALSE)</f>
        <v>Washington, DC</v>
      </c>
      <c r="AO67" s="23">
        <f>COUNTIF(AN:AN,Data!$AN67)/COUNTA(AN:AN)</f>
        <v>0.62424242424242427</v>
      </c>
      <c r="AP67" s="23">
        <v>38.903509999999997</v>
      </c>
      <c r="AQ67" s="23">
        <v>-77.051809000000006</v>
      </c>
      <c r="AR67" s="23">
        <f>COUNTIF(Data!$P$2:$P$825,Data!$P67)</f>
        <v>20</v>
      </c>
      <c r="AS67" s="23" cm="1">
        <f t="array" ref="AS67">_xlfn.IFS(Data!$E67&lt;12,((Data!$E67/Data!$D67)*60)*1,AND(Data!$E67&gt;=12,Data!$E67&lt;=15),((Data!$E67/Data!$D67)*60)*1.2,AND(Data!$E67&gt;=16,Data!$E67&lt;=19),((Data!$E67/Data!$D67)*60)*1.5,Data!$E67&gt;=20,((Data!$E67/Data!$D67)*60)*1.8)</f>
        <v>15.576923076829464</v>
      </c>
      <c r="AT67" s="23" cm="1">
        <f t="array" ref="AT67">_xlfn.IFS(Data!$F67&lt;600,((Data!$F67/Data!$D67)*60)*1,AND(Data!$F67&gt;=600,Data!$F67&lt;=625),((Data!$F67/Data!$D67)*60)*1.2,AND(Data!$F67&gt;=626,Data!$F67&lt;=650),((Data!$F67/Data!$D67)*60)*1.5,Data!$F67&gt;=651,((Data!$F67/Data!$D67)*60)*1.8)</f>
        <v>624.15865384240283</v>
      </c>
      <c r="AU67" s="23">
        <f>(Data!$I67*-1.2)+(Data!$J67*-1.1)+(Data!$K67*1.2)+(Data!$L67*1.3)+(Data!$M67*1.5)</f>
        <v>2.6750000003999972</v>
      </c>
      <c r="AV67" s="23">
        <f>(Data!$AS67*0.4)+(Data!$AT67*0.4)+(Data!$AU67*0.2)</f>
        <v>256.42923076777294</v>
      </c>
      <c r="AW67" s="23">
        <f>PERCENTRANK(AV:AV,Data!$AV67)*100</f>
        <v>19.8</v>
      </c>
      <c r="AX67" s="23" t="str">
        <f>_xlfn.CONCAT(TEXT(C67,"mmm"),"-",Data!$AE67)</f>
        <v>Oct-2019</v>
      </c>
    </row>
    <row r="68" spans="1:50" ht="17" thickTop="1" thickBot="1" x14ac:dyDescent="0.25">
      <c r="A68" s="28">
        <v>67</v>
      </c>
      <c r="B68" s="29">
        <f t="shared" si="10"/>
        <v>17</v>
      </c>
      <c r="C68" s="41">
        <v>43754</v>
      </c>
      <c r="D68" s="30">
        <f>SUM(Data!$I68:$M68)</f>
        <v>52.933333333999997</v>
      </c>
      <c r="E68" s="29">
        <v>10</v>
      </c>
      <c r="F68" s="29">
        <v>554</v>
      </c>
      <c r="G68" s="29">
        <v>124</v>
      </c>
      <c r="H68" s="29">
        <v>168</v>
      </c>
      <c r="I68" s="29">
        <v>13.7</v>
      </c>
      <c r="J68" s="29">
        <v>13.516666667000001</v>
      </c>
      <c r="K68" s="29">
        <v>15.016666667000001</v>
      </c>
      <c r="L68" s="29">
        <v>8.3666666670000005</v>
      </c>
      <c r="M68" s="29">
        <v>2.3333333330000001</v>
      </c>
      <c r="N68" s="29" t="s">
        <v>40</v>
      </c>
      <c r="O68" s="29" t="s">
        <v>26</v>
      </c>
      <c r="P68" s="29" t="s">
        <v>41</v>
      </c>
      <c r="Q68" s="29">
        <f t="shared" si="16"/>
        <v>2</v>
      </c>
      <c r="R68" s="29" t="str">
        <f t="shared" si="11"/>
        <v>10-2019</v>
      </c>
      <c r="S68" s="29" t="s">
        <v>47</v>
      </c>
      <c r="T68" s="29" t="str">
        <f t="shared" si="12"/>
        <v>Wednesday</v>
      </c>
      <c r="U68" s="29">
        <f t="shared" si="13"/>
        <v>0</v>
      </c>
      <c r="V68" s="31">
        <f>IFERROR(Data!$I68/Data!$D68,"")</f>
        <v>0.25881612090354134</v>
      </c>
      <c r="W68" s="31">
        <f>IFERROR(Data!$J68/Data!$D68,"")</f>
        <v>0.25535264483935327</v>
      </c>
      <c r="X68" s="31">
        <f>IFERROR(Data!$K68/Data!$D68,"")</f>
        <v>0.28369017632514248</v>
      </c>
      <c r="Y68" s="31">
        <f>IFERROR(Data!$L68/Data!$D68,"")</f>
        <v>0.15806045340481034</v>
      </c>
      <c r="Z68" s="31">
        <f>IFERROR(Data!$M68/Data!$D68,"")</f>
        <v>4.4080604527152643E-2</v>
      </c>
      <c r="AA68" s="32">
        <v>327.14</v>
      </c>
      <c r="AB68" s="32">
        <f t="shared" si="9"/>
        <v>19.243529411764705</v>
      </c>
      <c r="AC68" s="29">
        <f t="shared" si="14"/>
        <v>585.94117647058829</v>
      </c>
      <c r="AD68" s="29">
        <f t="shared" si="15"/>
        <v>13.823529411764707</v>
      </c>
      <c r="AE68" s="29">
        <f>YEAR(Data!$C68)</f>
        <v>2019</v>
      </c>
      <c r="AF68" s="29"/>
      <c r="AG68" s="29">
        <v>12</v>
      </c>
      <c r="AH68" s="33">
        <f>Data!$F68/Data!$D68</f>
        <v>10.465994962084812</v>
      </c>
      <c r="AI68" s="17" t="str">
        <f>RIGHT(Data!$O68,2)</f>
        <v>PM</v>
      </c>
      <c r="AJ68" s="29" t="str">
        <f>Data!$R68&amp;"-"&amp;WEEKNUM(Data!$C68,1)-WEEKNUM(DATE(YEAR(Data!$C68),MONTH(Data!$C68),1),1)+1</f>
        <v>10-2019-3</v>
      </c>
      <c r="AK68" s="29">
        <f>MONTH(Data!$C68)</f>
        <v>10</v>
      </c>
      <c r="AL68" s="29">
        <f>IFERROR(Data!$F68/Data!$E68,0)</f>
        <v>55.4</v>
      </c>
      <c r="AM68" s="29">
        <f>COUNTIF(Data!$N$2:$N$825,Data!$N68)</f>
        <v>38</v>
      </c>
      <c r="AN68" s="29" t="str">
        <f>VLOOKUP(Data!$N68,'Helpful Tables'!A:D,4,FALSE)</f>
        <v>Washington, DC</v>
      </c>
      <c r="AO68" s="29">
        <f>COUNTIF(AN:AN,Data!$AN68)/COUNTA(AN:AN)</f>
        <v>0.62424242424242427</v>
      </c>
      <c r="AP68" s="29">
        <v>38.903509999999997</v>
      </c>
      <c r="AQ68" s="29">
        <v>-77.051809000000006</v>
      </c>
      <c r="AR68" s="29">
        <f>COUNTIF(Data!$P$2:$P$825,Data!$P68)</f>
        <v>20</v>
      </c>
      <c r="AS68" s="29" cm="1">
        <f t="array" ref="AS68">_xlfn.IFS(Data!$E68&lt;12,((Data!$E68/Data!$D68)*60)*1,AND(Data!$E68&gt;=12,Data!$E68&lt;=15),((Data!$E68/Data!$D68)*60)*1.2,AND(Data!$E68&gt;=16,Data!$E68&lt;=19),((Data!$E68/Data!$D68)*60)*1.5,Data!$E68&gt;=20,((Data!$E68/Data!$D68)*60)*1.8)</f>
        <v>11.335012594315682</v>
      </c>
      <c r="AT68" s="29" cm="1">
        <f t="array" ref="AT68">_xlfn.IFS(Data!$F68&lt;600,((Data!$F68/Data!$D68)*60)*1,AND(Data!$F68&gt;=600,Data!$F68&lt;=625),((Data!$F68/Data!$D68)*60)*1.2,AND(Data!$F68&gt;=626,Data!$F68&lt;=650),((Data!$F68/Data!$D68)*60)*1.5,Data!$F68&gt;=651,((Data!$F68/Data!$D68)*60)*1.8)</f>
        <v>627.95969772508874</v>
      </c>
      <c r="AU68" s="29">
        <f>(Data!$I68*-1.2)+(Data!$J68*-1.1)+(Data!$K68*1.2)+(Data!$L68*1.3)+(Data!$M68*1.5)</f>
        <v>1.0883333333000014</v>
      </c>
      <c r="AV68" s="29">
        <f>(Data!$AS68*0.4)+(Data!$AT68*0.4)+(Data!$AU68*0.2)</f>
        <v>255.93555079442177</v>
      </c>
      <c r="AW68" s="29">
        <f>PERCENTRANK(AV:AV,Data!$AV68)*100</f>
        <v>19.400000000000002</v>
      </c>
      <c r="AX68" s="29" t="str">
        <f>_xlfn.CONCAT(TEXT(C68,"mmm"),"-",Data!$AE68)</f>
        <v>Oct-2019</v>
      </c>
    </row>
    <row r="69" spans="1:50" ht="17" thickTop="1" thickBot="1" x14ac:dyDescent="0.25">
      <c r="A69" s="22">
        <v>68</v>
      </c>
      <c r="B69" s="23">
        <f t="shared" si="10"/>
        <v>17</v>
      </c>
      <c r="C69" s="41">
        <v>43756</v>
      </c>
      <c r="D69" s="24">
        <f>SUM(Data!$I69:$M69)</f>
        <v>56.916666667000001</v>
      </c>
      <c r="E69" s="23">
        <v>17</v>
      </c>
      <c r="F69" s="23">
        <v>618</v>
      </c>
      <c r="G69" s="23">
        <v>127</v>
      </c>
      <c r="H69" s="23">
        <v>171</v>
      </c>
      <c r="I69" s="23">
        <v>13.633333332999999</v>
      </c>
      <c r="J69" s="23">
        <v>14.466666667</v>
      </c>
      <c r="K69" s="23">
        <v>11.933333333</v>
      </c>
      <c r="L69" s="23">
        <v>8.9666666670000001</v>
      </c>
      <c r="M69" s="23">
        <v>7.9166666670000003</v>
      </c>
      <c r="N69" s="23" t="s">
        <v>60</v>
      </c>
      <c r="O69" s="23" t="s">
        <v>39</v>
      </c>
      <c r="P69" s="23" t="s">
        <v>61</v>
      </c>
      <c r="Q69" s="23">
        <f t="shared" si="16"/>
        <v>2</v>
      </c>
      <c r="R69" s="23" t="str">
        <f t="shared" si="11"/>
        <v>10-2019</v>
      </c>
      <c r="S69" s="23" t="s">
        <v>47</v>
      </c>
      <c r="T69" s="23" t="str">
        <f t="shared" si="12"/>
        <v>Friday</v>
      </c>
      <c r="U69" s="23">
        <f t="shared" si="13"/>
        <v>1</v>
      </c>
      <c r="V69" s="25">
        <f>IFERROR(Data!$I69/Data!$D69,"")</f>
        <v>0.23953147876287242</v>
      </c>
      <c r="W69" s="25">
        <f>IFERROR(Data!$J69/Data!$D69,"")</f>
        <v>0.25417276720788184</v>
      </c>
      <c r="X69" s="25">
        <f>IFERROR(Data!$K69/Data!$D69,"")</f>
        <v>0.20966325035894781</v>
      </c>
      <c r="Y69" s="25">
        <f>IFERROR(Data!$L69/Data!$D69,"")</f>
        <v>0.15754026354812567</v>
      </c>
      <c r="Z69" s="25">
        <f>IFERROR(Data!$M69/Data!$D69,"")</f>
        <v>0.13909224012217222</v>
      </c>
      <c r="AA69" s="26">
        <v>327.14</v>
      </c>
      <c r="AB69" s="26">
        <f t="shared" si="9"/>
        <v>19.243529411764705</v>
      </c>
      <c r="AC69" s="23">
        <f t="shared" si="14"/>
        <v>585.94117647058829</v>
      </c>
      <c r="AD69" s="23">
        <f t="shared" si="15"/>
        <v>13.823529411764707</v>
      </c>
      <c r="AE69" s="23">
        <f>YEAR(Data!$C69)</f>
        <v>2019</v>
      </c>
      <c r="AF69" s="23"/>
      <c r="AG69" s="23">
        <v>12</v>
      </c>
      <c r="AH69" s="27">
        <f>Data!$F69/Data!$D69</f>
        <v>10.857979502132602</v>
      </c>
      <c r="AI69" s="17" t="str">
        <f>RIGHT(Data!$O69,2)</f>
        <v>PM</v>
      </c>
      <c r="AJ69" s="23" t="str">
        <f>Data!$R69&amp;"-"&amp;WEEKNUM(Data!$C69,1)-WEEKNUM(DATE(YEAR(Data!$C69),MONTH(Data!$C69),1),1)+1</f>
        <v>10-2019-3</v>
      </c>
      <c r="AK69" s="23">
        <f>MONTH(Data!$C69)</f>
        <v>10</v>
      </c>
      <c r="AL69" s="23">
        <f>IFERROR(Data!$F69/Data!$E69,0)</f>
        <v>36.352941176470587</v>
      </c>
      <c r="AM69" s="23">
        <f>COUNTIF(Data!$N$2:$N$825,Data!$N69)</f>
        <v>10</v>
      </c>
      <c r="AN69" s="23" t="str">
        <f>VLOOKUP(Data!$N69,'Helpful Tables'!A:D,4,FALSE)</f>
        <v>Washington, DC</v>
      </c>
      <c r="AO69" s="23">
        <f>COUNTIF(AN:AN,Data!$AN69)/COUNTA(AN:AN)</f>
        <v>0.62424242424242427</v>
      </c>
      <c r="AP69" s="23">
        <v>38.879828000000003</v>
      </c>
      <c r="AQ69" s="23">
        <v>-77.005566000000002</v>
      </c>
      <c r="AR69" s="23">
        <f>COUNTIF(Data!$P$2:$P$825,Data!$P69)</f>
        <v>9</v>
      </c>
      <c r="AS69" s="23" cm="1">
        <f t="array" ref="AS69">_xlfn.IFS(Data!$E69&lt;12,((Data!$E69/Data!$D69)*60)*1,AND(Data!$E69&gt;=12,Data!$E69&lt;=15),((Data!$E69/Data!$D69)*60)*1.2,AND(Data!$E69&gt;=16,Data!$E69&lt;=19),((Data!$E69/Data!$D69)*60)*1.5,Data!$E69&gt;=20,((Data!$E69/Data!$D69)*60)*1.8)</f>
        <v>26.881405563532169</v>
      </c>
      <c r="AT69" s="23" cm="1">
        <f t="array" ref="AT69">_xlfn.IFS(Data!$F69&lt;600,((Data!$F69/Data!$D69)*60)*1,AND(Data!$F69&gt;=600,Data!$F69&lt;=625),((Data!$F69/Data!$D69)*60)*1.2,AND(Data!$F69&gt;=626,Data!$F69&lt;=650),((Data!$F69/Data!$D69)*60)*1.5,Data!$F69&gt;=651,((Data!$F69/Data!$D69)*60)*1.8)</f>
        <v>781.77452415354742</v>
      </c>
      <c r="AU69" s="23">
        <f>(Data!$I69*-1.2)+(Data!$J69*-1.1)+(Data!$K69*1.2)+(Data!$L69*1.3)+(Data!$M69*1.5)</f>
        <v>5.5783333338999999</v>
      </c>
      <c r="AV69" s="23">
        <f>(Data!$AS69*0.4)+(Data!$AT69*0.4)+(Data!$AU69*0.2)</f>
        <v>324.57803855361186</v>
      </c>
      <c r="AW69" s="23">
        <f>PERCENTRANK(AV:AV,Data!$AV69)*100</f>
        <v>39.300000000000004</v>
      </c>
      <c r="AX69" s="23" t="str">
        <f>_xlfn.CONCAT(TEXT(C69,"mmm"),"-",Data!$AE69)</f>
        <v>Oct-2019</v>
      </c>
    </row>
    <row r="70" spans="1:50" ht="17" thickTop="1" thickBot="1" x14ac:dyDescent="0.25">
      <c r="A70" s="28">
        <v>69</v>
      </c>
      <c r="B70" s="29">
        <f t="shared" si="10"/>
        <v>17</v>
      </c>
      <c r="C70" s="41">
        <v>43758</v>
      </c>
      <c r="D70" s="30">
        <f>SUM(Data!$I70:$M70)</f>
        <v>54.783333333000002</v>
      </c>
      <c r="E70" s="29">
        <v>16</v>
      </c>
      <c r="F70" s="29">
        <v>593</v>
      </c>
      <c r="G70" s="29">
        <v>126</v>
      </c>
      <c r="H70" s="29">
        <v>173</v>
      </c>
      <c r="I70" s="29">
        <v>14.316666667</v>
      </c>
      <c r="J70" s="29">
        <v>11.766666667000001</v>
      </c>
      <c r="K70" s="29">
        <v>13.233333332999999</v>
      </c>
      <c r="L70" s="29">
        <v>12.533333333</v>
      </c>
      <c r="M70" s="29">
        <v>2.9333333330000002</v>
      </c>
      <c r="N70" s="29" t="s">
        <v>33</v>
      </c>
      <c r="O70" s="29" t="s">
        <v>70</v>
      </c>
      <c r="P70" s="29" t="s">
        <v>37</v>
      </c>
      <c r="Q70" s="29">
        <f t="shared" si="16"/>
        <v>2</v>
      </c>
      <c r="R70" s="29" t="str">
        <f t="shared" si="11"/>
        <v>10-2019</v>
      </c>
      <c r="S70" s="29" t="s">
        <v>48</v>
      </c>
      <c r="T70" s="29" t="str">
        <f t="shared" si="12"/>
        <v>Sunday</v>
      </c>
      <c r="U70" s="29">
        <f t="shared" si="13"/>
        <v>1</v>
      </c>
      <c r="V70" s="31">
        <f>IFERROR(Data!$I70/Data!$D70,"")</f>
        <v>0.26133252206426122</v>
      </c>
      <c r="W70" s="31">
        <f>IFERROR(Data!$J70/Data!$D70,"")</f>
        <v>0.21478551871746143</v>
      </c>
      <c r="X70" s="31">
        <f>IFERROR(Data!$K70/Data!$D70,"")</f>
        <v>0.24155765134920326</v>
      </c>
      <c r="Y70" s="31">
        <f>IFERROR(Data!$L70/Data!$D70,"")</f>
        <v>0.22878004258733664</v>
      </c>
      <c r="Z70" s="31">
        <f>IFERROR(Data!$M70/Data!$D70,"")</f>
        <v>5.3544265281737419E-2</v>
      </c>
      <c r="AA70" s="32">
        <v>327.14</v>
      </c>
      <c r="AB70" s="32">
        <f t="shared" si="9"/>
        <v>19.243529411764705</v>
      </c>
      <c r="AC70" s="29">
        <f t="shared" si="14"/>
        <v>585.94117647058829</v>
      </c>
      <c r="AD70" s="29">
        <f t="shared" si="15"/>
        <v>13.823529411764707</v>
      </c>
      <c r="AE70" s="29">
        <f>YEAR(Data!$C70)</f>
        <v>2019</v>
      </c>
      <c r="AF70" s="29"/>
      <c r="AG70" s="29">
        <v>12</v>
      </c>
      <c r="AH70" s="33">
        <f>Data!$F70/Data!$D70</f>
        <v>10.824459993981286</v>
      </c>
      <c r="AI70" s="17" t="str">
        <f>RIGHT(Data!$O70,2)</f>
        <v>PM</v>
      </c>
      <c r="AJ70" s="29" t="str">
        <f>Data!$R70&amp;"-"&amp;WEEKNUM(Data!$C70,1)-WEEKNUM(DATE(YEAR(Data!$C70),MONTH(Data!$C70),1),1)+1</f>
        <v>10-2019-4</v>
      </c>
      <c r="AK70" s="29">
        <f>MONTH(Data!$C70)</f>
        <v>10</v>
      </c>
      <c r="AL70" s="29">
        <f>IFERROR(Data!$F70/Data!$E70,0)</f>
        <v>37.0625</v>
      </c>
      <c r="AM70" s="29">
        <f>COUNTIF(Data!$N$2:$N$825,Data!$N70)</f>
        <v>48</v>
      </c>
      <c r="AN70" s="29" t="str">
        <f>VLOOKUP(Data!$N70,'Helpful Tables'!A:D,4,FALSE)</f>
        <v>Washington, DC</v>
      </c>
      <c r="AO70" s="29">
        <f>COUNTIF(AN:AN,Data!$AN70)/COUNTA(AN:AN)</f>
        <v>0.62424242424242427</v>
      </c>
      <c r="AP70" s="29">
        <v>38.916486999999996</v>
      </c>
      <c r="AQ70" s="29">
        <v>-77.031514000000001</v>
      </c>
      <c r="AR70" s="29">
        <f>COUNTIF(Data!$P$2:$P$825,Data!$P70)</f>
        <v>12</v>
      </c>
      <c r="AS70" s="29" cm="1">
        <f t="array" ref="AS70">_xlfn.IFS(Data!$E70&lt;12,((Data!$E70/Data!$D70)*60)*1,AND(Data!$E70&gt;=12,Data!$E70&lt;=15),((Data!$E70/Data!$D70)*60)*1.2,AND(Data!$E70&gt;=16,Data!$E70&lt;=19),((Data!$E70/Data!$D70)*60)*1.5,Data!$E70&gt;=20,((Data!$E70/Data!$D70)*60)*1.8)</f>
        <v>26.285366595839889</v>
      </c>
      <c r="AT70" s="29" cm="1">
        <f t="array" ref="AT70">_xlfn.IFS(Data!$F70&lt;600,((Data!$F70/Data!$D70)*60)*1,AND(Data!$F70&gt;=600,Data!$F70&lt;=625),((Data!$F70/Data!$D70)*60)*1.2,AND(Data!$F70&gt;=626,Data!$F70&lt;=650),((Data!$F70/Data!$D70)*60)*1.5,Data!$F70&gt;=651,((Data!$F70/Data!$D70)*60)*1.8)</f>
        <v>649.46759963887712</v>
      </c>
      <c r="AU70" s="29">
        <f>(Data!$I70*-1.2)+(Data!$J70*-1.1)+(Data!$K70*1.2)+(Data!$L70*1.3)+(Data!$M70*1.5)</f>
        <v>6.4499999978999973</v>
      </c>
      <c r="AV70" s="29">
        <f>(Data!$AS70*0.4)+(Data!$AT70*0.4)+(Data!$AU70*0.2)</f>
        <v>271.59118649346681</v>
      </c>
      <c r="AW70" s="29">
        <f>PERCENTRANK(AV:AV,Data!$AV70)*100</f>
        <v>22.8</v>
      </c>
      <c r="AX70" s="29" t="str">
        <f>_xlfn.CONCAT(TEXT(C70,"mmm"),"-",Data!$AE70)</f>
        <v>Oct-2019</v>
      </c>
    </row>
    <row r="71" spans="1:50" ht="17" thickTop="1" thickBot="1" x14ac:dyDescent="0.25">
      <c r="A71" s="22">
        <v>70</v>
      </c>
      <c r="B71" s="23">
        <f t="shared" si="10"/>
        <v>17</v>
      </c>
      <c r="C71" s="41">
        <v>43760</v>
      </c>
      <c r="D71" s="24">
        <f>SUM(Data!$I71:$M71)</f>
        <v>60.000000001000004</v>
      </c>
      <c r="E71" s="23">
        <v>12</v>
      </c>
      <c r="F71" s="23">
        <v>593</v>
      </c>
      <c r="G71" s="23">
        <v>120</v>
      </c>
      <c r="H71" s="23">
        <v>171</v>
      </c>
      <c r="I71" s="23">
        <v>22.683333333</v>
      </c>
      <c r="J71" s="23">
        <v>9.9166666669999994</v>
      </c>
      <c r="K71" s="23">
        <v>15.166666666999999</v>
      </c>
      <c r="L71" s="23">
        <v>8.9666666670000001</v>
      </c>
      <c r="M71" s="23">
        <v>3.266666667</v>
      </c>
      <c r="N71" s="23" t="s">
        <v>24</v>
      </c>
      <c r="O71" s="23" t="s">
        <v>57</v>
      </c>
      <c r="P71" s="23" t="s">
        <v>71</v>
      </c>
      <c r="Q71" s="23">
        <f t="shared" si="16"/>
        <v>2</v>
      </c>
      <c r="R71" s="23" t="str">
        <f t="shared" si="11"/>
        <v>10-2019</v>
      </c>
      <c r="S71" s="23" t="s">
        <v>43</v>
      </c>
      <c r="T71" s="23" t="str">
        <f t="shared" si="12"/>
        <v>Tuesday</v>
      </c>
      <c r="U71" s="23">
        <f t="shared" si="13"/>
        <v>1</v>
      </c>
      <c r="V71" s="25">
        <f>IFERROR(Data!$I71/Data!$D71,"")</f>
        <v>0.37805555554369907</v>
      </c>
      <c r="W71" s="25">
        <f>IFERROR(Data!$J71/Data!$D71,"")</f>
        <v>0.16527777778057867</v>
      </c>
      <c r="X71" s="25">
        <f>IFERROR(Data!$K71/Data!$D71,"")</f>
        <v>0.25277777777912036</v>
      </c>
      <c r="Y71" s="25">
        <f>IFERROR(Data!$L71/Data!$D71,"")</f>
        <v>0.14944444444750926</v>
      </c>
      <c r="Z71" s="25">
        <f>IFERROR(Data!$M71/Data!$D71,"")</f>
        <v>5.4444444449092591E-2</v>
      </c>
      <c r="AA71" s="26">
        <v>327.14</v>
      </c>
      <c r="AB71" s="26">
        <f t="shared" si="9"/>
        <v>19.243529411764705</v>
      </c>
      <c r="AC71" s="23">
        <f t="shared" si="14"/>
        <v>585.94117647058829</v>
      </c>
      <c r="AD71" s="23">
        <f t="shared" si="15"/>
        <v>13.823529411764707</v>
      </c>
      <c r="AE71" s="23">
        <f>YEAR(Data!$C71)</f>
        <v>2019</v>
      </c>
      <c r="AF71" s="23"/>
      <c r="AG71" s="23">
        <v>12</v>
      </c>
      <c r="AH71" s="27">
        <f>Data!$F71/Data!$D71</f>
        <v>9.8833333331686113</v>
      </c>
      <c r="AI71" s="17" t="str">
        <f>RIGHT(Data!$O71,2)</f>
        <v>PM</v>
      </c>
      <c r="AJ71" s="23" t="str">
        <f>Data!$R71&amp;"-"&amp;WEEKNUM(Data!$C71,1)-WEEKNUM(DATE(YEAR(Data!$C71),MONTH(Data!$C71),1),1)+1</f>
        <v>10-2019-4</v>
      </c>
      <c r="AK71" s="23">
        <f>MONTH(Data!$C71)</f>
        <v>10</v>
      </c>
      <c r="AL71" s="23">
        <f>IFERROR(Data!$F71/Data!$E71,0)</f>
        <v>49.416666666666664</v>
      </c>
      <c r="AM71" s="23">
        <f>COUNTIF(Data!$N$2:$N$825,Data!$N71)</f>
        <v>35</v>
      </c>
      <c r="AN71" s="23" t="str">
        <f>VLOOKUP(Data!$N71,'Helpful Tables'!A:D,4,FALSE)</f>
        <v>Virginia</v>
      </c>
      <c r="AO71" s="23">
        <f>COUNTIF(AN:AN,Data!$AN71)/COUNTA(AN:AN)</f>
        <v>6.424242424242424E-2</v>
      </c>
      <c r="AP71" s="23">
        <v>38.881884999999997</v>
      </c>
      <c r="AQ71" s="23">
        <v>-77.229702000000003</v>
      </c>
      <c r="AR71" s="23">
        <f>COUNTIF(Data!$P$2:$P$825,Data!$P71)</f>
        <v>4</v>
      </c>
      <c r="AS71" s="23" cm="1">
        <f t="array" ref="AS71">_xlfn.IFS(Data!$E71&lt;12,((Data!$E71/Data!$D71)*60)*1,AND(Data!$E71&gt;=12,Data!$E71&lt;=15),((Data!$E71/Data!$D71)*60)*1.2,AND(Data!$E71&gt;=16,Data!$E71&lt;=19),((Data!$E71/Data!$D71)*60)*1.5,Data!$E71&gt;=20,((Data!$E71/Data!$D71)*60)*1.8)</f>
        <v>14.399999999759997</v>
      </c>
      <c r="AT71" s="23" cm="1">
        <f t="array" ref="AT71">_xlfn.IFS(Data!$F71&lt;600,((Data!$F71/Data!$D71)*60)*1,AND(Data!$F71&gt;=600,Data!$F71&lt;=625),((Data!$F71/Data!$D71)*60)*1.2,AND(Data!$F71&gt;=626,Data!$F71&lt;=650),((Data!$F71/Data!$D71)*60)*1.5,Data!$F71&gt;=651,((Data!$F71/Data!$D71)*60)*1.8)</f>
        <v>592.99999999011663</v>
      </c>
      <c r="AU71" s="23">
        <f>(Data!$I71*-1.2)+(Data!$J71*-1.1)+(Data!$K71*1.2)+(Data!$L71*1.3)+(Data!$M71*1.5)</f>
        <v>-3.3716666652999976</v>
      </c>
      <c r="AV71" s="23">
        <f>(Data!$AS71*0.4)+(Data!$AT71*0.4)+(Data!$AU71*0.2)</f>
        <v>242.28566666289069</v>
      </c>
      <c r="AW71" s="23">
        <f>PERCENTRANK(AV:AV,Data!$AV71)*100</f>
        <v>13.600000000000001</v>
      </c>
      <c r="AX71" s="23" t="str">
        <f>_xlfn.CONCAT(TEXT(C71,"mmm"),"-",Data!$AE71)</f>
        <v>Oct-2019</v>
      </c>
    </row>
    <row r="72" spans="1:50" ht="17" thickTop="1" thickBot="1" x14ac:dyDescent="0.25">
      <c r="A72" s="28">
        <v>71</v>
      </c>
      <c r="B72" s="29">
        <f t="shared" si="10"/>
        <v>17</v>
      </c>
      <c r="C72" s="41">
        <v>43761</v>
      </c>
      <c r="D72" s="30">
        <f>SUM(Data!$I72:$M72)</f>
        <v>57.866666667000004</v>
      </c>
      <c r="E72" s="29">
        <v>18</v>
      </c>
      <c r="F72" s="29">
        <v>565</v>
      </c>
      <c r="G72" s="29">
        <v>119</v>
      </c>
      <c r="H72" s="29">
        <v>165</v>
      </c>
      <c r="I72" s="29">
        <v>24.616666667000001</v>
      </c>
      <c r="J72" s="29">
        <v>7.15</v>
      </c>
      <c r="K72" s="29">
        <v>7.9</v>
      </c>
      <c r="L72" s="29">
        <v>16.733333333000001</v>
      </c>
      <c r="M72" s="29">
        <v>1.4666666669999999</v>
      </c>
      <c r="N72" s="29" t="s">
        <v>40</v>
      </c>
      <c r="O72" s="29" t="s">
        <v>26</v>
      </c>
      <c r="P72" s="29" t="s">
        <v>41</v>
      </c>
      <c r="Q72" s="29">
        <f t="shared" si="16"/>
        <v>1</v>
      </c>
      <c r="R72" s="29" t="str">
        <f t="shared" si="11"/>
        <v>10-2019</v>
      </c>
      <c r="S72" s="29" t="s">
        <v>47</v>
      </c>
      <c r="T72" s="29" t="str">
        <f t="shared" si="12"/>
        <v>Wednesday</v>
      </c>
      <c r="U72" s="29">
        <f t="shared" si="13"/>
        <v>1</v>
      </c>
      <c r="V72" s="31">
        <f>IFERROR(Data!$I72/Data!$D72,"")</f>
        <v>0.42540322580976148</v>
      </c>
      <c r="W72" s="31">
        <f>IFERROR(Data!$J72/Data!$D72,"")</f>
        <v>0.12355990783338963</v>
      </c>
      <c r="X72" s="31">
        <f>IFERROR(Data!$K72/Data!$D72,"")</f>
        <v>0.13652073732640252</v>
      </c>
      <c r="Y72" s="31">
        <f>IFERROR(Data!$L72/Data!$D72,"")</f>
        <v>0.28917050690501628</v>
      </c>
      <c r="Z72" s="31">
        <f>IFERROR(Data!$M72/Data!$D72,"")</f>
        <v>2.5345622125430033E-2</v>
      </c>
      <c r="AA72" s="32">
        <v>327.14</v>
      </c>
      <c r="AB72" s="32">
        <f t="shared" si="9"/>
        <v>19.243529411764705</v>
      </c>
      <c r="AC72" s="29">
        <f t="shared" si="14"/>
        <v>585.94117647058829</v>
      </c>
      <c r="AD72" s="29">
        <f t="shared" si="15"/>
        <v>13.823529411764707</v>
      </c>
      <c r="AE72" s="29">
        <f>YEAR(Data!$C72)</f>
        <v>2019</v>
      </c>
      <c r="AF72" s="29"/>
      <c r="AG72" s="29">
        <v>12</v>
      </c>
      <c r="AH72" s="33">
        <f>Data!$F72/Data!$D72</f>
        <v>9.7638248847363833</v>
      </c>
      <c r="AI72" s="17" t="str">
        <f>RIGHT(Data!$O72,2)</f>
        <v>PM</v>
      </c>
      <c r="AJ72" s="29" t="str">
        <f>Data!$R72&amp;"-"&amp;WEEKNUM(Data!$C72,1)-WEEKNUM(DATE(YEAR(Data!$C72),MONTH(Data!$C72),1),1)+1</f>
        <v>10-2019-4</v>
      </c>
      <c r="AK72" s="29">
        <f>MONTH(Data!$C72)</f>
        <v>10</v>
      </c>
      <c r="AL72" s="29">
        <f>IFERROR(Data!$F72/Data!$E72,0)</f>
        <v>31.388888888888889</v>
      </c>
      <c r="AM72" s="29">
        <f>COUNTIF(Data!$N$2:$N$825,Data!$N72)</f>
        <v>38</v>
      </c>
      <c r="AN72" s="29" t="str">
        <f>VLOOKUP(Data!$N72,'Helpful Tables'!A:D,4,FALSE)</f>
        <v>Washington, DC</v>
      </c>
      <c r="AO72" s="29">
        <f>COUNTIF(AN:AN,Data!$AN72)/COUNTA(AN:AN)</f>
        <v>0.62424242424242427</v>
      </c>
      <c r="AP72" s="29">
        <v>38.903509999999997</v>
      </c>
      <c r="AQ72" s="29">
        <v>-77.051809000000006</v>
      </c>
      <c r="AR72" s="29">
        <f>COUNTIF(Data!$P$2:$P$825,Data!$P72)</f>
        <v>20</v>
      </c>
      <c r="AS72" s="29" cm="1">
        <f t="array" ref="AS72">_xlfn.IFS(Data!$E72&lt;12,((Data!$E72/Data!$D72)*60)*1,AND(Data!$E72&gt;=12,Data!$E72&lt;=15),((Data!$E72/Data!$D72)*60)*1.2,AND(Data!$E72&gt;=16,Data!$E72&lt;=19),((Data!$E72/Data!$D72)*60)*1.5,Data!$E72&gt;=20,((Data!$E72/Data!$D72)*60)*1.8)</f>
        <v>27.99539170490786</v>
      </c>
      <c r="AT72" s="29" cm="1">
        <f t="array" ref="AT72">_xlfn.IFS(Data!$F72&lt;600,((Data!$F72/Data!$D72)*60)*1,AND(Data!$F72&gt;=600,Data!$F72&lt;=625),((Data!$F72/Data!$D72)*60)*1.2,AND(Data!$F72&gt;=626,Data!$F72&lt;=650),((Data!$F72/Data!$D72)*60)*1.5,Data!$F72&gt;=651,((Data!$F72/Data!$D72)*60)*1.8)</f>
        <v>585.82949308418301</v>
      </c>
      <c r="AU72" s="29">
        <f>(Data!$I72*-1.2)+(Data!$J72*-1.1)+(Data!$K72*1.2)+(Data!$L72*1.3)+(Data!$M72*1.5)</f>
        <v>-3.9716666669999987</v>
      </c>
      <c r="AV72" s="29">
        <f>(Data!$AS72*0.4)+(Data!$AT72*0.4)+(Data!$AU72*0.2)</f>
        <v>244.73562058223638</v>
      </c>
      <c r="AW72" s="29">
        <f>PERCENTRANK(AV:AV,Data!$AV72)*100</f>
        <v>14.899999999999999</v>
      </c>
      <c r="AX72" s="29" t="str">
        <f>_xlfn.CONCAT(TEXT(C72,"mmm"),"-",Data!$AE72)</f>
        <v>Oct-2019</v>
      </c>
    </row>
    <row r="73" spans="1:50" ht="17" thickTop="1" thickBot="1" x14ac:dyDescent="0.25">
      <c r="A73" s="22">
        <v>72</v>
      </c>
      <c r="B73" s="23">
        <f t="shared" si="10"/>
        <v>17</v>
      </c>
      <c r="C73" s="41">
        <v>43763</v>
      </c>
      <c r="D73" s="24">
        <f>SUM(Data!$I73:$M73)</f>
        <v>53.200000001000006</v>
      </c>
      <c r="E73" s="23">
        <v>6</v>
      </c>
      <c r="F73" s="23">
        <v>447</v>
      </c>
      <c r="G73" s="23">
        <v>110</v>
      </c>
      <c r="H73" s="23">
        <v>166</v>
      </c>
      <c r="I73" s="23">
        <v>31.566666667</v>
      </c>
      <c r="J73" s="23">
        <v>3.95</v>
      </c>
      <c r="K73" s="23">
        <v>11.266666667000001</v>
      </c>
      <c r="L73" s="23">
        <v>5.2</v>
      </c>
      <c r="M73" s="23">
        <v>1.2166666669999999</v>
      </c>
      <c r="N73" s="23" t="s">
        <v>33</v>
      </c>
      <c r="O73" s="23" t="s">
        <v>26</v>
      </c>
      <c r="P73" s="23" t="s">
        <v>72</v>
      </c>
      <c r="Q73" s="23">
        <f t="shared" si="16"/>
        <v>2</v>
      </c>
      <c r="R73" s="23" t="str">
        <f t="shared" si="11"/>
        <v>10-2019</v>
      </c>
      <c r="S73" s="23" t="s">
        <v>48</v>
      </c>
      <c r="T73" s="23" t="str">
        <f t="shared" si="12"/>
        <v>Friday</v>
      </c>
      <c r="U73" s="23">
        <f t="shared" si="13"/>
        <v>0</v>
      </c>
      <c r="V73" s="25">
        <f>IFERROR(Data!$I73/Data!$D73,"")</f>
        <v>0.59335839598508722</v>
      </c>
      <c r="W73" s="25">
        <f>IFERROR(Data!$J73/Data!$D73,"")</f>
        <v>7.4248120299356235E-2</v>
      </c>
      <c r="X73" s="25">
        <f>IFERROR(Data!$K73/Data!$D73,"")</f>
        <v>0.21177944862383871</v>
      </c>
      <c r="Y73" s="25">
        <f>IFERROR(Data!$L73/Data!$D73,"")</f>
        <v>9.7744360900418326E-2</v>
      </c>
      <c r="Z73" s="25">
        <f>IFERROR(Data!$M73/Data!$D73,"")</f>
        <v>2.2869674191299438E-2</v>
      </c>
      <c r="AA73" s="26">
        <v>327.14</v>
      </c>
      <c r="AB73" s="26">
        <f t="shared" si="9"/>
        <v>19.243529411764705</v>
      </c>
      <c r="AC73" s="23">
        <f t="shared" si="14"/>
        <v>585.94117647058829</v>
      </c>
      <c r="AD73" s="23">
        <f t="shared" si="15"/>
        <v>13.823529411764707</v>
      </c>
      <c r="AE73" s="23">
        <f>YEAR(Data!$C73)</f>
        <v>2019</v>
      </c>
      <c r="AF73" s="23"/>
      <c r="AG73" s="23">
        <v>12</v>
      </c>
      <c r="AH73" s="27">
        <f>Data!$F73/Data!$D73</f>
        <v>8.4022556389398062</v>
      </c>
      <c r="AI73" s="17" t="str">
        <f>RIGHT(Data!$O73,2)</f>
        <v>PM</v>
      </c>
      <c r="AJ73" s="23" t="str">
        <f>Data!$R73&amp;"-"&amp;WEEKNUM(Data!$C73,1)-WEEKNUM(DATE(YEAR(Data!$C73),MONTH(Data!$C73),1),1)+1</f>
        <v>10-2019-4</v>
      </c>
      <c r="AK73" s="23">
        <f>MONTH(Data!$C73)</f>
        <v>10</v>
      </c>
      <c r="AL73" s="23">
        <f>IFERROR(Data!$F73/Data!$E73,0)</f>
        <v>74.5</v>
      </c>
      <c r="AM73" s="23">
        <f>COUNTIF(Data!$N$2:$N$825,Data!$N73)</f>
        <v>48</v>
      </c>
      <c r="AN73" s="23" t="str">
        <f>VLOOKUP(Data!$N73,'Helpful Tables'!A:D,4,FALSE)</f>
        <v>Washington, DC</v>
      </c>
      <c r="AO73" s="23">
        <f>COUNTIF(AN:AN,Data!$AN73)/COUNTA(AN:AN)</f>
        <v>0.62424242424242427</v>
      </c>
      <c r="AP73" s="23">
        <v>38.916486999999996</v>
      </c>
      <c r="AQ73" s="23">
        <v>-77.031514000000001</v>
      </c>
      <c r="AR73" s="23">
        <f>COUNTIF(Data!$P$2:$P$825,Data!$P73)</f>
        <v>3</v>
      </c>
      <c r="AS73" s="23" cm="1">
        <f t="array" ref="AS73">_xlfn.IFS(Data!$E73&lt;12,((Data!$E73/Data!$D73)*60)*1,AND(Data!$E73&gt;=12,Data!$E73&lt;=15),((Data!$E73/Data!$D73)*60)*1.2,AND(Data!$E73&gt;=16,Data!$E73&lt;=19),((Data!$E73/Data!$D73)*60)*1.5,Data!$E73&gt;=20,((Data!$E73/Data!$D73)*60)*1.8)</f>
        <v>6.7669172931058839</v>
      </c>
      <c r="AT73" s="23" cm="1">
        <f t="array" ref="AT73">_xlfn.IFS(Data!$F73&lt;600,((Data!$F73/Data!$D73)*60)*1,AND(Data!$F73&gt;=600,Data!$F73&lt;=625),((Data!$F73/Data!$D73)*60)*1.2,AND(Data!$F73&gt;=626,Data!$F73&lt;=650),((Data!$F73/Data!$D73)*60)*1.5,Data!$F73&gt;=651,((Data!$F73/Data!$D73)*60)*1.8)</f>
        <v>504.13533833638837</v>
      </c>
      <c r="AU73" s="23">
        <f>(Data!$I73*-1.2)+(Data!$J73*-1.1)+(Data!$K73*1.2)+(Data!$L73*1.3)+(Data!$M73*1.5)</f>
        <v>-20.119999999499989</v>
      </c>
      <c r="AV73" s="23">
        <f>(Data!$AS73*0.4)+(Data!$AT73*0.4)+(Data!$AU73*0.2)</f>
        <v>200.33690225189773</v>
      </c>
      <c r="AW73" s="23">
        <f>PERCENTRANK(AV:AV,Data!$AV73)*100</f>
        <v>0.70000000000000007</v>
      </c>
      <c r="AX73" s="23" t="str">
        <f>_xlfn.CONCAT(TEXT(C73,"mmm"),"-",Data!$AE73)</f>
        <v>Oct-2019</v>
      </c>
    </row>
    <row r="74" spans="1:50" ht="17" thickTop="1" thickBot="1" x14ac:dyDescent="0.25">
      <c r="A74" s="28">
        <v>73</v>
      </c>
      <c r="B74" s="29">
        <f t="shared" si="10"/>
        <v>17</v>
      </c>
      <c r="C74" s="41">
        <v>43765</v>
      </c>
      <c r="D74" s="30">
        <f>SUM(Data!$I74:$M74)</f>
        <v>58.35</v>
      </c>
      <c r="E74" s="29">
        <v>18</v>
      </c>
      <c r="F74" s="29">
        <v>701</v>
      </c>
      <c r="G74" s="29">
        <v>134</v>
      </c>
      <c r="H74" s="29">
        <v>170</v>
      </c>
      <c r="I74" s="29">
        <v>6.2</v>
      </c>
      <c r="J74" s="29">
        <v>8.2833333329999999</v>
      </c>
      <c r="K74" s="29">
        <v>26.45</v>
      </c>
      <c r="L74" s="29">
        <v>13.716666667</v>
      </c>
      <c r="M74" s="29">
        <v>3.7</v>
      </c>
      <c r="N74" s="29" t="s">
        <v>33</v>
      </c>
      <c r="O74" s="29" t="s">
        <v>38</v>
      </c>
      <c r="P74" s="29" t="s">
        <v>37</v>
      </c>
      <c r="Q74" s="29">
        <f t="shared" si="16"/>
        <v>2</v>
      </c>
      <c r="R74" s="29" t="str">
        <f t="shared" si="11"/>
        <v>10-2019</v>
      </c>
      <c r="S74" s="29" t="s">
        <v>48</v>
      </c>
      <c r="T74" s="29" t="str">
        <f t="shared" si="12"/>
        <v>Sunday</v>
      </c>
      <c r="U74" s="29">
        <f t="shared" si="13"/>
        <v>1</v>
      </c>
      <c r="V74" s="31">
        <f>IFERROR(Data!$I74/Data!$D74,"")</f>
        <v>0.1062553556126821</v>
      </c>
      <c r="W74" s="31">
        <f>IFERROR(Data!$J74/Data!$D74,"")</f>
        <v>0.14195944015424164</v>
      </c>
      <c r="X74" s="31">
        <f>IFERROR(Data!$K74/Data!$D74,"")</f>
        <v>0.45329905741216792</v>
      </c>
      <c r="Y74" s="31">
        <f>IFERROR(Data!$L74/Data!$D74,"")</f>
        <v>0.23507569266495287</v>
      </c>
      <c r="Z74" s="31">
        <f>IFERROR(Data!$M74/Data!$D74,"")</f>
        <v>6.3410454155955448E-2</v>
      </c>
      <c r="AA74" s="32">
        <v>327.14</v>
      </c>
      <c r="AB74" s="32">
        <f t="shared" si="9"/>
        <v>19.243529411764705</v>
      </c>
      <c r="AC74" s="29">
        <f t="shared" si="14"/>
        <v>585.94117647058829</v>
      </c>
      <c r="AD74" s="29">
        <f t="shared" si="15"/>
        <v>13.823529411764707</v>
      </c>
      <c r="AE74" s="29">
        <f>YEAR(Data!$C74)</f>
        <v>2019</v>
      </c>
      <c r="AF74" s="29"/>
      <c r="AG74" s="29">
        <v>12</v>
      </c>
      <c r="AH74" s="33">
        <f>Data!$F74/Data!$D74</f>
        <v>12.013710368466151</v>
      </c>
      <c r="AI74" s="17" t="str">
        <f>RIGHT(Data!$O74,2)</f>
        <v>PM</v>
      </c>
      <c r="AJ74" s="29" t="str">
        <f>Data!$R74&amp;"-"&amp;WEEKNUM(Data!$C74,1)-WEEKNUM(DATE(YEAR(Data!$C74),MONTH(Data!$C74),1),1)+1</f>
        <v>10-2019-5</v>
      </c>
      <c r="AK74" s="29">
        <f>MONTH(Data!$C74)</f>
        <v>10</v>
      </c>
      <c r="AL74" s="29">
        <f>IFERROR(Data!$F74/Data!$E74,0)</f>
        <v>38.944444444444443</v>
      </c>
      <c r="AM74" s="29">
        <f>COUNTIF(Data!$N$2:$N$825,Data!$N74)</f>
        <v>48</v>
      </c>
      <c r="AN74" s="29" t="str">
        <f>VLOOKUP(Data!$N74,'Helpful Tables'!A:D,4,FALSE)</f>
        <v>Washington, DC</v>
      </c>
      <c r="AO74" s="29">
        <f>COUNTIF(AN:AN,Data!$AN74)/COUNTA(AN:AN)</f>
        <v>0.62424242424242427</v>
      </c>
      <c r="AP74" s="29">
        <v>38.916486999999996</v>
      </c>
      <c r="AQ74" s="29">
        <v>-77.031514000000001</v>
      </c>
      <c r="AR74" s="29">
        <f>COUNTIF(Data!$P$2:$P$825,Data!$P74)</f>
        <v>12</v>
      </c>
      <c r="AS74" s="29" cm="1">
        <f t="array" ref="AS74">_xlfn.IFS(Data!$E74&lt;12,((Data!$E74/Data!$D74)*60)*1,AND(Data!$E74&gt;=12,Data!$E74&lt;=15),((Data!$E74/Data!$D74)*60)*1.2,AND(Data!$E74&gt;=16,Data!$E74&lt;=19),((Data!$E74/Data!$D74)*60)*1.5,Data!$E74&gt;=20,((Data!$E74/Data!$D74)*60)*1.8)</f>
        <v>27.763496143958868</v>
      </c>
      <c r="AT74" s="29" cm="1">
        <f t="array" ref="AT74">_xlfn.IFS(Data!$F74&lt;600,((Data!$F74/Data!$D74)*60)*1,AND(Data!$F74&gt;=600,Data!$F74&lt;=625),((Data!$F74/Data!$D74)*60)*1.2,AND(Data!$F74&gt;=626,Data!$F74&lt;=650),((Data!$F74/Data!$D74)*60)*1.5,Data!$F74&gt;=651,((Data!$F74/Data!$D74)*60)*1.8)</f>
        <v>1297.4807197943444</v>
      </c>
      <c r="AU74" s="29">
        <f>(Data!$I74*-1.2)+(Data!$J74*-1.1)+(Data!$K74*1.2)+(Data!$L74*1.3)+(Data!$M74*1.5)</f>
        <v>38.570000000799993</v>
      </c>
      <c r="AV74" s="29">
        <f>(Data!$AS74*0.4)+(Data!$AT74*0.4)+(Data!$AU74*0.2)</f>
        <v>537.81168637548137</v>
      </c>
      <c r="AW74" s="29">
        <f>PERCENTRANK(AV:AV,Data!$AV74)*100</f>
        <v>95.8</v>
      </c>
      <c r="AX74" s="29" t="str">
        <f>_xlfn.CONCAT(TEXT(C74,"mmm"),"-",Data!$AE74)</f>
        <v>Oct-2019</v>
      </c>
    </row>
    <row r="75" spans="1:50" ht="17" thickTop="1" thickBot="1" x14ac:dyDescent="0.25">
      <c r="A75" s="22">
        <v>74</v>
      </c>
      <c r="B75" s="23">
        <f t="shared" si="10"/>
        <v>17</v>
      </c>
      <c r="C75" s="41">
        <v>43766</v>
      </c>
      <c r="D75" s="24">
        <f>SUM(Data!$I75:$M75)</f>
        <v>56.566666667000007</v>
      </c>
      <c r="E75" s="23">
        <v>10</v>
      </c>
      <c r="F75" s="23">
        <v>544</v>
      </c>
      <c r="G75" s="23">
        <v>118</v>
      </c>
      <c r="H75" s="23">
        <v>167</v>
      </c>
      <c r="I75" s="23">
        <v>16.316666667</v>
      </c>
      <c r="J75" s="23">
        <v>20.016666666999999</v>
      </c>
      <c r="K75" s="23">
        <v>10.7</v>
      </c>
      <c r="L75" s="23">
        <v>7.65</v>
      </c>
      <c r="M75" s="23">
        <v>1.8833333329999999</v>
      </c>
      <c r="N75" s="23" t="s">
        <v>40</v>
      </c>
      <c r="O75" s="23" t="s">
        <v>26</v>
      </c>
      <c r="P75" s="23" t="s">
        <v>64</v>
      </c>
      <c r="Q75" s="23">
        <f t="shared" si="16"/>
        <v>1</v>
      </c>
      <c r="R75" s="23" t="str">
        <f t="shared" si="11"/>
        <v>10-2019</v>
      </c>
      <c r="S75" s="23" t="s">
        <v>47</v>
      </c>
      <c r="T75" s="23" t="str">
        <f t="shared" si="12"/>
        <v>Monday</v>
      </c>
      <c r="U75" s="23">
        <f t="shared" si="13"/>
        <v>0</v>
      </c>
      <c r="V75" s="25">
        <f>IFERROR(Data!$I75/Data!$D75,"")</f>
        <v>0.28845020625050999</v>
      </c>
      <c r="W75" s="25">
        <f>IFERROR(Data!$J75/Data!$D75,"")</f>
        <v>0.35385975250822704</v>
      </c>
      <c r="X75" s="25">
        <f>IFERROR(Data!$K75/Data!$D75,"")</f>
        <v>0.18915733647501967</v>
      </c>
      <c r="Y75" s="25">
        <f>IFERROR(Data!$L75/Data!$D75,"")</f>
        <v>0.13523865645176641</v>
      </c>
      <c r="Z75" s="25">
        <f>IFERROR(Data!$M75/Data!$D75,"")</f>
        <v>3.3294048314476757E-2</v>
      </c>
      <c r="AA75" s="26">
        <v>327.14</v>
      </c>
      <c r="AB75" s="26">
        <f t="shared" si="9"/>
        <v>19.243529411764705</v>
      </c>
      <c r="AC75" s="23">
        <f t="shared" si="14"/>
        <v>585.94117647058829</v>
      </c>
      <c r="AD75" s="23">
        <f t="shared" si="15"/>
        <v>13.823529411764707</v>
      </c>
      <c r="AE75" s="23">
        <f>YEAR(Data!$C75)</f>
        <v>2019</v>
      </c>
      <c r="AF75" s="23"/>
      <c r="AG75" s="23">
        <v>12</v>
      </c>
      <c r="AH75" s="27">
        <f>Data!$F75/Data!$D75</f>
        <v>9.6169711254589441</v>
      </c>
      <c r="AI75" s="17" t="str">
        <f>RIGHT(Data!$O75,2)</f>
        <v>PM</v>
      </c>
      <c r="AJ75" s="23" t="str">
        <f>Data!$R75&amp;"-"&amp;WEEKNUM(Data!$C75,1)-WEEKNUM(DATE(YEAR(Data!$C75),MONTH(Data!$C75),1),1)+1</f>
        <v>10-2019-5</v>
      </c>
      <c r="AK75" s="23">
        <f>MONTH(Data!$C75)</f>
        <v>10</v>
      </c>
      <c r="AL75" s="23">
        <f>IFERROR(Data!$F75/Data!$E75,0)</f>
        <v>54.4</v>
      </c>
      <c r="AM75" s="23">
        <f>COUNTIF(Data!$N$2:$N$825,Data!$N75)</f>
        <v>38</v>
      </c>
      <c r="AN75" s="23" t="str">
        <f>VLOOKUP(Data!$N75,'Helpful Tables'!A:D,4,FALSE)</f>
        <v>Washington, DC</v>
      </c>
      <c r="AO75" s="23">
        <f>COUNTIF(AN:AN,Data!$AN75)/COUNTA(AN:AN)</f>
        <v>0.62424242424242427</v>
      </c>
      <c r="AP75" s="23">
        <v>38.903509999999997</v>
      </c>
      <c r="AQ75" s="23">
        <v>-77.051809000000006</v>
      </c>
      <c r="AR75" s="23">
        <f>COUNTIF(Data!$P$2:$P$825,Data!$P75)</f>
        <v>8</v>
      </c>
      <c r="AS75" s="23" cm="1">
        <f t="array" ref="AS75">_xlfn.IFS(Data!$E75&lt;12,((Data!$E75/Data!$D75)*60)*1,AND(Data!$E75&gt;=12,Data!$E75&lt;=15),((Data!$E75/Data!$D75)*60)*1.2,AND(Data!$E75&gt;=16,Data!$E75&lt;=19),((Data!$E75/Data!$D75)*60)*1.5,Data!$E75&gt;=20,((Data!$E75/Data!$D75)*60)*1.8)</f>
        <v>10.606953447197364</v>
      </c>
      <c r="AT75" s="23" cm="1">
        <f t="array" ref="AT75">_xlfn.IFS(Data!$F75&lt;600,((Data!$F75/Data!$D75)*60)*1,AND(Data!$F75&gt;=600,Data!$F75&lt;=625),((Data!$F75/Data!$D75)*60)*1.2,AND(Data!$F75&gt;=626,Data!$F75&lt;=650),((Data!$F75/Data!$D75)*60)*1.5,Data!$F75&gt;=651,((Data!$F75/Data!$D75)*60)*1.8)</f>
        <v>577.01826752753664</v>
      </c>
      <c r="AU75" s="23">
        <f>(Data!$I75*-1.2)+(Data!$J75*-1.1)+(Data!$K75*1.2)+(Data!$L75*1.3)+(Data!$M75*1.5)</f>
        <v>-15.9883333346</v>
      </c>
      <c r="AV75" s="23">
        <f>(Data!$AS75*0.4)+(Data!$AT75*0.4)+(Data!$AU75*0.2)</f>
        <v>231.85242172297365</v>
      </c>
      <c r="AW75" s="23">
        <f>PERCENTRANK(AV:AV,Data!$AV75)*100</f>
        <v>8</v>
      </c>
      <c r="AX75" s="23" t="str">
        <f>_xlfn.CONCAT(TEXT(C75,"mmm"),"-",Data!$AE75)</f>
        <v>Oct-2019</v>
      </c>
    </row>
    <row r="76" spans="1:50" ht="17" thickTop="1" thickBot="1" x14ac:dyDescent="0.25">
      <c r="A76" s="28">
        <v>75</v>
      </c>
      <c r="B76" s="29">
        <f t="shared" si="10"/>
        <v>17</v>
      </c>
      <c r="C76" s="41">
        <v>43768</v>
      </c>
      <c r="D76" s="30">
        <f>SUM(Data!$I76:$M76)</f>
        <v>52.950000000999999</v>
      </c>
      <c r="E76" s="29">
        <v>10</v>
      </c>
      <c r="F76" s="29">
        <v>577</v>
      </c>
      <c r="G76" s="29">
        <v>127</v>
      </c>
      <c r="H76" s="29">
        <v>165</v>
      </c>
      <c r="I76" s="29">
        <v>7.8166666669999998</v>
      </c>
      <c r="J76" s="29">
        <v>13.4</v>
      </c>
      <c r="K76" s="29">
        <v>21.666666667000001</v>
      </c>
      <c r="L76" s="29">
        <v>9.3000000000000007</v>
      </c>
      <c r="M76" s="29">
        <v>0.76666666699999997</v>
      </c>
      <c r="N76" s="29" t="s">
        <v>40</v>
      </c>
      <c r="O76" s="29" t="s">
        <v>26</v>
      </c>
      <c r="P76" s="29" t="s">
        <v>41</v>
      </c>
      <c r="Q76" s="29">
        <f t="shared" si="16"/>
        <v>2</v>
      </c>
      <c r="R76" s="29" t="str">
        <f t="shared" si="11"/>
        <v>10-2019</v>
      </c>
      <c r="S76" s="29" t="s">
        <v>47</v>
      </c>
      <c r="T76" s="29" t="str">
        <f t="shared" si="12"/>
        <v>Wednesday</v>
      </c>
      <c r="U76" s="29">
        <f t="shared" si="13"/>
        <v>0</v>
      </c>
      <c r="V76" s="31">
        <f>IFERROR(Data!$I76/Data!$D76,"")</f>
        <v>0.14762354422761806</v>
      </c>
      <c r="W76" s="31">
        <f>IFERROR(Data!$J76/Data!$D76,"")</f>
        <v>0.2530689329508391</v>
      </c>
      <c r="X76" s="31">
        <f>IFERROR(Data!$K76/Data!$D76,"")</f>
        <v>0.40919106074770178</v>
      </c>
      <c r="Y76" s="31">
        <f>IFERROR(Data!$L76/Data!$D76,"")</f>
        <v>0.17563739376438836</v>
      </c>
      <c r="Z76" s="31">
        <f>IFERROR(Data!$M76/Data!$D76,"")</f>
        <v>1.4479068309452708E-2</v>
      </c>
      <c r="AA76" s="32">
        <v>327.14</v>
      </c>
      <c r="AB76" s="32">
        <f t="shared" si="9"/>
        <v>19.243529411764705</v>
      </c>
      <c r="AC76" s="29">
        <f t="shared" si="14"/>
        <v>585.94117647058829</v>
      </c>
      <c r="AD76" s="29">
        <f t="shared" si="15"/>
        <v>13.823529411764707</v>
      </c>
      <c r="AE76" s="29">
        <f>YEAR(Data!$C76)</f>
        <v>2019</v>
      </c>
      <c r="AF76" s="29"/>
      <c r="AG76" s="29">
        <v>12</v>
      </c>
      <c r="AH76" s="33">
        <f>Data!$F76/Data!$D76</f>
        <v>10.897072709898072</v>
      </c>
      <c r="AI76" s="17" t="str">
        <f>RIGHT(Data!$O76,2)</f>
        <v>PM</v>
      </c>
      <c r="AJ76" s="29" t="str">
        <f>Data!$R76&amp;"-"&amp;WEEKNUM(Data!$C76,1)-WEEKNUM(DATE(YEAR(Data!$C76),MONTH(Data!$C76),1),1)+1</f>
        <v>10-2019-5</v>
      </c>
      <c r="AK76" s="29">
        <f>MONTH(Data!$C76)</f>
        <v>10</v>
      </c>
      <c r="AL76" s="29">
        <f>IFERROR(Data!$F76/Data!$E76,0)</f>
        <v>57.7</v>
      </c>
      <c r="AM76" s="29">
        <f>COUNTIF(Data!$N$2:$N$825,Data!$N76)</f>
        <v>38</v>
      </c>
      <c r="AN76" s="29" t="str">
        <f>VLOOKUP(Data!$N76,'Helpful Tables'!A:D,4,FALSE)</f>
        <v>Washington, DC</v>
      </c>
      <c r="AO76" s="29">
        <f>COUNTIF(AN:AN,Data!$AN76)/COUNTA(AN:AN)</f>
        <v>0.62424242424242427</v>
      </c>
      <c r="AP76" s="29">
        <v>38.903509999999997</v>
      </c>
      <c r="AQ76" s="29">
        <v>-77.051809000000006</v>
      </c>
      <c r="AR76" s="29">
        <f>COUNTIF(Data!$P$2:$P$825,Data!$P76)</f>
        <v>20</v>
      </c>
      <c r="AS76" s="29" cm="1">
        <f t="array" ref="AS76">_xlfn.IFS(Data!$E76&lt;12,((Data!$E76/Data!$D76)*60)*1,AND(Data!$E76&gt;=12,Data!$E76&lt;=15),((Data!$E76/Data!$D76)*60)*1.2,AND(Data!$E76&gt;=16,Data!$E76&lt;=19),((Data!$E76/Data!$D76)*60)*1.5,Data!$E76&gt;=20,((Data!$E76/Data!$D76)*60)*1.8)</f>
        <v>11.331444758992795</v>
      </c>
      <c r="AT76" s="29" cm="1">
        <f t="array" ref="AT76">_xlfn.IFS(Data!$F76&lt;600,((Data!$F76/Data!$D76)*60)*1,AND(Data!$F76&gt;=600,Data!$F76&lt;=625),((Data!$F76/Data!$D76)*60)*1.2,AND(Data!$F76&gt;=626,Data!$F76&lt;=650),((Data!$F76/Data!$D76)*60)*1.5,Data!$F76&gt;=651,((Data!$F76/Data!$D76)*60)*1.8)</f>
        <v>653.8243625938843</v>
      </c>
      <c r="AU76" s="29">
        <f>(Data!$I76*-1.2)+(Data!$J76*-1.1)+(Data!$K76*1.2)+(Data!$L76*1.3)+(Data!$M76*1.5)</f>
        <v>15.120000000500001</v>
      </c>
      <c r="AV76" s="29">
        <f>(Data!$AS76*0.4)+(Data!$AT76*0.4)+(Data!$AU76*0.2)</f>
        <v>269.08632294125084</v>
      </c>
      <c r="AW76" s="29">
        <f>PERCENTRANK(AV:AV,Data!$AV76)*100</f>
        <v>22.2</v>
      </c>
      <c r="AX76" s="29" t="str">
        <f>_xlfn.CONCAT(TEXT(C76,"mmm"),"-",Data!$AE76)</f>
        <v>Oct-2019</v>
      </c>
    </row>
    <row r="77" spans="1:50" ht="17" thickTop="1" thickBot="1" x14ac:dyDescent="0.25">
      <c r="A77" s="22">
        <v>76</v>
      </c>
      <c r="B77" s="23">
        <f t="shared" si="10"/>
        <v>17</v>
      </c>
      <c r="C77" s="41">
        <v>43769</v>
      </c>
      <c r="D77" s="24">
        <f>SUM(Data!$I77:$M77)</f>
        <v>56.999999999999993</v>
      </c>
      <c r="E77" s="23">
        <v>10</v>
      </c>
      <c r="F77" s="23">
        <v>590</v>
      </c>
      <c r="G77" s="23">
        <v>123</v>
      </c>
      <c r="H77" s="23">
        <v>168</v>
      </c>
      <c r="I77" s="23">
        <v>10.466666667</v>
      </c>
      <c r="J77" s="23">
        <v>19.333333332999999</v>
      </c>
      <c r="K77" s="23">
        <v>16.566666667</v>
      </c>
      <c r="L77" s="23">
        <v>9.2333333329999991</v>
      </c>
      <c r="M77" s="23">
        <v>1.4</v>
      </c>
      <c r="N77" s="23" t="s">
        <v>24</v>
      </c>
      <c r="O77" s="23" t="s">
        <v>57</v>
      </c>
      <c r="P77" s="23" t="s">
        <v>73</v>
      </c>
      <c r="Q77" s="23">
        <f t="shared" si="16"/>
        <v>1</v>
      </c>
      <c r="R77" s="23" t="str">
        <f t="shared" si="11"/>
        <v>10-2019</v>
      </c>
      <c r="S77" s="23" t="s">
        <v>43</v>
      </c>
      <c r="T77" s="23" t="str">
        <f t="shared" si="12"/>
        <v>Thursday</v>
      </c>
      <c r="U77" s="23">
        <f t="shared" si="13"/>
        <v>0</v>
      </c>
      <c r="V77" s="25">
        <f>IFERROR(Data!$I77/Data!$D77,"")</f>
        <v>0.18362573100000001</v>
      </c>
      <c r="W77" s="25">
        <f>IFERROR(Data!$J77/Data!$D77,"")</f>
        <v>0.33918128654385965</v>
      </c>
      <c r="X77" s="25">
        <f>IFERROR(Data!$K77/Data!$D77,"")</f>
        <v>0.29064327485964914</v>
      </c>
      <c r="Y77" s="25">
        <f>IFERROR(Data!$L77/Data!$D77,"")</f>
        <v>0.1619883040877193</v>
      </c>
      <c r="Z77" s="25">
        <f>IFERROR(Data!$M77/Data!$D77,"")</f>
        <v>2.456140350877193E-2</v>
      </c>
      <c r="AA77" s="26">
        <v>327.14</v>
      </c>
      <c r="AB77" s="26">
        <f t="shared" si="9"/>
        <v>19.243529411764705</v>
      </c>
      <c r="AC77" s="23">
        <f t="shared" si="14"/>
        <v>585.94117647058829</v>
      </c>
      <c r="AD77" s="23">
        <f t="shared" si="15"/>
        <v>13.823529411764707</v>
      </c>
      <c r="AE77" s="23">
        <f>YEAR(Data!$C77)</f>
        <v>2019</v>
      </c>
      <c r="AF77" s="23">
        <v>95</v>
      </c>
      <c r="AG77" s="23">
        <v>12</v>
      </c>
      <c r="AH77" s="27">
        <f>Data!$F77/Data!$D77</f>
        <v>10.350877192982457</v>
      </c>
      <c r="AI77" s="17" t="str">
        <f>RIGHT(Data!$O77,2)</f>
        <v>PM</v>
      </c>
      <c r="AJ77" s="23" t="str">
        <f>Data!$R77&amp;"-"&amp;WEEKNUM(Data!$C77,1)-WEEKNUM(DATE(YEAR(Data!$C77),MONTH(Data!$C77),1),1)+1</f>
        <v>10-2019-5</v>
      </c>
      <c r="AK77" s="23">
        <f>MONTH(Data!$C77)</f>
        <v>10</v>
      </c>
      <c r="AL77" s="23">
        <f>IFERROR(Data!$F77/Data!$E77,0)</f>
        <v>59</v>
      </c>
      <c r="AM77" s="23">
        <f>COUNTIF(Data!$N$2:$N$825,Data!$N77)</f>
        <v>35</v>
      </c>
      <c r="AN77" s="23" t="str">
        <f>VLOOKUP(Data!$N77,'Helpful Tables'!A:D,4,FALSE)</f>
        <v>Virginia</v>
      </c>
      <c r="AO77" s="23">
        <f>COUNTIF(AN:AN,Data!$AN77)/COUNTA(AN:AN)</f>
        <v>6.424242424242424E-2</v>
      </c>
      <c r="AP77" s="23">
        <v>38.881884999999997</v>
      </c>
      <c r="AQ77" s="23">
        <v>-77.229702000000003</v>
      </c>
      <c r="AR77" s="23">
        <f>COUNTIF(Data!$P$2:$P$825,Data!$P77)</f>
        <v>1</v>
      </c>
      <c r="AS77" s="23" cm="1">
        <f t="array" ref="AS77">_xlfn.IFS(Data!$E77&lt;12,((Data!$E77/Data!$D77)*60)*1,AND(Data!$E77&gt;=12,Data!$E77&lt;=15),((Data!$E77/Data!$D77)*60)*1.2,AND(Data!$E77&gt;=16,Data!$E77&lt;=19),((Data!$E77/Data!$D77)*60)*1.5,Data!$E77&gt;=20,((Data!$E77/Data!$D77)*60)*1.8)</f>
        <v>10.526315789473685</v>
      </c>
      <c r="AT77" s="23" cm="1">
        <f t="array" ref="AT77">_xlfn.IFS(Data!$F77&lt;600,((Data!$F77/Data!$D77)*60)*1,AND(Data!$F77&gt;=600,Data!$F77&lt;=625),((Data!$F77/Data!$D77)*60)*1.2,AND(Data!$F77&gt;=626,Data!$F77&lt;=650),((Data!$F77/Data!$D77)*60)*1.5,Data!$F77&gt;=651,((Data!$F77/Data!$D77)*60)*1.8)</f>
        <v>621.0526315789474</v>
      </c>
      <c r="AU77" s="23">
        <f>(Data!$I77*-1.2)+(Data!$J77*-1.1)+(Data!$K77*1.2)+(Data!$L77*1.3)+(Data!$M77*1.5)</f>
        <v>0.15666666659999784</v>
      </c>
      <c r="AV77" s="23">
        <f>(Data!$AS77*0.4)+(Data!$AT77*0.4)+(Data!$AU77*0.2)</f>
        <v>252.66291228068843</v>
      </c>
      <c r="AW77" s="23">
        <f>PERCENTRANK(AV:AV,Data!$AV77)*100</f>
        <v>18.2</v>
      </c>
      <c r="AX77" s="23" t="str">
        <f>_xlfn.CONCAT(TEXT(C77,"mmm"),"-",Data!$AE77)</f>
        <v>Oct-2019</v>
      </c>
    </row>
    <row r="78" spans="1:50" ht="17" thickTop="1" thickBot="1" x14ac:dyDescent="0.25">
      <c r="A78" s="28">
        <v>77</v>
      </c>
      <c r="B78" s="29">
        <f t="shared" si="10"/>
        <v>15</v>
      </c>
      <c r="C78" s="41">
        <v>43773</v>
      </c>
      <c r="D78" s="30">
        <f>SUM(Data!$I78:$M78)</f>
        <v>57.133333332999996</v>
      </c>
      <c r="E78" s="29">
        <v>15</v>
      </c>
      <c r="F78" s="29">
        <v>639</v>
      </c>
      <c r="G78" s="29">
        <v>129</v>
      </c>
      <c r="H78" s="29">
        <v>170</v>
      </c>
      <c r="I78" s="29">
        <v>10.783333333</v>
      </c>
      <c r="J78" s="29">
        <v>14.4</v>
      </c>
      <c r="K78" s="29">
        <v>17.333333332999999</v>
      </c>
      <c r="L78" s="29">
        <v>8.7166666670000001</v>
      </c>
      <c r="M78" s="29">
        <v>5.9</v>
      </c>
      <c r="N78" s="29" t="s">
        <v>40</v>
      </c>
      <c r="O78" s="29" t="s">
        <v>26</v>
      </c>
      <c r="P78" s="29" t="s">
        <v>74</v>
      </c>
      <c r="Q78" s="29">
        <f t="shared" si="16"/>
        <v>4</v>
      </c>
      <c r="R78" s="29" t="str">
        <f t="shared" si="11"/>
        <v>11-2019</v>
      </c>
      <c r="S78" s="29" t="s">
        <v>47</v>
      </c>
      <c r="T78" s="29" t="str">
        <f t="shared" si="12"/>
        <v>Monday</v>
      </c>
      <c r="U78" s="29">
        <f t="shared" si="13"/>
        <v>1</v>
      </c>
      <c r="V78" s="31">
        <f>IFERROR(Data!$I78/Data!$D78,"")</f>
        <v>0.18873978996026103</v>
      </c>
      <c r="W78" s="31">
        <f>IFERROR(Data!$J78/Data!$D78,"")</f>
        <v>0.2520420070026374</v>
      </c>
      <c r="X78" s="31">
        <f>IFERROR(Data!$K78/Data!$D78,"")</f>
        <v>0.30338389731215509</v>
      </c>
      <c r="Y78" s="31">
        <f>IFERROR(Data!$L78/Data!$D78,"")</f>
        <v>0.15256709452247708</v>
      </c>
      <c r="Z78" s="31">
        <f>IFERROR(Data!$M78/Data!$D78,"")</f>
        <v>0.10326721120246948</v>
      </c>
      <c r="AA78" s="32">
        <v>237.14</v>
      </c>
      <c r="AB78" s="32">
        <f t="shared" si="9"/>
        <v>15.809333333333333</v>
      </c>
      <c r="AC78" s="29">
        <f t="shared" si="14"/>
        <v>602.06666666666672</v>
      </c>
      <c r="AD78" s="29">
        <f t="shared" si="15"/>
        <v>15.133333333333333</v>
      </c>
      <c r="AE78" s="29">
        <f>YEAR(Data!$C78)</f>
        <v>2019</v>
      </c>
      <c r="AF78" s="29"/>
      <c r="AG78" s="29">
        <v>12</v>
      </c>
      <c r="AH78" s="33">
        <f>Data!$F78/Data!$D78</f>
        <v>11.184364060742034</v>
      </c>
      <c r="AI78" s="17" t="str">
        <f>RIGHT(Data!$O78,2)</f>
        <v>PM</v>
      </c>
      <c r="AJ78" s="29" t="str">
        <f>Data!$R78&amp;"-"&amp;WEEKNUM(Data!$C78,1)-WEEKNUM(DATE(YEAR(Data!$C78),MONTH(Data!$C78),1),1)+1</f>
        <v>11-2019-2</v>
      </c>
      <c r="AK78" s="29">
        <f>MONTH(Data!$C78)</f>
        <v>11</v>
      </c>
      <c r="AL78" s="29">
        <f>IFERROR(Data!$F78/Data!$E78,0)</f>
        <v>42.6</v>
      </c>
      <c r="AM78" s="29">
        <f>COUNTIF(Data!$N$2:$N$825,Data!$N78)</f>
        <v>38</v>
      </c>
      <c r="AN78" s="29" t="str">
        <f>VLOOKUP(Data!$N78,'Helpful Tables'!A:D,4,FALSE)</f>
        <v>Washington, DC</v>
      </c>
      <c r="AO78" s="29">
        <f>COUNTIF(AN:AN,Data!$AN78)/COUNTA(AN:AN)</f>
        <v>0.62424242424242427</v>
      </c>
      <c r="AP78" s="29">
        <v>38.903509999999997</v>
      </c>
      <c r="AQ78" s="29">
        <v>-77.051809000000006</v>
      </c>
      <c r="AR78" s="29">
        <f>COUNTIF(Data!$P$2:$P$825,Data!$P78)</f>
        <v>2</v>
      </c>
      <c r="AS78" s="29" cm="1">
        <f t="array" ref="AS78">_xlfn.IFS(Data!$E78&lt;12,((Data!$E78/Data!$D78)*60)*1,AND(Data!$E78&gt;=12,Data!$E78&lt;=15),((Data!$E78/Data!$D78)*60)*1.2,AND(Data!$E78&gt;=16,Data!$E78&lt;=19),((Data!$E78/Data!$D78)*60)*1.5,Data!$E78&gt;=20,((Data!$E78/Data!$D78)*60)*1.8)</f>
        <v>18.903150525197802</v>
      </c>
      <c r="AT78" s="29" cm="1">
        <f t="array" ref="AT78">_xlfn.IFS(Data!$F78&lt;600,((Data!$F78/Data!$D78)*60)*1,AND(Data!$F78&gt;=600,Data!$F78&lt;=625),((Data!$F78/Data!$D78)*60)*1.2,AND(Data!$F78&gt;=626,Data!$F78&lt;=650),((Data!$F78/Data!$D78)*60)*1.5,Data!$F78&gt;=651,((Data!$F78/Data!$D78)*60)*1.8)</f>
        <v>1006.592765466783</v>
      </c>
      <c r="AU78" s="29">
        <f>(Data!$I78*-1.2)+(Data!$J78*-1.1)+(Data!$K78*1.2)+(Data!$L78*1.3)+(Data!$M78*1.5)</f>
        <v>12.201666667099998</v>
      </c>
      <c r="AV78" s="29">
        <f>(Data!$AS78*0.4)+(Data!$AT78*0.4)+(Data!$AU78*0.2)</f>
        <v>412.63869973021235</v>
      </c>
      <c r="AW78" s="29">
        <f>PERCENTRANK(AV:AV,Data!$AV78)*100</f>
        <v>58.599999999999994</v>
      </c>
      <c r="AX78" s="29" t="str">
        <f>_xlfn.CONCAT(TEXT(C78,"mmm"),"-",Data!$AE78)</f>
        <v>Nov-2019</v>
      </c>
    </row>
    <row r="79" spans="1:50" ht="17" thickTop="1" thickBot="1" x14ac:dyDescent="0.25">
      <c r="A79" s="22">
        <v>78</v>
      </c>
      <c r="B79" s="23">
        <f t="shared" si="10"/>
        <v>15</v>
      </c>
      <c r="C79" s="41">
        <v>43775</v>
      </c>
      <c r="D79" s="24">
        <f>SUM(Data!$I79:$M79)</f>
        <v>58.650000001000002</v>
      </c>
      <c r="E79" s="23">
        <v>15</v>
      </c>
      <c r="F79" s="23">
        <v>646</v>
      </c>
      <c r="G79" s="23">
        <v>127</v>
      </c>
      <c r="H79" s="23">
        <v>166</v>
      </c>
      <c r="I79" s="23">
        <v>13.966666667</v>
      </c>
      <c r="J79" s="23">
        <v>11.066666667</v>
      </c>
      <c r="K79" s="23">
        <v>18.516666666999999</v>
      </c>
      <c r="L79" s="23">
        <v>13.316666667</v>
      </c>
      <c r="M79" s="23">
        <v>1.7833333330000001</v>
      </c>
      <c r="N79" s="23" t="s">
        <v>40</v>
      </c>
      <c r="O79" s="23" t="s">
        <v>26</v>
      </c>
      <c r="P79" s="23" t="s">
        <v>75</v>
      </c>
      <c r="Q79" s="23">
        <f t="shared" si="16"/>
        <v>2</v>
      </c>
      <c r="R79" s="23" t="str">
        <f t="shared" si="11"/>
        <v>11-2019</v>
      </c>
      <c r="S79" s="23" t="s">
        <v>47</v>
      </c>
      <c r="T79" s="23" t="str">
        <f t="shared" si="12"/>
        <v>Wednesday</v>
      </c>
      <c r="U79" s="23">
        <f t="shared" si="13"/>
        <v>1</v>
      </c>
      <c r="V79" s="25">
        <f>IFERROR(Data!$I79/Data!$D79,"")</f>
        <v>0.23813583404538557</v>
      </c>
      <c r="W79" s="25">
        <f>IFERROR(Data!$J79/Data!$D79,"")</f>
        <v>0.18868996874358585</v>
      </c>
      <c r="X79" s="25">
        <f>IFERROR(Data!$K79/Data!$D79,"")</f>
        <v>0.31571469167407135</v>
      </c>
      <c r="Y79" s="25">
        <f>IFERROR(Data!$L79/Data!$D79,"")</f>
        <v>0.22705314009843044</v>
      </c>
      <c r="Z79" s="25">
        <f>IFERROR(Data!$M79/Data!$D79,"")</f>
        <v>3.0406365438526747E-2</v>
      </c>
      <c r="AA79" s="26">
        <v>237.14</v>
      </c>
      <c r="AB79" s="26">
        <f t="shared" si="9"/>
        <v>15.809333333333333</v>
      </c>
      <c r="AC79" s="23">
        <f t="shared" si="14"/>
        <v>602.06666666666672</v>
      </c>
      <c r="AD79" s="23">
        <f t="shared" si="15"/>
        <v>15.133333333333333</v>
      </c>
      <c r="AE79" s="23">
        <f>YEAR(Data!$C79)</f>
        <v>2019</v>
      </c>
      <c r="AF79" s="23"/>
      <c r="AG79" s="23">
        <v>12</v>
      </c>
      <c r="AH79" s="27">
        <f>Data!$F79/Data!$D79</f>
        <v>11.014492753435388</v>
      </c>
      <c r="AI79" s="17" t="str">
        <f>RIGHT(Data!$O79,2)</f>
        <v>PM</v>
      </c>
      <c r="AJ79" s="23" t="str">
        <f>Data!$R79&amp;"-"&amp;WEEKNUM(Data!$C79,1)-WEEKNUM(DATE(YEAR(Data!$C79),MONTH(Data!$C79),1),1)+1</f>
        <v>11-2019-2</v>
      </c>
      <c r="AK79" s="23">
        <f>MONTH(Data!$C79)</f>
        <v>11</v>
      </c>
      <c r="AL79" s="23">
        <f>IFERROR(Data!$F79/Data!$E79,0)</f>
        <v>43.06666666666667</v>
      </c>
      <c r="AM79" s="23">
        <f>COUNTIF(Data!$N$2:$N$825,Data!$N79)</f>
        <v>38</v>
      </c>
      <c r="AN79" s="23" t="str">
        <f>VLOOKUP(Data!$N79,'Helpful Tables'!A:D,4,FALSE)</f>
        <v>Washington, DC</v>
      </c>
      <c r="AO79" s="23">
        <f>COUNTIF(AN:AN,Data!$AN79)/COUNTA(AN:AN)</f>
        <v>0.62424242424242427</v>
      </c>
      <c r="AP79" s="23">
        <v>38.903509999999997</v>
      </c>
      <c r="AQ79" s="23">
        <v>-77.051809000000006</v>
      </c>
      <c r="AR79" s="23">
        <f>COUNTIF(Data!$P$2:$P$825,Data!$P79)</f>
        <v>2</v>
      </c>
      <c r="AS79" s="23" cm="1">
        <f t="array" ref="AS79">_xlfn.IFS(Data!$E79&lt;12,((Data!$E79/Data!$D79)*60)*1,AND(Data!$E79&gt;=12,Data!$E79&lt;=15),((Data!$E79/Data!$D79)*60)*1.2,AND(Data!$E79&gt;=16,Data!$E79&lt;=19),((Data!$E79/Data!$D79)*60)*1.5,Data!$E79&gt;=20,((Data!$E79/Data!$D79)*60)*1.8)</f>
        <v>18.414322250325412</v>
      </c>
      <c r="AT79" s="23" cm="1">
        <f t="array" ref="AT79">_xlfn.IFS(Data!$F79&lt;600,((Data!$F79/Data!$D79)*60)*1,AND(Data!$F79&gt;=600,Data!$F79&lt;=625),((Data!$F79/Data!$D79)*60)*1.2,AND(Data!$F79&gt;=626,Data!$F79&lt;=650),((Data!$F79/Data!$D79)*60)*1.5,Data!$F79&gt;=651,((Data!$F79/Data!$D79)*60)*1.8)</f>
        <v>991.30434780918495</v>
      </c>
      <c r="AU79" s="23">
        <f>(Data!$I79*-1.2)+(Data!$J79*-1.1)+(Data!$K79*1.2)+(Data!$L79*1.3)+(Data!$M79*1.5)</f>
        <v>13.2733333329</v>
      </c>
      <c r="AV79" s="23">
        <f>(Data!$AS79*0.4)+(Data!$AT79*0.4)+(Data!$AU79*0.2)</f>
        <v>406.54213469038422</v>
      </c>
      <c r="AW79" s="23">
        <f>PERCENTRANK(AV:AV,Data!$AV79)*100</f>
        <v>55.500000000000007</v>
      </c>
      <c r="AX79" s="23" t="str">
        <f>_xlfn.CONCAT(TEXT(C79,"mmm"),"-",Data!$AE79)</f>
        <v>Nov-2019</v>
      </c>
    </row>
    <row r="80" spans="1:50" ht="17" thickTop="1" thickBot="1" x14ac:dyDescent="0.25">
      <c r="A80" s="28">
        <v>79</v>
      </c>
      <c r="B80" s="29">
        <f t="shared" si="10"/>
        <v>15</v>
      </c>
      <c r="C80" s="41">
        <v>43777</v>
      </c>
      <c r="D80" s="30">
        <f>SUM(Data!$I80:$M80)</f>
        <v>48.666666668000005</v>
      </c>
      <c r="E80" s="29">
        <v>22</v>
      </c>
      <c r="F80" s="29">
        <v>584</v>
      </c>
      <c r="G80" s="29">
        <v>134</v>
      </c>
      <c r="H80" s="29">
        <v>176</v>
      </c>
      <c r="I80" s="29">
        <v>10.166666666999999</v>
      </c>
      <c r="J80" s="29">
        <v>8.2666666670000009</v>
      </c>
      <c r="K80" s="29">
        <v>7.6166666669999996</v>
      </c>
      <c r="L80" s="29">
        <v>15.166666666999999</v>
      </c>
      <c r="M80" s="29">
        <v>7.45</v>
      </c>
      <c r="N80" s="29" t="s">
        <v>60</v>
      </c>
      <c r="O80" s="29" t="s">
        <v>39</v>
      </c>
      <c r="P80" s="29" t="s">
        <v>61</v>
      </c>
      <c r="Q80" s="29">
        <f t="shared" si="16"/>
        <v>2</v>
      </c>
      <c r="R80" s="29" t="str">
        <f t="shared" si="11"/>
        <v>11-2019</v>
      </c>
      <c r="S80" s="29" t="s">
        <v>47</v>
      </c>
      <c r="T80" s="29" t="str">
        <f t="shared" si="12"/>
        <v>Friday</v>
      </c>
      <c r="U80" s="29">
        <f t="shared" si="13"/>
        <v>1</v>
      </c>
      <c r="V80" s="31">
        <f>IFERROR(Data!$I80/Data!$D80,"")</f>
        <v>0.20890410959016698</v>
      </c>
      <c r="W80" s="31">
        <f>IFERROR(Data!$J80/Data!$D80,"")</f>
        <v>0.16986301370082568</v>
      </c>
      <c r="X80" s="31">
        <f>IFERROR(Data!$K80/Data!$D80,"")</f>
        <v>0.15650684931762993</v>
      </c>
      <c r="Y80" s="31">
        <f>IFERROR(Data!$L80/Data!$D80,"")</f>
        <v>0.31164383561474945</v>
      </c>
      <c r="Z80" s="31">
        <f>IFERROR(Data!$M80/Data!$D80,"")</f>
        <v>0.15308219177662788</v>
      </c>
      <c r="AA80" s="32">
        <v>237.14</v>
      </c>
      <c r="AB80" s="32">
        <f t="shared" ref="AB80:AB143" si="17">AA80/B80</f>
        <v>15.809333333333333</v>
      </c>
      <c r="AC80" s="29">
        <f t="shared" si="14"/>
        <v>602.06666666666672</v>
      </c>
      <c r="AD80" s="29">
        <f t="shared" si="15"/>
        <v>15.133333333333333</v>
      </c>
      <c r="AE80" s="29">
        <f>YEAR(Data!$C80)</f>
        <v>2019</v>
      </c>
      <c r="AF80" s="29"/>
      <c r="AG80" s="29">
        <v>12</v>
      </c>
      <c r="AH80" s="33">
        <f>Data!$F80/Data!$D80</f>
        <v>11.999999999671232</v>
      </c>
      <c r="AI80" s="17" t="str">
        <f>RIGHT(Data!$O80,2)</f>
        <v>PM</v>
      </c>
      <c r="AJ80" s="29" t="str">
        <f>Data!$R80&amp;"-"&amp;WEEKNUM(Data!$C80,1)-WEEKNUM(DATE(YEAR(Data!$C80),MONTH(Data!$C80),1),1)+1</f>
        <v>11-2019-2</v>
      </c>
      <c r="AK80" s="29">
        <f>MONTH(Data!$C80)</f>
        <v>11</v>
      </c>
      <c r="AL80" s="29">
        <f>IFERROR(Data!$F80/Data!$E80,0)</f>
        <v>26.545454545454547</v>
      </c>
      <c r="AM80" s="29">
        <f>COUNTIF(Data!$N$2:$N$825,Data!$N80)</f>
        <v>10</v>
      </c>
      <c r="AN80" s="29" t="str">
        <f>VLOOKUP(Data!$N80,'Helpful Tables'!A:D,4,FALSE)</f>
        <v>Washington, DC</v>
      </c>
      <c r="AO80" s="29">
        <f>COUNTIF(AN:AN,Data!$AN80)/COUNTA(AN:AN)</f>
        <v>0.62424242424242427</v>
      </c>
      <c r="AP80" s="29">
        <v>38.879828000000003</v>
      </c>
      <c r="AQ80" s="29">
        <v>-77.005566000000002</v>
      </c>
      <c r="AR80" s="29">
        <f>COUNTIF(Data!$P$2:$P$825,Data!$P80)</f>
        <v>9</v>
      </c>
      <c r="AS80" s="29" cm="1">
        <f t="array" ref="AS80">_xlfn.IFS(Data!$E80&lt;12,((Data!$E80/Data!$D80)*60)*1,AND(Data!$E80&gt;=12,Data!$E80&lt;=15),((Data!$E80/Data!$D80)*60)*1.2,AND(Data!$E80&gt;=16,Data!$E80&lt;=19),((Data!$E80/Data!$D80)*60)*1.5,Data!$E80&gt;=20,((Data!$E80/Data!$D80)*60)*1.8)</f>
        <v>48.821917806881586</v>
      </c>
      <c r="AT80" s="29" cm="1">
        <f t="array" ref="AT80">_xlfn.IFS(Data!$F80&lt;600,((Data!$F80/Data!$D80)*60)*1,AND(Data!$F80&gt;=600,Data!$F80&lt;=625),((Data!$F80/Data!$D80)*60)*1.2,AND(Data!$F80&gt;=626,Data!$F80&lt;=650),((Data!$F80/Data!$D80)*60)*1.5,Data!$F80&gt;=651,((Data!$F80/Data!$D80)*60)*1.8)</f>
        <v>719.99999998027397</v>
      </c>
      <c r="AU80" s="29">
        <f>(Data!$I80*-1.2)+(Data!$J80*-1.1)+(Data!$K80*1.2)+(Data!$L80*1.3)+(Data!$M80*1.5)</f>
        <v>18.7383333334</v>
      </c>
      <c r="AV80" s="29">
        <f>(Data!$AS80*0.4)+(Data!$AT80*0.4)+(Data!$AU80*0.2)</f>
        <v>311.27643378154227</v>
      </c>
      <c r="AW80" s="29">
        <f>PERCENTRANK(AV:AV,Data!$AV80)*100</f>
        <v>31.900000000000002</v>
      </c>
      <c r="AX80" s="29" t="str">
        <f>_xlfn.CONCAT(TEXT(C80,"mmm"),"-",Data!$AE80)</f>
        <v>Nov-2019</v>
      </c>
    </row>
    <row r="81" spans="1:50" ht="17" thickTop="1" thickBot="1" x14ac:dyDescent="0.25">
      <c r="A81" s="22">
        <v>80</v>
      </c>
      <c r="B81" s="23">
        <f t="shared" si="10"/>
        <v>15</v>
      </c>
      <c r="C81" s="41">
        <v>43779</v>
      </c>
      <c r="D81" s="24">
        <f>SUM(Data!$I81:$M81)</f>
        <v>55.716666666000002</v>
      </c>
      <c r="E81" s="23">
        <v>17</v>
      </c>
      <c r="F81" s="23">
        <v>566</v>
      </c>
      <c r="G81" s="23">
        <v>122</v>
      </c>
      <c r="H81" s="23">
        <v>173</v>
      </c>
      <c r="I81" s="23">
        <v>22.2</v>
      </c>
      <c r="J81" s="23">
        <v>8.3833333329999995</v>
      </c>
      <c r="K81" s="23">
        <v>8.35</v>
      </c>
      <c r="L81" s="23">
        <v>12.25</v>
      </c>
      <c r="M81" s="23">
        <v>4.5333333329999999</v>
      </c>
      <c r="N81" s="23" t="s">
        <v>33</v>
      </c>
      <c r="O81" s="23" t="s">
        <v>38</v>
      </c>
      <c r="P81" s="23" t="s">
        <v>68</v>
      </c>
      <c r="Q81" s="23">
        <f t="shared" si="16"/>
        <v>2</v>
      </c>
      <c r="R81" s="23" t="str">
        <f t="shared" si="11"/>
        <v>11-2019</v>
      </c>
      <c r="S81" s="23" t="s">
        <v>48</v>
      </c>
      <c r="T81" s="23" t="str">
        <f t="shared" si="12"/>
        <v>Sunday</v>
      </c>
      <c r="U81" s="23">
        <f t="shared" si="13"/>
        <v>1</v>
      </c>
      <c r="V81" s="25">
        <f>IFERROR(Data!$I81/Data!$D81,"")</f>
        <v>0.39844451092310429</v>
      </c>
      <c r="W81" s="25">
        <f>IFERROR(Data!$J81/Data!$D81,"")</f>
        <v>0.15046365539515957</v>
      </c>
      <c r="X81" s="25">
        <f>IFERROR(Data!$K81/Data!$D81,"")</f>
        <v>0.14986539036972615</v>
      </c>
      <c r="Y81" s="25">
        <f>IFERROR(Data!$L81/Data!$D81,"")</f>
        <v>0.21986239904540666</v>
      </c>
      <c r="Z81" s="25">
        <f>IFERROR(Data!$M81/Data!$D81,"")</f>
        <v>8.1364044266603208E-2</v>
      </c>
      <c r="AA81" s="26">
        <v>237.14</v>
      </c>
      <c r="AB81" s="26">
        <f t="shared" si="17"/>
        <v>15.809333333333333</v>
      </c>
      <c r="AC81" s="23">
        <f t="shared" si="14"/>
        <v>602.06666666666672</v>
      </c>
      <c r="AD81" s="23">
        <f t="shared" si="15"/>
        <v>15.133333333333333</v>
      </c>
      <c r="AE81" s="23">
        <f>YEAR(Data!$C81)</f>
        <v>2019</v>
      </c>
      <c r="AF81" s="23"/>
      <c r="AG81" s="23">
        <v>12</v>
      </c>
      <c r="AH81" s="27">
        <f>Data!$F81/Data!$D81</f>
        <v>10.158540233444912</v>
      </c>
      <c r="AI81" s="17" t="str">
        <f>RIGHT(Data!$O81,2)</f>
        <v>PM</v>
      </c>
      <c r="AJ81" s="23" t="str">
        <f>Data!$R81&amp;"-"&amp;WEEKNUM(Data!$C81,1)-WEEKNUM(DATE(YEAR(Data!$C81),MONTH(Data!$C81),1),1)+1</f>
        <v>11-2019-3</v>
      </c>
      <c r="AK81" s="23">
        <f>MONTH(Data!$C81)</f>
        <v>11</v>
      </c>
      <c r="AL81" s="23">
        <f>IFERROR(Data!$F81/Data!$E81,0)</f>
        <v>33.294117647058826</v>
      </c>
      <c r="AM81" s="23">
        <f>COUNTIF(Data!$N$2:$N$825,Data!$N81)</f>
        <v>48</v>
      </c>
      <c r="AN81" s="23" t="str">
        <f>VLOOKUP(Data!$N81,'Helpful Tables'!A:D,4,FALSE)</f>
        <v>Washington, DC</v>
      </c>
      <c r="AO81" s="23">
        <f>COUNTIF(AN:AN,Data!$AN81)/COUNTA(AN:AN)</f>
        <v>0.62424242424242427</v>
      </c>
      <c r="AP81" s="23">
        <v>38.916486999999996</v>
      </c>
      <c r="AQ81" s="23">
        <v>-77.031514000000001</v>
      </c>
      <c r="AR81" s="23">
        <f>COUNTIF(Data!$P$2:$P$825,Data!$P81)</f>
        <v>5</v>
      </c>
      <c r="AS81" s="23" cm="1">
        <f t="array" ref="AS81">_xlfn.IFS(Data!$E81&lt;12,((Data!$E81/Data!$D81)*60)*1,AND(Data!$E81&gt;=12,Data!$E81&lt;=15),((Data!$E81/Data!$D81)*60)*1.2,AND(Data!$E81&gt;=16,Data!$E81&lt;=19),((Data!$E81/Data!$D81)*60)*1.5,Data!$E81&gt;=20,((Data!$E81/Data!$D81)*60)*1.8)</f>
        <v>27.460364941997732</v>
      </c>
      <c r="AT81" s="23" cm="1">
        <f t="array" ref="AT81">_xlfn.IFS(Data!$F81&lt;600,((Data!$F81/Data!$D81)*60)*1,AND(Data!$F81&gt;=600,Data!$F81&lt;=625),((Data!$F81/Data!$D81)*60)*1.2,AND(Data!$F81&gt;=626,Data!$F81&lt;=650),((Data!$F81/Data!$D81)*60)*1.5,Data!$F81&gt;=651,((Data!$F81/Data!$D81)*60)*1.8)</f>
        <v>609.51241400669471</v>
      </c>
      <c r="AU81" s="23">
        <f>(Data!$I81*-1.2)+(Data!$J81*-1.1)+(Data!$K81*1.2)+(Data!$L81*1.3)+(Data!$M81*1.5)</f>
        <v>-3.116666666799996</v>
      </c>
      <c r="AV81" s="23">
        <f>(Data!$AS81*0.4)+(Data!$AT81*0.4)+(Data!$AU81*0.2)</f>
        <v>254.16577824611699</v>
      </c>
      <c r="AW81" s="23">
        <f>PERCENTRANK(AV:AV,Data!$AV81)*100</f>
        <v>18.899999999999999</v>
      </c>
      <c r="AX81" s="23" t="str">
        <f>_xlfn.CONCAT(TEXT(C81,"mmm"),"-",Data!$AE81)</f>
        <v>Nov-2019</v>
      </c>
    </row>
    <row r="82" spans="1:50" ht="17" thickTop="1" thickBot="1" x14ac:dyDescent="0.25">
      <c r="A82" s="28">
        <v>81</v>
      </c>
      <c r="B82" s="29">
        <f t="shared" si="10"/>
        <v>15</v>
      </c>
      <c r="C82" s="41">
        <v>43780</v>
      </c>
      <c r="D82" s="30">
        <f>SUM(Data!$I82:$M82)</f>
        <v>53.149999999999991</v>
      </c>
      <c r="E82" s="29">
        <v>18</v>
      </c>
      <c r="F82" s="29">
        <v>569</v>
      </c>
      <c r="G82" s="29">
        <v>125</v>
      </c>
      <c r="H82" s="29">
        <v>167</v>
      </c>
      <c r="I82" s="29">
        <v>16.466666666999998</v>
      </c>
      <c r="J82" s="29">
        <v>10.233333332999999</v>
      </c>
      <c r="K82" s="29">
        <v>8.7333333329999991</v>
      </c>
      <c r="L82" s="29">
        <v>15</v>
      </c>
      <c r="M82" s="29">
        <v>2.7166666670000001</v>
      </c>
      <c r="N82" s="29" t="s">
        <v>33</v>
      </c>
      <c r="O82" s="29" t="s">
        <v>76</v>
      </c>
      <c r="P82" s="29" t="s">
        <v>34</v>
      </c>
      <c r="Q82" s="29">
        <f t="shared" si="16"/>
        <v>1</v>
      </c>
      <c r="R82" s="29" t="str">
        <f t="shared" si="11"/>
        <v>11-2019</v>
      </c>
      <c r="S82" s="29" t="s">
        <v>48</v>
      </c>
      <c r="T82" s="29" t="str">
        <f t="shared" si="12"/>
        <v>Monday</v>
      </c>
      <c r="U82" s="29">
        <f t="shared" si="13"/>
        <v>1</v>
      </c>
      <c r="V82" s="31">
        <f>IFERROR(Data!$I82/Data!$D82,"")</f>
        <v>0.30981498903104421</v>
      </c>
      <c r="W82" s="31">
        <f>IFERROR(Data!$J82/Data!$D82,"")</f>
        <v>0.19253684539981186</v>
      </c>
      <c r="X82" s="31">
        <f>IFERROR(Data!$K82/Data!$D82,"")</f>
        <v>0.16431483222953905</v>
      </c>
      <c r="Y82" s="31">
        <f>IFERROR(Data!$L82/Data!$D82,"")</f>
        <v>0.28222013170272819</v>
      </c>
      <c r="Z82" s="31">
        <f>IFERROR(Data!$M82/Data!$D82,"")</f>
        <v>5.1113201636876777E-2</v>
      </c>
      <c r="AA82" s="32">
        <v>237.14</v>
      </c>
      <c r="AB82" s="32">
        <f t="shared" si="17"/>
        <v>15.809333333333333</v>
      </c>
      <c r="AC82" s="29">
        <f t="shared" si="14"/>
        <v>602.06666666666672</v>
      </c>
      <c r="AD82" s="29">
        <f t="shared" si="15"/>
        <v>15.133333333333333</v>
      </c>
      <c r="AE82" s="29">
        <f>YEAR(Data!$C82)</f>
        <v>2019</v>
      </c>
      <c r="AF82" s="29"/>
      <c r="AG82" s="29">
        <v>12</v>
      </c>
      <c r="AH82" s="33">
        <f>Data!$F82/Data!$D82</f>
        <v>10.705550329256821</v>
      </c>
      <c r="AI82" s="17" t="str">
        <f>RIGHT(Data!$O82,2)</f>
        <v>AM</v>
      </c>
      <c r="AJ82" s="29" t="str">
        <f>Data!$R82&amp;"-"&amp;WEEKNUM(Data!$C82,1)-WEEKNUM(DATE(YEAR(Data!$C82),MONTH(Data!$C82),1),1)+1</f>
        <v>11-2019-3</v>
      </c>
      <c r="AK82" s="29">
        <f>MONTH(Data!$C82)</f>
        <v>11</v>
      </c>
      <c r="AL82" s="29">
        <f>IFERROR(Data!$F82/Data!$E82,0)</f>
        <v>31.611111111111111</v>
      </c>
      <c r="AM82" s="29">
        <f>COUNTIF(Data!$N$2:$N$825,Data!$N82)</f>
        <v>48</v>
      </c>
      <c r="AN82" s="29" t="str">
        <f>VLOOKUP(Data!$N82,'Helpful Tables'!A:D,4,FALSE)</f>
        <v>Washington, DC</v>
      </c>
      <c r="AO82" s="29">
        <f>COUNTIF(AN:AN,Data!$AN82)/COUNTA(AN:AN)</f>
        <v>0.62424242424242427</v>
      </c>
      <c r="AP82" s="29">
        <v>38.916486999999996</v>
      </c>
      <c r="AQ82" s="29">
        <v>-77.031514000000001</v>
      </c>
      <c r="AR82" s="29">
        <f>COUNTIF(Data!$P$2:$P$825,Data!$P82)</f>
        <v>30</v>
      </c>
      <c r="AS82" s="29" cm="1">
        <f t="array" ref="AS82">_xlfn.IFS(Data!$E82&lt;12,((Data!$E82/Data!$D82)*60)*1,AND(Data!$E82&gt;=12,Data!$E82&lt;=15),((Data!$E82/Data!$D82)*60)*1.2,AND(Data!$E82&gt;=16,Data!$E82&lt;=19),((Data!$E82/Data!$D82)*60)*1.5,Data!$E82&gt;=20,((Data!$E82/Data!$D82)*60)*1.8)</f>
        <v>30.479774223894644</v>
      </c>
      <c r="AT82" s="29" cm="1">
        <f t="array" ref="AT82">_xlfn.IFS(Data!$F82&lt;600,((Data!$F82/Data!$D82)*60)*1,AND(Data!$F82&gt;=600,Data!$F82&lt;=625),((Data!$F82/Data!$D82)*60)*1.2,AND(Data!$F82&gt;=626,Data!$F82&lt;=650),((Data!$F82/Data!$D82)*60)*1.5,Data!$F82&gt;=651,((Data!$F82/Data!$D82)*60)*1.8)</f>
        <v>642.33301975540928</v>
      </c>
      <c r="AU82" s="29">
        <f>(Data!$I82*-1.2)+(Data!$J82*-1.1)+(Data!$K82*1.2)+(Data!$L82*1.3)+(Data!$M82*1.5)</f>
        <v>3.0383333333999998</v>
      </c>
      <c r="AV82" s="29">
        <f>(Data!$AS82*0.4)+(Data!$AT82*0.4)+(Data!$AU82*0.2)</f>
        <v>269.73278425840158</v>
      </c>
      <c r="AW82" s="29">
        <f>PERCENTRANK(AV:AV,Data!$AV82)*100</f>
        <v>22.3</v>
      </c>
      <c r="AX82" s="29" t="str">
        <f>_xlfn.CONCAT(TEXT(C82,"mmm"),"-",Data!$AE82)</f>
        <v>Nov-2019</v>
      </c>
    </row>
    <row r="83" spans="1:50" ht="17" thickTop="1" thickBot="1" x14ac:dyDescent="0.25">
      <c r="A83" s="22">
        <v>82</v>
      </c>
      <c r="B83" s="23">
        <f t="shared" si="10"/>
        <v>15</v>
      </c>
      <c r="C83" s="41">
        <v>43782</v>
      </c>
      <c r="D83" s="24">
        <f>SUM(Data!$I83:$M83)</f>
        <v>56.216666666999998</v>
      </c>
      <c r="E83" s="23">
        <v>10</v>
      </c>
      <c r="F83" s="23">
        <v>626</v>
      </c>
      <c r="G83" s="23">
        <v>128</v>
      </c>
      <c r="H83" s="23">
        <v>170</v>
      </c>
      <c r="I83" s="23">
        <v>9.9166666669999994</v>
      </c>
      <c r="J83" s="23">
        <v>12.8</v>
      </c>
      <c r="K83" s="23">
        <v>23</v>
      </c>
      <c r="L83" s="23">
        <v>7.15</v>
      </c>
      <c r="M83" s="23">
        <v>3.35</v>
      </c>
      <c r="N83" s="23" t="s">
        <v>33</v>
      </c>
      <c r="O83" s="23" t="s">
        <v>39</v>
      </c>
      <c r="P83" s="23" t="s">
        <v>37</v>
      </c>
      <c r="Q83" s="23">
        <f t="shared" si="16"/>
        <v>2</v>
      </c>
      <c r="R83" s="23" t="str">
        <f t="shared" si="11"/>
        <v>11-2019</v>
      </c>
      <c r="S83" s="23" t="s">
        <v>43</v>
      </c>
      <c r="T83" s="23" t="str">
        <f t="shared" si="12"/>
        <v>Wednesday</v>
      </c>
      <c r="U83" s="23">
        <f t="shared" si="13"/>
        <v>0</v>
      </c>
      <c r="V83" s="25">
        <f>IFERROR(Data!$I83/Data!$D83,"")</f>
        <v>0.17640083012643698</v>
      </c>
      <c r="W83" s="25">
        <f>IFERROR(Data!$J83/Data!$D83,"")</f>
        <v>0.22769048324798288</v>
      </c>
      <c r="X83" s="25">
        <f>IFERROR(Data!$K83/Data!$D83,"")</f>
        <v>0.40913133708621924</v>
      </c>
      <c r="Y83" s="25">
        <f>IFERROR(Data!$L83/Data!$D83,"")</f>
        <v>0.12718648087680293</v>
      </c>
      <c r="Z83" s="25">
        <f>IFERROR(Data!$M83/Data!$D83,"")</f>
        <v>5.9590868662558021E-2</v>
      </c>
      <c r="AA83" s="26">
        <v>237.14</v>
      </c>
      <c r="AB83" s="26">
        <f t="shared" si="17"/>
        <v>15.809333333333333</v>
      </c>
      <c r="AC83" s="23">
        <f t="shared" si="14"/>
        <v>602.06666666666672</v>
      </c>
      <c r="AD83" s="23">
        <f t="shared" si="15"/>
        <v>15.133333333333333</v>
      </c>
      <c r="AE83" s="23">
        <f>YEAR(Data!$C83)</f>
        <v>2019</v>
      </c>
      <c r="AF83" s="23"/>
      <c r="AG83" s="23">
        <v>12</v>
      </c>
      <c r="AH83" s="27">
        <f>Data!$F83/Data!$D83</f>
        <v>11.135487696346662</v>
      </c>
      <c r="AI83" s="17" t="str">
        <f>RIGHT(Data!$O83,2)</f>
        <v>PM</v>
      </c>
      <c r="AJ83" s="23" t="str">
        <f>Data!$R83&amp;"-"&amp;WEEKNUM(Data!$C83,1)-WEEKNUM(DATE(YEAR(Data!$C83),MONTH(Data!$C83),1),1)+1</f>
        <v>11-2019-3</v>
      </c>
      <c r="AK83" s="23">
        <f>MONTH(Data!$C83)</f>
        <v>11</v>
      </c>
      <c r="AL83" s="23">
        <f>IFERROR(Data!$F83/Data!$E83,0)</f>
        <v>62.6</v>
      </c>
      <c r="AM83" s="23">
        <f>COUNTIF(Data!$N$2:$N$825,Data!$N83)</f>
        <v>48</v>
      </c>
      <c r="AN83" s="23" t="str">
        <f>VLOOKUP(Data!$N83,'Helpful Tables'!A:D,4,FALSE)</f>
        <v>Washington, DC</v>
      </c>
      <c r="AO83" s="23">
        <f>COUNTIF(AN:AN,Data!$AN83)/COUNTA(AN:AN)</f>
        <v>0.62424242424242427</v>
      </c>
      <c r="AP83" s="23">
        <v>38.916486999999996</v>
      </c>
      <c r="AQ83" s="23">
        <v>-77.031514000000001</v>
      </c>
      <c r="AR83" s="23">
        <f>COUNTIF(Data!$P$2:$P$825,Data!$P83)</f>
        <v>12</v>
      </c>
      <c r="AS83" s="23" cm="1">
        <f t="array" ref="AS83">_xlfn.IFS(Data!$E83&lt;12,((Data!$E83/Data!$D83)*60)*1,AND(Data!$E83&gt;=12,Data!$E83&lt;=15),((Data!$E83/Data!$D83)*60)*1.2,AND(Data!$E83&gt;=16,Data!$E83&lt;=19),((Data!$E83/Data!$D83)*60)*1.5,Data!$E83&gt;=20,((Data!$E83/Data!$D83)*60)*1.8)</f>
        <v>10.672991402249197</v>
      </c>
      <c r="AT83" s="23" cm="1">
        <f t="array" ref="AT83">_xlfn.IFS(Data!$F83&lt;600,((Data!$F83/Data!$D83)*60)*1,AND(Data!$F83&gt;=600,Data!$F83&lt;=625),((Data!$F83/Data!$D83)*60)*1.2,AND(Data!$F83&gt;=626,Data!$F83&lt;=650),((Data!$F83/Data!$D83)*60)*1.5,Data!$F83&gt;=651,((Data!$F83/Data!$D83)*60)*1.8)</f>
        <v>1002.1938926711995</v>
      </c>
      <c r="AU83" s="23">
        <f>(Data!$I83*-1.2)+(Data!$J83*-1.1)+(Data!$K83*1.2)+(Data!$L83*1.3)+(Data!$M83*1.5)</f>
        <v>15.939999999599998</v>
      </c>
      <c r="AV83" s="23">
        <f>(Data!$AS83*0.4)+(Data!$AT83*0.4)+(Data!$AU83*0.2)</f>
        <v>408.33475362929948</v>
      </c>
      <c r="AW83" s="23">
        <f>PERCENTRANK(AV:AV,Data!$AV83)*100</f>
        <v>56.699999999999996</v>
      </c>
      <c r="AX83" s="23" t="str">
        <f>_xlfn.CONCAT(TEXT(C83,"mmm"),"-",Data!$AE83)</f>
        <v>Nov-2019</v>
      </c>
    </row>
    <row r="84" spans="1:50" ht="17" thickTop="1" thickBot="1" x14ac:dyDescent="0.25">
      <c r="A84" s="28">
        <v>83</v>
      </c>
      <c r="B84" s="29">
        <f t="shared" si="10"/>
        <v>15</v>
      </c>
      <c r="C84" s="41">
        <v>43784</v>
      </c>
      <c r="D84" s="30">
        <f>SUM(Data!$I84:$M84)</f>
        <v>54.883333333000003</v>
      </c>
      <c r="E84" s="29">
        <v>16</v>
      </c>
      <c r="F84" s="29">
        <v>544</v>
      </c>
      <c r="G84" s="29">
        <v>120</v>
      </c>
      <c r="H84" s="29">
        <v>174</v>
      </c>
      <c r="I84" s="29">
        <v>22</v>
      </c>
      <c r="J84" s="29">
        <v>8.7666666670000009</v>
      </c>
      <c r="K84" s="29">
        <v>8.3333333330000006</v>
      </c>
      <c r="L84" s="29">
        <v>9.0500000000000007</v>
      </c>
      <c r="M84" s="29">
        <v>6.733333333</v>
      </c>
      <c r="N84" s="29" t="s">
        <v>60</v>
      </c>
      <c r="O84" s="29" t="s">
        <v>39</v>
      </c>
      <c r="P84" s="29" t="s">
        <v>61</v>
      </c>
      <c r="Q84" s="29">
        <f t="shared" si="16"/>
        <v>2</v>
      </c>
      <c r="R84" s="29" t="str">
        <f t="shared" si="11"/>
        <v>11-2019</v>
      </c>
      <c r="S84" s="29" t="s">
        <v>47</v>
      </c>
      <c r="T84" s="29" t="str">
        <f t="shared" si="12"/>
        <v>Friday</v>
      </c>
      <c r="U84" s="29">
        <f t="shared" si="13"/>
        <v>1</v>
      </c>
      <c r="V84" s="31">
        <f>IFERROR(Data!$I84/Data!$D84,"")</f>
        <v>0.40085028849317245</v>
      </c>
      <c r="W84" s="31">
        <f>IFERROR(Data!$J84/Data!$D84,"")</f>
        <v>0.15973276648138313</v>
      </c>
      <c r="X84" s="31">
        <f>IFERROR(Data!$K84/Data!$D84,"")</f>
        <v>0.15183723048376457</v>
      </c>
      <c r="Y84" s="31">
        <f>IFERROR(Data!$L84/Data!$D84,"")</f>
        <v>0.16489523231196415</v>
      </c>
      <c r="Z84" s="31">
        <f>IFERROR(Data!$M84/Data!$D84,"")</f>
        <v>0.12268448222971566</v>
      </c>
      <c r="AA84" s="32">
        <v>237.14</v>
      </c>
      <c r="AB84" s="32">
        <f t="shared" si="17"/>
        <v>15.809333333333333</v>
      </c>
      <c r="AC84" s="29">
        <f t="shared" si="14"/>
        <v>602.06666666666672</v>
      </c>
      <c r="AD84" s="29">
        <f t="shared" si="15"/>
        <v>15.133333333333333</v>
      </c>
      <c r="AE84" s="29">
        <f>YEAR(Data!$C84)</f>
        <v>2019</v>
      </c>
      <c r="AF84" s="29"/>
      <c r="AG84" s="29">
        <v>12</v>
      </c>
      <c r="AH84" s="33">
        <f>Data!$F84/Data!$D84</f>
        <v>9.9119344063766288</v>
      </c>
      <c r="AI84" s="17" t="str">
        <f>RIGHT(Data!$O84,2)</f>
        <v>PM</v>
      </c>
      <c r="AJ84" s="29" t="str">
        <f>Data!$R84&amp;"-"&amp;WEEKNUM(Data!$C84,1)-WEEKNUM(DATE(YEAR(Data!$C84),MONTH(Data!$C84),1),1)+1</f>
        <v>11-2019-3</v>
      </c>
      <c r="AK84" s="29">
        <f>MONTH(Data!$C84)</f>
        <v>11</v>
      </c>
      <c r="AL84" s="29">
        <f>IFERROR(Data!$F84/Data!$E84,0)</f>
        <v>34</v>
      </c>
      <c r="AM84" s="29">
        <f>COUNTIF(Data!$N$2:$N$825,Data!$N84)</f>
        <v>10</v>
      </c>
      <c r="AN84" s="29" t="str">
        <f>VLOOKUP(Data!$N84,'Helpful Tables'!A:D,4,FALSE)</f>
        <v>Washington, DC</v>
      </c>
      <c r="AO84" s="29">
        <f>COUNTIF(AN:AN,Data!$AN84)/COUNTA(AN:AN)</f>
        <v>0.62424242424242427</v>
      </c>
      <c r="AP84" s="29">
        <v>38.879828000000003</v>
      </c>
      <c r="AQ84" s="29">
        <v>-77.005566000000002</v>
      </c>
      <c r="AR84" s="29">
        <f>COUNTIF(Data!$P$2:$P$825,Data!$P84)</f>
        <v>9</v>
      </c>
      <c r="AS84" s="29" cm="1">
        <f t="array" ref="AS84">_xlfn.IFS(Data!$E84&lt;12,((Data!$E84/Data!$D84)*60)*1,AND(Data!$E84&gt;=12,Data!$E84&lt;=15),((Data!$E84/Data!$D84)*60)*1.2,AND(Data!$E84&gt;=16,Data!$E84&lt;=19),((Data!$E84/Data!$D84)*60)*1.5,Data!$E84&gt;=20,((Data!$E84/Data!$D84)*60)*1.8)</f>
        <v>26.237473428644016</v>
      </c>
      <c r="AT84" s="29" cm="1">
        <f t="array" ref="AT84">_xlfn.IFS(Data!$F84&lt;600,((Data!$F84/Data!$D84)*60)*1,AND(Data!$F84&gt;=600,Data!$F84&lt;=625),((Data!$F84/Data!$D84)*60)*1.2,AND(Data!$F84&gt;=626,Data!$F84&lt;=650),((Data!$F84/Data!$D84)*60)*1.5,Data!$F84&gt;=651,((Data!$F84/Data!$D84)*60)*1.8)</f>
        <v>594.71606438259778</v>
      </c>
      <c r="AU84" s="29">
        <f>(Data!$I84*-1.2)+(Data!$J84*-1.1)+(Data!$K84*1.2)+(Data!$L84*1.3)+(Data!$M84*1.5)</f>
        <v>-4.1783333345999978</v>
      </c>
      <c r="AV84" s="29">
        <f>(Data!$AS84*0.4)+(Data!$AT84*0.4)+(Data!$AU84*0.2)</f>
        <v>247.54574845757676</v>
      </c>
      <c r="AW84" s="29">
        <f>PERCENTRANK(AV:AV,Data!$AV84)*100</f>
        <v>16.2</v>
      </c>
      <c r="AX84" s="29" t="str">
        <f>_xlfn.CONCAT(TEXT(C84,"mmm"),"-",Data!$AE84)</f>
        <v>Nov-2019</v>
      </c>
    </row>
    <row r="85" spans="1:50" ht="17" thickTop="1" thickBot="1" x14ac:dyDescent="0.25">
      <c r="A85" s="22">
        <v>84</v>
      </c>
      <c r="B85" s="23">
        <f t="shared" si="10"/>
        <v>15</v>
      </c>
      <c r="C85" s="41">
        <v>43785</v>
      </c>
      <c r="D85" s="24">
        <f>SUM(Data!$I85:$M85)</f>
        <v>55.733333333000004</v>
      </c>
      <c r="E85" s="23">
        <v>15</v>
      </c>
      <c r="F85" s="23">
        <v>631</v>
      </c>
      <c r="G85" s="23">
        <v>130</v>
      </c>
      <c r="H85" s="23">
        <v>168</v>
      </c>
      <c r="I85" s="23">
        <v>10.55</v>
      </c>
      <c r="J85" s="23">
        <v>9.2833333329999999</v>
      </c>
      <c r="K85" s="23">
        <v>21.433333333</v>
      </c>
      <c r="L85" s="23">
        <v>13.55</v>
      </c>
      <c r="M85" s="23">
        <v>0.91666666699999999</v>
      </c>
      <c r="N85" s="23" t="s">
        <v>33</v>
      </c>
      <c r="O85" s="23" t="s">
        <v>45</v>
      </c>
      <c r="P85" s="23" t="s">
        <v>68</v>
      </c>
      <c r="Q85" s="23">
        <f t="shared" si="16"/>
        <v>1</v>
      </c>
      <c r="R85" s="23" t="str">
        <f t="shared" si="11"/>
        <v>11-2019</v>
      </c>
      <c r="S85" s="23" t="s">
        <v>43</v>
      </c>
      <c r="T85" s="23" t="str">
        <f t="shared" si="12"/>
        <v>Saturday</v>
      </c>
      <c r="U85" s="23">
        <f t="shared" si="13"/>
        <v>1</v>
      </c>
      <c r="V85" s="25">
        <f>IFERROR(Data!$I85/Data!$D85,"")</f>
        <v>0.18929425837433789</v>
      </c>
      <c r="W85" s="25">
        <f>IFERROR(Data!$J85/Data!$D85,"")</f>
        <v>0.16656698564094835</v>
      </c>
      <c r="X85" s="25">
        <f>IFERROR(Data!$K85/Data!$D85,"")</f>
        <v>0.38456937798674978</v>
      </c>
      <c r="Y85" s="25">
        <f>IFERROR(Data!$L85/Data!$D85,"")</f>
        <v>0.24312200957083208</v>
      </c>
      <c r="Z85" s="25">
        <f>IFERROR(Data!$M85/Data!$D85,"")</f>
        <v>1.6447368427131862E-2</v>
      </c>
      <c r="AA85" s="26">
        <v>237.14</v>
      </c>
      <c r="AB85" s="26">
        <f t="shared" si="17"/>
        <v>15.809333333333333</v>
      </c>
      <c r="AC85" s="23">
        <f t="shared" si="14"/>
        <v>602.06666666666672</v>
      </c>
      <c r="AD85" s="23">
        <f t="shared" si="15"/>
        <v>15.133333333333333</v>
      </c>
      <c r="AE85" s="23">
        <f>YEAR(Data!$C85)</f>
        <v>2019</v>
      </c>
      <c r="AF85" s="23"/>
      <c r="AG85" s="23">
        <v>12</v>
      </c>
      <c r="AH85" s="27">
        <f>Data!$F85/Data!$D85</f>
        <v>11.321770334995943</v>
      </c>
      <c r="AI85" s="17" t="str">
        <f>RIGHT(Data!$O85,2)</f>
        <v>AM</v>
      </c>
      <c r="AJ85" s="23" t="str">
        <f>Data!$R85&amp;"-"&amp;WEEKNUM(Data!$C85,1)-WEEKNUM(DATE(YEAR(Data!$C85),MONTH(Data!$C85),1),1)+1</f>
        <v>11-2019-3</v>
      </c>
      <c r="AK85" s="23">
        <f>MONTH(Data!$C85)</f>
        <v>11</v>
      </c>
      <c r="AL85" s="23">
        <f>IFERROR(Data!$F85/Data!$E85,0)</f>
        <v>42.06666666666667</v>
      </c>
      <c r="AM85" s="23">
        <f>COUNTIF(Data!$N$2:$N$825,Data!$N85)</f>
        <v>48</v>
      </c>
      <c r="AN85" s="23" t="str">
        <f>VLOOKUP(Data!$N85,'Helpful Tables'!A:D,4,FALSE)</f>
        <v>Washington, DC</v>
      </c>
      <c r="AO85" s="23">
        <f>COUNTIF(AN:AN,Data!$AN85)/COUNTA(AN:AN)</f>
        <v>0.62424242424242427</v>
      </c>
      <c r="AP85" s="23">
        <v>38.916486999999996</v>
      </c>
      <c r="AQ85" s="23">
        <v>-77.031514000000001</v>
      </c>
      <c r="AR85" s="23">
        <f>COUNTIF(Data!$P$2:$P$825,Data!$P85)</f>
        <v>5</v>
      </c>
      <c r="AS85" s="23" cm="1">
        <f t="array" ref="AS85">_xlfn.IFS(Data!$E85&lt;12,((Data!$E85/Data!$D85)*60)*1,AND(Data!$E85&gt;=12,Data!$E85&lt;=15),((Data!$E85/Data!$D85)*60)*1.2,AND(Data!$E85&gt;=16,Data!$E85&lt;=19),((Data!$E85/Data!$D85)*60)*1.5,Data!$E85&gt;=20,((Data!$E85/Data!$D85)*60)*1.8)</f>
        <v>19.377990430737903</v>
      </c>
      <c r="AT85" s="23" cm="1">
        <f t="array" ref="AT85">_xlfn.IFS(Data!$F85&lt;600,((Data!$F85/Data!$D85)*60)*1,AND(Data!$F85&gt;=600,Data!$F85&lt;=625),((Data!$F85/Data!$D85)*60)*1.2,AND(Data!$F85&gt;=626,Data!$F85&lt;=650),((Data!$F85/Data!$D85)*60)*1.5,Data!$F85&gt;=651,((Data!$F85/Data!$D85)*60)*1.8)</f>
        <v>1018.959330149635</v>
      </c>
      <c r="AU85" s="23">
        <f>(Data!$I85*-1.2)+(Data!$J85*-1.1)+(Data!$K85*1.2)+(Data!$L85*1.3)+(Data!$M85*1.5)</f>
        <v>21.838333333800001</v>
      </c>
      <c r="AV85" s="23">
        <f>(Data!$AS85*0.4)+(Data!$AT85*0.4)+(Data!$AU85*0.2)</f>
        <v>419.70259489890918</v>
      </c>
      <c r="AW85" s="23">
        <f>PERCENTRANK(AV:AV,Data!$AV85)*100</f>
        <v>61</v>
      </c>
      <c r="AX85" s="23" t="str">
        <f>_xlfn.CONCAT(TEXT(C85,"mmm"),"-",Data!$AE85)</f>
        <v>Nov-2019</v>
      </c>
    </row>
    <row r="86" spans="1:50" ht="17" thickTop="1" thickBot="1" x14ac:dyDescent="0.25">
      <c r="A86" s="28">
        <v>85</v>
      </c>
      <c r="B86" s="29">
        <f t="shared" si="10"/>
        <v>15</v>
      </c>
      <c r="C86" s="41">
        <v>43786</v>
      </c>
      <c r="D86" s="30">
        <f>SUM(Data!$I86:$M86)</f>
        <v>56.433333334000004</v>
      </c>
      <c r="E86" s="29">
        <v>15</v>
      </c>
      <c r="F86" s="29">
        <v>625</v>
      </c>
      <c r="G86" s="29">
        <v>128</v>
      </c>
      <c r="H86" s="29">
        <v>168</v>
      </c>
      <c r="I86" s="29">
        <v>7.9</v>
      </c>
      <c r="J86" s="29">
        <v>18.55</v>
      </c>
      <c r="K86" s="29">
        <v>14.516666667000001</v>
      </c>
      <c r="L86" s="29">
        <v>13.466666667</v>
      </c>
      <c r="M86" s="29">
        <v>2</v>
      </c>
      <c r="N86" s="29" t="s">
        <v>33</v>
      </c>
      <c r="O86" s="29" t="s">
        <v>45</v>
      </c>
      <c r="P86" s="29" t="s">
        <v>34</v>
      </c>
      <c r="Q86" s="29">
        <f t="shared" si="16"/>
        <v>1</v>
      </c>
      <c r="R86" s="29" t="str">
        <f t="shared" si="11"/>
        <v>11-2019</v>
      </c>
      <c r="S86" s="29" t="s">
        <v>43</v>
      </c>
      <c r="T86" s="29" t="str">
        <f t="shared" si="12"/>
        <v>Sunday</v>
      </c>
      <c r="U86" s="29">
        <f t="shared" si="13"/>
        <v>1</v>
      </c>
      <c r="V86" s="31">
        <f>IFERROR(Data!$I86/Data!$D86,"")</f>
        <v>0.1399881866492618</v>
      </c>
      <c r="W86" s="31">
        <f>IFERROR(Data!$J86/Data!$D86,"")</f>
        <v>0.32870643827136792</v>
      </c>
      <c r="X86" s="31">
        <f>IFERROR(Data!$K86/Data!$D86,"")</f>
        <v>0.25723567631710292</v>
      </c>
      <c r="Y86" s="31">
        <f>IFERROR(Data!$L86/Data!$D86,"")</f>
        <v>0.23862965150928966</v>
      </c>
      <c r="Z86" s="31">
        <f>IFERROR(Data!$M86/Data!$D86,"")</f>
        <v>3.5440047252977669E-2</v>
      </c>
      <c r="AA86" s="32">
        <v>237.14</v>
      </c>
      <c r="AB86" s="32">
        <f t="shared" si="17"/>
        <v>15.809333333333333</v>
      </c>
      <c r="AC86" s="29">
        <f t="shared" si="14"/>
        <v>602.06666666666672</v>
      </c>
      <c r="AD86" s="29">
        <f t="shared" si="15"/>
        <v>15.133333333333333</v>
      </c>
      <c r="AE86" s="29">
        <f>YEAR(Data!$C86)</f>
        <v>2019</v>
      </c>
      <c r="AF86" s="29"/>
      <c r="AG86" s="29">
        <v>12</v>
      </c>
      <c r="AH86" s="33">
        <f>Data!$F86/Data!$D86</f>
        <v>11.075014766555523</v>
      </c>
      <c r="AI86" s="17" t="str">
        <f>RIGHT(Data!$O86,2)</f>
        <v>AM</v>
      </c>
      <c r="AJ86" s="29" t="str">
        <f>Data!$R86&amp;"-"&amp;WEEKNUM(Data!$C86,1)-WEEKNUM(DATE(YEAR(Data!$C86),MONTH(Data!$C86),1),1)+1</f>
        <v>11-2019-4</v>
      </c>
      <c r="AK86" s="29">
        <f>MONTH(Data!$C86)</f>
        <v>11</v>
      </c>
      <c r="AL86" s="29">
        <f>IFERROR(Data!$F86/Data!$E86,0)</f>
        <v>41.666666666666664</v>
      </c>
      <c r="AM86" s="29">
        <f>COUNTIF(Data!$N$2:$N$825,Data!$N86)</f>
        <v>48</v>
      </c>
      <c r="AN86" s="29" t="str">
        <f>VLOOKUP(Data!$N86,'Helpful Tables'!A:D,4,FALSE)</f>
        <v>Washington, DC</v>
      </c>
      <c r="AO86" s="29">
        <f>COUNTIF(AN:AN,Data!$AN86)/COUNTA(AN:AN)</f>
        <v>0.62424242424242427</v>
      </c>
      <c r="AP86" s="29">
        <v>38.916486999999996</v>
      </c>
      <c r="AQ86" s="29">
        <v>-77.031514000000001</v>
      </c>
      <c r="AR86" s="29">
        <f>COUNTIF(Data!$P$2:$P$825,Data!$P86)</f>
        <v>30</v>
      </c>
      <c r="AS86" s="29" cm="1">
        <f t="array" ref="AS86">_xlfn.IFS(Data!$E86&lt;12,((Data!$E86/Data!$D86)*60)*1,AND(Data!$E86&gt;=12,Data!$E86&lt;=15),((Data!$E86/Data!$D86)*60)*1.2,AND(Data!$E86&gt;=16,Data!$E86&lt;=19),((Data!$E86/Data!$D86)*60)*1.5,Data!$E86&gt;=20,((Data!$E86/Data!$D86)*60)*1.8)</f>
        <v>19.13762551660794</v>
      </c>
      <c r="AT86" s="29" cm="1">
        <f t="array" ref="AT86">_xlfn.IFS(Data!$F86&lt;600,((Data!$F86/Data!$D86)*60)*1,AND(Data!$F86&gt;=600,Data!$F86&lt;=625),((Data!$F86/Data!$D86)*60)*1.2,AND(Data!$F86&gt;=626,Data!$F86&lt;=650),((Data!$F86/Data!$D86)*60)*1.5,Data!$F86&gt;=651,((Data!$F86/Data!$D86)*60)*1.8)</f>
        <v>797.40106319199765</v>
      </c>
      <c r="AU86" s="29">
        <f>(Data!$I86*-1.2)+(Data!$J86*-1.1)+(Data!$K86*1.2)+(Data!$L86*1.3)+(Data!$M86*1.5)</f>
        <v>8.0416666674999995</v>
      </c>
      <c r="AV86" s="29">
        <f>(Data!$AS86*0.4)+(Data!$AT86*0.4)+(Data!$AU86*0.2)</f>
        <v>328.22380881694227</v>
      </c>
      <c r="AW86" s="29">
        <f>PERCENTRANK(AV:AV,Data!$AV86)*100</f>
        <v>40.799999999999997</v>
      </c>
      <c r="AX86" s="29" t="str">
        <f>_xlfn.CONCAT(TEXT(C86,"mmm"),"-",Data!$AE86)</f>
        <v>Nov-2019</v>
      </c>
    </row>
    <row r="87" spans="1:50" ht="17" thickTop="1" thickBot="1" x14ac:dyDescent="0.25">
      <c r="A87" s="22">
        <v>86</v>
      </c>
      <c r="B87" s="23">
        <f t="shared" si="10"/>
        <v>15</v>
      </c>
      <c r="C87" s="41">
        <v>43788</v>
      </c>
      <c r="D87" s="24">
        <f>SUM(Data!$I87:$M87)</f>
        <v>57.999999999999993</v>
      </c>
      <c r="E87" s="23">
        <v>14</v>
      </c>
      <c r="F87" s="23">
        <v>595</v>
      </c>
      <c r="G87" s="23">
        <v>122</v>
      </c>
      <c r="H87" s="23">
        <v>170</v>
      </c>
      <c r="I87" s="23">
        <v>21.8</v>
      </c>
      <c r="J87" s="23">
        <v>6.85</v>
      </c>
      <c r="K87" s="23">
        <v>15.616666667000001</v>
      </c>
      <c r="L87" s="23">
        <v>9.8333333330000006</v>
      </c>
      <c r="M87" s="23">
        <v>3.9</v>
      </c>
      <c r="N87" s="23" t="s">
        <v>24</v>
      </c>
      <c r="O87" s="23" t="s">
        <v>26</v>
      </c>
      <c r="P87" s="23" t="s">
        <v>28</v>
      </c>
      <c r="Q87" s="23">
        <f t="shared" si="16"/>
        <v>2</v>
      </c>
      <c r="R87" s="23" t="str">
        <f t="shared" si="11"/>
        <v>11-2019</v>
      </c>
      <c r="S87" s="23" t="s">
        <v>43</v>
      </c>
      <c r="T87" s="23" t="str">
        <f t="shared" si="12"/>
        <v>Tuesday</v>
      </c>
      <c r="U87" s="23">
        <f t="shared" si="13"/>
        <v>1</v>
      </c>
      <c r="V87" s="25">
        <f>IFERROR(Data!$I87/Data!$D87,"")</f>
        <v>0.37586206896551733</v>
      </c>
      <c r="W87" s="25">
        <f>IFERROR(Data!$J87/Data!$D87,"")</f>
        <v>0.11810344827586208</v>
      </c>
      <c r="X87" s="25">
        <f>IFERROR(Data!$K87/Data!$D87,"")</f>
        <v>0.26925287356896555</v>
      </c>
      <c r="Y87" s="25">
        <f>IFERROR(Data!$L87/Data!$D87,"")</f>
        <v>0.16954022987931039</v>
      </c>
      <c r="Z87" s="25">
        <f>IFERROR(Data!$M87/Data!$D87,"")</f>
        <v>6.7241379310344837E-2</v>
      </c>
      <c r="AA87" s="26">
        <v>237.14</v>
      </c>
      <c r="AB87" s="26">
        <f t="shared" si="17"/>
        <v>15.809333333333333</v>
      </c>
      <c r="AC87" s="23">
        <f t="shared" si="14"/>
        <v>602.06666666666672</v>
      </c>
      <c r="AD87" s="23">
        <f t="shared" si="15"/>
        <v>15.133333333333333</v>
      </c>
      <c r="AE87" s="23">
        <f>YEAR(Data!$C87)</f>
        <v>2019</v>
      </c>
      <c r="AF87" s="23"/>
      <c r="AG87" s="23">
        <v>12</v>
      </c>
      <c r="AH87" s="27">
        <f>Data!$F87/Data!$D87</f>
        <v>10.258620689655174</v>
      </c>
      <c r="AI87" s="17" t="str">
        <f>RIGHT(Data!$O87,2)</f>
        <v>PM</v>
      </c>
      <c r="AJ87" s="23" t="str">
        <f>Data!$R87&amp;"-"&amp;WEEKNUM(Data!$C87,1)-WEEKNUM(DATE(YEAR(Data!$C87),MONTH(Data!$C87),1),1)+1</f>
        <v>11-2019-4</v>
      </c>
      <c r="AK87" s="23">
        <f>MONTH(Data!$C87)</f>
        <v>11</v>
      </c>
      <c r="AL87" s="23">
        <f>IFERROR(Data!$F87/Data!$E87,0)</f>
        <v>42.5</v>
      </c>
      <c r="AM87" s="23">
        <f>COUNTIF(Data!$N$2:$N$825,Data!$N87)</f>
        <v>35</v>
      </c>
      <c r="AN87" s="23" t="str">
        <f>VLOOKUP(Data!$N87,'Helpful Tables'!A:D,4,FALSE)</f>
        <v>Virginia</v>
      </c>
      <c r="AO87" s="23">
        <f>COUNTIF(AN:AN,Data!$AN87)/COUNTA(AN:AN)</f>
        <v>6.424242424242424E-2</v>
      </c>
      <c r="AP87" s="23">
        <v>38.881884999999997</v>
      </c>
      <c r="AQ87" s="23">
        <v>-77.229702000000003</v>
      </c>
      <c r="AR87" s="23">
        <f>COUNTIF(Data!$P$2:$P$825,Data!$P87)</f>
        <v>10</v>
      </c>
      <c r="AS87" s="23" cm="1">
        <f t="array" ref="AS87">_xlfn.IFS(Data!$E87&lt;12,((Data!$E87/Data!$D87)*60)*1,AND(Data!$E87&gt;=12,Data!$E87&lt;=15),((Data!$E87/Data!$D87)*60)*1.2,AND(Data!$E87&gt;=16,Data!$E87&lt;=19),((Data!$E87/Data!$D87)*60)*1.5,Data!$E87&gt;=20,((Data!$E87/Data!$D87)*60)*1.8)</f>
        <v>17.379310344827591</v>
      </c>
      <c r="AT87" s="23" cm="1">
        <f t="array" ref="AT87">_xlfn.IFS(Data!$F87&lt;600,((Data!$F87/Data!$D87)*60)*1,AND(Data!$F87&gt;=600,Data!$F87&lt;=625),((Data!$F87/Data!$D87)*60)*1.2,AND(Data!$F87&gt;=626,Data!$F87&lt;=650),((Data!$F87/Data!$D87)*60)*1.5,Data!$F87&gt;=651,((Data!$F87/Data!$D87)*60)*1.8)</f>
        <v>615.51724137931046</v>
      </c>
      <c r="AU87" s="23">
        <f>(Data!$I87*-1.2)+(Data!$J87*-1.1)+(Data!$K87*1.2)+(Data!$L87*1.3)+(Data!$M87*1.5)</f>
        <v>3.6783333332999995</v>
      </c>
      <c r="AV87" s="23">
        <f>(Data!$AS87*0.4)+(Data!$AT87*0.4)+(Data!$AU87*0.2)</f>
        <v>253.8942873563152</v>
      </c>
      <c r="AW87" s="23">
        <f>PERCENTRANK(AV:AV,Data!$AV87)*100</f>
        <v>18.7</v>
      </c>
      <c r="AX87" s="23" t="str">
        <f>_xlfn.CONCAT(TEXT(C87,"mmm"),"-",Data!$AE87)</f>
        <v>Nov-2019</v>
      </c>
    </row>
    <row r="88" spans="1:50" ht="17" thickTop="1" thickBot="1" x14ac:dyDescent="0.25">
      <c r="A88" s="28">
        <v>87</v>
      </c>
      <c r="B88" s="29">
        <f t="shared" si="10"/>
        <v>15</v>
      </c>
      <c r="C88" s="41">
        <v>43790</v>
      </c>
      <c r="D88" s="30">
        <f>SUM(Data!$I88:$M88)</f>
        <v>58</v>
      </c>
      <c r="E88" s="29">
        <v>11</v>
      </c>
      <c r="F88" s="29">
        <v>585</v>
      </c>
      <c r="G88" s="29">
        <v>121</v>
      </c>
      <c r="H88" s="29">
        <v>169</v>
      </c>
      <c r="I88" s="29">
        <v>18.75</v>
      </c>
      <c r="J88" s="29">
        <v>13.016666667000001</v>
      </c>
      <c r="K88" s="29">
        <v>15.8</v>
      </c>
      <c r="L88" s="29">
        <v>8.8833333329999995</v>
      </c>
      <c r="M88" s="29">
        <v>1.55</v>
      </c>
      <c r="N88" s="29" t="s">
        <v>24</v>
      </c>
      <c r="O88" s="29" t="s">
        <v>26</v>
      </c>
      <c r="P88" s="29" t="s">
        <v>67</v>
      </c>
      <c r="Q88" s="29">
        <f t="shared" si="16"/>
        <v>2</v>
      </c>
      <c r="R88" s="29" t="str">
        <f t="shared" si="11"/>
        <v>11-2019</v>
      </c>
      <c r="S88" s="29" t="s">
        <v>43</v>
      </c>
      <c r="T88" s="29" t="str">
        <f t="shared" si="12"/>
        <v>Thursday</v>
      </c>
      <c r="U88" s="29">
        <f t="shared" si="13"/>
        <v>0</v>
      </c>
      <c r="V88" s="31">
        <f>IFERROR(Data!$I88/Data!$D88,"")</f>
        <v>0.32327586206896552</v>
      </c>
      <c r="W88" s="31">
        <f>IFERROR(Data!$J88/Data!$D88,"")</f>
        <v>0.22442528736206899</v>
      </c>
      <c r="X88" s="31">
        <f>IFERROR(Data!$K88/Data!$D88,"")</f>
        <v>0.27241379310344827</v>
      </c>
      <c r="Y88" s="31">
        <f>IFERROR(Data!$L88/Data!$D88,"")</f>
        <v>0.15316091953448274</v>
      </c>
      <c r="Z88" s="31">
        <f>IFERROR(Data!$M88/Data!$D88,"")</f>
        <v>2.6724137931034484E-2</v>
      </c>
      <c r="AA88" s="32">
        <v>237.14</v>
      </c>
      <c r="AB88" s="32">
        <f t="shared" si="17"/>
        <v>15.809333333333333</v>
      </c>
      <c r="AC88" s="29">
        <f t="shared" si="14"/>
        <v>602.06666666666672</v>
      </c>
      <c r="AD88" s="29">
        <f t="shared" si="15"/>
        <v>15.133333333333333</v>
      </c>
      <c r="AE88" s="29">
        <f>YEAR(Data!$C88)</f>
        <v>2019</v>
      </c>
      <c r="AF88" s="29"/>
      <c r="AG88" s="29">
        <v>12</v>
      </c>
      <c r="AH88" s="33">
        <f>Data!$F88/Data!$D88</f>
        <v>10.086206896551724</v>
      </c>
      <c r="AI88" s="17" t="str">
        <f>RIGHT(Data!$O88,2)</f>
        <v>PM</v>
      </c>
      <c r="AJ88" s="29" t="str">
        <f>Data!$R88&amp;"-"&amp;WEEKNUM(Data!$C88,1)-WEEKNUM(DATE(YEAR(Data!$C88),MONTH(Data!$C88),1),1)+1</f>
        <v>11-2019-4</v>
      </c>
      <c r="AK88" s="29">
        <f>MONTH(Data!$C88)</f>
        <v>11</v>
      </c>
      <c r="AL88" s="29">
        <f>IFERROR(Data!$F88/Data!$E88,0)</f>
        <v>53.18181818181818</v>
      </c>
      <c r="AM88" s="29">
        <f>COUNTIF(Data!$N$2:$N$825,Data!$N88)</f>
        <v>35</v>
      </c>
      <c r="AN88" s="29" t="str">
        <f>VLOOKUP(Data!$N88,'Helpful Tables'!A:D,4,FALSE)</f>
        <v>Virginia</v>
      </c>
      <c r="AO88" s="29">
        <f>COUNTIF(AN:AN,Data!$AN88)/COUNTA(AN:AN)</f>
        <v>6.424242424242424E-2</v>
      </c>
      <c r="AP88" s="29">
        <v>38.881884999999997</v>
      </c>
      <c r="AQ88" s="29">
        <v>-77.229702000000003</v>
      </c>
      <c r="AR88" s="29">
        <f>COUNTIF(Data!$P$2:$P$825,Data!$P88)</f>
        <v>2</v>
      </c>
      <c r="AS88" s="29" cm="1">
        <f t="array" ref="AS88">_xlfn.IFS(Data!$E88&lt;12,((Data!$E88/Data!$D88)*60)*1,AND(Data!$E88&gt;=12,Data!$E88&lt;=15),((Data!$E88/Data!$D88)*60)*1.2,AND(Data!$E88&gt;=16,Data!$E88&lt;=19),((Data!$E88/Data!$D88)*60)*1.5,Data!$E88&gt;=20,((Data!$E88/Data!$D88)*60)*1.8)</f>
        <v>11.379310344827585</v>
      </c>
      <c r="AT88" s="29" cm="1">
        <f t="array" ref="AT88">_xlfn.IFS(Data!$F88&lt;600,((Data!$F88/Data!$D88)*60)*1,AND(Data!$F88&gt;=600,Data!$F88&lt;=625),((Data!$F88/Data!$D88)*60)*1.2,AND(Data!$F88&gt;=626,Data!$F88&lt;=650),((Data!$F88/Data!$D88)*60)*1.5,Data!$F88&gt;=651,((Data!$F88/Data!$D88)*60)*1.8)</f>
        <v>605.17241379310349</v>
      </c>
      <c r="AU88" s="29">
        <f>(Data!$I88*-1.2)+(Data!$J88*-1.1)+(Data!$K88*1.2)+(Data!$L88*1.3)+(Data!$M88*1.5)</f>
        <v>-3.9850000008000022</v>
      </c>
      <c r="AV88" s="29">
        <f>(Data!$AS88*0.4)+(Data!$AT88*0.4)+(Data!$AU88*0.2)</f>
        <v>245.82368965501243</v>
      </c>
      <c r="AW88" s="29">
        <f>PERCENTRANK(AV:AV,Data!$AV88)*100</f>
        <v>15.4</v>
      </c>
      <c r="AX88" s="29" t="str">
        <f>_xlfn.CONCAT(TEXT(C88,"mmm"),"-",Data!$AE88)</f>
        <v>Nov-2019</v>
      </c>
    </row>
    <row r="89" spans="1:50" ht="17" thickTop="1" thickBot="1" x14ac:dyDescent="0.25">
      <c r="A89" s="22">
        <v>88</v>
      </c>
      <c r="B89" s="23">
        <f t="shared" si="10"/>
        <v>15</v>
      </c>
      <c r="C89" s="41">
        <v>43791</v>
      </c>
      <c r="D89" s="24">
        <f>SUM(Data!$I89:$M89)</f>
        <v>57.016666666000006</v>
      </c>
      <c r="E89" s="23">
        <v>16</v>
      </c>
      <c r="F89" s="23">
        <v>550</v>
      </c>
      <c r="G89" s="23">
        <v>118</v>
      </c>
      <c r="H89" s="23">
        <v>175</v>
      </c>
      <c r="I89" s="23">
        <v>26.6</v>
      </c>
      <c r="J89" s="23">
        <v>5.5333333329999999</v>
      </c>
      <c r="K89" s="23">
        <v>9.15</v>
      </c>
      <c r="L89" s="23">
        <v>12.6</v>
      </c>
      <c r="M89" s="23">
        <v>3.1333333329999999</v>
      </c>
      <c r="N89" s="23" t="s">
        <v>33</v>
      </c>
      <c r="O89" s="23" t="s">
        <v>39</v>
      </c>
      <c r="P89" s="23" t="s">
        <v>68</v>
      </c>
      <c r="Q89" s="23">
        <f t="shared" si="16"/>
        <v>1</v>
      </c>
      <c r="R89" s="23" t="str">
        <f t="shared" si="11"/>
        <v>11-2019</v>
      </c>
      <c r="S89" s="23" t="s">
        <v>48</v>
      </c>
      <c r="T89" s="23" t="str">
        <f t="shared" si="12"/>
        <v>Friday</v>
      </c>
      <c r="U89" s="23">
        <f t="shared" si="13"/>
        <v>1</v>
      </c>
      <c r="V89" s="25">
        <f>IFERROR(Data!$I89/Data!$D89,"")</f>
        <v>0.46653025431705969</v>
      </c>
      <c r="W89" s="25">
        <f>IFERROR(Data!$J89/Data!$D89,"")</f>
        <v>9.7047646882163649E-2</v>
      </c>
      <c r="X89" s="25">
        <f>IFERROR(Data!$K89/Data!$D89,"")</f>
        <v>0.1604793919925224</v>
      </c>
      <c r="Y89" s="25">
        <f>IFERROR(Data!$L89/Data!$D89,"")</f>
        <v>0.22098801520281772</v>
      </c>
      <c r="Z89" s="25">
        <f>IFERROR(Data!$M89/Data!$D89,"")</f>
        <v>5.4954691605436472E-2</v>
      </c>
      <c r="AA89" s="26">
        <v>237.14</v>
      </c>
      <c r="AB89" s="26">
        <f t="shared" si="17"/>
        <v>15.809333333333333</v>
      </c>
      <c r="AC89" s="23">
        <f t="shared" si="14"/>
        <v>602.06666666666672</v>
      </c>
      <c r="AD89" s="23">
        <f t="shared" si="15"/>
        <v>15.133333333333333</v>
      </c>
      <c r="AE89" s="23">
        <f>YEAR(Data!$C89)</f>
        <v>2019</v>
      </c>
      <c r="AF89" s="23"/>
      <c r="AG89" s="23">
        <v>12</v>
      </c>
      <c r="AH89" s="27">
        <f>Data!$F89/Data!$D89</f>
        <v>9.6463022509166461</v>
      </c>
      <c r="AI89" s="17" t="str">
        <f>RIGHT(Data!$O89,2)</f>
        <v>PM</v>
      </c>
      <c r="AJ89" s="23" t="str">
        <f>Data!$R89&amp;"-"&amp;WEEKNUM(Data!$C89,1)-WEEKNUM(DATE(YEAR(Data!$C89),MONTH(Data!$C89),1),1)+1</f>
        <v>11-2019-4</v>
      </c>
      <c r="AK89" s="23">
        <f>MONTH(Data!$C89)</f>
        <v>11</v>
      </c>
      <c r="AL89" s="23">
        <f>IFERROR(Data!$F89/Data!$E89,0)</f>
        <v>34.375</v>
      </c>
      <c r="AM89" s="23">
        <f>COUNTIF(Data!$N$2:$N$825,Data!$N89)</f>
        <v>48</v>
      </c>
      <c r="AN89" s="23" t="str">
        <f>VLOOKUP(Data!$N89,'Helpful Tables'!A:D,4,FALSE)</f>
        <v>Washington, DC</v>
      </c>
      <c r="AO89" s="23">
        <f>COUNTIF(AN:AN,Data!$AN89)/COUNTA(AN:AN)</f>
        <v>0.62424242424242427</v>
      </c>
      <c r="AP89" s="23">
        <v>38.916486999999996</v>
      </c>
      <c r="AQ89" s="23">
        <v>-77.031514000000001</v>
      </c>
      <c r="AR89" s="23">
        <f>COUNTIF(Data!$P$2:$P$825,Data!$P89)</f>
        <v>5</v>
      </c>
      <c r="AS89" s="23" cm="1">
        <f t="array" ref="AS89">_xlfn.IFS(Data!$E89&lt;12,((Data!$E89/Data!$D89)*60)*1,AND(Data!$E89&gt;=12,Data!$E89&lt;=15),((Data!$E89/Data!$D89)*60)*1.2,AND(Data!$E89&gt;=16,Data!$E89&lt;=19),((Data!$E89/Data!$D89)*60)*1.5,Data!$E89&gt;=20,((Data!$E89/Data!$D89)*60)*1.8)</f>
        <v>25.255773166036313</v>
      </c>
      <c r="AT89" s="23" cm="1">
        <f t="array" ref="AT89">_xlfn.IFS(Data!$F89&lt;600,((Data!$F89/Data!$D89)*60)*1,AND(Data!$F89&gt;=600,Data!$F89&lt;=625),((Data!$F89/Data!$D89)*60)*1.2,AND(Data!$F89&gt;=626,Data!$F89&lt;=650),((Data!$F89/Data!$D89)*60)*1.5,Data!$F89&gt;=651,((Data!$F89/Data!$D89)*60)*1.8)</f>
        <v>578.77813505499876</v>
      </c>
      <c r="AU89" s="23">
        <f>(Data!$I89*-1.2)+(Data!$J89*-1.1)+(Data!$K89*1.2)+(Data!$L89*1.3)+(Data!$M89*1.5)</f>
        <v>-5.9466666667999997</v>
      </c>
      <c r="AV89" s="23">
        <f>(Data!$AS89*0.4)+(Data!$AT89*0.4)+(Data!$AU89*0.2)</f>
        <v>240.42422995505405</v>
      </c>
      <c r="AW89" s="23">
        <f>PERCENTRANK(AV:AV,Data!$AV89)*100</f>
        <v>12.3</v>
      </c>
      <c r="AX89" s="23" t="str">
        <f>_xlfn.CONCAT(TEXT(C89,"mmm"),"-",Data!$AE89)</f>
        <v>Nov-2019</v>
      </c>
    </row>
    <row r="90" spans="1:50" ht="17" thickTop="1" thickBot="1" x14ac:dyDescent="0.25">
      <c r="A90" s="28">
        <v>89</v>
      </c>
      <c r="B90" s="29">
        <f t="shared" si="10"/>
        <v>15</v>
      </c>
      <c r="C90" s="41">
        <v>43792</v>
      </c>
      <c r="D90" s="30">
        <f>SUM(Data!$I90:$M90)</f>
        <v>54.33333333400001</v>
      </c>
      <c r="E90" s="29">
        <v>15</v>
      </c>
      <c r="F90" s="29">
        <v>612</v>
      </c>
      <c r="G90" s="29">
        <v>129</v>
      </c>
      <c r="H90" s="29">
        <v>174</v>
      </c>
      <c r="I90" s="29">
        <v>7.4166666670000003</v>
      </c>
      <c r="J90" s="29">
        <v>17.666666667000001</v>
      </c>
      <c r="K90" s="29">
        <v>15.116666667000001</v>
      </c>
      <c r="L90" s="29">
        <v>10.6</v>
      </c>
      <c r="M90" s="29">
        <v>3.5333333329999999</v>
      </c>
      <c r="N90" s="29" t="s">
        <v>33</v>
      </c>
      <c r="O90" s="29" t="s">
        <v>45</v>
      </c>
      <c r="P90" s="29" t="s">
        <v>34</v>
      </c>
      <c r="Q90" s="29">
        <f t="shared" si="16"/>
        <v>1</v>
      </c>
      <c r="R90" s="29" t="str">
        <f t="shared" si="11"/>
        <v>11-2019</v>
      </c>
      <c r="S90" s="29" t="s">
        <v>43</v>
      </c>
      <c r="T90" s="29" t="str">
        <f t="shared" si="12"/>
        <v>Saturday</v>
      </c>
      <c r="U90" s="29">
        <f t="shared" si="13"/>
        <v>1</v>
      </c>
      <c r="V90" s="31">
        <f>IFERROR(Data!$I90/Data!$D90,"")</f>
        <v>0.13650306748912264</v>
      </c>
      <c r="W90" s="31">
        <f>IFERROR(Data!$J90/Data!$D90,"")</f>
        <v>0.32515337423527418</v>
      </c>
      <c r="X90" s="31">
        <f>IFERROR(Data!$K90/Data!$D90,"")</f>
        <v>0.27822085889842668</v>
      </c>
      <c r="Y90" s="31">
        <f>IFERROR(Data!$L90/Data!$D90,"")</f>
        <v>0.1950920245374835</v>
      </c>
      <c r="Z90" s="31">
        <f>IFERROR(Data!$M90/Data!$D90,"")</f>
        <v>6.5030674839692867E-2</v>
      </c>
      <c r="AA90" s="32">
        <v>237.14</v>
      </c>
      <c r="AB90" s="32">
        <f t="shared" si="17"/>
        <v>15.809333333333333</v>
      </c>
      <c r="AC90" s="29">
        <f t="shared" si="14"/>
        <v>602.06666666666672</v>
      </c>
      <c r="AD90" s="29">
        <f t="shared" si="15"/>
        <v>15.133333333333333</v>
      </c>
      <c r="AE90" s="29">
        <f>YEAR(Data!$C90)</f>
        <v>2019</v>
      </c>
      <c r="AF90" s="29"/>
      <c r="AG90" s="29">
        <v>12</v>
      </c>
      <c r="AH90" s="33">
        <f>Data!$F90/Data!$D90</f>
        <v>11.263803680843386</v>
      </c>
      <c r="AI90" s="17" t="str">
        <f>RIGHT(Data!$O90,2)</f>
        <v>AM</v>
      </c>
      <c r="AJ90" s="29" t="str">
        <f>Data!$R90&amp;"-"&amp;WEEKNUM(Data!$C90,1)-WEEKNUM(DATE(YEAR(Data!$C90),MONTH(Data!$C90),1),1)+1</f>
        <v>11-2019-4</v>
      </c>
      <c r="AK90" s="29">
        <f>MONTH(Data!$C90)</f>
        <v>11</v>
      </c>
      <c r="AL90" s="29">
        <f>IFERROR(Data!$F90/Data!$E90,0)</f>
        <v>40.799999999999997</v>
      </c>
      <c r="AM90" s="29">
        <f>COUNTIF(Data!$N$2:$N$825,Data!$N90)</f>
        <v>48</v>
      </c>
      <c r="AN90" s="29" t="str">
        <f>VLOOKUP(Data!$N90,'Helpful Tables'!A:D,4,FALSE)</f>
        <v>Washington, DC</v>
      </c>
      <c r="AO90" s="29">
        <f>COUNTIF(AN:AN,Data!$AN90)/COUNTA(AN:AN)</f>
        <v>0.62424242424242427</v>
      </c>
      <c r="AP90" s="29">
        <v>38.916486999999996</v>
      </c>
      <c r="AQ90" s="29">
        <v>-77.031514000000001</v>
      </c>
      <c r="AR90" s="29">
        <f>COUNTIF(Data!$P$2:$P$825,Data!$P90)</f>
        <v>30</v>
      </c>
      <c r="AS90" s="29" cm="1">
        <f t="array" ref="AS90">_xlfn.IFS(Data!$E90&lt;12,((Data!$E90/Data!$D90)*60)*1,AND(Data!$E90&gt;=12,Data!$E90&lt;=15),((Data!$E90/Data!$D90)*60)*1.2,AND(Data!$E90&gt;=16,Data!$E90&lt;=19),((Data!$E90/Data!$D90)*60)*1.5,Data!$E90&gt;=20,((Data!$E90/Data!$D90)*60)*1.8)</f>
        <v>19.877300613253038</v>
      </c>
      <c r="AT90" s="29" cm="1">
        <f t="array" ref="AT90">_xlfn.IFS(Data!$F90&lt;600,((Data!$F90/Data!$D90)*60)*1,AND(Data!$F90&gt;=600,Data!$F90&lt;=625),((Data!$F90/Data!$D90)*60)*1.2,AND(Data!$F90&gt;=626,Data!$F90&lt;=650),((Data!$F90/Data!$D90)*60)*1.5,Data!$F90&gt;=651,((Data!$F90/Data!$D90)*60)*1.8)</f>
        <v>810.99386502072377</v>
      </c>
      <c r="AU90" s="29">
        <f>(Data!$I90*-1.2)+(Data!$J90*-1.1)+(Data!$K90*1.2)+(Data!$L90*1.3)+(Data!$M90*1.5)</f>
        <v>8.8866666657999964</v>
      </c>
      <c r="AV90" s="29">
        <f>(Data!$AS90*0.4)+(Data!$AT90*0.4)+(Data!$AU90*0.2)</f>
        <v>334.12579958675076</v>
      </c>
      <c r="AW90" s="29">
        <f>PERCENTRANK(AV:AV,Data!$AV90)*100</f>
        <v>43.1</v>
      </c>
      <c r="AX90" s="29" t="str">
        <f>_xlfn.CONCAT(TEXT(C90,"mmm"),"-",Data!$AE90)</f>
        <v>Nov-2019</v>
      </c>
    </row>
    <row r="91" spans="1:50" ht="17" thickTop="1" thickBot="1" x14ac:dyDescent="0.25">
      <c r="A91" s="22">
        <v>90</v>
      </c>
      <c r="B91" s="23">
        <f t="shared" si="10"/>
        <v>15</v>
      </c>
      <c r="C91" s="41">
        <v>43796</v>
      </c>
      <c r="D91" s="24">
        <f>SUM(Data!$I91:$M91)</f>
        <v>56.65</v>
      </c>
      <c r="E91" s="23">
        <v>12</v>
      </c>
      <c r="F91" s="23">
        <v>613</v>
      </c>
      <c r="G91" s="23">
        <v>126</v>
      </c>
      <c r="H91" s="23">
        <v>172</v>
      </c>
      <c r="I91" s="23">
        <v>9.9333333330000002</v>
      </c>
      <c r="J91" s="23">
        <v>18.399999999999999</v>
      </c>
      <c r="K91" s="23">
        <v>16.2</v>
      </c>
      <c r="L91" s="23">
        <v>6.8666666669999996</v>
      </c>
      <c r="M91" s="23">
        <v>5.25</v>
      </c>
      <c r="N91" s="23" t="s">
        <v>77</v>
      </c>
      <c r="O91" s="23" t="s">
        <v>79</v>
      </c>
      <c r="P91" s="23" t="s">
        <v>78</v>
      </c>
      <c r="Q91" s="23">
        <f t="shared" si="16"/>
        <v>4</v>
      </c>
      <c r="R91" s="23" t="str">
        <f t="shared" si="11"/>
        <v>11-2019</v>
      </c>
      <c r="S91" s="23" t="s">
        <v>47</v>
      </c>
      <c r="T91" s="23" t="str">
        <f t="shared" si="12"/>
        <v>Wednesday</v>
      </c>
      <c r="U91" s="23">
        <f t="shared" si="13"/>
        <v>1</v>
      </c>
      <c r="V91" s="25">
        <f>IFERROR(Data!$I91/Data!$D91,"")</f>
        <v>0.17534568990291263</v>
      </c>
      <c r="W91" s="25">
        <f>IFERROR(Data!$J91/Data!$D91,"")</f>
        <v>0.32480141218005293</v>
      </c>
      <c r="X91" s="25">
        <f>IFERROR(Data!$K91/Data!$D91,"")</f>
        <v>0.28596646072374227</v>
      </c>
      <c r="Y91" s="25">
        <f>IFERROR(Data!$L91/Data!$D91,"")</f>
        <v>0.12121212121800529</v>
      </c>
      <c r="Z91" s="25">
        <f>IFERROR(Data!$M91/Data!$D91,"")</f>
        <v>9.2674315975286845E-2</v>
      </c>
      <c r="AA91" s="26">
        <v>237.14</v>
      </c>
      <c r="AB91" s="26">
        <f t="shared" si="17"/>
        <v>15.809333333333333</v>
      </c>
      <c r="AC91" s="23">
        <f t="shared" si="14"/>
        <v>602.06666666666672</v>
      </c>
      <c r="AD91" s="23">
        <f t="shared" si="15"/>
        <v>15.133333333333333</v>
      </c>
      <c r="AE91" s="23">
        <f>YEAR(Data!$C91)</f>
        <v>2019</v>
      </c>
      <c r="AF91" s="23"/>
      <c r="AG91" s="23">
        <v>12</v>
      </c>
      <c r="AH91" s="27">
        <f>Data!$F91/Data!$D91</f>
        <v>10.820829655781113</v>
      </c>
      <c r="AI91" s="17" t="str">
        <f>RIGHT(Data!$O91,2)</f>
        <v>AM</v>
      </c>
      <c r="AJ91" s="23" t="str">
        <f>Data!$R91&amp;"-"&amp;WEEKNUM(Data!$C91,1)-WEEKNUM(DATE(YEAR(Data!$C91),MONTH(Data!$C91),1),1)+1</f>
        <v>11-2019-5</v>
      </c>
      <c r="AK91" s="23">
        <f>MONTH(Data!$C91)</f>
        <v>11</v>
      </c>
      <c r="AL91" s="23">
        <f>IFERROR(Data!$F91/Data!$E91,0)</f>
        <v>51.083333333333336</v>
      </c>
      <c r="AM91" s="23">
        <f>COUNTIF(Data!$N$2:$N$825,Data!$N91)</f>
        <v>2</v>
      </c>
      <c r="AN91" s="23" t="str">
        <f>VLOOKUP(Data!$N91,'Helpful Tables'!A:D,4,FALSE)</f>
        <v>New Jersey</v>
      </c>
      <c r="AO91" s="23">
        <f>COUNTIF(AN:AN,Data!$AN91)/COUNTA(AN:AN)</f>
        <v>2.4242424242424242E-3</v>
      </c>
      <c r="AP91" s="23">
        <v>40.724210999999997</v>
      </c>
      <c r="AQ91" s="23">
        <v>-74.036191000000002</v>
      </c>
      <c r="AR91" s="23">
        <f>COUNTIF(Data!$P$2:$P$825,Data!$P91)</f>
        <v>2</v>
      </c>
      <c r="AS91" s="23" cm="1">
        <f t="array" ref="AS91">_xlfn.IFS(Data!$E91&lt;12,((Data!$E91/Data!$D91)*60)*1,AND(Data!$E91&gt;=12,Data!$E91&lt;=15),((Data!$E91/Data!$D91)*60)*1.2,AND(Data!$E91&gt;=16,Data!$E91&lt;=19),((Data!$E91/Data!$D91)*60)*1.5,Data!$E91&gt;=20,((Data!$E91/Data!$D91)*60)*1.8)</f>
        <v>15.251544571932921</v>
      </c>
      <c r="AT91" s="23" cm="1">
        <f t="array" ref="AT91">_xlfn.IFS(Data!$F91&lt;600,((Data!$F91/Data!$D91)*60)*1,AND(Data!$F91&gt;=600,Data!$F91&lt;=625),((Data!$F91/Data!$D91)*60)*1.2,AND(Data!$F91&gt;=626,Data!$F91&lt;=650),((Data!$F91/Data!$D91)*60)*1.5,Data!$F91&gt;=651,((Data!$F91/Data!$D91)*60)*1.8)</f>
        <v>779.09973521623999</v>
      </c>
      <c r="AU91" s="23">
        <f>(Data!$I91*-1.2)+(Data!$J91*-1.1)+(Data!$K91*1.2)+(Data!$L91*1.3)+(Data!$M91*1.5)</f>
        <v>4.0816666675000004</v>
      </c>
      <c r="AV91" s="23">
        <f>(Data!$AS91*0.4)+(Data!$AT91*0.4)+(Data!$AU91*0.2)</f>
        <v>318.55684524876921</v>
      </c>
      <c r="AW91" s="23">
        <f>PERCENTRANK(AV:AV,Data!$AV91)*100</f>
        <v>36.299999999999997</v>
      </c>
      <c r="AX91" s="23" t="str">
        <f>_xlfn.CONCAT(TEXT(C91,"mmm"),"-",Data!$AE91)</f>
        <v>Nov-2019</v>
      </c>
    </row>
    <row r="92" spans="1:50" ht="17" thickTop="1" thickBot="1" x14ac:dyDescent="0.25">
      <c r="A92" s="28">
        <v>91</v>
      </c>
      <c r="B92" s="29">
        <f t="shared" si="10"/>
        <v>15</v>
      </c>
      <c r="C92" s="41">
        <v>43797</v>
      </c>
      <c r="D92" s="30">
        <f>SUM(Data!$I92:$M92)</f>
        <v>56.633333332999996</v>
      </c>
      <c r="E92" s="29">
        <v>16</v>
      </c>
      <c r="F92" s="29">
        <v>646</v>
      </c>
      <c r="G92" s="29">
        <v>130</v>
      </c>
      <c r="H92" s="29">
        <v>168</v>
      </c>
      <c r="I92" s="29">
        <v>7.2833333329999999</v>
      </c>
      <c r="J92" s="29">
        <v>15.1</v>
      </c>
      <c r="K92" s="29">
        <v>18.5</v>
      </c>
      <c r="L92" s="29">
        <v>11.716666667</v>
      </c>
      <c r="M92" s="29">
        <v>4.0333333329999999</v>
      </c>
      <c r="N92" s="29" t="s">
        <v>77</v>
      </c>
      <c r="O92" s="29" t="s">
        <v>81</v>
      </c>
      <c r="P92" s="29" t="s">
        <v>78</v>
      </c>
      <c r="Q92" s="29">
        <f t="shared" si="16"/>
        <v>1</v>
      </c>
      <c r="R92" s="29" t="str">
        <f t="shared" si="11"/>
        <v>11-2019</v>
      </c>
      <c r="S92" s="29" t="s">
        <v>43</v>
      </c>
      <c r="T92" s="29" t="str">
        <f t="shared" si="12"/>
        <v>Thursday</v>
      </c>
      <c r="U92" s="29">
        <f t="shared" si="13"/>
        <v>1</v>
      </c>
      <c r="V92" s="31">
        <f>IFERROR(Data!$I92/Data!$D92,"")</f>
        <v>0.12860506179593059</v>
      </c>
      <c r="W92" s="31">
        <f>IFERROR(Data!$J92/Data!$D92,"")</f>
        <v>0.26662742790033334</v>
      </c>
      <c r="X92" s="31">
        <f>IFERROR(Data!$K92/Data!$D92,"")</f>
        <v>0.32666274279179908</v>
      </c>
      <c r="Y92" s="31">
        <f>IFERROR(Data!$L92/Data!$D92,"")</f>
        <v>0.20688640377402526</v>
      </c>
      <c r="Z92" s="31">
        <f>IFERROR(Data!$M92/Data!$D92,"")</f>
        <v>7.1218363737911822E-2</v>
      </c>
      <c r="AA92" s="32">
        <v>237.14</v>
      </c>
      <c r="AB92" s="32">
        <f t="shared" si="17"/>
        <v>15.809333333333333</v>
      </c>
      <c r="AC92" s="29">
        <f t="shared" si="14"/>
        <v>602.06666666666672</v>
      </c>
      <c r="AD92" s="29">
        <f t="shared" si="15"/>
        <v>15.133333333333333</v>
      </c>
      <c r="AE92" s="29">
        <f>YEAR(Data!$C92)</f>
        <v>2019</v>
      </c>
      <c r="AF92" s="29">
        <v>5</v>
      </c>
      <c r="AG92" s="29">
        <v>12</v>
      </c>
      <c r="AH92" s="33">
        <f>Data!$F92/Data!$D92</f>
        <v>11.406709829378498</v>
      </c>
      <c r="AI92" s="17" t="str">
        <f>RIGHT(Data!$O92,2)</f>
        <v>AM</v>
      </c>
      <c r="AJ92" s="29" t="str">
        <f>Data!$R92&amp;"-"&amp;WEEKNUM(Data!$C92,1)-WEEKNUM(DATE(YEAR(Data!$C92),MONTH(Data!$C92),1),1)+1</f>
        <v>11-2019-5</v>
      </c>
      <c r="AK92" s="29">
        <f>MONTH(Data!$C92)</f>
        <v>11</v>
      </c>
      <c r="AL92" s="29">
        <f>IFERROR(Data!$F92/Data!$E92,0)</f>
        <v>40.375</v>
      </c>
      <c r="AM92" s="29">
        <f>COUNTIF(Data!$N$2:$N$825,Data!$N92)</f>
        <v>2</v>
      </c>
      <c r="AN92" s="29" t="str">
        <f>VLOOKUP(Data!$N92,'Helpful Tables'!A:D,4,FALSE)</f>
        <v>New Jersey</v>
      </c>
      <c r="AO92" s="29">
        <f>COUNTIF(AN:AN,Data!$AN92)/COUNTA(AN:AN)</f>
        <v>2.4242424242424242E-3</v>
      </c>
      <c r="AP92" s="29">
        <v>40.724210999999997</v>
      </c>
      <c r="AQ92" s="29">
        <v>-74.036191000000002</v>
      </c>
      <c r="AR92" s="29">
        <f>COUNTIF(Data!$P$2:$P$825,Data!$P92)</f>
        <v>2</v>
      </c>
      <c r="AS92" s="29" cm="1">
        <f t="array" ref="AS92">_xlfn.IFS(Data!$E92&lt;12,((Data!$E92/Data!$D92)*60)*1,AND(Data!$E92&gt;=12,Data!$E92&lt;=15),((Data!$E92/Data!$D92)*60)*1.2,AND(Data!$E92&gt;=16,Data!$E92&lt;=19),((Data!$E92/Data!$D92)*60)*1.5,Data!$E92&gt;=20,((Data!$E92/Data!$D92)*60)*1.8)</f>
        <v>25.426721601091387</v>
      </c>
      <c r="AT92" s="29" cm="1">
        <f t="array" ref="AT92">_xlfn.IFS(Data!$F92&lt;600,((Data!$F92/Data!$D92)*60)*1,AND(Data!$F92&gt;=600,Data!$F92&lt;=625),((Data!$F92/Data!$D92)*60)*1.2,AND(Data!$F92&gt;=626,Data!$F92&lt;=650),((Data!$F92/Data!$D92)*60)*1.5,Data!$F92&gt;=651,((Data!$F92/Data!$D92)*60)*1.8)</f>
        <v>1026.6038846440649</v>
      </c>
      <c r="AU92" s="29">
        <f>(Data!$I92*-1.2)+(Data!$J92*-1.1)+(Data!$K92*1.2)+(Data!$L92*1.3)+(Data!$M92*1.5)</f>
        <v>18.131666666999998</v>
      </c>
      <c r="AV92" s="29">
        <f>(Data!$AS92*0.4)+(Data!$AT92*0.4)+(Data!$AU92*0.2)</f>
        <v>424.43857583146251</v>
      </c>
      <c r="AW92" s="29">
        <f>PERCENTRANK(AV:AV,Data!$AV92)*100</f>
        <v>62.8</v>
      </c>
      <c r="AX92" s="29" t="str">
        <f>_xlfn.CONCAT(TEXT(C92,"mmm"),"-",Data!$AE92)</f>
        <v>Nov-2019</v>
      </c>
    </row>
    <row r="93" spans="1:50" ht="17" thickTop="1" thickBot="1" x14ac:dyDescent="0.25">
      <c r="A93" s="22">
        <v>92</v>
      </c>
      <c r="B93" s="23">
        <f t="shared" si="10"/>
        <v>14</v>
      </c>
      <c r="C93" s="41">
        <v>43800</v>
      </c>
      <c r="D93" s="24">
        <f>SUM(Data!$I93:$M93)</f>
        <v>56.183333333000007</v>
      </c>
      <c r="E93" s="23">
        <v>15</v>
      </c>
      <c r="F93" s="23">
        <v>601</v>
      </c>
      <c r="G93" s="23">
        <v>125</v>
      </c>
      <c r="H93" s="23">
        <v>170</v>
      </c>
      <c r="I93" s="23">
        <v>13.733333332999999</v>
      </c>
      <c r="J93" s="23">
        <v>15.866666667000001</v>
      </c>
      <c r="K93" s="23">
        <v>11.633333332999999</v>
      </c>
      <c r="L93" s="23">
        <v>12.416666666999999</v>
      </c>
      <c r="M93" s="23">
        <v>2.5333333329999999</v>
      </c>
      <c r="N93" s="23" t="s">
        <v>33</v>
      </c>
      <c r="O93" s="23" t="s">
        <v>42</v>
      </c>
      <c r="P93" s="23" t="s">
        <v>34</v>
      </c>
      <c r="Q93" s="23">
        <f t="shared" si="16"/>
        <v>3</v>
      </c>
      <c r="R93" s="23" t="str">
        <f t="shared" si="11"/>
        <v>12-2019</v>
      </c>
      <c r="S93" s="23" t="s">
        <v>48</v>
      </c>
      <c r="T93" s="23" t="str">
        <f t="shared" si="12"/>
        <v>Sunday</v>
      </c>
      <c r="U93" s="23">
        <f t="shared" si="13"/>
        <v>1</v>
      </c>
      <c r="V93" s="25">
        <f>IFERROR(Data!$I93/Data!$D93,"")</f>
        <v>0.2444378522648735</v>
      </c>
      <c r="W93" s="25">
        <f>IFERROR(Data!$J93/Data!$D93,"")</f>
        <v>0.2824087807848259</v>
      </c>
      <c r="X93" s="25">
        <f>IFERROR(Data!$K93/Data!$D93,"")</f>
        <v>0.20706021951472592</v>
      </c>
      <c r="Y93" s="25">
        <f>IFERROR(Data!$L93/Data!$D93,"")</f>
        <v>0.22100266983815484</v>
      </c>
      <c r="Z93" s="25">
        <f>IFERROR(Data!$M93/Data!$D93,"")</f>
        <v>4.5090477597419694E-2</v>
      </c>
      <c r="AA93" s="26">
        <v>232.14</v>
      </c>
      <c r="AB93" s="26">
        <f t="shared" si="17"/>
        <v>16.581428571428571</v>
      </c>
      <c r="AC93" s="23">
        <f t="shared" si="14"/>
        <v>626.71428571428567</v>
      </c>
      <c r="AD93" s="23">
        <f t="shared" si="15"/>
        <v>15.071428571428571</v>
      </c>
      <c r="AE93" s="23">
        <f>YEAR(Data!$C93)</f>
        <v>2019</v>
      </c>
      <c r="AF93" s="23"/>
      <c r="AG93" s="23">
        <v>12</v>
      </c>
      <c r="AH93" s="27">
        <f>Data!$F93/Data!$D93</f>
        <v>10.697122515637478</v>
      </c>
      <c r="AI93" s="17" t="str">
        <f>RIGHT(Data!$O93,2)</f>
        <v>AM</v>
      </c>
      <c r="AJ93" s="23" t="str">
        <f>Data!$R93&amp;"-"&amp;WEEKNUM(Data!$C93,1)-WEEKNUM(DATE(YEAR(Data!$C93),MONTH(Data!$C93),1),1)+1</f>
        <v>12-2019-1</v>
      </c>
      <c r="AK93" s="23">
        <f>MONTH(Data!$C93)</f>
        <v>12</v>
      </c>
      <c r="AL93" s="23">
        <f>IFERROR(Data!$F93/Data!$E93,0)</f>
        <v>40.06666666666667</v>
      </c>
      <c r="AM93" s="23">
        <f>COUNTIF(Data!$N$2:$N$825,Data!$N93)</f>
        <v>48</v>
      </c>
      <c r="AN93" s="23" t="str">
        <f>VLOOKUP(Data!$N93,'Helpful Tables'!A:D,4,FALSE)</f>
        <v>Washington, DC</v>
      </c>
      <c r="AO93" s="23">
        <f>COUNTIF(AN:AN,Data!$AN93)/COUNTA(AN:AN)</f>
        <v>0.62424242424242427</v>
      </c>
      <c r="AP93" s="23">
        <v>38.916486999999996</v>
      </c>
      <c r="AQ93" s="23">
        <v>-77.031514000000001</v>
      </c>
      <c r="AR93" s="23">
        <f>COUNTIF(Data!$P$2:$P$825,Data!$P93)</f>
        <v>30</v>
      </c>
      <c r="AS93" s="23" cm="1">
        <f t="array" ref="AS93">_xlfn.IFS(Data!$E93&lt;12,((Data!$E93/Data!$D93)*60)*1,AND(Data!$E93&gt;=12,Data!$E93&lt;=15),((Data!$E93/Data!$D93)*60)*1.2,AND(Data!$E93&gt;=16,Data!$E93&lt;=19),((Data!$E93/Data!$D93)*60)*1.5,Data!$E93&gt;=20,((Data!$E93/Data!$D93)*60)*1.8)</f>
        <v>19.222782557218761</v>
      </c>
      <c r="AT93" s="23" cm="1">
        <f t="array" ref="AT93">_xlfn.IFS(Data!$F93&lt;600,((Data!$F93/Data!$D93)*60)*1,AND(Data!$F93&gt;=600,Data!$F93&lt;=625),((Data!$F93/Data!$D93)*60)*1.2,AND(Data!$F93&gt;=626,Data!$F93&lt;=650),((Data!$F93/Data!$D93)*60)*1.5,Data!$F93&gt;=651,((Data!$F93/Data!$D93)*60)*1.8)</f>
        <v>770.19282112589838</v>
      </c>
      <c r="AU93" s="23">
        <f>(Data!$I93*-1.2)+(Data!$J93*-1.1)+(Data!$K93*1.2)+(Data!$L93*1.3)+(Data!$M93*1.5)</f>
        <v>-3.1666667099996992E-2</v>
      </c>
      <c r="AV93" s="23">
        <f>(Data!$AS93*0.4)+(Data!$AT93*0.4)+(Data!$AU93*0.2)</f>
        <v>315.7599081398269</v>
      </c>
      <c r="AW93" s="23">
        <f>PERCENTRANK(AV:AV,Data!$AV93)*100</f>
        <v>34.799999999999997</v>
      </c>
      <c r="AX93" s="23" t="str">
        <f>_xlfn.CONCAT(TEXT(C93,"mmm"),"-",Data!$AE93)</f>
        <v>Dec-2019</v>
      </c>
    </row>
    <row r="94" spans="1:50" ht="17" thickTop="1" thickBot="1" x14ac:dyDescent="0.25">
      <c r="A94" s="28">
        <v>93</v>
      </c>
      <c r="B94" s="29">
        <f t="shared" si="10"/>
        <v>14</v>
      </c>
      <c r="C94" s="41">
        <v>43801</v>
      </c>
      <c r="D94" s="30">
        <f>SUM(Data!$I94:$M94)</f>
        <v>58.633333332999996</v>
      </c>
      <c r="E94" s="29">
        <v>10</v>
      </c>
      <c r="F94" s="29">
        <v>676</v>
      </c>
      <c r="G94" s="29">
        <v>131</v>
      </c>
      <c r="H94" s="29">
        <v>165</v>
      </c>
      <c r="I94" s="29">
        <v>7.6</v>
      </c>
      <c r="J94" s="29">
        <v>11.3</v>
      </c>
      <c r="K94" s="29">
        <v>29.183333333</v>
      </c>
      <c r="L94" s="29">
        <v>9.4666666670000001</v>
      </c>
      <c r="M94" s="29">
        <v>1.0833333329999999</v>
      </c>
      <c r="N94" s="29" t="s">
        <v>40</v>
      </c>
      <c r="O94" s="29" t="s">
        <v>26</v>
      </c>
      <c r="P94" s="29" t="s">
        <v>64</v>
      </c>
      <c r="Q94" s="29">
        <f t="shared" si="16"/>
        <v>1</v>
      </c>
      <c r="R94" s="29" t="str">
        <f t="shared" si="11"/>
        <v>12-2019</v>
      </c>
      <c r="S94" s="29" t="s">
        <v>47</v>
      </c>
      <c r="T94" s="29" t="str">
        <f t="shared" si="12"/>
        <v>Monday</v>
      </c>
      <c r="U94" s="29">
        <f t="shared" si="13"/>
        <v>0</v>
      </c>
      <c r="V94" s="31">
        <f>IFERROR(Data!$I94/Data!$D94,"")</f>
        <v>0.12961910176310187</v>
      </c>
      <c r="W94" s="31">
        <f>IFERROR(Data!$J94/Data!$D94,"")</f>
        <v>0.19272313814776992</v>
      </c>
      <c r="X94" s="31">
        <f>IFERROR(Data!$K94/Data!$D94,"")</f>
        <v>0.49772598066798029</v>
      </c>
      <c r="Y94" s="31">
        <f>IFERROR(Data!$L94/Data!$D94,"")</f>
        <v>0.16145537237726809</v>
      </c>
      <c r="Z94" s="31">
        <f>IFERROR(Data!$M94/Data!$D94,"")</f>
        <v>1.847640704387991E-2</v>
      </c>
      <c r="AA94" s="32">
        <v>232.14</v>
      </c>
      <c r="AB94" s="32">
        <f t="shared" si="17"/>
        <v>16.581428571428571</v>
      </c>
      <c r="AC94" s="29">
        <f t="shared" si="14"/>
        <v>626.71428571428567</v>
      </c>
      <c r="AD94" s="29">
        <f t="shared" si="15"/>
        <v>15.071428571428571</v>
      </c>
      <c r="AE94" s="29">
        <f>YEAR(Data!$C94)</f>
        <v>2019</v>
      </c>
      <c r="AF94" s="29"/>
      <c r="AG94" s="29">
        <v>12</v>
      </c>
      <c r="AH94" s="33">
        <f>Data!$F94/Data!$D94</f>
        <v>11.529277998928535</v>
      </c>
      <c r="AI94" s="17" t="str">
        <f>RIGHT(Data!$O94,2)</f>
        <v>PM</v>
      </c>
      <c r="AJ94" s="29" t="str">
        <f>Data!$R94&amp;"-"&amp;WEEKNUM(Data!$C94,1)-WEEKNUM(DATE(YEAR(Data!$C94),MONTH(Data!$C94),1),1)+1</f>
        <v>12-2019-1</v>
      </c>
      <c r="AK94" s="29">
        <f>MONTH(Data!$C94)</f>
        <v>12</v>
      </c>
      <c r="AL94" s="29">
        <f>IFERROR(Data!$F94/Data!$E94,0)</f>
        <v>67.599999999999994</v>
      </c>
      <c r="AM94" s="29">
        <f>COUNTIF(Data!$N$2:$N$825,Data!$N94)</f>
        <v>38</v>
      </c>
      <c r="AN94" s="29" t="str">
        <f>VLOOKUP(Data!$N94,'Helpful Tables'!A:D,4,FALSE)</f>
        <v>Washington, DC</v>
      </c>
      <c r="AO94" s="29">
        <f>COUNTIF(AN:AN,Data!$AN94)/COUNTA(AN:AN)</f>
        <v>0.62424242424242427</v>
      </c>
      <c r="AP94" s="29">
        <v>38.903509999999997</v>
      </c>
      <c r="AQ94" s="29">
        <v>-77.051809000000006</v>
      </c>
      <c r="AR94" s="29">
        <f>COUNTIF(Data!$P$2:$P$825,Data!$P94)</f>
        <v>8</v>
      </c>
      <c r="AS94" s="29" cm="1">
        <f t="array" ref="AS94">_xlfn.IFS(Data!$E94&lt;12,((Data!$E94/Data!$D94)*60)*1,AND(Data!$E94&gt;=12,Data!$E94&lt;=15),((Data!$E94/Data!$D94)*60)*1.2,AND(Data!$E94&gt;=16,Data!$E94&lt;=19),((Data!$E94/Data!$D94)*60)*1.5,Data!$E94&gt;=20,((Data!$E94/Data!$D94)*60)*1.8)</f>
        <v>10.233086981297516</v>
      </c>
      <c r="AT94" s="29" cm="1">
        <f t="array" ref="AT94">_xlfn.IFS(Data!$F94&lt;600,((Data!$F94/Data!$D94)*60)*1,AND(Data!$F94&gt;=600,Data!$F94&lt;=625),((Data!$F94/Data!$D94)*60)*1.2,AND(Data!$F94&gt;=626,Data!$F94&lt;=650),((Data!$F94/Data!$D94)*60)*1.5,Data!$F94&gt;=651,((Data!$F94/Data!$D94)*60)*1.8)</f>
        <v>1245.1620238842818</v>
      </c>
      <c r="AU94" s="29">
        <f>(Data!$I94*-1.2)+(Data!$J94*-1.1)+(Data!$K94*1.2)+(Data!$L94*1.3)+(Data!$M94*1.5)</f>
        <v>27.401666666199993</v>
      </c>
      <c r="AV94" s="29">
        <f>(Data!$AS94*0.4)+(Data!$AT94*0.4)+(Data!$AU94*0.2)</f>
        <v>507.63837767947177</v>
      </c>
      <c r="AW94" s="29">
        <f>PERCENTRANK(AV:AV,Data!$AV94)*100</f>
        <v>83.2</v>
      </c>
      <c r="AX94" s="29" t="str">
        <f>_xlfn.CONCAT(TEXT(C94,"mmm"),"-",Data!$AE94)</f>
        <v>Dec-2019</v>
      </c>
    </row>
    <row r="95" spans="1:50" ht="17" thickTop="1" thickBot="1" x14ac:dyDescent="0.25">
      <c r="A95" s="22">
        <v>94</v>
      </c>
      <c r="B95" s="23">
        <f t="shared" si="10"/>
        <v>14</v>
      </c>
      <c r="C95" s="41">
        <v>43803</v>
      </c>
      <c r="D95" s="24">
        <f>SUM(Data!$I95:$M95)</f>
        <v>56.300000000000004</v>
      </c>
      <c r="E95" s="23">
        <v>23</v>
      </c>
      <c r="F95" s="23">
        <v>610</v>
      </c>
      <c r="G95" s="23">
        <v>126</v>
      </c>
      <c r="H95" s="23">
        <v>173</v>
      </c>
      <c r="I95" s="23">
        <v>20.833333332999999</v>
      </c>
      <c r="J95" s="23">
        <v>6.25</v>
      </c>
      <c r="K95" s="23">
        <v>6.4166666670000003</v>
      </c>
      <c r="L95" s="23">
        <v>17.233333333000001</v>
      </c>
      <c r="M95" s="23">
        <v>5.5666666669999998</v>
      </c>
      <c r="N95" s="23" t="s">
        <v>40</v>
      </c>
      <c r="O95" s="23" t="s">
        <v>26</v>
      </c>
      <c r="P95" s="23" t="s">
        <v>41</v>
      </c>
      <c r="Q95" s="23">
        <f t="shared" si="16"/>
        <v>2</v>
      </c>
      <c r="R95" s="23" t="str">
        <f t="shared" si="11"/>
        <v>12-2019</v>
      </c>
      <c r="S95" s="23" t="s">
        <v>47</v>
      </c>
      <c r="T95" s="23" t="str">
        <f t="shared" si="12"/>
        <v>Wednesday</v>
      </c>
      <c r="U95" s="23">
        <f t="shared" si="13"/>
        <v>1</v>
      </c>
      <c r="V95" s="25">
        <f>IFERROR(Data!$I95/Data!$D95,"")</f>
        <v>0.37004144463587918</v>
      </c>
      <c r="W95" s="25">
        <f>IFERROR(Data!$J95/Data!$D95,"")</f>
        <v>0.11101243339253995</v>
      </c>
      <c r="X95" s="25">
        <f>IFERROR(Data!$K95/Data!$D95,"")</f>
        <v>0.11397276495559502</v>
      </c>
      <c r="Y95" s="25">
        <f>IFERROR(Data!$L95/Data!$D95,"")</f>
        <v>0.30609828300177622</v>
      </c>
      <c r="Z95" s="25">
        <f>IFERROR(Data!$M95/Data!$D95,"")</f>
        <v>9.8875074014209585E-2</v>
      </c>
      <c r="AA95" s="26">
        <v>232.14</v>
      </c>
      <c r="AB95" s="26">
        <f t="shared" si="17"/>
        <v>16.581428571428571</v>
      </c>
      <c r="AC95" s="23">
        <f t="shared" si="14"/>
        <v>626.71428571428567</v>
      </c>
      <c r="AD95" s="23">
        <f t="shared" si="15"/>
        <v>15.071428571428571</v>
      </c>
      <c r="AE95" s="23">
        <f>YEAR(Data!$C95)</f>
        <v>2019</v>
      </c>
      <c r="AF95" s="23"/>
      <c r="AG95" s="23">
        <v>12</v>
      </c>
      <c r="AH95" s="27">
        <f>Data!$F95/Data!$D95</f>
        <v>10.834813499111899</v>
      </c>
      <c r="AI95" s="17" t="str">
        <f>RIGHT(Data!$O95,2)</f>
        <v>PM</v>
      </c>
      <c r="AJ95" s="23" t="str">
        <f>Data!$R95&amp;"-"&amp;WEEKNUM(Data!$C95,1)-WEEKNUM(DATE(YEAR(Data!$C95),MONTH(Data!$C95),1),1)+1</f>
        <v>12-2019-1</v>
      </c>
      <c r="AK95" s="23">
        <f>MONTH(Data!$C95)</f>
        <v>12</v>
      </c>
      <c r="AL95" s="23">
        <f>IFERROR(Data!$F95/Data!$E95,0)</f>
        <v>26.521739130434781</v>
      </c>
      <c r="AM95" s="23">
        <f>COUNTIF(Data!$N$2:$N$825,Data!$N95)</f>
        <v>38</v>
      </c>
      <c r="AN95" s="23" t="str">
        <f>VLOOKUP(Data!$N95,'Helpful Tables'!A:D,4,FALSE)</f>
        <v>Washington, DC</v>
      </c>
      <c r="AO95" s="23">
        <f>COUNTIF(AN:AN,Data!$AN95)/COUNTA(AN:AN)</f>
        <v>0.62424242424242427</v>
      </c>
      <c r="AP95" s="23">
        <v>38.903509999999997</v>
      </c>
      <c r="AQ95" s="23">
        <v>-77.051809000000006</v>
      </c>
      <c r="AR95" s="23">
        <f>COUNTIF(Data!$P$2:$P$825,Data!$P95)</f>
        <v>20</v>
      </c>
      <c r="AS95" s="23" cm="1">
        <f t="array" ref="AS95">_xlfn.IFS(Data!$E95&lt;12,((Data!$E95/Data!$D95)*60)*1,AND(Data!$E95&gt;=12,Data!$E95&lt;=15),((Data!$E95/Data!$D95)*60)*1.2,AND(Data!$E95&gt;=16,Data!$E95&lt;=19),((Data!$E95/Data!$D95)*60)*1.5,Data!$E95&gt;=20,((Data!$E95/Data!$D95)*60)*1.8)</f>
        <v>44.120781527531086</v>
      </c>
      <c r="AT95" s="23" cm="1">
        <f t="array" ref="AT95">_xlfn.IFS(Data!$F95&lt;600,((Data!$F95/Data!$D95)*60)*1,AND(Data!$F95&gt;=600,Data!$F95&lt;=625),((Data!$F95/Data!$D95)*60)*1.2,AND(Data!$F95&gt;=626,Data!$F95&lt;=650),((Data!$F95/Data!$D95)*60)*1.5,Data!$F95&gt;=651,((Data!$F95/Data!$D95)*60)*1.8)</f>
        <v>780.10657193605664</v>
      </c>
      <c r="AU95" s="23">
        <f>(Data!$I95*-1.2)+(Data!$J95*-1.1)+(Data!$K95*1.2)+(Data!$L95*1.3)+(Data!$M95*1.5)</f>
        <v>6.5783333342000034</v>
      </c>
      <c r="AV95" s="23">
        <f>(Data!$AS95*0.4)+(Data!$AT95*0.4)+(Data!$AU95*0.2)</f>
        <v>331.00660805227511</v>
      </c>
      <c r="AW95" s="23">
        <f>PERCENTRANK(AV:AV,Data!$AV95)*100</f>
        <v>41.6</v>
      </c>
      <c r="AX95" s="23" t="str">
        <f>_xlfn.CONCAT(TEXT(C95,"mmm"),"-",Data!$AE95)</f>
        <v>Dec-2019</v>
      </c>
    </row>
    <row r="96" spans="1:50" ht="17" thickTop="1" thickBot="1" x14ac:dyDescent="0.25">
      <c r="A96" s="28">
        <v>95</v>
      </c>
      <c r="B96" s="29">
        <f t="shared" si="10"/>
        <v>14</v>
      </c>
      <c r="C96" s="41">
        <v>43804</v>
      </c>
      <c r="D96" s="30">
        <f>SUM(Data!$I96:$M96)</f>
        <v>56.9</v>
      </c>
      <c r="E96" s="29">
        <v>16</v>
      </c>
      <c r="F96" s="29">
        <v>678</v>
      </c>
      <c r="G96" s="29">
        <v>134</v>
      </c>
      <c r="H96" s="29">
        <v>167</v>
      </c>
      <c r="I96" s="29">
        <v>6.2</v>
      </c>
      <c r="J96" s="29">
        <v>5.6833333330000002</v>
      </c>
      <c r="K96" s="29">
        <v>29.016666666999999</v>
      </c>
      <c r="L96" s="29">
        <v>13.9</v>
      </c>
      <c r="M96" s="29">
        <v>2.1</v>
      </c>
      <c r="N96" s="29" t="s">
        <v>51</v>
      </c>
      <c r="O96" s="29" t="s">
        <v>39</v>
      </c>
      <c r="P96" s="29" t="s">
        <v>82</v>
      </c>
      <c r="Q96" s="29">
        <f t="shared" si="16"/>
        <v>1</v>
      </c>
      <c r="R96" s="29" t="str">
        <f t="shared" si="11"/>
        <v>12-2019</v>
      </c>
      <c r="S96" s="29" t="s">
        <v>48</v>
      </c>
      <c r="T96" s="29" t="str">
        <f t="shared" si="12"/>
        <v>Thursday</v>
      </c>
      <c r="U96" s="29">
        <f t="shared" si="13"/>
        <v>1</v>
      </c>
      <c r="V96" s="31">
        <f>IFERROR(Data!$I96/Data!$D96,"")</f>
        <v>0.10896309314586995</v>
      </c>
      <c r="W96" s="31">
        <f>IFERROR(Data!$J96/Data!$D96,"")</f>
        <v>9.9882835377855889E-2</v>
      </c>
      <c r="X96" s="31">
        <f>IFERROR(Data!$K96/Data!$D96,"")</f>
        <v>0.50995899239015818</v>
      </c>
      <c r="Y96" s="31">
        <f>IFERROR(Data!$L96/Data!$D96,"")</f>
        <v>0.24428822495606328</v>
      </c>
      <c r="Z96" s="31">
        <f>IFERROR(Data!$M96/Data!$D96,"")</f>
        <v>3.6906854130052728E-2</v>
      </c>
      <c r="AA96" s="32">
        <v>232.14</v>
      </c>
      <c r="AB96" s="32">
        <f t="shared" si="17"/>
        <v>16.581428571428571</v>
      </c>
      <c r="AC96" s="29">
        <f t="shared" si="14"/>
        <v>626.71428571428567</v>
      </c>
      <c r="AD96" s="29">
        <f t="shared" si="15"/>
        <v>15.071428571428571</v>
      </c>
      <c r="AE96" s="29">
        <f>YEAR(Data!$C96)</f>
        <v>2019</v>
      </c>
      <c r="AF96" s="29"/>
      <c r="AG96" s="29">
        <v>12</v>
      </c>
      <c r="AH96" s="33">
        <f>Data!$F96/Data!$D96</f>
        <v>11.915641476274166</v>
      </c>
      <c r="AI96" s="17" t="str">
        <f>RIGHT(Data!$O96,2)</f>
        <v>PM</v>
      </c>
      <c r="AJ96" s="29" t="str">
        <f>Data!$R96&amp;"-"&amp;WEEKNUM(Data!$C96,1)-WEEKNUM(DATE(YEAR(Data!$C96),MONTH(Data!$C96),1),1)+1</f>
        <v>12-2019-1</v>
      </c>
      <c r="AK96" s="29">
        <f>MONTH(Data!$C96)</f>
        <v>12</v>
      </c>
      <c r="AL96" s="29">
        <f>IFERROR(Data!$F96/Data!$E96,0)</f>
        <v>42.375</v>
      </c>
      <c r="AM96" s="29">
        <f>COUNTIF(Data!$N$2:$N$825,Data!$N96)</f>
        <v>3</v>
      </c>
      <c r="AN96" s="29" t="str">
        <f>VLOOKUP(Data!$N96,'Helpful Tables'!A:D,4,FALSE)</f>
        <v>Washington, DC</v>
      </c>
      <c r="AO96" s="29">
        <f>COUNTIF(AN:AN,Data!$AN96)/COUNTA(AN:AN)</f>
        <v>0.62424242424242427</v>
      </c>
      <c r="AP96" s="29">
        <v>38.904280999999997</v>
      </c>
      <c r="AQ96" s="29">
        <v>-77.031495000000007</v>
      </c>
      <c r="AR96" s="29">
        <f>COUNTIF(Data!$P$2:$P$825,Data!$P96)</f>
        <v>1</v>
      </c>
      <c r="AS96" s="29" cm="1">
        <f t="array" ref="AS96">_xlfn.IFS(Data!$E96&lt;12,((Data!$E96/Data!$D96)*60)*1,AND(Data!$E96&gt;=12,Data!$E96&lt;=15),((Data!$E96/Data!$D96)*60)*1.2,AND(Data!$E96&gt;=16,Data!$E96&lt;=19),((Data!$E96/Data!$D96)*60)*1.5,Data!$E96&gt;=20,((Data!$E96/Data!$D96)*60)*1.8)</f>
        <v>25.307557117750441</v>
      </c>
      <c r="AT96" s="29" cm="1">
        <f t="array" ref="AT96">_xlfn.IFS(Data!$F96&lt;600,((Data!$F96/Data!$D96)*60)*1,AND(Data!$F96&gt;=600,Data!$F96&lt;=625),((Data!$F96/Data!$D96)*60)*1.2,AND(Data!$F96&gt;=626,Data!$F96&lt;=650),((Data!$F96/Data!$D96)*60)*1.5,Data!$F96&gt;=651,((Data!$F96/Data!$D96)*60)*1.8)</f>
        <v>1286.88927943761</v>
      </c>
      <c r="AU96" s="29">
        <f>(Data!$I96*-1.2)+(Data!$J96*-1.1)+(Data!$K96*1.2)+(Data!$L96*1.3)+(Data!$M96*1.5)</f>
        <v>42.348333334099998</v>
      </c>
      <c r="AV96" s="29">
        <f>(Data!$AS96*0.4)+(Data!$AT96*0.4)+(Data!$AU96*0.2)</f>
        <v>533.34840128896417</v>
      </c>
      <c r="AW96" s="29">
        <f>PERCENTRANK(AV:AV,Data!$AV96)*100</f>
        <v>94.399999999999991</v>
      </c>
      <c r="AX96" s="29" t="str">
        <f>_xlfn.CONCAT(TEXT(C96,"mmm"),"-",Data!$AE96)</f>
        <v>Dec-2019</v>
      </c>
    </row>
    <row r="97" spans="1:50" ht="17" thickTop="1" thickBot="1" x14ac:dyDescent="0.25">
      <c r="A97" s="22">
        <v>96</v>
      </c>
      <c r="B97" s="23">
        <f t="shared" si="10"/>
        <v>14</v>
      </c>
      <c r="C97" s="41">
        <v>43806</v>
      </c>
      <c r="D97" s="24">
        <f>SUM(Data!$I97:$M97)</f>
        <v>55.266666667000003</v>
      </c>
      <c r="E97" s="23">
        <v>13</v>
      </c>
      <c r="F97" s="23">
        <v>605</v>
      </c>
      <c r="G97" s="23">
        <v>127</v>
      </c>
      <c r="H97" s="23">
        <v>166</v>
      </c>
      <c r="I97" s="23">
        <v>7.9166666670000003</v>
      </c>
      <c r="J97" s="23">
        <v>18.850000000000001</v>
      </c>
      <c r="K97" s="23">
        <v>15.783333333</v>
      </c>
      <c r="L97" s="23">
        <v>10.816666667</v>
      </c>
      <c r="M97" s="23">
        <v>1.9</v>
      </c>
      <c r="N97" s="23" t="s">
        <v>33</v>
      </c>
      <c r="O97" s="23" t="s">
        <v>42</v>
      </c>
      <c r="P97" s="23" t="s">
        <v>34</v>
      </c>
      <c r="Q97" s="23">
        <f t="shared" si="16"/>
        <v>2</v>
      </c>
      <c r="R97" s="23" t="str">
        <f t="shared" si="11"/>
        <v>12-2019</v>
      </c>
      <c r="S97" s="23" t="s">
        <v>43</v>
      </c>
      <c r="T97" s="23" t="str">
        <f t="shared" si="12"/>
        <v>Saturday</v>
      </c>
      <c r="U97" s="23">
        <f t="shared" si="13"/>
        <v>1</v>
      </c>
      <c r="V97" s="25">
        <f>IFERROR(Data!$I97/Data!$D97,"")</f>
        <v>0.14324487334654254</v>
      </c>
      <c r="W97" s="25">
        <f>IFERROR(Data!$J97/Data!$D97,"")</f>
        <v>0.34107358262761717</v>
      </c>
      <c r="X97" s="25">
        <f>IFERROR(Data!$K97/Data!$D97,"")</f>
        <v>0.28558504221178777</v>
      </c>
      <c r="Y97" s="25">
        <f>IFERROR(Data!$L97/Data!$D97,"")</f>
        <v>0.1957177322123298</v>
      </c>
      <c r="Z97" s="25">
        <f>IFERROR(Data!$M97/Data!$D97,"")</f>
        <v>3.4378769601722682E-2</v>
      </c>
      <c r="AA97" s="26">
        <v>232.14</v>
      </c>
      <c r="AB97" s="26">
        <f t="shared" si="17"/>
        <v>16.581428571428571</v>
      </c>
      <c r="AC97" s="23">
        <f t="shared" si="14"/>
        <v>626.71428571428567</v>
      </c>
      <c r="AD97" s="23">
        <f t="shared" si="15"/>
        <v>15.071428571428571</v>
      </c>
      <c r="AE97" s="23">
        <f>YEAR(Data!$C97)</f>
        <v>2019</v>
      </c>
      <c r="AF97" s="23"/>
      <c r="AG97" s="23">
        <v>12</v>
      </c>
      <c r="AH97" s="27">
        <f>Data!$F97/Data!$D97</f>
        <v>10.946924004759065</v>
      </c>
      <c r="AI97" s="17" t="str">
        <f>RIGHT(Data!$O97,2)</f>
        <v>AM</v>
      </c>
      <c r="AJ97" s="23" t="str">
        <f>Data!$R97&amp;"-"&amp;WEEKNUM(Data!$C97,1)-WEEKNUM(DATE(YEAR(Data!$C97),MONTH(Data!$C97),1),1)+1</f>
        <v>12-2019-1</v>
      </c>
      <c r="AK97" s="23">
        <f>MONTH(Data!$C97)</f>
        <v>12</v>
      </c>
      <c r="AL97" s="23">
        <f>IFERROR(Data!$F97/Data!$E97,0)</f>
        <v>46.53846153846154</v>
      </c>
      <c r="AM97" s="23">
        <f>COUNTIF(Data!$N$2:$N$825,Data!$N97)</f>
        <v>48</v>
      </c>
      <c r="AN97" s="23" t="str">
        <f>VLOOKUP(Data!$N97,'Helpful Tables'!A:D,4,FALSE)</f>
        <v>Washington, DC</v>
      </c>
      <c r="AO97" s="23">
        <f>COUNTIF(AN:AN,Data!$AN97)/COUNTA(AN:AN)</f>
        <v>0.62424242424242427</v>
      </c>
      <c r="AP97" s="23">
        <v>38.916486999999996</v>
      </c>
      <c r="AQ97" s="23">
        <v>-77.031514000000001</v>
      </c>
      <c r="AR97" s="23">
        <f>COUNTIF(Data!$P$2:$P$825,Data!$P97)</f>
        <v>30</v>
      </c>
      <c r="AS97" s="23" cm="1">
        <f t="array" ref="AS97">_xlfn.IFS(Data!$E97&lt;12,((Data!$E97/Data!$D97)*60)*1,AND(Data!$E97&gt;=12,Data!$E97&lt;=15),((Data!$E97/Data!$D97)*60)*1.2,AND(Data!$E97&gt;=16,Data!$E97&lt;=19),((Data!$E97/Data!$D97)*60)*1.5,Data!$E97&gt;=20,((Data!$E97/Data!$D97)*60)*1.8)</f>
        <v>16.936067551164438</v>
      </c>
      <c r="AT97" s="23" cm="1">
        <f t="array" ref="AT97">_xlfn.IFS(Data!$F97&lt;600,((Data!$F97/Data!$D97)*60)*1,AND(Data!$F97&gt;=600,Data!$F97&lt;=625),((Data!$F97/Data!$D97)*60)*1.2,AND(Data!$F97&gt;=626,Data!$F97&lt;=650),((Data!$F97/Data!$D97)*60)*1.5,Data!$F97&gt;=651,((Data!$F97/Data!$D97)*60)*1.8)</f>
        <v>788.17852834265261</v>
      </c>
      <c r="AU97" s="23">
        <f>(Data!$I97*-1.2)+(Data!$J97*-1.1)+(Data!$K97*1.2)+(Data!$L97*1.3)+(Data!$M97*1.5)</f>
        <v>5.6166666662999951</v>
      </c>
      <c r="AV97" s="23">
        <f>(Data!$AS97*0.4)+(Data!$AT97*0.4)+(Data!$AU97*0.2)</f>
        <v>323.16917169078687</v>
      </c>
      <c r="AW97" s="23">
        <f>PERCENTRANK(AV:AV,Data!$AV97)*100</f>
        <v>39.1</v>
      </c>
      <c r="AX97" s="23" t="str">
        <f>_xlfn.CONCAT(TEXT(C97,"mmm"),"-",Data!$AE97)</f>
        <v>Dec-2019</v>
      </c>
    </row>
    <row r="98" spans="1:50" ht="17" thickTop="1" thickBot="1" x14ac:dyDescent="0.25">
      <c r="A98" s="28">
        <v>97</v>
      </c>
      <c r="B98" s="29">
        <f t="shared" si="10"/>
        <v>14</v>
      </c>
      <c r="C98" s="41">
        <v>43808</v>
      </c>
      <c r="D98" s="30">
        <f>SUM(Data!$I98:$M98)</f>
        <v>59.349999998999991</v>
      </c>
      <c r="E98" s="29">
        <v>13</v>
      </c>
      <c r="F98" s="29">
        <v>553</v>
      </c>
      <c r="G98" s="29">
        <v>116</v>
      </c>
      <c r="H98" s="29">
        <v>162</v>
      </c>
      <c r="I98" s="29">
        <v>31.083333332999999</v>
      </c>
      <c r="J98" s="29">
        <v>3.3833333329999999</v>
      </c>
      <c r="K98" s="29">
        <v>11.95</v>
      </c>
      <c r="L98" s="29">
        <v>12.883333332999999</v>
      </c>
      <c r="M98" s="29">
        <v>0.05</v>
      </c>
      <c r="N98" s="29" t="s">
        <v>40</v>
      </c>
      <c r="O98" s="29" t="s">
        <v>26</v>
      </c>
      <c r="P98" s="29" t="s">
        <v>64</v>
      </c>
      <c r="Q98" s="29">
        <f t="shared" si="16"/>
        <v>2</v>
      </c>
      <c r="R98" s="29" t="str">
        <f t="shared" si="11"/>
        <v>12-2019</v>
      </c>
      <c r="S98" s="29" t="s">
        <v>47</v>
      </c>
      <c r="T98" s="29" t="str">
        <f t="shared" si="12"/>
        <v>Monday</v>
      </c>
      <c r="U98" s="29">
        <f t="shared" si="13"/>
        <v>1</v>
      </c>
      <c r="V98" s="31">
        <f>IFERROR(Data!$I98/Data!$D98,"")</f>
        <v>0.5237292895286223</v>
      </c>
      <c r="W98" s="31">
        <f>IFERROR(Data!$J98/Data!$D98,"")</f>
        <v>5.7006458855214943E-2</v>
      </c>
      <c r="X98" s="31">
        <f>IFERROR(Data!$K98/Data!$D98,"")</f>
        <v>0.20134793597643386</v>
      </c>
      <c r="Y98" s="31">
        <f>IFERROR(Data!$L98/Data!$D98,"")</f>
        <v>0.21707385565656404</v>
      </c>
      <c r="Z98" s="31">
        <f>IFERROR(Data!$M98/Data!$D98,"")</f>
        <v>8.4245998316499532E-4</v>
      </c>
      <c r="AA98" s="32">
        <v>232.14</v>
      </c>
      <c r="AB98" s="32">
        <f t="shared" si="17"/>
        <v>16.581428571428571</v>
      </c>
      <c r="AC98" s="29">
        <f t="shared" si="14"/>
        <v>626.71428571428567</v>
      </c>
      <c r="AD98" s="29">
        <f t="shared" si="15"/>
        <v>15.071428571428571</v>
      </c>
      <c r="AE98" s="29">
        <f>YEAR(Data!$C98)</f>
        <v>2019</v>
      </c>
      <c r="AF98" s="29"/>
      <c r="AG98" s="29">
        <v>12</v>
      </c>
      <c r="AH98" s="33">
        <f>Data!$F98/Data!$D98</f>
        <v>9.317607413804847</v>
      </c>
      <c r="AI98" s="17" t="str">
        <f>RIGHT(Data!$O98,2)</f>
        <v>PM</v>
      </c>
      <c r="AJ98" s="29" t="str">
        <f>Data!$R98&amp;"-"&amp;WEEKNUM(Data!$C98,1)-WEEKNUM(DATE(YEAR(Data!$C98),MONTH(Data!$C98),1),1)+1</f>
        <v>12-2019-2</v>
      </c>
      <c r="AK98" s="29">
        <f>MONTH(Data!$C98)</f>
        <v>12</v>
      </c>
      <c r="AL98" s="29">
        <f>IFERROR(Data!$F98/Data!$E98,0)</f>
        <v>42.53846153846154</v>
      </c>
      <c r="AM98" s="29">
        <f>COUNTIF(Data!$N$2:$N$825,Data!$N98)</f>
        <v>38</v>
      </c>
      <c r="AN98" s="29" t="str">
        <f>VLOOKUP(Data!$N98,'Helpful Tables'!A:D,4,FALSE)</f>
        <v>Washington, DC</v>
      </c>
      <c r="AO98" s="29">
        <f>COUNTIF(AN:AN,Data!$AN98)/COUNTA(AN:AN)</f>
        <v>0.62424242424242427</v>
      </c>
      <c r="AP98" s="29">
        <v>38.903509999999997</v>
      </c>
      <c r="AQ98" s="29">
        <v>-77.051809000000006</v>
      </c>
      <c r="AR98" s="29">
        <f>COUNTIF(Data!$P$2:$P$825,Data!$P98)</f>
        <v>8</v>
      </c>
      <c r="AS98" s="29" cm="1">
        <f t="array" ref="AS98">_xlfn.IFS(Data!$E98&lt;12,((Data!$E98/Data!$D98)*60)*1,AND(Data!$E98&gt;=12,Data!$E98&lt;=15),((Data!$E98/Data!$D98)*60)*1.2,AND(Data!$E98&gt;=16,Data!$E98&lt;=19),((Data!$E98/Data!$D98)*60)*1.5,Data!$E98&gt;=20,((Data!$E98/Data!$D98)*60)*1.8)</f>
        <v>15.770850884848709</v>
      </c>
      <c r="AT98" s="29" cm="1">
        <f t="array" ref="AT98">_xlfn.IFS(Data!$F98&lt;600,((Data!$F98/Data!$D98)*60)*1,AND(Data!$F98&gt;=600,Data!$F98&lt;=625),((Data!$F98/Data!$D98)*60)*1.2,AND(Data!$F98&gt;=626,Data!$F98&lt;=650),((Data!$F98/Data!$D98)*60)*1.5,Data!$F98&gt;=651,((Data!$F98/Data!$D98)*60)*1.8)</f>
        <v>559.05644482829086</v>
      </c>
      <c r="AU98" s="29">
        <f>(Data!$I98*-1.2)+(Data!$J98*-1.1)+(Data!$K98*1.2)+(Data!$L98*1.3)+(Data!$M98*1.5)</f>
        <v>-9.8583333330000045</v>
      </c>
      <c r="AV98" s="29">
        <f>(Data!$AS98*0.4)+(Data!$AT98*0.4)+(Data!$AU98*0.2)</f>
        <v>227.95925161865586</v>
      </c>
      <c r="AW98" s="29">
        <f>PERCENTRANK(AV:AV,Data!$AV98)*100</f>
        <v>6.2</v>
      </c>
      <c r="AX98" s="29" t="str">
        <f>_xlfn.CONCAT(TEXT(C98,"mmm"),"-",Data!$AE98)</f>
        <v>Dec-2019</v>
      </c>
    </row>
    <row r="99" spans="1:50" ht="17" thickTop="1" thickBot="1" x14ac:dyDescent="0.25">
      <c r="A99" s="22">
        <v>98</v>
      </c>
      <c r="B99" s="23">
        <f t="shared" si="10"/>
        <v>14</v>
      </c>
      <c r="C99" s="41">
        <v>43809</v>
      </c>
      <c r="D99" s="24">
        <f>SUM(Data!$I99:$M99)</f>
        <v>56.966666666999998</v>
      </c>
      <c r="E99" s="23">
        <v>7</v>
      </c>
      <c r="F99" s="23">
        <v>606</v>
      </c>
      <c r="G99" s="23">
        <v>125</v>
      </c>
      <c r="H99" s="23">
        <v>165</v>
      </c>
      <c r="I99" s="23">
        <v>10.716666667</v>
      </c>
      <c r="J99" s="23">
        <v>18.783333333000002</v>
      </c>
      <c r="K99" s="23">
        <v>20.466666666999998</v>
      </c>
      <c r="L99" s="23">
        <v>6.5666666669999998</v>
      </c>
      <c r="M99" s="23">
        <v>0.43333333299999999</v>
      </c>
      <c r="N99" s="23" t="s">
        <v>24</v>
      </c>
      <c r="O99" s="23" t="s">
        <v>26</v>
      </c>
      <c r="P99" s="23" t="s">
        <v>28</v>
      </c>
      <c r="Q99" s="23">
        <f t="shared" si="16"/>
        <v>1</v>
      </c>
      <c r="R99" s="23" t="str">
        <f t="shared" si="11"/>
        <v>12-2019</v>
      </c>
      <c r="S99" s="23" t="s">
        <v>43</v>
      </c>
      <c r="T99" s="23" t="str">
        <f t="shared" si="12"/>
        <v>Tuesday</v>
      </c>
      <c r="U99" s="23">
        <f t="shared" si="13"/>
        <v>0</v>
      </c>
      <c r="V99" s="25">
        <f>IFERROR(Data!$I99/Data!$D99,"")</f>
        <v>0.18812170860627198</v>
      </c>
      <c r="W99" s="25">
        <f>IFERROR(Data!$J99/Data!$D99,"")</f>
        <v>0.32972498536378164</v>
      </c>
      <c r="X99" s="25">
        <f>IFERROR(Data!$K99/Data!$D99,"")</f>
        <v>0.35927442949467947</v>
      </c>
      <c r="Y99" s="25">
        <f>IFERROR(Data!$L99/Data!$D99,"")</f>
        <v>0.11527208894607799</v>
      </c>
      <c r="Z99" s="25">
        <f>IFERROR(Data!$M99/Data!$D99,"")</f>
        <v>7.60678758918896E-3</v>
      </c>
      <c r="AA99" s="26">
        <v>232.14</v>
      </c>
      <c r="AB99" s="26">
        <f t="shared" si="17"/>
        <v>16.581428571428571</v>
      </c>
      <c r="AC99" s="23">
        <f t="shared" si="14"/>
        <v>626.71428571428567</v>
      </c>
      <c r="AD99" s="23">
        <f t="shared" si="15"/>
        <v>15.071428571428571</v>
      </c>
      <c r="AE99" s="23">
        <f>YEAR(Data!$C99)</f>
        <v>2019</v>
      </c>
      <c r="AF99" s="23"/>
      <c r="AG99" s="23">
        <v>12</v>
      </c>
      <c r="AH99" s="27">
        <f>Data!$F99/Data!$D99</f>
        <v>10.637799882910253</v>
      </c>
      <c r="AI99" s="17" t="str">
        <f>RIGHT(Data!$O99,2)</f>
        <v>PM</v>
      </c>
      <c r="AJ99" s="23" t="str">
        <f>Data!$R99&amp;"-"&amp;WEEKNUM(Data!$C99,1)-WEEKNUM(DATE(YEAR(Data!$C99),MONTH(Data!$C99),1),1)+1</f>
        <v>12-2019-2</v>
      </c>
      <c r="AK99" s="23">
        <f>MONTH(Data!$C99)</f>
        <v>12</v>
      </c>
      <c r="AL99" s="23">
        <f>IFERROR(Data!$F99/Data!$E99,0)</f>
        <v>86.571428571428569</v>
      </c>
      <c r="AM99" s="23">
        <f>COUNTIF(Data!$N$2:$N$825,Data!$N99)</f>
        <v>35</v>
      </c>
      <c r="AN99" s="23" t="str">
        <f>VLOOKUP(Data!$N99,'Helpful Tables'!A:D,4,FALSE)</f>
        <v>Virginia</v>
      </c>
      <c r="AO99" s="23">
        <f>COUNTIF(AN:AN,Data!$AN99)/COUNTA(AN:AN)</f>
        <v>6.424242424242424E-2</v>
      </c>
      <c r="AP99" s="23">
        <v>38.881884999999997</v>
      </c>
      <c r="AQ99" s="23">
        <v>-77.229702000000003</v>
      </c>
      <c r="AR99" s="23">
        <f>COUNTIF(Data!$P$2:$P$825,Data!$P99)</f>
        <v>10</v>
      </c>
      <c r="AS99" s="23" cm="1">
        <f t="array" ref="AS99">_xlfn.IFS(Data!$E99&lt;12,((Data!$E99/Data!$D99)*60)*1,AND(Data!$E99&gt;=12,Data!$E99&lt;=15),((Data!$E99/Data!$D99)*60)*1.2,AND(Data!$E99&gt;=16,Data!$E99&lt;=19),((Data!$E99/Data!$D99)*60)*1.5,Data!$E99&gt;=20,((Data!$E99/Data!$D99)*60)*1.8)</f>
        <v>7.3727325921160176</v>
      </c>
      <c r="AT99" s="23" cm="1">
        <f t="array" ref="AT99">_xlfn.IFS(Data!$F99&lt;600,((Data!$F99/Data!$D99)*60)*1,AND(Data!$F99&gt;=600,Data!$F99&lt;=625),((Data!$F99/Data!$D99)*60)*1.2,AND(Data!$F99&gt;=626,Data!$F99&lt;=650),((Data!$F99/Data!$D99)*60)*1.5,Data!$F99&gt;=651,((Data!$F99/Data!$D99)*60)*1.8)</f>
        <v>765.92159156953812</v>
      </c>
      <c r="AU99" s="23">
        <f>(Data!$I99*-1.2)+(Data!$J99*-1.1)+(Data!$K99*1.2)+(Data!$L99*1.3)+(Data!$M99*1.5)</f>
        <v>0.22500000029999934</v>
      </c>
      <c r="AV99" s="23">
        <f>(Data!$AS99*0.4)+(Data!$AT99*0.4)+(Data!$AU99*0.2)</f>
        <v>309.36272966472166</v>
      </c>
      <c r="AW99" s="23">
        <f>PERCENTRANK(AV:AV,Data!$AV99)*100</f>
        <v>31</v>
      </c>
      <c r="AX99" s="23" t="str">
        <f>_xlfn.CONCAT(TEXT(C99,"mmm"),"-",Data!$AE99)</f>
        <v>Dec-2019</v>
      </c>
    </row>
    <row r="100" spans="1:50" ht="17" thickTop="1" thickBot="1" x14ac:dyDescent="0.25">
      <c r="A100" s="28">
        <v>99</v>
      </c>
      <c r="B100" s="29">
        <f t="shared" si="10"/>
        <v>14</v>
      </c>
      <c r="C100" s="41">
        <v>43811</v>
      </c>
      <c r="D100" s="30">
        <f>SUM(Data!$I100:$M100)</f>
        <v>53.616666666000008</v>
      </c>
      <c r="E100" s="29">
        <v>12</v>
      </c>
      <c r="F100" s="29">
        <v>595</v>
      </c>
      <c r="G100" s="29">
        <v>129</v>
      </c>
      <c r="H100" s="29">
        <v>167</v>
      </c>
      <c r="I100" s="29">
        <v>7.7833333329999999</v>
      </c>
      <c r="J100" s="29">
        <v>13.833333333000001</v>
      </c>
      <c r="K100" s="29">
        <v>20.033333333000002</v>
      </c>
      <c r="L100" s="29">
        <v>10.516666667000001</v>
      </c>
      <c r="M100" s="29">
        <v>1.45</v>
      </c>
      <c r="N100" s="29" t="s">
        <v>33</v>
      </c>
      <c r="O100" s="29" t="s">
        <v>50</v>
      </c>
      <c r="P100" s="29" t="s">
        <v>72</v>
      </c>
      <c r="Q100" s="29">
        <f t="shared" si="16"/>
        <v>2</v>
      </c>
      <c r="R100" s="29" t="str">
        <f t="shared" si="11"/>
        <v>12-2019</v>
      </c>
      <c r="S100" s="29" t="s">
        <v>43</v>
      </c>
      <c r="T100" s="29" t="str">
        <f t="shared" si="12"/>
        <v>Thursday</v>
      </c>
      <c r="U100" s="29">
        <f t="shared" si="13"/>
        <v>1</v>
      </c>
      <c r="V100" s="31">
        <f>IFERROR(Data!$I100/Data!$D100,"")</f>
        <v>0.14516630400553515</v>
      </c>
      <c r="W100" s="31">
        <f>IFERROR(Data!$J100/Data!$D100,"")</f>
        <v>0.25800435187762516</v>
      </c>
      <c r="X100" s="31">
        <f>IFERROR(Data!$K100/Data!$D100,"")</f>
        <v>0.37364003730026285</v>
      </c>
      <c r="Y100" s="31">
        <f>IFERROR(Data!$L100/Data!$D100,"")</f>
        <v>0.1961454771612825</v>
      </c>
      <c r="Z100" s="31">
        <f>IFERROR(Data!$M100/Data!$D100,"")</f>
        <v>2.7043829655294293E-2</v>
      </c>
      <c r="AA100" s="32">
        <v>232.14</v>
      </c>
      <c r="AB100" s="32">
        <f t="shared" si="17"/>
        <v>16.581428571428571</v>
      </c>
      <c r="AC100" s="29">
        <f t="shared" si="14"/>
        <v>626.71428571428567</v>
      </c>
      <c r="AD100" s="29">
        <f t="shared" si="15"/>
        <v>15.071428571428571</v>
      </c>
      <c r="AE100" s="29">
        <f>YEAR(Data!$C100)</f>
        <v>2019</v>
      </c>
      <c r="AF100" s="29"/>
      <c r="AG100" s="29">
        <v>12</v>
      </c>
      <c r="AH100" s="33">
        <f>Data!$F100/Data!$D100</f>
        <v>11.097295617172486</v>
      </c>
      <c r="AI100" s="17" t="str">
        <f>RIGHT(Data!$O100,2)</f>
        <v>PM</v>
      </c>
      <c r="AJ100" s="29" t="str">
        <f>Data!$R100&amp;"-"&amp;WEEKNUM(Data!$C100,1)-WEEKNUM(DATE(YEAR(Data!$C100),MONTH(Data!$C100),1),1)+1</f>
        <v>12-2019-2</v>
      </c>
      <c r="AK100" s="29">
        <f>MONTH(Data!$C100)</f>
        <v>12</v>
      </c>
      <c r="AL100" s="29">
        <f>IFERROR(Data!$F100/Data!$E100,0)</f>
        <v>49.583333333333336</v>
      </c>
      <c r="AM100" s="29">
        <f>COUNTIF(Data!$N$2:$N$825,Data!$N100)</f>
        <v>48</v>
      </c>
      <c r="AN100" s="29" t="str">
        <f>VLOOKUP(Data!$N100,'Helpful Tables'!A:D,4,FALSE)</f>
        <v>Washington, DC</v>
      </c>
      <c r="AO100" s="29">
        <f>COUNTIF(AN:AN,Data!$AN100)/COUNTA(AN:AN)</f>
        <v>0.62424242424242427</v>
      </c>
      <c r="AP100" s="29">
        <v>38.916486999999996</v>
      </c>
      <c r="AQ100" s="29">
        <v>-77.031514000000001</v>
      </c>
      <c r="AR100" s="29">
        <f>COUNTIF(Data!$P$2:$P$825,Data!$P100)</f>
        <v>3</v>
      </c>
      <c r="AS100" s="29" cm="1">
        <f t="array" ref="AS100">_xlfn.IFS(Data!$E100&lt;12,((Data!$E100/Data!$D100)*60)*1,AND(Data!$E100&gt;=12,Data!$E100&lt;=15),((Data!$E100/Data!$D100)*60)*1.2,AND(Data!$E100&gt;=16,Data!$E100&lt;=19),((Data!$E100/Data!$D100)*60)*1.5,Data!$E100&gt;=20,((Data!$E100/Data!$D100)*60)*1.8)</f>
        <v>16.114392291154669</v>
      </c>
      <c r="AT100" s="29" cm="1">
        <f t="array" ref="AT100">_xlfn.IFS(Data!$F100&lt;600,((Data!$F100/Data!$D100)*60)*1,AND(Data!$F100&gt;=600,Data!$F100&lt;=625),((Data!$F100/Data!$D100)*60)*1.2,AND(Data!$F100&gt;=626,Data!$F100&lt;=650),((Data!$F100/Data!$D100)*60)*1.5,Data!$F100&gt;=651,((Data!$F100/Data!$D100)*60)*1.8)</f>
        <v>665.83773703034922</v>
      </c>
      <c r="AU100" s="29">
        <f>(Data!$I100*-1.2)+(Data!$J100*-1.1)+(Data!$K100*1.2)+(Data!$L100*1.3)+(Data!$M100*1.5)</f>
        <v>15.330000000800002</v>
      </c>
      <c r="AV100" s="29">
        <f>(Data!$AS100*0.4)+(Data!$AT100*0.4)+(Data!$AU100*0.2)</f>
        <v>275.84685172876152</v>
      </c>
      <c r="AW100" s="29">
        <f>PERCENTRANK(AV:AV,Data!$AV100)*100</f>
        <v>23.200000000000003</v>
      </c>
      <c r="AX100" s="29" t="str">
        <f>_xlfn.CONCAT(TEXT(C100,"mmm"),"-",Data!$AE100)</f>
        <v>Dec-2019</v>
      </c>
    </row>
    <row r="101" spans="1:50" ht="17" thickTop="1" thickBot="1" x14ac:dyDescent="0.25">
      <c r="A101" s="22">
        <v>100</v>
      </c>
      <c r="B101" s="23">
        <f t="shared" si="10"/>
        <v>14</v>
      </c>
      <c r="C101" s="41">
        <v>43812</v>
      </c>
      <c r="D101" s="24">
        <f>SUM(Data!$I101:$M101)</f>
        <v>58.20000000000001</v>
      </c>
      <c r="E101" s="23">
        <v>21</v>
      </c>
      <c r="F101" s="23">
        <v>662</v>
      </c>
      <c r="G101" s="23">
        <v>130</v>
      </c>
      <c r="H101" s="23">
        <v>163</v>
      </c>
      <c r="I101" s="23">
        <v>8.7166666670000001</v>
      </c>
      <c r="J101" s="23">
        <v>14.383333332999999</v>
      </c>
      <c r="K101" s="23">
        <v>14.3</v>
      </c>
      <c r="L101" s="23">
        <v>19.616666667000001</v>
      </c>
      <c r="M101" s="23">
        <v>1.183333333</v>
      </c>
      <c r="N101" s="23" t="s">
        <v>33</v>
      </c>
      <c r="O101" s="23" t="s">
        <v>26</v>
      </c>
      <c r="P101" s="23" t="s">
        <v>75</v>
      </c>
      <c r="Q101" s="23">
        <f t="shared" si="16"/>
        <v>1</v>
      </c>
      <c r="R101" s="23" t="str">
        <f t="shared" si="11"/>
        <v>12-2019</v>
      </c>
      <c r="S101" s="23" t="s">
        <v>48</v>
      </c>
      <c r="T101" s="23" t="str">
        <f t="shared" si="12"/>
        <v>Friday</v>
      </c>
      <c r="U101" s="23">
        <f t="shared" si="13"/>
        <v>1</v>
      </c>
      <c r="V101" s="25">
        <f>IFERROR(Data!$I101/Data!$D101,"")</f>
        <v>0.14977090493127146</v>
      </c>
      <c r="W101" s="25">
        <f>IFERROR(Data!$J101/Data!$D101,"")</f>
        <v>0.24713631156357382</v>
      </c>
      <c r="X101" s="25">
        <f>IFERROR(Data!$K101/Data!$D101,"")</f>
        <v>0.24570446735395185</v>
      </c>
      <c r="Y101" s="25">
        <f>IFERROR(Data!$L101/Data!$D101,"")</f>
        <v>0.33705612829896903</v>
      </c>
      <c r="Z101" s="25">
        <f>IFERROR(Data!$M101/Data!$D101,"")</f>
        <v>2.0332187852233674E-2</v>
      </c>
      <c r="AA101" s="26">
        <v>232.14</v>
      </c>
      <c r="AB101" s="26">
        <f t="shared" si="17"/>
        <v>16.581428571428571</v>
      </c>
      <c r="AC101" s="23">
        <f t="shared" si="14"/>
        <v>626.71428571428567</v>
      </c>
      <c r="AD101" s="23">
        <f t="shared" si="15"/>
        <v>15.071428571428571</v>
      </c>
      <c r="AE101" s="23">
        <f>YEAR(Data!$C101)</f>
        <v>2019</v>
      </c>
      <c r="AF101" s="23"/>
      <c r="AG101" s="23">
        <v>12</v>
      </c>
      <c r="AH101" s="27">
        <f>Data!$F101/Data!$D101</f>
        <v>11.374570446735394</v>
      </c>
      <c r="AI101" s="17" t="str">
        <f>RIGHT(Data!$O101,2)</f>
        <v>PM</v>
      </c>
      <c r="AJ101" s="23" t="str">
        <f>Data!$R101&amp;"-"&amp;WEEKNUM(Data!$C101,1)-WEEKNUM(DATE(YEAR(Data!$C101),MONTH(Data!$C101),1),1)+1</f>
        <v>12-2019-2</v>
      </c>
      <c r="AK101" s="23">
        <f>MONTH(Data!$C101)</f>
        <v>12</v>
      </c>
      <c r="AL101" s="23">
        <f>IFERROR(Data!$F101/Data!$E101,0)</f>
        <v>31.523809523809526</v>
      </c>
      <c r="AM101" s="23">
        <f>COUNTIF(Data!$N$2:$N$825,Data!$N101)</f>
        <v>48</v>
      </c>
      <c r="AN101" s="23" t="str">
        <f>VLOOKUP(Data!$N101,'Helpful Tables'!A:D,4,FALSE)</f>
        <v>Washington, DC</v>
      </c>
      <c r="AO101" s="23">
        <f>COUNTIF(AN:AN,Data!$AN101)/COUNTA(AN:AN)</f>
        <v>0.62424242424242427</v>
      </c>
      <c r="AP101" s="23">
        <v>38.916486999999996</v>
      </c>
      <c r="AQ101" s="23">
        <v>-77.031514000000001</v>
      </c>
      <c r="AR101" s="23">
        <f>COUNTIF(Data!$P$2:$P$825,Data!$P101)</f>
        <v>2</v>
      </c>
      <c r="AS101" s="23" cm="1">
        <f t="array" ref="AS101">_xlfn.IFS(Data!$E101&lt;12,((Data!$E101/Data!$D101)*60)*1,AND(Data!$E101&gt;=12,Data!$E101&lt;=15),((Data!$E101/Data!$D101)*60)*1.2,AND(Data!$E101&gt;=16,Data!$E101&lt;=19),((Data!$E101/Data!$D101)*60)*1.5,Data!$E101&gt;=20,((Data!$E101/Data!$D101)*60)*1.8)</f>
        <v>38.96907216494845</v>
      </c>
      <c r="AT101" s="23" cm="1">
        <f t="array" ref="AT101">_xlfn.IFS(Data!$F101&lt;600,((Data!$F101/Data!$D101)*60)*1,AND(Data!$F101&gt;=600,Data!$F101&lt;=625),((Data!$F101/Data!$D101)*60)*1.2,AND(Data!$F101&gt;=626,Data!$F101&lt;=650),((Data!$F101/Data!$D101)*60)*1.5,Data!$F101&gt;=651,((Data!$F101/Data!$D101)*60)*1.8)</f>
        <v>1228.4536082474226</v>
      </c>
      <c r="AU101" s="23">
        <f>(Data!$I101*-1.2)+(Data!$J101*-1.1)+(Data!$K101*1.2)+(Data!$L101*1.3)+(Data!$M101*1.5)</f>
        <v>18.154999999900003</v>
      </c>
      <c r="AV101" s="23">
        <f>(Data!$AS101*0.4)+(Data!$AT101*0.4)+(Data!$AU101*0.2)</f>
        <v>510.60007216492846</v>
      </c>
      <c r="AW101" s="23">
        <f>PERCENTRANK(AV:AV,Data!$AV101)*100</f>
        <v>84.8</v>
      </c>
      <c r="AX101" s="23" t="str">
        <f>_xlfn.CONCAT(TEXT(C101,"mmm"),"-",Data!$AE101)</f>
        <v>Dec-2019</v>
      </c>
    </row>
    <row r="102" spans="1:50" ht="17" thickTop="1" thickBot="1" x14ac:dyDescent="0.25">
      <c r="A102" s="28">
        <v>101</v>
      </c>
      <c r="B102" s="29">
        <f t="shared" si="10"/>
        <v>14</v>
      </c>
      <c r="C102" s="41">
        <v>43814</v>
      </c>
      <c r="D102" s="30">
        <f>SUM(Data!$I102:$M102)</f>
        <v>58.633333332999996</v>
      </c>
      <c r="E102" s="29">
        <v>18</v>
      </c>
      <c r="F102" s="29">
        <v>715</v>
      </c>
      <c r="G102" s="29">
        <v>135</v>
      </c>
      <c r="H102" s="29">
        <v>164</v>
      </c>
      <c r="I102" s="29">
        <v>3.983333333</v>
      </c>
      <c r="J102" s="29">
        <v>8.6333333329999995</v>
      </c>
      <c r="K102" s="29">
        <v>28.716666666999998</v>
      </c>
      <c r="L102" s="29">
        <v>16.633333332999999</v>
      </c>
      <c r="M102" s="29">
        <v>0.66666666699999999</v>
      </c>
      <c r="N102" s="29" t="s">
        <v>33</v>
      </c>
      <c r="O102" s="29" t="s">
        <v>83</v>
      </c>
      <c r="P102" s="29" t="s">
        <v>68</v>
      </c>
      <c r="Q102" s="29">
        <f t="shared" si="16"/>
        <v>2</v>
      </c>
      <c r="R102" s="29" t="str">
        <f t="shared" si="11"/>
        <v>12-2019</v>
      </c>
      <c r="S102" s="29" t="s">
        <v>43</v>
      </c>
      <c r="T102" s="29" t="str">
        <f t="shared" si="12"/>
        <v>Sunday</v>
      </c>
      <c r="U102" s="29">
        <f t="shared" si="13"/>
        <v>1</v>
      </c>
      <c r="V102" s="31">
        <f>IFERROR(Data!$I102/Data!$D102,"")</f>
        <v>6.7936327453484574E-2</v>
      </c>
      <c r="W102" s="31">
        <f>IFERROR(Data!$J102/Data!$D102,"")</f>
        <v>0.14724275155854033</v>
      </c>
      <c r="X102" s="31">
        <f>IFERROR(Data!$K102/Data!$D102,"")</f>
        <v>0.48976691302723008</v>
      </c>
      <c r="Y102" s="31">
        <f>IFERROR(Data!$L102/Data!$D102,"")</f>
        <v>0.28368391130917386</v>
      </c>
      <c r="Z102" s="31">
        <f>IFERROR(Data!$M102/Data!$D102,"")</f>
        <v>1.1370096651571179E-2</v>
      </c>
      <c r="AA102" s="32">
        <v>232.14</v>
      </c>
      <c r="AB102" s="32">
        <f t="shared" si="17"/>
        <v>16.581428571428571</v>
      </c>
      <c r="AC102" s="29">
        <f t="shared" si="14"/>
        <v>626.71428571428567</v>
      </c>
      <c r="AD102" s="29">
        <f t="shared" si="15"/>
        <v>15.071428571428571</v>
      </c>
      <c r="AE102" s="29">
        <f>YEAR(Data!$C102)</f>
        <v>2019</v>
      </c>
      <c r="AF102" s="29"/>
      <c r="AG102" s="29">
        <v>12</v>
      </c>
      <c r="AH102" s="33">
        <f>Data!$F102/Data!$D102</f>
        <v>12.194428652712874</v>
      </c>
      <c r="AI102" s="17" t="str">
        <f>RIGHT(Data!$O102,2)</f>
        <v>PM</v>
      </c>
      <c r="AJ102" s="29" t="str">
        <f>Data!$R102&amp;"-"&amp;WEEKNUM(Data!$C102,1)-WEEKNUM(DATE(YEAR(Data!$C102),MONTH(Data!$C102),1),1)+1</f>
        <v>12-2019-3</v>
      </c>
      <c r="AK102" s="29">
        <f>MONTH(Data!$C102)</f>
        <v>12</v>
      </c>
      <c r="AL102" s="29">
        <f>IFERROR(Data!$F102/Data!$E102,0)</f>
        <v>39.722222222222221</v>
      </c>
      <c r="AM102" s="29">
        <f>COUNTIF(Data!$N$2:$N$825,Data!$N102)</f>
        <v>48</v>
      </c>
      <c r="AN102" s="29" t="str">
        <f>VLOOKUP(Data!$N102,'Helpful Tables'!A:D,4,FALSE)</f>
        <v>Washington, DC</v>
      </c>
      <c r="AO102" s="29">
        <f>COUNTIF(AN:AN,Data!$AN102)/COUNTA(AN:AN)</f>
        <v>0.62424242424242427</v>
      </c>
      <c r="AP102" s="29">
        <v>38.916486999999996</v>
      </c>
      <c r="AQ102" s="29">
        <v>-77.031514000000001</v>
      </c>
      <c r="AR102" s="29">
        <f>COUNTIF(Data!$P$2:$P$825,Data!$P102)</f>
        <v>5</v>
      </c>
      <c r="AS102" s="29" cm="1">
        <f t="array" ref="AS102">_xlfn.IFS(Data!$E102&lt;12,((Data!$E102/Data!$D102)*60)*1,AND(Data!$E102&gt;=12,Data!$E102&lt;=15),((Data!$E102/Data!$D102)*60)*1.2,AND(Data!$E102&gt;=16,Data!$E102&lt;=19),((Data!$E102/Data!$D102)*60)*1.5,Data!$E102&gt;=20,((Data!$E102/Data!$D102)*60)*1.8)</f>
        <v>27.629334849503294</v>
      </c>
      <c r="AT102" s="29" cm="1">
        <f t="array" ref="AT102">_xlfn.IFS(Data!$F102&lt;600,((Data!$F102/Data!$D102)*60)*1,AND(Data!$F102&gt;=600,Data!$F102&lt;=625),((Data!$F102/Data!$D102)*60)*1.2,AND(Data!$F102&gt;=626,Data!$F102&lt;=650),((Data!$F102/Data!$D102)*60)*1.5,Data!$F102&gt;=651,((Data!$F102/Data!$D102)*60)*1.8)</f>
        <v>1316.9982944929905</v>
      </c>
      <c r="AU102" s="29">
        <f>(Data!$I102*-1.2)+(Data!$J102*-1.1)+(Data!$K102*1.2)+(Data!$L102*1.3)+(Data!$M102*1.5)</f>
        <v>42.806666667899997</v>
      </c>
      <c r="AV102" s="29">
        <f>(Data!$AS102*0.4)+(Data!$AT102*0.4)+(Data!$AU102*0.2)</f>
        <v>546.41238507057756</v>
      </c>
      <c r="AW102" s="29">
        <f>PERCENTRANK(AV:AV,Data!$AV102)*100</f>
        <v>97.399999999999991</v>
      </c>
      <c r="AX102" s="29" t="str">
        <f>_xlfn.CONCAT(TEXT(C102,"mmm"),"-",Data!$AE102)</f>
        <v>Dec-2019</v>
      </c>
    </row>
    <row r="103" spans="1:50" ht="17" thickTop="1" thickBot="1" x14ac:dyDescent="0.25">
      <c r="A103" s="22">
        <v>102</v>
      </c>
      <c r="B103" s="23">
        <f t="shared" si="10"/>
        <v>14</v>
      </c>
      <c r="C103" s="41">
        <v>43815</v>
      </c>
      <c r="D103" s="24">
        <f>SUM(Data!$I103:$M103)</f>
        <v>61.15</v>
      </c>
      <c r="E103" s="23">
        <v>19</v>
      </c>
      <c r="F103" s="23">
        <v>674</v>
      </c>
      <c r="G103" s="23">
        <v>128</v>
      </c>
      <c r="H103" s="23">
        <v>165</v>
      </c>
      <c r="I103" s="23">
        <v>16.633333332999999</v>
      </c>
      <c r="J103" s="23">
        <v>12.333333333000001</v>
      </c>
      <c r="K103" s="23">
        <v>13.25</v>
      </c>
      <c r="L103" s="23">
        <v>17.716666666999998</v>
      </c>
      <c r="M103" s="23">
        <v>1.2166666669999999</v>
      </c>
      <c r="N103" s="23" t="s">
        <v>40</v>
      </c>
      <c r="O103" s="23" t="s">
        <v>26</v>
      </c>
      <c r="P103" s="23" t="s">
        <v>64</v>
      </c>
      <c r="Q103" s="23">
        <f t="shared" si="16"/>
        <v>1</v>
      </c>
      <c r="R103" s="23" t="str">
        <f t="shared" si="11"/>
        <v>12-2019</v>
      </c>
      <c r="S103" s="23" t="s">
        <v>47</v>
      </c>
      <c r="T103" s="23" t="str">
        <f t="shared" si="12"/>
        <v>Monday</v>
      </c>
      <c r="U103" s="23">
        <f t="shared" si="13"/>
        <v>1</v>
      </c>
      <c r="V103" s="25">
        <f>IFERROR(Data!$I103/Data!$D103,"")</f>
        <v>0.27200872171708912</v>
      </c>
      <c r="W103" s="25">
        <f>IFERROR(Data!$J103/Data!$D103,"")</f>
        <v>0.20168983373671301</v>
      </c>
      <c r="X103" s="25">
        <f>IFERROR(Data!$K103/Data!$D103,"")</f>
        <v>0.21668029435813574</v>
      </c>
      <c r="Y103" s="25">
        <f>IFERROR(Data!$L103/Data!$D103,"")</f>
        <v>0.28972472063777593</v>
      </c>
      <c r="Z103" s="25">
        <f>IFERROR(Data!$M103/Data!$D103,"")</f>
        <v>1.9896429550286181E-2</v>
      </c>
      <c r="AA103" s="26">
        <v>232.14</v>
      </c>
      <c r="AB103" s="26">
        <f t="shared" si="17"/>
        <v>16.581428571428571</v>
      </c>
      <c r="AC103" s="23">
        <f t="shared" si="14"/>
        <v>626.71428571428567</v>
      </c>
      <c r="AD103" s="23">
        <f t="shared" si="15"/>
        <v>15.071428571428571</v>
      </c>
      <c r="AE103" s="23">
        <f>YEAR(Data!$C103)</f>
        <v>2019</v>
      </c>
      <c r="AF103" s="23"/>
      <c r="AG103" s="23">
        <v>12</v>
      </c>
      <c r="AH103" s="27">
        <f>Data!$F103/Data!$D103</f>
        <v>11.022076860179887</v>
      </c>
      <c r="AI103" s="17" t="str">
        <f>RIGHT(Data!$O103,2)</f>
        <v>PM</v>
      </c>
      <c r="AJ103" s="23" t="str">
        <f>Data!$R103&amp;"-"&amp;WEEKNUM(Data!$C103,1)-WEEKNUM(DATE(YEAR(Data!$C103),MONTH(Data!$C103),1),1)+1</f>
        <v>12-2019-3</v>
      </c>
      <c r="AK103" s="23">
        <f>MONTH(Data!$C103)</f>
        <v>12</v>
      </c>
      <c r="AL103" s="23">
        <f>IFERROR(Data!$F103/Data!$E103,0)</f>
        <v>35.473684210526315</v>
      </c>
      <c r="AM103" s="23">
        <f>COUNTIF(Data!$N$2:$N$825,Data!$N103)</f>
        <v>38</v>
      </c>
      <c r="AN103" s="23" t="str">
        <f>VLOOKUP(Data!$N103,'Helpful Tables'!A:D,4,FALSE)</f>
        <v>Washington, DC</v>
      </c>
      <c r="AO103" s="23">
        <f>COUNTIF(AN:AN,Data!$AN103)/COUNTA(AN:AN)</f>
        <v>0.62424242424242427</v>
      </c>
      <c r="AP103" s="23">
        <v>38.903509999999997</v>
      </c>
      <c r="AQ103" s="23">
        <v>-77.051809000000006</v>
      </c>
      <c r="AR103" s="23">
        <f>COUNTIF(Data!$P$2:$P$825,Data!$P103)</f>
        <v>8</v>
      </c>
      <c r="AS103" s="23" cm="1">
        <f t="array" ref="AS103">_xlfn.IFS(Data!$E103&lt;12,((Data!$E103/Data!$D103)*60)*1,AND(Data!$E103&gt;=12,Data!$E103&lt;=15),((Data!$E103/Data!$D103)*60)*1.2,AND(Data!$E103&gt;=16,Data!$E103&lt;=19),((Data!$E103/Data!$D103)*60)*1.5,Data!$E103&gt;=20,((Data!$E103/Data!$D103)*60)*1.8)</f>
        <v>27.964022894521666</v>
      </c>
      <c r="AT103" s="23" cm="1">
        <f t="array" ref="AT103">_xlfn.IFS(Data!$F103&lt;600,((Data!$F103/Data!$D103)*60)*1,AND(Data!$F103&gt;=600,Data!$F103&lt;=625),((Data!$F103/Data!$D103)*60)*1.2,AND(Data!$F103&gt;=626,Data!$F103&lt;=650),((Data!$F103/Data!$D103)*60)*1.5,Data!$F103&gt;=651,((Data!$F103/Data!$D103)*60)*1.8)</f>
        <v>1190.3843008994279</v>
      </c>
      <c r="AU103" s="23">
        <f>(Data!$I103*-1.2)+(Data!$J103*-1.1)+(Data!$K103*1.2)+(Data!$L103*1.3)+(Data!$M103*1.5)</f>
        <v>7.2300000017000006</v>
      </c>
      <c r="AV103" s="23">
        <f>(Data!$AS103*0.4)+(Data!$AT103*0.4)+(Data!$AU103*0.2)</f>
        <v>488.78532951791982</v>
      </c>
      <c r="AW103" s="23">
        <f>PERCENTRANK(AV:AV,Data!$AV103)*100</f>
        <v>72</v>
      </c>
      <c r="AX103" s="23" t="str">
        <f>_xlfn.CONCAT(TEXT(C103,"mmm"),"-",Data!$AE103)</f>
        <v>Dec-2019</v>
      </c>
    </row>
    <row r="104" spans="1:50" ht="17" thickTop="1" thickBot="1" x14ac:dyDescent="0.25">
      <c r="A104" s="28">
        <v>103</v>
      </c>
      <c r="B104" s="29">
        <f t="shared" si="10"/>
        <v>14</v>
      </c>
      <c r="C104" s="41">
        <v>43816</v>
      </c>
      <c r="D104" s="30">
        <f>SUM(Data!$I104:$M104)</f>
        <v>57.000000000999989</v>
      </c>
      <c r="E104" s="29">
        <v>11</v>
      </c>
      <c r="F104" s="29">
        <v>594</v>
      </c>
      <c r="G104" s="29">
        <v>124</v>
      </c>
      <c r="H104" s="29">
        <v>163</v>
      </c>
      <c r="I104" s="29">
        <v>13.916666666999999</v>
      </c>
      <c r="J104" s="29">
        <v>16.866666667000001</v>
      </c>
      <c r="K104" s="29">
        <v>15.2</v>
      </c>
      <c r="L104" s="29">
        <v>10.216666667</v>
      </c>
      <c r="M104" s="29">
        <v>0.8</v>
      </c>
      <c r="N104" s="29" t="s">
        <v>24</v>
      </c>
      <c r="O104" s="29" t="s">
        <v>26</v>
      </c>
      <c r="P104" s="29" t="s">
        <v>28</v>
      </c>
      <c r="Q104" s="29">
        <f t="shared" si="16"/>
        <v>1</v>
      </c>
      <c r="R104" s="29" t="str">
        <f t="shared" si="11"/>
        <v>12-2019</v>
      </c>
      <c r="S104" s="29" t="s">
        <v>43</v>
      </c>
      <c r="T104" s="29" t="str">
        <f t="shared" si="12"/>
        <v>Tuesday</v>
      </c>
      <c r="U104" s="29">
        <f t="shared" si="13"/>
        <v>0</v>
      </c>
      <c r="V104" s="31">
        <f>IFERROR(Data!$I104/Data!$D104,"")</f>
        <v>0.24415204678519034</v>
      </c>
      <c r="W104" s="31">
        <f>IFERROR(Data!$J104/Data!$D104,"")</f>
        <v>0.2959064327491947</v>
      </c>
      <c r="X104" s="31">
        <f>IFERROR(Data!$K104/Data!$D104,"")</f>
        <v>0.26666666666198835</v>
      </c>
      <c r="Y104" s="31">
        <f>IFERROR(Data!$L104/Data!$D104,"")</f>
        <v>0.17923976608457479</v>
      </c>
      <c r="Z104" s="31">
        <f>IFERROR(Data!$M104/Data!$D104,"")</f>
        <v>1.4035087719052019E-2</v>
      </c>
      <c r="AA104" s="32">
        <v>232.14</v>
      </c>
      <c r="AB104" s="32">
        <f t="shared" si="17"/>
        <v>16.581428571428571</v>
      </c>
      <c r="AC104" s="29">
        <f t="shared" si="14"/>
        <v>626.71428571428567</v>
      </c>
      <c r="AD104" s="29">
        <f t="shared" si="15"/>
        <v>15.071428571428571</v>
      </c>
      <c r="AE104" s="29">
        <f>YEAR(Data!$C104)</f>
        <v>2019</v>
      </c>
      <c r="AF104" s="29"/>
      <c r="AG104" s="29">
        <v>12</v>
      </c>
      <c r="AH104" s="33">
        <f>Data!$F104/Data!$D104</f>
        <v>10.421052631396124</v>
      </c>
      <c r="AI104" s="17" t="str">
        <f>RIGHT(Data!$O104,2)</f>
        <v>PM</v>
      </c>
      <c r="AJ104" s="29" t="str">
        <f>Data!$R104&amp;"-"&amp;WEEKNUM(Data!$C104,1)-WEEKNUM(DATE(YEAR(Data!$C104),MONTH(Data!$C104),1),1)+1</f>
        <v>12-2019-3</v>
      </c>
      <c r="AK104" s="29">
        <f>MONTH(Data!$C104)</f>
        <v>12</v>
      </c>
      <c r="AL104" s="29">
        <f>IFERROR(Data!$F104/Data!$E104,0)</f>
        <v>54</v>
      </c>
      <c r="AM104" s="29">
        <f>COUNTIF(Data!$N$2:$N$825,Data!$N104)</f>
        <v>35</v>
      </c>
      <c r="AN104" s="29" t="str">
        <f>VLOOKUP(Data!$N104,'Helpful Tables'!A:D,4,FALSE)</f>
        <v>Virginia</v>
      </c>
      <c r="AO104" s="29">
        <f>COUNTIF(AN:AN,Data!$AN104)/COUNTA(AN:AN)</f>
        <v>6.424242424242424E-2</v>
      </c>
      <c r="AP104" s="29">
        <v>38.881884999999997</v>
      </c>
      <c r="AQ104" s="29">
        <v>-77.229702000000003</v>
      </c>
      <c r="AR104" s="29">
        <f>COUNTIF(Data!$P$2:$P$825,Data!$P104)</f>
        <v>10</v>
      </c>
      <c r="AS104" s="29" cm="1">
        <f t="array" ref="AS104">_xlfn.IFS(Data!$E104&lt;12,((Data!$E104/Data!$D104)*60)*1,AND(Data!$E104&gt;=12,Data!$E104&lt;=15),((Data!$E104/Data!$D104)*60)*1.2,AND(Data!$E104&gt;=16,Data!$E104&lt;=19),((Data!$E104/Data!$D104)*60)*1.5,Data!$E104&gt;=20,((Data!$E104/Data!$D104)*60)*1.8)</f>
        <v>11.578947368217916</v>
      </c>
      <c r="AT104" s="29" cm="1">
        <f t="array" ref="AT104">_xlfn.IFS(Data!$F104&lt;600,((Data!$F104/Data!$D104)*60)*1,AND(Data!$F104&gt;=600,Data!$F104&lt;=625),((Data!$F104/Data!$D104)*60)*1.2,AND(Data!$F104&gt;=626,Data!$F104&lt;=650),((Data!$F104/Data!$D104)*60)*1.5,Data!$F104&gt;=651,((Data!$F104/Data!$D104)*60)*1.8)</f>
        <v>625.26315788376746</v>
      </c>
      <c r="AU104" s="29">
        <f>(Data!$I104*-1.2)+(Data!$J104*-1.1)+(Data!$K104*1.2)+(Data!$L104*1.3)+(Data!$M104*1.5)</f>
        <v>-2.5316666670000059</v>
      </c>
      <c r="AV104" s="29">
        <f>(Data!$AS104*0.4)+(Data!$AT104*0.4)+(Data!$AU104*0.2)</f>
        <v>254.23050876739416</v>
      </c>
      <c r="AW104" s="29">
        <f>PERCENTRANK(AV:AV,Data!$AV104)*100</f>
        <v>19</v>
      </c>
      <c r="AX104" s="29" t="str">
        <f>_xlfn.CONCAT(TEXT(C104,"mmm"),"-",Data!$AE104)</f>
        <v>Dec-2019</v>
      </c>
    </row>
    <row r="105" spans="1:50" ht="17" thickTop="1" thickBot="1" x14ac:dyDescent="0.25">
      <c r="A105" s="22">
        <v>104</v>
      </c>
      <c r="B105" s="23">
        <f t="shared" si="10"/>
        <v>14</v>
      </c>
      <c r="C105" s="41">
        <v>43817</v>
      </c>
      <c r="D105" s="24">
        <f>SUM(Data!$I105:$M105)</f>
        <v>62.866666666</v>
      </c>
      <c r="E105" s="23">
        <v>16</v>
      </c>
      <c r="F105" s="23">
        <v>621</v>
      </c>
      <c r="G105" s="23">
        <v>120</v>
      </c>
      <c r="H105" s="23">
        <v>168</v>
      </c>
      <c r="I105" s="23">
        <v>23.683333333</v>
      </c>
      <c r="J105" s="23">
        <v>14.1</v>
      </c>
      <c r="K105" s="23">
        <v>8.5833333330000006</v>
      </c>
      <c r="L105" s="23">
        <v>14.1</v>
      </c>
      <c r="M105" s="23">
        <v>2.4</v>
      </c>
      <c r="N105" s="23" t="s">
        <v>40</v>
      </c>
      <c r="O105" s="23" t="s">
        <v>84</v>
      </c>
      <c r="P105" s="23" t="s">
        <v>64</v>
      </c>
      <c r="Q105" s="23">
        <f t="shared" si="16"/>
        <v>1</v>
      </c>
      <c r="R105" s="23" t="str">
        <f t="shared" si="11"/>
        <v>12-2019</v>
      </c>
      <c r="S105" s="23" t="s">
        <v>47</v>
      </c>
      <c r="T105" s="23" t="str">
        <f t="shared" si="12"/>
        <v>Wednesday</v>
      </c>
      <c r="U105" s="23">
        <f t="shared" si="13"/>
        <v>1</v>
      </c>
      <c r="V105" s="25">
        <f>IFERROR(Data!$I105/Data!$D105,"")</f>
        <v>0.37672322375266937</v>
      </c>
      <c r="W105" s="25">
        <f>IFERROR(Data!$J105/Data!$D105,"")</f>
        <v>0.22428419936611116</v>
      </c>
      <c r="X105" s="25">
        <f>IFERROR(Data!$K105/Data!$D105,"")</f>
        <v>0.13653234358045105</v>
      </c>
      <c r="Y105" s="25">
        <f>IFERROR(Data!$L105/Data!$D105,"")</f>
        <v>0.22428419936611116</v>
      </c>
      <c r="Z105" s="25">
        <f>IFERROR(Data!$M105/Data!$D105,"")</f>
        <v>3.8176033934657218E-2</v>
      </c>
      <c r="AA105" s="26">
        <v>232.14</v>
      </c>
      <c r="AB105" s="26">
        <f t="shared" si="17"/>
        <v>16.581428571428571</v>
      </c>
      <c r="AC105" s="23">
        <f t="shared" si="14"/>
        <v>626.71428571428567</v>
      </c>
      <c r="AD105" s="23">
        <f t="shared" si="15"/>
        <v>15.071428571428571</v>
      </c>
      <c r="AE105" s="23">
        <f>YEAR(Data!$C105)</f>
        <v>2019</v>
      </c>
      <c r="AF105" s="23"/>
      <c r="AG105" s="23">
        <v>12</v>
      </c>
      <c r="AH105" s="27">
        <f>Data!$F105/Data!$D105</f>
        <v>9.8780487805925556</v>
      </c>
      <c r="AI105" s="17" t="str">
        <f>RIGHT(Data!$O105,2)</f>
        <v>AM</v>
      </c>
      <c r="AJ105" s="23" t="str">
        <f>Data!$R105&amp;"-"&amp;WEEKNUM(Data!$C105,1)-WEEKNUM(DATE(YEAR(Data!$C105),MONTH(Data!$C105),1),1)+1</f>
        <v>12-2019-3</v>
      </c>
      <c r="AK105" s="23">
        <f>MONTH(Data!$C105)</f>
        <v>12</v>
      </c>
      <c r="AL105" s="23">
        <f>IFERROR(Data!$F105/Data!$E105,0)</f>
        <v>38.8125</v>
      </c>
      <c r="AM105" s="23">
        <f>COUNTIF(Data!$N$2:$N$825,Data!$N105)</f>
        <v>38</v>
      </c>
      <c r="AN105" s="23" t="str">
        <f>VLOOKUP(Data!$N105,'Helpful Tables'!A:D,4,FALSE)</f>
        <v>Washington, DC</v>
      </c>
      <c r="AO105" s="23">
        <f>COUNTIF(AN:AN,Data!$AN105)/COUNTA(AN:AN)</f>
        <v>0.62424242424242427</v>
      </c>
      <c r="AP105" s="23">
        <v>38.903509999999997</v>
      </c>
      <c r="AQ105" s="23">
        <v>-77.051809000000006</v>
      </c>
      <c r="AR105" s="23">
        <f>COUNTIF(Data!$P$2:$P$825,Data!$P105)</f>
        <v>8</v>
      </c>
      <c r="AS105" s="23" cm="1">
        <f t="array" ref="AS105">_xlfn.IFS(Data!$E105&lt;12,((Data!$E105/Data!$D105)*60)*1,AND(Data!$E105&gt;=12,Data!$E105&lt;=15),((Data!$E105/Data!$D105)*60)*1.2,AND(Data!$E105&gt;=16,Data!$E105&lt;=19),((Data!$E105/Data!$D105)*60)*1.5,Data!$E105&gt;=20,((Data!$E105/Data!$D105)*60)*1.8)</f>
        <v>22.905620360794334</v>
      </c>
      <c r="AT105" s="23" cm="1">
        <f t="array" ref="AT105">_xlfn.IFS(Data!$F105&lt;600,((Data!$F105/Data!$D105)*60)*1,AND(Data!$F105&gt;=600,Data!$F105&lt;=625),((Data!$F105/Data!$D105)*60)*1.2,AND(Data!$F105&gt;=626,Data!$F105&lt;=650),((Data!$F105/Data!$D105)*60)*1.5,Data!$F105&gt;=651,((Data!$F105/Data!$D105)*60)*1.8)</f>
        <v>711.21951220266396</v>
      </c>
      <c r="AU105" s="23">
        <f>(Data!$I105*-1.2)+(Data!$J105*-1.1)+(Data!$K105*1.2)+(Data!$L105*1.3)+(Data!$M105*1.5)</f>
        <v>-11.699999999999994</v>
      </c>
      <c r="AV105" s="23">
        <f>(Data!$AS105*0.4)+(Data!$AT105*0.4)+(Data!$AU105*0.2)</f>
        <v>291.31005302538335</v>
      </c>
      <c r="AW105" s="23">
        <f>PERCENTRANK(AV:AV,Data!$AV105)*100</f>
        <v>24</v>
      </c>
      <c r="AX105" s="23" t="str">
        <f>_xlfn.CONCAT(TEXT(C105,"mmm"),"-",Data!$AE105)</f>
        <v>Dec-2019</v>
      </c>
    </row>
    <row r="106" spans="1:50" ht="17" thickTop="1" thickBot="1" x14ac:dyDescent="0.25">
      <c r="A106" s="28">
        <v>105</v>
      </c>
      <c r="B106" s="29">
        <f t="shared" si="10"/>
        <v>14</v>
      </c>
      <c r="C106" s="41">
        <v>43819</v>
      </c>
      <c r="D106" s="30">
        <f>SUM(Data!$I106:$M106)</f>
        <v>56.483333333000004</v>
      </c>
      <c r="E106" s="29">
        <v>17</v>
      </c>
      <c r="F106" s="29">
        <v>584</v>
      </c>
      <c r="G106" s="29">
        <v>123</v>
      </c>
      <c r="H106" s="29">
        <v>169</v>
      </c>
      <c r="I106" s="29">
        <v>19.95</v>
      </c>
      <c r="J106" s="29">
        <v>10.6</v>
      </c>
      <c r="K106" s="29">
        <v>8.6999999999999993</v>
      </c>
      <c r="L106" s="29">
        <v>14.85</v>
      </c>
      <c r="M106" s="29">
        <v>2.3833333329999999</v>
      </c>
      <c r="N106" s="29" t="s">
        <v>40</v>
      </c>
      <c r="O106" s="29" t="s">
        <v>26</v>
      </c>
      <c r="P106" s="29" t="s">
        <v>41</v>
      </c>
      <c r="Q106" s="29">
        <f t="shared" si="16"/>
        <v>2</v>
      </c>
      <c r="R106" s="29" t="str">
        <f t="shared" si="11"/>
        <v>12-2019</v>
      </c>
      <c r="S106" s="29" t="s">
        <v>47</v>
      </c>
      <c r="T106" s="29" t="str">
        <f t="shared" si="12"/>
        <v>Friday</v>
      </c>
      <c r="U106" s="29">
        <f t="shared" si="13"/>
        <v>1</v>
      </c>
      <c r="V106" s="31">
        <f>IFERROR(Data!$I106/Data!$D106,"")</f>
        <v>0.35320153437800644</v>
      </c>
      <c r="W106" s="31">
        <f>IFERROR(Data!$J106/Data!$D106,"")</f>
        <v>0.18766597816575781</v>
      </c>
      <c r="X106" s="31">
        <f>IFERROR(Data!$K106/Data!$D106,"")</f>
        <v>0.15402773679642387</v>
      </c>
      <c r="Y106" s="31">
        <f>IFERROR(Data!$L106/Data!$D106,"")</f>
        <v>0.26290941280768904</v>
      </c>
      <c r="Z106" s="31">
        <f>IFERROR(Data!$M106/Data!$D106,"")</f>
        <v>4.2195337852122719E-2</v>
      </c>
      <c r="AA106" s="32">
        <v>232.14</v>
      </c>
      <c r="AB106" s="32">
        <f t="shared" si="17"/>
        <v>16.581428571428571</v>
      </c>
      <c r="AC106" s="29">
        <f t="shared" si="14"/>
        <v>626.71428571428567</v>
      </c>
      <c r="AD106" s="29">
        <f t="shared" si="15"/>
        <v>15.071428571428571</v>
      </c>
      <c r="AE106" s="29">
        <f>YEAR(Data!$C106)</f>
        <v>2019</v>
      </c>
      <c r="AF106" s="29"/>
      <c r="AG106" s="29">
        <v>12</v>
      </c>
      <c r="AH106" s="33">
        <f>Data!$F106/Data!$D106</f>
        <v>10.339333136679487</v>
      </c>
      <c r="AI106" s="17" t="str">
        <f>RIGHT(Data!$O106,2)</f>
        <v>PM</v>
      </c>
      <c r="AJ106" s="29" t="str">
        <f>Data!$R106&amp;"-"&amp;WEEKNUM(Data!$C106,1)-WEEKNUM(DATE(YEAR(Data!$C106),MONTH(Data!$C106),1),1)+1</f>
        <v>12-2019-3</v>
      </c>
      <c r="AK106" s="29">
        <f>MONTH(Data!$C106)</f>
        <v>12</v>
      </c>
      <c r="AL106" s="29">
        <f>IFERROR(Data!$F106/Data!$E106,0)</f>
        <v>34.352941176470587</v>
      </c>
      <c r="AM106" s="29">
        <f>COUNTIF(Data!$N$2:$N$825,Data!$N106)</f>
        <v>38</v>
      </c>
      <c r="AN106" s="29" t="str">
        <f>VLOOKUP(Data!$N106,'Helpful Tables'!A:D,4,FALSE)</f>
        <v>Washington, DC</v>
      </c>
      <c r="AO106" s="29">
        <f>COUNTIF(AN:AN,Data!$AN106)/COUNTA(AN:AN)</f>
        <v>0.62424242424242427</v>
      </c>
      <c r="AP106" s="29">
        <v>38.903509999999997</v>
      </c>
      <c r="AQ106" s="29">
        <v>-77.051809000000006</v>
      </c>
      <c r="AR106" s="29">
        <f>COUNTIF(Data!$P$2:$P$825,Data!$P106)</f>
        <v>20</v>
      </c>
      <c r="AS106" s="29" cm="1">
        <f t="array" ref="AS106">_xlfn.IFS(Data!$E106&lt;12,((Data!$E106/Data!$D106)*60)*1,AND(Data!$E106&gt;=12,Data!$E106&lt;=15),((Data!$E106/Data!$D106)*60)*1.2,AND(Data!$E106&gt;=16,Data!$E106&lt;=19),((Data!$E106/Data!$D106)*60)*1.5,Data!$E106&gt;=20,((Data!$E106/Data!$D106)*60)*1.8)</f>
        <v>27.08763647109523</v>
      </c>
      <c r="AT106" s="29" cm="1">
        <f t="array" ref="AT106">_xlfn.IFS(Data!$F106&lt;600,((Data!$F106/Data!$D106)*60)*1,AND(Data!$F106&gt;=600,Data!$F106&lt;=625),((Data!$F106/Data!$D106)*60)*1.2,AND(Data!$F106&gt;=626,Data!$F106&lt;=650),((Data!$F106/Data!$D106)*60)*1.5,Data!$F106&gt;=651,((Data!$F106/Data!$D106)*60)*1.8)</f>
        <v>620.35998820076918</v>
      </c>
      <c r="AU106" s="29">
        <f>(Data!$I106*-1.2)+(Data!$J106*-1.1)+(Data!$K106*1.2)+(Data!$L106*1.3)+(Data!$M106*1.5)</f>
        <v>-2.2800000004999967</v>
      </c>
      <c r="AV106" s="29">
        <f>(Data!$AS106*0.4)+(Data!$AT106*0.4)+(Data!$AU106*0.2)</f>
        <v>258.52304986864578</v>
      </c>
      <c r="AW106" s="29">
        <f>PERCENTRANK(AV:AV,Data!$AV106)*100</f>
        <v>20.399999999999999</v>
      </c>
      <c r="AX106" s="29" t="str">
        <f>_xlfn.CONCAT(TEXT(C106,"mmm"),"-",Data!$AE106)</f>
        <v>Dec-2019</v>
      </c>
    </row>
    <row r="107" spans="1:50" ht="17" thickTop="1" thickBot="1" x14ac:dyDescent="0.25">
      <c r="A107" s="22">
        <v>106</v>
      </c>
      <c r="B107" s="23">
        <f t="shared" si="10"/>
        <v>14</v>
      </c>
      <c r="C107" s="41">
        <v>43835</v>
      </c>
      <c r="D107" s="24">
        <f>SUM(Data!$I107:$M107)</f>
        <v>57.266666665999992</v>
      </c>
      <c r="E107" s="23">
        <v>21</v>
      </c>
      <c r="F107" s="23">
        <v>699</v>
      </c>
      <c r="G107" s="23">
        <v>135</v>
      </c>
      <c r="H107" s="23">
        <v>175</v>
      </c>
      <c r="I107" s="23">
        <v>4.7833333329999999</v>
      </c>
      <c r="J107" s="23">
        <v>16.733333333000001</v>
      </c>
      <c r="K107" s="23">
        <v>15.45</v>
      </c>
      <c r="L107" s="23">
        <v>12.566666667</v>
      </c>
      <c r="M107" s="23">
        <v>7.733333333</v>
      </c>
      <c r="N107" s="23" t="s">
        <v>33</v>
      </c>
      <c r="O107" s="23" t="s">
        <v>45</v>
      </c>
      <c r="P107" s="23" t="s">
        <v>34</v>
      </c>
      <c r="Q107" s="23">
        <f t="shared" si="16"/>
        <v>16</v>
      </c>
      <c r="R107" s="23" t="str">
        <f t="shared" si="11"/>
        <v>1-2020</v>
      </c>
      <c r="S107" s="23" t="s">
        <v>43</v>
      </c>
      <c r="T107" s="23" t="str">
        <f t="shared" si="12"/>
        <v>Sunday</v>
      </c>
      <c r="U107" s="23">
        <f t="shared" si="13"/>
        <v>1</v>
      </c>
      <c r="V107" s="25">
        <f>IFERROR(Data!$I107/Data!$D107,"")</f>
        <v>8.3527357387468318E-2</v>
      </c>
      <c r="W107" s="25">
        <f>IFERROR(Data!$J107/Data!$D107,"")</f>
        <v>0.29220023282645174</v>
      </c>
      <c r="X107" s="25">
        <f>IFERROR(Data!$K107/Data!$D107,"")</f>
        <v>0.2697904540194388</v>
      </c>
      <c r="Y107" s="25">
        <f>IFERROR(Data!$L107/Data!$D107,"")</f>
        <v>0.21944121071850342</v>
      </c>
      <c r="Z107" s="25">
        <f>IFERROR(Data!$M107/Data!$D107,"")</f>
        <v>0.13504074504813787</v>
      </c>
      <c r="AA107" s="26">
        <v>232.14</v>
      </c>
      <c r="AB107" s="26">
        <f t="shared" si="17"/>
        <v>16.581428571428571</v>
      </c>
      <c r="AC107" s="23">
        <f t="shared" si="14"/>
        <v>613</v>
      </c>
      <c r="AD107" s="23">
        <f t="shared" si="15"/>
        <v>14.5</v>
      </c>
      <c r="AE107" s="23">
        <f>YEAR(Data!$C107)</f>
        <v>2020</v>
      </c>
      <c r="AF107" s="23"/>
      <c r="AG107" s="23">
        <v>12</v>
      </c>
      <c r="AH107" s="27">
        <f>Data!$F107/Data!$D107</f>
        <v>12.206053550782377</v>
      </c>
      <c r="AI107" s="17" t="str">
        <f>RIGHT(Data!$O107,2)</f>
        <v>AM</v>
      </c>
      <c r="AJ107" s="23" t="str">
        <f>Data!$R107&amp;"-"&amp;WEEKNUM(Data!$C107,1)-WEEKNUM(DATE(YEAR(Data!$C107),MONTH(Data!$C107),1),1)+1</f>
        <v>1-2020-2</v>
      </c>
      <c r="AK107" s="23">
        <f>MONTH(Data!$C107)</f>
        <v>1</v>
      </c>
      <c r="AL107" s="23">
        <f>IFERROR(Data!$F107/Data!$E107,0)</f>
        <v>33.285714285714285</v>
      </c>
      <c r="AM107" s="23">
        <f>COUNTIF(Data!$N$2:$N$825,Data!$N107)</f>
        <v>48</v>
      </c>
      <c r="AN107" s="23" t="str">
        <f>VLOOKUP(Data!$N107,'Helpful Tables'!A:D,4,FALSE)</f>
        <v>Washington, DC</v>
      </c>
      <c r="AO107" s="23">
        <f>COUNTIF(AN:AN,Data!$AN107)/COUNTA(AN:AN)</f>
        <v>0.62424242424242427</v>
      </c>
      <c r="AP107" s="23">
        <v>38.916486999999996</v>
      </c>
      <c r="AQ107" s="23">
        <v>-77.031514000000001</v>
      </c>
      <c r="AR107" s="23">
        <f>COUNTIF(Data!$P$2:$P$825,Data!$P107)</f>
        <v>30</v>
      </c>
      <c r="AS107" s="23" cm="1">
        <f t="array" ref="AS107">_xlfn.IFS(Data!$E107&lt;12,((Data!$E107/Data!$D107)*60)*1,AND(Data!$E107&gt;=12,Data!$E107&lt;=15),((Data!$E107/Data!$D107)*60)*1.2,AND(Data!$E107&gt;=16,Data!$E107&lt;=19),((Data!$E107/Data!$D107)*60)*1.5,Data!$E107&gt;=20,((Data!$E107/Data!$D107)*60)*1.8)</f>
        <v>39.604190920135096</v>
      </c>
      <c r="AT107" s="23" cm="1">
        <f t="array" ref="AT107">_xlfn.IFS(Data!$F107&lt;600,((Data!$F107/Data!$D107)*60)*1,AND(Data!$F107&gt;=600,Data!$F107&lt;=625),((Data!$F107/Data!$D107)*60)*1.2,AND(Data!$F107&gt;=626,Data!$F107&lt;=650),((Data!$F107/Data!$D107)*60)*1.5,Data!$F107&gt;=651,((Data!$F107/Data!$D107)*60)*1.8)</f>
        <v>1318.2537834844968</v>
      </c>
      <c r="AU107" s="23">
        <f>(Data!$I107*-1.2)+(Data!$J107*-1.1)+(Data!$K107*1.2)+(Data!$L107*1.3)+(Data!$M107*1.5)</f>
        <v>22.3300000007</v>
      </c>
      <c r="AV107" s="23">
        <f>(Data!$AS107*0.4)+(Data!$AT107*0.4)+(Data!$AU107*0.2)</f>
        <v>547.60918976199264</v>
      </c>
      <c r="AW107" s="23">
        <f>PERCENTRANK(AV:AV,Data!$AV107)*100</f>
        <v>97.5</v>
      </c>
      <c r="AX107" s="23" t="str">
        <f>_xlfn.CONCAT(TEXT(C107,"mmm"),"-",Data!$AE107)</f>
        <v>Jan-2020</v>
      </c>
    </row>
    <row r="108" spans="1:50" ht="17" thickTop="1" thickBot="1" x14ac:dyDescent="0.25">
      <c r="A108" s="28">
        <v>107</v>
      </c>
      <c r="B108" s="29">
        <f t="shared" si="10"/>
        <v>14</v>
      </c>
      <c r="C108" s="41">
        <v>43837</v>
      </c>
      <c r="D108" s="30">
        <f>SUM(Data!$I108:$M108)</f>
        <v>58.083333331999995</v>
      </c>
      <c r="E108" s="29">
        <v>14</v>
      </c>
      <c r="F108" s="29">
        <v>708</v>
      </c>
      <c r="G108" s="29">
        <v>135</v>
      </c>
      <c r="H108" s="29">
        <v>167</v>
      </c>
      <c r="I108" s="29">
        <v>4.3333333329999997</v>
      </c>
      <c r="J108" s="29">
        <v>6.6833333330000002</v>
      </c>
      <c r="K108" s="29">
        <v>32.833333332999999</v>
      </c>
      <c r="L108" s="29">
        <v>11.483333332999999</v>
      </c>
      <c r="M108" s="29">
        <v>2.75</v>
      </c>
      <c r="N108" s="29" t="s">
        <v>24</v>
      </c>
      <c r="O108" s="29" t="s">
        <v>26</v>
      </c>
      <c r="P108" s="29" t="s">
        <v>28</v>
      </c>
      <c r="Q108" s="29">
        <f t="shared" si="16"/>
        <v>2</v>
      </c>
      <c r="R108" s="29" t="str">
        <f t="shared" si="11"/>
        <v>1-2020</v>
      </c>
      <c r="S108" s="29" t="s">
        <v>47</v>
      </c>
      <c r="T108" s="29" t="str">
        <f t="shared" si="12"/>
        <v>Tuesday</v>
      </c>
      <c r="U108" s="29">
        <f t="shared" si="13"/>
        <v>1</v>
      </c>
      <c r="V108" s="31">
        <f>IFERROR(Data!$I108/Data!$D108,"")</f>
        <v>7.460545193284604E-2</v>
      </c>
      <c r="W108" s="31">
        <f>IFERROR(Data!$J108/Data!$D108,"")</f>
        <v>0.11506456240723248</v>
      </c>
      <c r="X108" s="31">
        <f>IFERROR(Data!$K108/Data!$D108,"")</f>
        <v>0.56527977045200073</v>
      </c>
      <c r="Y108" s="31">
        <f>IFERROR(Data!$L108/Data!$D108,"")</f>
        <v>0.19770444763151115</v>
      </c>
      <c r="Z108" s="31">
        <f>IFERROR(Data!$M108/Data!$D108,"")</f>
        <v>4.734576757640966E-2</v>
      </c>
      <c r="AA108" s="32">
        <v>232.14</v>
      </c>
      <c r="AB108" s="32">
        <f t="shared" si="17"/>
        <v>16.581428571428571</v>
      </c>
      <c r="AC108" s="29">
        <f t="shared" si="14"/>
        <v>613</v>
      </c>
      <c r="AD108" s="29">
        <f t="shared" si="15"/>
        <v>14.5</v>
      </c>
      <c r="AE108" s="29">
        <f>YEAR(Data!$C108)</f>
        <v>2020</v>
      </c>
      <c r="AF108" s="29"/>
      <c r="AG108" s="29">
        <v>12</v>
      </c>
      <c r="AH108" s="33">
        <f>Data!$F108/Data!$D108</f>
        <v>12.189383070581107</v>
      </c>
      <c r="AI108" s="17" t="str">
        <f>RIGHT(Data!$O108,2)</f>
        <v>PM</v>
      </c>
      <c r="AJ108" s="29" t="str">
        <f>Data!$R108&amp;"-"&amp;WEEKNUM(Data!$C108,1)-WEEKNUM(DATE(YEAR(Data!$C108),MONTH(Data!$C108),1),1)+1</f>
        <v>1-2020-2</v>
      </c>
      <c r="AK108" s="29">
        <f>MONTH(Data!$C108)</f>
        <v>1</v>
      </c>
      <c r="AL108" s="29">
        <f>IFERROR(Data!$F108/Data!$E108,0)</f>
        <v>50.571428571428569</v>
      </c>
      <c r="AM108" s="29">
        <f>COUNTIF(Data!$N$2:$N$825,Data!$N108)</f>
        <v>35</v>
      </c>
      <c r="AN108" s="29" t="str">
        <f>VLOOKUP(Data!$N108,'Helpful Tables'!A:D,4,FALSE)</f>
        <v>Virginia</v>
      </c>
      <c r="AO108" s="29">
        <f>COUNTIF(AN:AN,Data!$AN108)/COUNTA(AN:AN)</f>
        <v>6.424242424242424E-2</v>
      </c>
      <c r="AP108" s="29">
        <v>38.881884999999997</v>
      </c>
      <c r="AQ108" s="29">
        <v>-77.229702000000003</v>
      </c>
      <c r="AR108" s="29">
        <f>COUNTIF(Data!$P$2:$P$825,Data!$P108)</f>
        <v>10</v>
      </c>
      <c r="AS108" s="29" cm="1">
        <f t="array" ref="AS108">_xlfn.IFS(Data!$E108&lt;12,((Data!$E108/Data!$D108)*60)*1,AND(Data!$E108&gt;=12,Data!$E108&lt;=15),((Data!$E108/Data!$D108)*60)*1.2,AND(Data!$E108&gt;=16,Data!$E108&lt;=19),((Data!$E108/Data!$D108)*60)*1.5,Data!$E108&gt;=20,((Data!$E108/Data!$D108)*60)*1.8)</f>
        <v>17.354375897098524</v>
      </c>
      <c r="AT108" s="29" cm="1">
        <f t="array" ref="AT108">_xlfn.IFS(Data!$F108&lt;600,((Data!$F108/Data!$D108)*60)*1,AND(Data!$F108&gt;=600,Data!$F108&lt;=625),((Data!$F108/Data!$D108)*60)*1.2,AND(Data!$F108&gt;=626,Data!$F108&lt;=650),((Data!$F108/Data!$D108)*60)*1.5,Data!$F108&gt;=651,((Data!$F108/Data!$D108)*60)*1.8)</f>
        <v>1316.4533716227595</v>
      </c>
      <c r="AU108" s="29">
        <f>(Data!$I108*-1.2)+(Data!$J108*-1.1)+(Data!$K108*1.2)+(Data!$L108*1.3)+(Data!$M108*1.5)</f>
        <v>45.901666666599994</v>
      </c>
      <c r="AV108" s="29">
        <f>(Data!$AS108*0.4)+(Data!$AT108*0.4)+(Data!$AU108*0.2)</f>
        <v>542.70343234126324</v>
      </c>
      <c r="AW108" s="29">
        <f>PERCENTRANK(AV:AV,Data!$AV108)*100</f>
        <v>96.8</v>
      </c>
      <c r="AX108" s="29" t="str">
        <f>_xlfn.CONCAT(TEXT(C108,"mmm"),"-",Data!$AE108)</f>
        <v>Jan-2020</v>
      </c>
    </row>
    <row r="109" spans="1:50" ht="17" thickTop="1" thickBot="1" x14ac:dyDescent="0.25">
      <c r="A109" s="22">
        <v>108</v>
      </c>
      <c r="B109" s="23">
        <f t="shared" si="10"/>
        <v>14</v>
      </c>
      <c r="C109" s="41">
        <v>43838</v>
      </c>
      <c r="D109" s="24">
        <f>SUM(Data!$I109:$M109)</f>
        <v>58.199999999999996</v>
      </c>
      <c r="E109" s="23">
        <v>17</v>
      </c>
      <c r="F109" s="23">
        <v>648</v>
      </c>
      <c r="G109" s="23">
        <v>128</v>
      </c>
      <c r="H109" s="23">
        <v>174</v>
      </c>
      <c r="I109" s="23">
        <v>13.066666667</v>
      </c>
      <c r="J109" s="23">
        <v>12.266666667000001</v>
      </c>
      <c r="K109" s="23">
        <v>15.8</v>
      </c>
      <c r="L109" s="23">
        <v>13.983333332999999</v>
      </c>
      <c r="M109" s="23">
        <v>3.0833333330000001</v>
      </c>
      <c r="N109" s="23" t="s">
        <v>40</v>
      </c>
      <c r="O109" s="23" t="s">
        <v>26</v>
      </c>
      <c r="P109" s="23" t="s">
        <v>41</v>
      </c>
      <c r="Q109" s="23">
        <f t="shared" si="16"/>
        <v>1</v>
      </c>
      <c r="R109" s="23" t="str">
        <f t="shared" si="11"/>
        <v>1-2020</v>
      </c>
      <c r="S109" s="23" t="s">
        <v>47</v>
      </c>
      <c r="T109" s="23" t="str">
        <f t="shared" si="12"/>
        <v>Wednesday</v>
      </c>
      <c r="U109" s="23">
        <f t="shared" si="13"/>
        <v>1</v>
      </c>
      <c r="V109" s="25">
        <f>IFERROR(Data!$I109/Data!$D109,"")</f>
        <v>0.22451317297250861</v>
      </c>
      <c r="W109" s="25">
        <f>IFERROR(Data!$J109/Data!$D109,"")</f>
        <v>0.21076746850515468</v>
      </c>
      <c r="X109" s="25">
        <f>IFERROR(Data!$K109/Data!$D109,"")</f>
        <v>0.27147766323024058</v>
      </c>
      <c r="Y109" s="25">
        <f>IFERROR(Data!$L109/Data!$D109,"")</f>
        <v>0.2402634593298969</v>
      </c>
      <c r="Z109" s="25">
        <f>IFERROR(Data!$M109/Data!$D109,"")</f>
        <v>5.2978235962199319E-2</v>
      </c>
      <c r="AA109" s="26">
        <v>232.14</v>
      </c>
      <c r="AB109" s="26">
        <f t="shared" si="17"/>
        <v>16.581428571428571</v>
      </c>
      <c r="AC109" s="23">
        <f t="shared" si="14"/>
        <v>613</v>
      </c>
      <c r="AD109" s="23">
        <f t="shared" si="15"/>
        <v>14.5</v>
      </c>
      <c r="AE109" s="23">
        <f>YEAR(Data!$C109)</f>
        <v>2020</v>
      </c>
      <c r="AF109" s="23"/>
      <c r="AG109" s="23">
        <v>12</v>
      </c>
      <c r="AH109" s="27">
        <f>Data!$F109/Data!$D109</f>
        <v>11.134020618556702</v>
      </c>
      <c r="AI109" s="17" t="str">
        <f>RIGHT(Data!$O109,2)</f>
        <v>PM</v>
      </c>
      <c r="AJ109" s="23" t="str">
        <f>Data!$R109&amp;"-"&amp;WEEKNUM(Data!$C109,1)-WEEKNUM(DATE(YEAR(Data!$C109),MONTH(Data!$C109),1),1)+1</f>
        <v>1-2020-2</v>
      </c>
      <c r="AK109" s="23">
        <f>MONTH(Data!$C109)</f>
        <v>1</v>
      </c>
      <c r="AL109" s="23">
        <f>IFERROR(Data!$F109/Data!$E109,0)</f>
        <v>38.117647058823529</v>
      </c>
      <c r="AM109" s="23">
        <f>COUNTIF(Data!$N$2:$N$825,Data!$N109)</f>
        <v>38</v>
      </c>
      <c r="AN109" s="23" t="str">
        <f>VLOOKUP(Data!$N109,'Helpful Tables'!A:D,4,FALSE)</f>
        <v>Washington, DC</v>
      </c>
      <c r="AO109" s="23">
        <f>COUNTIF(AN:AN,Data!$AN109)/COUNTA(AN:AN)</f>
        <v>0.62424242424242427</v>
      </c>
      <c r="AP109" s="23">
        <v>38.903509999999997</v>
      </c>
      <c r="AQ109" s="23">
        <v>-77.051809000000006</v>
      </c>
      <c r="AR109" s="23">
        <f>COUNTIF(Data!$P$2:$P$825,Data!$P109)</f>
        <v>20</v>
      </c>
      <c r="AS109" s="23" cm="1">
        <f t="array" ref="AS109">_xlfn.IFS(Data!$E109&lt;12,((Data!$E109/Data!$D109)*60)*1,AND(Data!$E109&gt;=12,Data!$E109&lt;=15),((Data!$E109/Data!$D109)*60)*1.2,AND(Data!$E109&gt;=16,Data!$E109&lt;=19),((Data!$E109/Data!$D109)*60)*1.5,Data!$E109&gt;=20,((Data!$E109/Data!$D109)*60)*1.8)</f>
        <v>26.288659793814436</v>
      </c>
      <c r="AT109" s="23" cm="1">
        <f t="array" ref="AT109">_xlfn.IFS(Data!$F109&lt;600,((Data!$F109/Data!$D109)*60)*1,AND(Data!$F109&gt;=600,Data!$F109&lt;=625),((Data!$F109/Data!$D109)*60)*1.2,AND(Data!$F109&gt;=626,Data!$F109&lt;=650),((Data!$F109/Data!$D109)*60)*1.5,Data!$F109&gt;=651,((Data!$F109/Data!$D109)*60)*1.8)</f>
        <v>1002.0618556701033</v>
      </c>
      <c r="AU109" s="23">
        <f>(Data!$I109*-1.2)+(Data!$J109*-1.1)+(Data!$K109*1.2)+(Data!$L109*1.3)+(Data!$M109*1.5)</f>
        <v>12.5899999983</v>
      </c>
      <c r="AV109" s="23">
        <f>(Data!$AS109*0.4)+(Data!$AT109*0.4)+(Data!$AU109*0.2)</f>
        <v>413.85820618522712</v>
      </c>
      <c r="AW109" s="23">
        <f>PERCENTRANK(AV:AV,Data!$AV109)*100</f>
        <v>59</v>
      </c>
      <c r="AX109" s="23" t="str">
        <f>_xlfn.CONCAT(TEXT(C109,"mmm"),"-",Data!$AE109)</f>
        <v>Jan-2020</v>
      </c>
    </row>
    <row r="110" spans="1:50" ht="17" thickTop="1" thickBot="1" x14ac:dyDescent="0.25">
      <c r="A110" s="28">
        <v>109</v>
      </c>
      <c r="B110" s="29">
        <f t="shared" si="10"/>
        <v>14</v>
      </c>
      <c r="C110" s="41">
        <v>43840</v>
      </c>
      <c r="D110" s="30">
        <f>SUM(Data!$I110:$M110)</f>
        <v>57.133333332999996</v>
      </c>
      <c r="E110" s="29">
        <v>20</v>
      </c>
      <c r="F110" s="29">
        <v>619</v>
      </c>
      <c r="G110" s="29">
        <v>126</v>
      </c>
      <c r="H110" s="29">
        <v>172</v>
      </c>
      <c r="I110" s="29">
        <v>19.133333332999999</v>
      </c>
      <c r="J110" s="29">
        <v>10.266666667000001</v>
      </c>
      <c r="K110" s="29">
        <v>7.6166666669999996</v>
      </c>
      <c r="L110" s="29">
        <v>14.033333333</v>
      </c>
      <c r="M110" s="29">
        <v>6.0833333329999997</v>
      </c>
      <c r="N110" s="29" t="s">
        <v>55</v>
      </c>
      <c r="O110" s="29" t="s">
        <v>39</v>
      </c>
      <c r="P110" s="29" t="s">
        <v>62</v>
      </c>
      <c r="Q110" s="29">
        <f t="shared" si="16"/>
        <v>2</v>
      </c>
      <c r="R110" s="29" t="str">
        <f t="shared" si="11"/>
        <v>1-2020</v>
      </c>
      <c r="S110" s="29" t="s">
        <v>47</v>
      </c>
      <c r="T110" s="29" t="str">
        <f t="shared" si="12"/>
        <v>Friday</v>
      </c>
      <c r="U110" s="29">
        <f t="shared" si="13"/>
        <v>1</v>
      </c>
      <c r="V110" s="31">
        <f>IFERROR(Data!$I110/Data!$D110,"")</f>
        <v>0.33488914818748478</v>
      </c>
      <c r="W110" s="31">
        <f>IFERROR(Data!$J110/Data!$D110,"")</f>
        <v>0.17969661610956653</v>
      </c>
      <c r="X110" s="31">
        <f>IFERROR(Data!$K110/Data!$D110,"")</f>
        <v>0.13331388565422003</v>
      </c>
      <c r="Y110" s="31">
        <f>IFERROR(Data!$L110/Data!$D110,"")</f>
        <v>0.24562427070738405</v>
      </c>
      <c r="Z110" s="31">
        <f>IFERROR(Data!$M110/Data!$D110,"")</f>
        <v>0.10647607934134468</v>
      </c>
      <c r="AA110" s="32">
        <v>232.14</v>
      </c>
      <c r="AB110" s="32">
        <f t="shared" si="17"/>
        <v>16.581428571428571</v>
      </c>
      <c r="AC110" s="29">
        <f t="shared" si="14"/>
        <v>613</v>
      </c>
      <c r="AD110" s="29">
        <f t="shared" si="15"/>
        <v>14.5</v>
      </c>
      <c r="AE110" s="29">
        <f>YEAR(Data!$C110)</f>
        <v>2020</v>
      </c>
      <c r="AF110" s="29"/>
      <c r="AG110" s="29">
        <v>12</v>
      </c>
      <c r="AH110" s="33">
        <f>Data!$F110/Data!$D110</f>
        <v>10.834305717682815</v>
      </c>
      <c r="AI110" s="17" t="str">
        <f>RIGHT(Data!$O110,2)</f>
        <v>PM</v>
      </c>
      <c r="AJ110" s="29" t="str">
        <f>Data!$R110&amp;"-"&amp;WEEKNUM(Data!$C110,1)-WEEKNUM(DATE(YEAR(Data!$C110),MONTH(Data!$C110),1),1)+1</f>
        <v>1-2020-2</v>
      </c>
      <c r="AK110" s="29">
        <f>MONTH(Data!$C110)</f>
        <v>1</v>
      </c>
      <c r="AL110" s="29">
        <f>IFERROR(Data!$F110/Data!$E110,0)</f>
        <v>30.95</v>
      </c>
      <c r="AM110" s="29">
        <f>COUNTIF(Data!$N$2:$N$825,Data!$N110)</f>
        <v>3</v>
      </c>
      <c r="AN110" s="29" t="str">
        <f>VLOOKUP(Data!$N110,'Helpful Tables'!A:D,4,FALSE)</f>
        <v>Washington, DC</v>
      </c>
      <c r="AO110" s="29">
        <f>COUNTIF(AN:AN,Data!$AN110)/COUNTA(AN:AN)</f>
        <v>0.62424242424242427</v>
      </c>
      <c r="AP110" s="29">
        <v>38.901815999999997</v>
      </c>
      <c r="AQ110" s="29">
        <v>-77.017055999999997</v>
      </c>
      <c r="AR110" s="29">
        <f>COUNTIF(Data!$P$2:$P$825,Data!$P110)</f>
        <v>2</v>
      </c>
      <c r="AS110" s="29" cm="1">
        <f t="array" ref="AS110">_xlfn.IFS(Data!$E110&lt;12,((Data!$E110/Data!$D110)*60)*1,AND(Data!$E110&gt;=12,Data!$E110&lt;=15),((Data!$E110/Data!$D110)*60)*1.2,AND(Data!$E110&gt;=16,Data!$E110&lt;=19),((Data!$E110/Data!$D110)*60)*1.5,Data!$E110&gt;=20,((Data!$E110/Data!$D110)*60)*1.8)</f>
        <v>37.806301050395604</v>
      </c>
      <c r="AT110" s="29" cm="1">
        <f t="array" ref="AT110">_xlfn.IFS(Data!$F110&lt;600,((Data!$F110/Data!$D110)*60)*1,AND(Data!$F110&gt;=600,Data!$F110&lt;=625),((Data!$F110/Data!$D110)*60)*1.2,AND(Data!$F110&gt;=626,Data!$F110&lt;=650),((Data!$F110/Data!$D110)*60)*1.5,Data!$F110&gt;=651,((Data!$F110/Data!$D110)*60)*1.8)</f>
        <v>780.07001167316264</v>
      </c>
      <c r="AU110" s="29">
        <f>(Data!$I110*-1.2)+(Data!$J110*-1.1)+(Data!$K110*1.2)+(Data!$L110*1.3)+(Data!$M110*1.5)</f>
        <v>2.2549999995000025</v>
      </c>
      <c r="AV110" s="29">
        <f>(Data!$AS110*0.4)+(Data!$AT110*0.4)+(Data!$AU110*0.2)</f>
        <v>327.60152508932333</v>
      </c>
      <c r="AW110" s="29">
        <f>PERCENTRANK(AV:AV,Data!$AV110)*100</f>
        <v>40.400000000000006</v>
      </c>
      <c r="AX110" s="29" t="str">
        <f>_xlfn.CONCAT(TEXT(C110,"mmm"),"-",Data!$AE110)</f>
        <v>Jan-2020</v>
      </c>
    </row>
    <row r="111" spans="1:50" ht="17" thickTop="1" thickBot="1" x14ac:dyDescent="0.25">
      <c r="A111" s="22">
        <v>110</v>
      </c>
      <c r="B111" s="23">
        <f t="shared" si="10"/>
        <v>14</v>
      </c>
      <c r="C111" s="41">
        <v>43841</v>
      </c>
      <c r="D111" s="24">
        <f>SUM(Data!$I111:$M111)</f>
        <v>56.083333332999999</v>
      </c>
      <c r="E111" s="23">
        <v>12</v>
      </c>
      <c r="F111" s="23">
        <v>636</v>
      </c>
      <c r="G111" s="23">
        <v>129</v>
      </c>
      <c r="H111" s="23">
        <v>170</v>
      </c>
      <c r="I111" s="23">
        <v>7.65</v>
      </c>
      <c r="J111" s="23">
        <v>16.5</v>
      </c>
      <c r="K111" s="23">
        <v>20.083333332999999</v>
      </c>
      <c r="L111" s="23">
        <v>10.133333332999999</v>
      </c>
      <c r="M111" s="23">
        <v>1.7166666669999999</v>
      </c>
      <c r="N111" s="23" t="s">
        <v>33</v>
      </c>
      <c r="O111" s="23" t="s">
        <v>45</v>
      </c>
      <c r="P111" s="23" t="s">
        <v>34</v>
      </c>
      <c r="Q111" s="23">
        <f t="shared" si="16"/>
        <v>1</v>
      </c>
      <c r="R111" s="23" t="str">
        <f t="shared" si="11"/>
        <v>1-2020</v>
      </c>
      <c r="S111" s="23" t="s">
        <v>43</v>
      </c>
      <c r="T111" s="23" t="str">
        <f t="shared" si="12"/>
        <v>Saturday</v>
      </c>
      <c r="U111" s="23">
        <f t="shared" si="13"/>
        <v>1</v>
      </c>
      <c r="V111" s="25">
        <f>IFERROR(Data!$I111/Data!$D111,"")</f>
        <v>0.13640416047629364</v>
      </c>
      <c r="W111" s="25">
        <f>IFERROR(Data!$J111/Data!$D111,"")</f>
        <v>0.29420505200769215</v>
      </c>
      <c r="X111" s="25">
        <f>IFERROR(Data!$K111/Data!$D111,"")</f>
        <v>0.35809806834685348</v>
      </c>
      <c r="Y111" s="25">
        <f>IFERROR(Data!$L111/Data!$D111,"")</f>
        <v>0.18068350668160882</v>
      </c>
      <c r="Z111" s="25">
        <f>IFERROR(Data!$M111/Data!$D111,"")</f>
        <v>3.0609212487551912E-2</v>
      </c>
      <c r="AA111" s="26">
        <v>232.14</v>
      </c>
      <c r="AB111" s="26">
        <f t="shared" si="17"/>
        <v>16.581428571428571</v>
      </c>
      <c r="AC111" s="23">
        <f t="shared" si="14"/>
        <v>613</v>
      </c>
      <c r="AD111" s="23">
        <f t="shared" si="15"/>
        <v>14.5</v>
      </c>
      <c r="AE111" s="23">
        <f>YEAR(Data!$C111)</f>
        <v>2020</v>
      </c>
      <c r="AF111" s="23"/>
      <c r="AG111" s="23">
        <v>12</v>
      </c>
      <c r="AH111" s="27">
        <f>Data!$F111/Data!$D111</f>
        <v>11.340267459205588</v>
      </c>
      <c r="AI111" s="17" t="str">
        <f>RIGHT(Data!$O111,2)</f>
        <v>AM</v>
      </c>
      <c r="AJ111" s="23" t="str">
        <f>Data!$R111&amp;"-"&amp;WEEKNUM(Data!$C111,1)-WEEKNUM(DATE(YEAR(Data!$C111),MONTH(Data!$C111),1),1)+1</f>
        <v>1-2020-2</v>
      </c>
      <c r="AK111" s="23">
        <f>MONTH(Data!$C111)</f>
        <v>1</v>
      </c>
      <c r="AL111" s="23">
        <f>IFERROR(Data!$F111/Data!$E111,0)</f>
        <v>53</v>
      </c>
      <c r="AM111" s="23">
        <f>COUNTIF(Data!$N$2:$N$825,Data!$N111)</f>
        <v>48</v>
      </c>
      <c r="AN111" s="23" t="str">
        <f>VLOOKUP(Data!$N111,'Helpful Tables'!A:D,4,FALSE)</f>
        <v>Washington, DC</v>
      </c>
      <c r="AO111" s="23">
        <f>COUNTIF(AN:AN,Data!$AN111)/COUNTA(AN:AN)</f>
        <v>0.62424242424242427</v>
      </c>
      <c r="AP111" s="23">
        <v>38.916486999999996</v>
      </c>
      <c r="AQ111" s="23">
        <v>-77.031514000000001</v>
      </c>
      <c r="AR111" s="23">
        <f>COUNTIF(Data!$P$2:$P$825,Data!$P111)</f>
        <v>30</v>
      </c>
      <c r="AS111" s="23" cm="1">
        <f t="array" ref="AS111">_xlfn.IFS(Data!$E111&lt;12,((Data!$E111/Data!$D111)*60)*1,AND(Data!$E111&gt;=12,Data!$E111&lt;=15),((Data!$E111/Data!$D111)*60)*1.2,AND(Data!$E111&gt;=16,Data!$E111&lt;=19),((Data!$E111/Data!$D111)*60)*1.5,Data!$E111&gt;=20,((Data!$E111/Data!$D111)*60)*1.8)</f>
        <v>15.405646359675517</v>
      </c>
      <c r="AT111" s="23" cm="1">
        <f t="array" ref="AT111">_xlfn.IFS(Data!$F111&lt;600,((Data!$F111/Data!$D111)*60)*1,AND(Data!$F111&gt;=600,Data!$F111&lt;=625),((Data!$F111/Data!$D111)*60)*1.2,AND(Data!$F111&gt;=626,Data!$F111&lt;=650),((Data!$F111/Data!$D111)*60)*1.5,Data!$F111&gt;=651,((Data!$F111/Data!$D111)*60)*1.8)</f>
        <v>1020.6240713285029</v>
      </c>
      <c r="AU111" s="23">
        <f>(Data!$I111*-1.2)+(Data!$J111*-1.1)+(Data!$K111*1.2)+(Data!$L111*1.3)+(Data!$M111*1.5)</f>
        <v>12.518333332999996</v>
      </c>
      <c r="AV111" s="23">
        <f>(Data!$AS111*0.4)+(Data!$AT111*0.4)+(Data!$AU111*0.2)</f>
        <v>416.91555374187141</v>
      </c>
      <c r="AW111" s="23">
        <f>PERCENTRANK(AV:AV,Data!$AV111)*100</f>
        <v>59.9</v>
      </c>
      <c r="AX111" s="23" t="str">
        <f>_xlfn.CONCAT(TEXT(C111,"mmm"),"-",Data!$AE111)</f>
        <v>Jan-2020</v>
      </c>
    </row>
    <row r="112" spans="1:50" ht="17" thickTop="1" thickBot="1" x14ac:dyDescent="0.25">
      <c r="A112" s="28">
        <v>111</v>
      </c>
      <c r="B112" s="29">
        <f t="shared" si="10"/>
        <v>14</v>
      </c>
      <c r="C112" s="41">
        <v>43843</v>
      </c>
      <c r="D112" s="30">
        <f>SUM(Data!$I112:$M112)</f>
        <v>61.916666667000001</v>
      </c>
      <c r="E112" s="29">
        <v>22</v>
      </c>
      <c r="F112" s="29">
        <v>669</v>
      </c>
      <c r="G112" s="29">
        <v>126</v>
      </c>
      <c r="H112" s="29">
        <v>171</v>
      </c>
      <c r="I112" s="29">
        <v>19.600000000000001</v>
      </c>
      <c r="J112" s="29">
        <v>14.216666667</v>
      </c>
      <c r="K112" s="29">
        <v>6.6</v>
      </c>
      <c r="L112" s="29">
        <v>13.983333332999999</v>
      </c>
      <c r="M112" s="29">
        <v>7.516666667</v>
      </c>
      <c r="N112" s="29" t="s">
        <v>40</v>
      </c>
      <c r="O112" s="29" t="s">
        <v>26</v>
      </c>
      <c r="P112" s="29" t="s">
        <v>64</v>
      </c>
      <c r="Q112" s="29">
        <f t="shared" si="16"/>
        <v>2</v>
      </c>
      <c r="R112" s="29" t="str">
        <f t="shared" si="11"/>
        <v>1-2020</v>
      </c>
      <c r="S112" s="29" t="s">
        <v>47</v>
      </c>
      <c r="T112" s="29" t="str">
        <f t="shared" si="12"/>
        <v>Monday</v>
      </c>
      <c r="U112" s="29">
        <f t="shared" si="13"/>
        <v>1</v>
      </c>
      <c r="V112" s="31">
        <f>IFERROR(Data!$I112/Data!$D112,"")</f>
        <v>0.31655450874661345</v>
      </c>
      <c r="W112" s="31">
        <f>IFERROR(Data!$J112/Data!$D112,"")</f>
        <v>0.22960969044829282</v>
      </c>
      <c r="X112" s="31">
        <f>IFERROR(Data!$K112/Data!$D112,"")</f>
        <v>0.10659488559834941</v>
      </c>
      <c r="Y112" s="31">
        <f>IFERROR(Data!$L112/Data!$D112,"")</f>
        <v>0.22584118438101833</v>
      </c>
      <c r="Z112" s="31">
        <f>IFERROR(Data!$M112/Data!$D112,"")</f>
        <v>0.12139973082572597</v>
      </c>
      <c r="AA112" s="32">
        <v>232.14</v>
      </c>
      <c r="AB112" s="32">
        <f t="shared" si="17"/>
        <v>16.581428571428571</v>
      </c>
      <c r="AC112" s="29">
        <f t="shared" si="14"/>
        <v>613</v>
      </c>
      <c r="AD112" s="29">
        <f t="shared" si="15"/>
        <v>14.5</v>
      </c>
      <c r="AE112" s="29">
        <f>YEAR(Data!$C112)</f>
        <v>2020</v>
      </c>
      <c r="AF112" s="29"/>
      <c r="AG112" s="29">
        <v>12</v>
      </c>
      <c r="AH112" s="33">
        <f>Data!$F112/Data!$D112</f>
        <v>10.80484522201451</v>
      </c>
      <c r="AI112" s="17" t="str">
        <f>RIGHT(Data!$O112,2)</f>
        <v>PM</v>
      </c>
      <c r="AJ112" s="29" t="str">
        <f>Data!$R112&amp;"-"&amp;WEEKNUM(Data!$C112,1)-WEEKNUM(DATE(YEAR(Data!$C112),MONTH(Data!$C112),1),1)+1</f>
        <v>1-2020-3</v>
      </c>
      <c r="AK112" s="29">
        <f>MONTH(Data!$C112)</f>
        <v>1</v>
      </c>
      <c r="AL112" s="29">
        <f>IFERROR(Data!$F112/Data!$E112,0)</f>
        <v>30.40909090909091</v>
      </c>
      <c r="AM112" s="29">
        <f>COUNTIF(Data!$N$2:$N$825,Data!$N112)</f>
        <v>38</v>
      </c>
      <c r="AN112" s="29" t="str">
        <f>VLOOKUP(Data!$N112,'Helpful Tables'!A:D,4,FALSE)</f>
        <v>Washington, DC</v>
      </c>
      <c r="AO112" s="29">
        <f>COUNTIF(AN:AN,Data!$AN112)/COUNTA(AN:AN)</f>
        <v>0.62424242424242427</v>
      </c>
      <c r="AP112" s="29">
        <v>38.903509999999997</v>
      </c>
      <c r="AQ112" s="29">
        <v>-77.051809000000006</v>
      </c>
      <c r="AR112" s="29">
        <f>COUNTIF(Data!$P$2:$P$825,Data!$P112)</f>
        <v>8</v>
      </c>
      <c r="AS112" s="29" cm="1">
        <f t="array" ref="AS112">_xlfn.IFS(Data!$E112&lt;12,((Data!$E112/Data!$D112)*60)*1,AND(Data!$E112&gt;=12,Data!$E112&lt;=15),((Data!$E112/Data!$D112)*60)*1.2,AND(Data!$E112&gt;=16,Data!$E112&lt;=19),((Data!$E112/Data!$D112)*60)*1.5,Data!$E112&gt;=20,((Data!$E112/Data!$D112)*60)*1.8)</f>
        <v>38.374158815405785</v>
      </c>
      <c r="AT112" s="29" cm="1">
        <f t="array" ref="AT112">_xlfn.IFS(Data!$F112&lt;600,((Data!$F112/Data!$D112)*60)*1,AND(Data!$F112&gt;=600,Data!$F112&lt;=625),((Data!$F112/Data!$D112)*60)*1.2,AND(Data!$F112&gt;=626,Data!$F112&lt;=650),((Data!$F112/Data!$D112)*60)*1.5,Data!$F112&gt;=651,((Data!$F112/Data!$D112)*60)*1.8)</f>
        <v>1166.9232839775671</v>
      </c>
      <c r="AU112" s="29">
        <f>(Data!$I112*-1.2)+(Data!$J112*-1.1)+(Data!$K112*1.2)+(Data!$L112*1.3)+(Data!$M112*1.5)</f>
        <v>-1.7850000003000019</v>
      </c>
      <c r="AV112" s="29">
        <f>(Data!$AS112*0.4)+(Data!$AT112*0.4)+(Data!$AU112*0.2)</f>
        <v>481.76197711712916</v>
      </c>
      <c r="AW112" s="29">
        <f>PERCENTRANK(AV:AV,Data!$AV112)*100</f>
        <v>69.5</v>
      </c>
      <c r="AX112" s="29" t="str">
        <f>_xlfn.CONCAT(TEXT(C112,"mmm"),"-",Data!$AE112)</f>
        <v>Jan-2020</v>
      </c>
    </row>
    <row r="113" spans="1:50" ht="17" thickTop="1" thickBot="1" x14ac:dyDescent="0.25">
      <c r="A113" s="22">
        <v>112</v>
      </c>
      <c r="B113" s="23">
        <f t="shared" si="10"/>
        <v>14</v>
      </c>
      <c r="C113" s="41">
        <v>43845</v>
      </c>
      <c r="D113" s="24">
        <f>SUM(Data!$I113:$M113)</f>
        <v>57.116666668000001</v>
      </c>
      <c r="E113" s="23">
        <v>17</v>
      </c>
      <c r="F113" s="23">
        <v>619</v>
      </c>
      <c r="G113" s="23">
        <v>126</v>
      </c>
      <c r="H113" s="23">
        <v>166</v>
      </c>
      <c r="I113" s="23">
        <v>16.2</v>
      </c>
      <c r="J113" s="23">
        <v>9.1166666670000005</v>
      </c>
      <c r="K113" s="23">
        <v>14.966666667</v>
      </c>
      <c r="L113" s="23">
        <v>15.816666667</v>
      </c>
      <c r="M113" s="23">
        <v>1.016666667</v>
      </c>
      <c r="N113" s="23" t="s">
        <v>40</v>
      </c>
      <c r="O113" s="23" t="s">
        <v>26</v>
      </c>
      <c r="P113" s="23" t="s">
        <v>41</v>
      </c>
      <c r="Q113" s="23">
        <f t="shared" si="16"/>
        <v>2</v>
      </c>
      <c r="R113" s="23" t="str">
        <f t="shared" si="11"/>
        <v>1-2020</v>
      </c>
      <c r="S113" s="23" t="s">
        <v>47</v>
      </c>
      <c r="T113" s="23" t="str">
        <f t="shared" si="12"/>
        <v>Wednesday</v>
      </c>
      <c r="U113" s="23">
        <f t="shared" si="13"/>
        <v>1</v>
      </c>
      <c r="V113" s="25">
        <f>IFERROR(Data!$I113/Data!$D113,"")</f>
        <v>0.28362999707537484</v>
      </c>
      <c r="W113" s="25">
        <f>IFERROR(Data!$J113/Data!$D113,"")</f>
        <v>0.15961482346286282</v>
      </c>
      <c r="X113" s="25">
        <f>IFERROR(Data!$K113/Data!$D113,"")</f>
        <v>0.26203676685119259</v>
      </c>
      <c r="Y113" s="25">
        <f>IFERROR(Data!$L113/Data!$D113,"")</f>
        <v>0.27691858768539435</v>
      </c>
      <c r="Z113" s="25">
        <f>IFERROR(Data!$M113/Data!$D113,"")</f>
        <v>1.7799824925175376E-2</v>
      </c>
      <c r="AA113" s="26">
        <v>232.14</v>
      </c>
      <c r="AB113" s="26">
        <f t="shared" si="17"/>
        <v>16.581428571428571</v>
      </c>
      <c r="AC113" s="23">
        <f t="shared" si="14"/>
        <v>613</v>
      </c>
      <c r="AD113" s="23">
        <f t="shared" si="15"/>
        <v>14.5</v>
      </c>
      <c r="AE113" s="23">
        <f>YEAR(Data!$C113)</f>
        <v>2020</v>
      </c>
      <c r="AF113" s="23"/>
      <c r="AG113" s="23">
        <v>12</v>
      </c>
      <c r="AH113" s="27">
        <f>Data!$F113/Data!$D113</f>
        <v>10.837467172201052</v>
      </c>
      <c r="AI113" s="17" t="str">
        <f>RIGHT(Data!$O113,2)</f>
        <v>PM</v>
      </c>
      <c r="AJ113" s="23" t="str">
        <f>Data!$R113&amp;"-"&amp;WEEKNUM(Data!$C113,1)-WEEKNUM(DATE(YEAR(Data!$C113),MONTH(Data!$C113),1),1)+1</f>
        <v>1-2020-3</v>
      </c>
      <c r="AK113" s="23">
        <f>MONTH(Data!$C113)</f>
        <v>1</v>
      </c>
      <c r="AL113" s="23">
        <f>IFERROR(Data!$F113/Data!$E113,0)</f>
        <v>36.411764705882355</v>
      </c>
      <c r="AM113" s="23">
        <f>COUNTIF(Data!$N$2:$N$825,Data!$N113)</f>
        <v>38</v>
      </c>
      <c r="AN113" s="23" t="str">
        <f>VLOOKUP(Data!$N113,'Helpful Tables'!A:D,4,FALSE)</f>
        <v>Washington, DC</v>
      </c>
      <c r="AO113" s="23">
        <f>COUNTIF(AN:AN,Data!$AN113)/COUNTA(AN:AN)</f>
        <v>0.62424242424242427</v>
      </c>
      <c r="AP113" s="23">
        <v>38.903509999999997</v>
      </c>
      <c r="AQ113" s="23">
        <v>-77.051809000000006</v>
      </c>
      <c r="AR113" s="23">
        <f>COUNTIF(Data!$P$2:$P$825,Data!$P113)</f>
        <v>20</v>
      </c>
      <c r="AS113" s="23" cm="1">
        <f t="array" ref="AS113">_xlfn.IFS(Data!$E113&lt;12,((Data!$E113/Data!$D113)*60)*1,AND(Data!$E113&gt;=12,Data!$E113&lt;=15),((Data!$E113/Data!$D113)*60)*1.2,AND(Data!$E113&gt;=16,Data!$E113&lt;=19),((Data!$E113/Data!$D113)*60)*1.5,Data!$E113&gt;=20,((Data!$E113/Data!$D113)*60)*1.8)</f>
        <v>26.787277501563182</v>
      </c>
      <c r="AT113" s="23" cm="1">
        <f t="array" ref="AT113">_xlfn.IFS(Data!$F113&lt;600,((Data!$F113/Data!$D113)*60)*1,AND(Data!$F113&gt;=600,Data!$F113&lt;=625),((Data!$F113/Data!$D113)*60)*1.2,AND(Data!$F113&gt;=626,Data!$F113&lt;=650),((Data!$F113/Data!$D113)*60)*1.5,Data!$F113&gt;=651,((Data!$F113/Data!$D113)*60)*1.8)</f>
        <v>780.29763639847567</v>
      </c>
      <c r="AU113" s="23">
        <f>(Data!$I113*-1.2)+(Data!$J113*-1.1)+(Data!$K113*1.2)+(Data!$L113*1.3)+(Data!$M113*1.5)</f>
        <v>10.578333334300002</v>
      </c>
      <c r="AV113" s="23">
        <f>(Data!$AS113*0.4)+(Data!$AT113*0.4)+(Data!$AU113*0.2)</f>
        <v>324.94963222687556</v>
      </c>
      <c r="AW113" s="23">
        <f>PERCENTRANK(AV:AV,Data!$AV113)*100</f>
        <v>39.4</v>
      </c>
      <c r="AX113" s="23" t="str">
        <f>_xlfn.CONCAT(TEXT(C113,"mmm"),"-",Data!$AE113)</f>
        <v>Jan-2020</v>
      </c>
    </row>
    <row r="114" spans="1:50" ht="17" thickTop="1" thickBot="1" x14ac:dyDescent="0.25">
      <c r="A114" s="28">
        <v>113</v>
      </c>
      <c r="B114" s="29">
        <f t="shared" si="10"/>
        <v>14</v>
      </c>
      <c r="C114" s="41">
        <v>43847</v>
      </c>
      <c r="D114" s="30">
        <f>SUM(Data!$I114:$M114)</f>
        <v>53.933333333999997</v>
      </c>
      <c r="E114" s="29">
        <v>11</v>
      </c>
      <c r="F114" s="29">
        <v>564</v>
      </c>
      <c r="G114" s="29">
        <v>123</v>
      </c>
      <c r="H114" s="29">
        <v>173</v>
      </c>
      <c r="I114" s="29">
        <v>16.233333333000001</v>
      </c>
      <c r="J114" s="29">
        <v>12</v>
      </c>
      <c r="K114" s="29">
        <v>14.316666667</v>
      </c>
      <c r="L114" s="29">
        <v>5.2166666670000001</v>
      </c>
      <c r="M114" s="29">
        <v>6.1666666670000003</v>
      </c>
      <c r="N114" s="29" t="s">
        <v>60</v>
      </c>
      <c r="O114" s="29" t="s">
        <v>39</v>
      </c>
      <c r="P114" s="29" t="s">
        <v>61</v>
      </c>
      <c r="Q114" s="29">
        <f t="shared" si="16"/>
        <v>2</v>
      </c>
      <c r="R114" s="29" t="str">
        <f t="shared" si="11"/>
        <v>1-2020</v>
      </c>
      <c r="S114" s="29" t="s">
        <v>47</v>
      </c>
      <c r="T114" s="29" t="str">
        <f t="shared" si="12"/>
        <v>Friday</v>
      </c>
      <c r="U114" s="29">
        <f t="shared" si="13"/>
        <v>0</v>
      </c>
      <c r="V114" s="31">
        <f>IFERROR(Data!$I114/Data!$D114,"")</f>
        <v>0.30098887514461081</v>
      </c>
      <c r="W114" s="31">
        <f>IFERROR(Data!$J114/Data!$D114,"")</f>
        <v>0.22249690976239189</v>
      </c>
      <c r="X114" s="31">
        <f>IFERROR(Data!$K114/Data!$D114,"")</f>
        <v>0.26545117429214526</v>
      </c>
      <c r="Y114" s="31">
        <f>IFERROR(Data!$L114/Data!$D114,"")</f>
        <v>9.6724351055664723E-2</v>
      </c>
      <c r="Z114" s="31">
        <f>IFERROR(Data!$M114/Data!$D114,"")</f>
        <v>0.11433868974518742</v>
      </c>
      <c r="AA114" s="32">
        <v>232.14</v>
      </c>
      <c r="AB114" s="32">
        <f t="shared" si="17"/>
        <v>16.581428571428571</v>
      </c>
      <c r="AC114" s="29">
        <f t="shared" si="14"/>
        <v>613</v>
      </c>
      <c r="AD114" s="29">
        <f t="shared" si="15"/>
        <v>14.5</v>
      </c>
      <c r="AE114" s="29">
        <f>YEAR(Data!$C114)</f>
        <v>2020</v>
      </c>
      <c r="AF114" s="29"/>
      <c r="AG114" s="29">
        <v>12</v>
      </c>
      <c r="AH114" s="33">
        <f>Data!$F114/Data!$D114</f>
        <v>10.45735475883242</v>
      </c>
      <c r="AI114" s="17" t="str">
        <f>RIGHT(Data!$O114,2)</f>
        <v>PM</v>
      </c>
      <c r="AJ114" s="29" t="str">
        <f>Data!$R114&amp;"-"&amp;WEEKNUM(Data!$C114,1)-WEEKNUM(DATE(YEAR(Data!$C114),MONTH(Data!$C114),1),1)+1</f>
        <v>1-2020-3</v>
      </c>
      <c r="AK114" s="29">
        <f>MONTH(Data!$C114)</f>
        <v>1</v>
      </c>
      <c r="AL114" s="29">
        <f>IFERROR(Data!$F114/Data!$E114,0)</f>
        <v>51.272727272727273</v>
      </c>
      <c r="AM114" s="29">
        <f>COUNTIF(Data!$N$2:$N$825,Data!$N114)</f>
        <v>10</v>
      </c>
      <c r="AN114" s="29" t="str">
        <f>VLOOKUP(Data!$N114,'Helpful Tables'!A:D,4,FALSE)</f>
        <v>Washington, DC</v>
      </c>
      <c r="AO114" s="29">
        <f>COUNTIF(AN:AN,Data!$AN114)/COUNTA(AN:AN)</f>
        <v>0.62424242424242427</v>
      </c>
      <c r="AP114" s="29">
        <v>38.879828000000003</v>
      </c>
      <c r="AQ114" s="29">
        <v>-77.005566000000002</v>
      </c>
      <c r="AR114" s="29">
        <f>COUNTIF(Data!$P$2:$P$825,Data!$P114)</f>
        <v>9</v>
      </c>
      <c r="AS114" s="29" cm="1">
        <f t="array" ref="AS114">_xlfn.IFS(Data!$E114&lt;12,((Data!$E114/Data!$D114)*60)*1,AND(Data!$E114&gt;=12,Data!$E114&lt;=15),((Data!$E114/Data!$D114)*60)*1.2,AND(Data!$E114&gt;=16,Data!$E114&lt;=19),((Data!$E114/Data!$D114)*60)*1.5,Data!$E114&gt;=20,((Data!$E114/Data!$D114)*60)*1.8)</f>
        <v>12.237330036931553</v>
      </c>
      <c r="AT114" s="29" cm="1">
        <f t="array" ref="AT114">_xlfn.IFS(Data!$F114&lt;600,((Data!$F114/Data!$D114)*60)*1,AND(Data!$F114&gt;=600,Data!$F114&lt;=625),((Data!$F114/Data!$D114)*60)*1.2,AND(Data!$F114&gt;=626,Data!$F114&lt;=650),((Data!$F114/Data!$D114)*60)*1.5,Data!$F114&gt;=651,((Data!$F114/Data!$D114)*60)*1.8)</f>
        <v>627.44128552994516</v>
      </c>
      <c r="AU114" s="29">
        <f>(Data!$I114*-1.2)+(Data!$J114*-1.1)+(Data!$K114*1.2)+(Data!$L114*1.3)+(Data!$M114*1.5)</f>
        <v>0.53166666840000154</v>
      </c>
      <c r="AV114" s="29">
        <f>(Data!$AS114*0.4)+(Data!$AT114*0.4)+(Data!$AU114*0.2)</f>
        <v>255.97777956043069</v>
      </c>
      <c r="AW114" s="29">
        <f>PERCENTRANK(AV:AV,Data!$AV114)*100</f>
        <v>19.5</v>
      </c>
      <c r="AX114" s="29" t="str">
        <f>_xlfn.CONCAT(TEXT(C114,"mmm"),"-",Data!$AE114)</f>
        <v>Jan-2020</v>
      </c>
    </row>
    <row r="115" spans="1:50" ht="17" thickTop="1" thickBot="1" x14ac:dyDescent="0.25">
      <c r="A115" s="22">
        <v>114</v>
      </c>
      <c r="B115" s="23">
        <f t="shared" si="10"/>
        <v>14</v>
      </c>
      <c r="C115" s="41">
        <v>43851</v>
      </c>
      <c r="D115" s="24">
        <f>SUM(Data!$I115:$M115)</f>
        <v>60.1</v>
      </c>
      <c r="E115" s="23">
        <v>13</v>
      </c>
      <c r="F115" s="23">
        <v>598</v>
      </c>
      <c r="G115" s="23">
        <v>120</v>
      </c>
      <c r="H115" s="23">
        <v>171</v>
      </c>
      <c r="I115" s="23">
        <v>23.433333333</v>
      </c>
      <c r="J115" s="23">
        <v>10.916666666999999</v>
      </c>
      <c r="K115" s="23">
        <v>12.733333332999999</v>
      </c>
      <c r="L115" s="23">
        <v>5.6</v>
      </c>
      <c r="M115" s="23">
        <v>7.4166666670000003</v>
      </c>
      <c r="N115" s="23" t="s">
        <v>24</v>
      </c>
      <c r="O115" s="23" t="s">
        <v>26</v>
      </c>
      <c r="P115" s="23" t="s">
        <v>28</v>
      </c>
      <c r="Q115" s="23">
        <f t="shared" si="16"/>
        <v>4</v>
      </c>
      <c r="R115" s="23" t="str">
        <f t="shared" si="11"/>
        <v>1-2020</v>
      </c>
      <c r="S115" s="23" t="s">
        <v>43</v>
      </c>
      <c r="T115" s="23" t="str">
        <f t="shared" si="12"/>
        <v>Tuesday</v>
      </c>
      <c r="U115" s="23">
        <f t="shared" si="13"/>
        <v>1</v>
      </c>
      <c r="V115" s="25">
        <f>IFERROR(Data!$I115/Data!$D115,"")</f>
        <v>0.3899057126955075</v>
      </c>
      <c r="W115" s="25">
        <f>IFERROR(Data!$J115/Data!$D115,"")</f>
        <v>0.18164170826955073</v>
      </c>
      <c r="X115" s="25">
        <f>IFERROR(Data!$K115/Data!$D115,"")</f>
        <v>0.21186910703826953</v>
      </c>
      <c r="Y115" s="25">
        <f>IFERROR(Data!$L115/Data!$D115,"")</f>
        <v>9.3178036605657225E-2</v>
      </c>
      <c r="Z115" s="25">
        <f>IFERROR(Data!$M115/Data!$D115,"")</f>
        <v>0.12340543539101498</v>
      </c>
      <c r="AA115" s="26">
        <v>232.14</v>
      </c>
      <c r="AB115" s="26">
        <f t="shared" si="17"/>
        <v>16.581428571428571</v>
      </c>
      <c r="AC115" s="23">
        <f t="shared" si="14"/>
        <v>613</v>
      </c>
      <c r="AD115" s="23">
        <f t="shared" si="15"/>
        <v>14.5</v>
      </c>
      <c r="AE115" s="23">
        <f>YEAR(Data!$C115)</f>
        <v>2020</v>
      </c>
      <c r="AF115" s="23"/>
      <c r="AG115" s="23">
        <v>12</v>
      </c>
      <c r="AH115" s="27">
        <f>Data!$F115/Data!$D115</f>
        <v>9.9500831946755408</v>
      </c>
      <c r="AI115" s="17" t="str">
        <f>RIGHT(Data!$O115,2)</f>
        <v>PM</v>
      </c>
      <c r="AJ115" s="23" t="str">
        <f>Data!$R115&amp;"-"&amp;WEEKNUM(Data!$C115,1)-WEEKNUM(DATE(YEAR(Data!$C115),MONTH(Data!$C115),1),1)+1</f>
        <v>1-2020-4</v>
      </c>
      <c r="AK115" s="23">
        <f>MONTH(Data!$C115)</f>
        <v>1</v>
      </c>
      <c r="AL115" s="23">
        <f>IFERROR(Data!$F115/Data!$E115,0)</f>
        <v>46</v>
      </c>
      <c r="AM115" s="23">
        <f>COUNTIF(Data!$N$2:$N$825,Data!$N115)</f>
        <v>35</v>
      </c>
      <c r="AN115" s="23" t="str">
        <f>VLOOKUP(Data!$N115,'Helpful Tables'!A:D,4,FALSE)</f>
        <v>Virginia</v>
      </c>
      <c r="AO115" s="23">
        <f>COUNTIF(AN:AN,Data!$AN115)/COUNTA(AN:AN)</f>
        <v>6.424242424242424E-2</v>
      </c>
      <c r="AP115" s="23">
        <v>38.881884999999997</v>
      </c>
      <c r="AQ115" s="23">
        <v>-77.229702000000003</v>
      </c>
      <c r="AR115" s="23">
        <f>COUNTIF(Data!$P$2:$P$825,Data!$P115)</f>
        <v>10</v>
      </c>
      <c r="AS115" s="23" cm="1">
        <f t="array" ref="AS115">_xlfn.IFS(Data!$E115&lt;12,((Data!$E115/Data!$D115)*60)*1,AND(Data!$E115&gt;=12,Data!$E115&lt;=15),((Data!$E115/Data!$D115)*60)*1.2,AND(Data!$E115&gt;=16,Data!$E115&lt;=19),((Data!$E115/Data!$D115)*60)*1.5,Data!$E115&gt;=20,((Data!$E115/Data!$D115)*60)*1.8)</f>
        <v>15.574043261231282</v>
      </c>
      <c r="AT115" s="23" cm="1">
        <f t="array" ref="AT115">_xlfn.IFS(Data!$F115&lt;600,((Data!$F115/Data!$D115)*60)*1,AND(Data!$F115&gt;=600,Data!$F115&lt;=625),((Data!$F115/Data!$D115)*60)*1.2,AND(Data!$F115&gt;=626,Data!$F115&lt;=650),((Data!$F115/Data!$D115)*60)*1.5,Data!$F115&gt;=651,((Data!$F115/Data!$D115)*60)*1.8)</f>
        <v>597.0049916805325</v>
      </c>
      <c r="AU115" s="23">
        <f>(Data!$I115*-1.2)+(Data!$J115*-1.1)+(Data!$K115*1.2)+(Data!$L115*1.3)+(Data!$M115*1.5)</f>
        <v>-6.4433333332000036</v>
      </c>
      <c r="AV115" s="23">
        <f>(Data!$AS115*0.4)+(Data!$AT115*0.4)+(Data!$AU115*0.2)</f>
        <v>243.74294731006552</v>
      </c>
      <c r="AW115" s="23">
        <f>PERCENTRANK(AV:AV,Data!$AV115)*100</f>
        <v>14.099999999999998</v>
      </c>
      <c r="AX115" s="23" t="str">
        <f>_xlfn.CONCAT(TEXT(C115,"mmm"),"-",Data!$AE115)</f>
        <v>Jan-2020</v>
      </c>
    </row>
    <row r="116" spans="1:50" ht="17" thickTop="1" thickBot="1" x14ac:dyDescent="0.25">
      <c r="A116" s="28">
        <v>115</v>
      </c>
      <c r="B116" s="29">
        <f t="shared" si="10"/>
        <v>14</v>
      </c>
      <c r="C116" s="41">
        <v>43852</v>
      </c>
      <c r="D116" s="30">
        <f>SUM(Data!$I116:$M116)</f>
        <v>56.133333334</v>
      </c>
      <c r="E116" s="29">
        <v>9</v>
      </c>
      <c r="F116" s="29">
        <v>503</v>
      </c>
      <c r="G116" s="29">
        <v>114</v>
      </c>
      <c r="H116" s="29">
        <v>168</v>
      </c>
      <c r="I116" s="29">
        <v>27.166666667000001</v>
      </c>
      <c r="J116" s="29">
        <v>6.4666666670000001</v>
      </c>
      <c r="K116" s="29">
        <v>13.716666667</v>
      </c>
      <c r="L116" s="29">
        <v>7.25</v>
      </c>
      <c r="M116" s="29">
        <v>1.5333333330000001</v>
      </c>
      <c r="N116" s="29" t="s">
        <v>40</v>
      </c>
      <c r="O116" s="29" t="s">
        <v>26</v>
      </c>
      <c r="P116" s="29" t="s">
        <v>41</v>
      </c>
      <c r="Q116" s="29">
        <f t="shared" si="16"/>
        <v>1</v>
      </c>
      <c r="R116" s="29" t="str">
        <f t="shared" si="11"/>
        <v>1-2020</v>
      </c>
      <c r="S116" s="29" t="s">
        <v>47</v>
      </c>
      <c r="T116" s="29" t="str">
        <f t="shared" si="12"/>
        <v>Wednesday</v>
      </c>
      <c r="U116" s="29">
        <f t="shared" si="13"/>
        <v>0</v>
      </c>
      <c r="V116" s="31">
        <f>IFERROR(Data!$I116/Data!$D116,"")</f>
        <v>0.48396674584342086</v>
      </c>
      <c r="W116" s="31">
        <f>IFERROR(Data!$J116/Data!$D116,"")</f>
        <v>0.11520190024209974</v>
      </c>
      <c r="X116" s="31">
        <f>IFERROR(Data!$K116/Data!$D116,"")</f>
        <v>0.24435866983676535</v>
      </c>
      <c r="Y116" s="31">
        <f>IFERROR(Data!$L116/Data!$D116,"")</f>
        <v>0.1291567695946656</v>
      </c>
      <c r="Z116" s="31">
        <f>IFERROR(Data!$M116/Data!$D116,"")</f>
        <v>2.7315914483048508E-2</v>
      </c>
      <c r="AA116" s="32">
        <v>232.14</v>
      </c>
      <c r="AB116" s="32">
        <f t="shared" si="17"/>
        <v>16.581428571428571</v>
      </c>
      <c r="AC116" s="29">
        <f t="shared" si="14"/>
        <v>613</v>
      </c>
      <c r="AD116" s="29">
        <f t="shared" si="15"/>
        <v>14.5</v>
      </c>
      <c r="AE116" s="29">
        <f>YEAR(Data!$C116)</f>
        <v>2020</v>
      </c>
      <c r="AF116" s="29"/>
      <c r="AG116" s="29">
        <v>12</v>
      </c>
      <c r="AH116" s="33">
        <f>Data!$F116/Data!$D116</f>
        <v>8.9608076008436957</v>
      </c>
      <c r="AI116" s="17" t="str">
        <f>RIGHT(Data!$O116,2)</f>
        <v>PM</v>
      </c>
      <c r="AJ116" s="29" t="str">
        <f>Data!$R116&amp;"-"&amp;WEEKNUM(Data!$C116,1)-WEEKNUM(DATE(YEAR(Data!$C116),MONTH(Data!$C116),1),1)+1</f>
        <v>1-2020-4</v>
      </c>
      <c r="AK116" s="29">
        <f>MONTH(Data!$C116)</f>
        <v>1</v>
      </c>
      <c r="AL116" s="29">
        <f>IFERROR(Data!$F116/Data!$E116,0)</f>
        <v>55.888888888888886</v>
      </c>
      <c r="AM116" s="29">
        <f>COUNTIF(Data!$N$2:$N$825,Data!$N116)</f>
        <v>38</v>
      </c>
      <c r="AN116" s="29" t="str">
        <f>VLOOKUP(Data!$N116,'Helpful Tables'!A:D,4,FALSE)</f>
        <v>Washington, DC</v>
      </c>
      <c r="AO116" s="29">
        <f>COUNTIF(AN:AN,Data!$AN116)/COUNTA(AN:AN)</f>
        <v>0.62424242424242427</v>
      </c>
      <c r="AP116" s="29">
        <v>38.903509999999997</v>
      </c>
      <c r="AQ116" s="29">
        <v>-77.051809000000006</v>
      </c>
      <c r="AR116" s="29">
        <f>COUNTIF(Data!$P$2:$P$825,Data!$P116)</f>
        <v>20</v>
      </c>
      <c r="AS116" s="29" cm="1">
        <f t="array" ref="AS116">_xlfn.IFS(Data!$E116&lt;12,((Data!$E116/Data!$D116)*60)*1,AND(Data!$E116&gt;=12,Data!$E116&lt;=15),((Data!$E116/Data!$D116)*60)*1.2,AND(Data!$E116&gt;=16,Data!$E116&lt;=19),((Data!$E116/Data!$D116)*60)*1.5,Data!$E116&gt;=20,((Data!$E116/Data!$D116)*60)*1.8)</f>
        <v>9.6199524939475065</v>
      </c>
      <c r="AT116" s="29" cm="1">
        <f t="array" ref="AT116">_xlfn.IFS(Data!$F116&lt;600,((Data!$F116/Data!$D116)*60)*1,AND(Data!$F116&gt;=600,Data!$F116&lt;=625),((Data!$F116/Data!$D116)*60)*1.2,AND(Data!$F116&gt;=626,Data!$F116&lt;=650),((Data!$F116/Data!$D116)*60)*1.5,Data!$F116&gt;=651,((Data!$F116/Data!$D116)*60)*1.8)</f>
        <v>537.64845605062169</v>
      </c>
      <c r="AU116" s="29">
        <f>(Data!$I116*-1.2)+(Data!$J116*-1.1)+(Data!$K116*1.2)+(Data!$L116*1.3)+(Data!$M116*1.5)</f>
        <v>-11.528333334199997</v>
      </c>
      <c r="AV116" s="29">
        <f>(Data!$AS116*0.4)+(Data!$AT116*0.4)+(Data!$AU116*0.2)</f>
        <v>216.60169675098768</v>
      </c>
      <c r="AW116" s="29">
        <f>PERCENTRANK(AV:AV,Data!$AV116)*100</f>
        <v>3.1</v>
      </c>
      <c r="AX116" s="29" t="str">
        <f>_xlfn.CONCAT(TEXT(C116,"mmm"),"-",Data!$AE116)</f>
        <v>Jan-2020</v>
      </c>
    </row>
    <row r="117" spans="1:50" ht="17" thickTop="1" thickBot="1" x14ac:dyDescent="0.25">
      <c r="A117" s="22">
        <v>116</v>
      </c>
      <c r="B117" s="23">
        <f t="shared" si="10"/>
        <v>14</v>
      </c>
      <c r="C117" s="41">
        <v>43854</v>
      </c>
      <c r="D117" s="24">
        <f>SUM(Data!$I117:$M117)</f>
        <v>53.750000000999997</v>
      </c>
      <c r="E117" s="23">
        <v>13</v>
      </c>
      <c r="F117" s="23">
        <v>613</v>
      </c>
      <c r="G117" s="23">
        <v>130</v>
      </c>
      <c r="H117" s="23">
        <v>172</v>
      </c>
      <c r="I117" s="23">
        <v>7.5</v>
      </c>
      <c r="J117" s="23">
        <v>6.766666667</v>
      </c>
      <c r="K117" s="23">
        <v>26.166666667000001</v>
      </c>
      <c r="L117" s="23">
        <v>10.85</v>
      </c>
      <c r="M117" s="23">
        <v>2.4666666670000001</v>
      </c>
      <c r="N117" s="23" t="s">
        <v>60</v>
      </c>
      <c r="O117" s="23" t="s">
        <v>39</v>
      </c>
      <c r="P117" s="23" t="s">
        <v>61</v>
      </c>
      <c r="Q117" s="23">
        <f t="shared" si="16"/>
        <v>2</v>
      </c>
      <c r="R117" s="23" t="str">
        <f t="shared" si="11"/>
        <v>1-2020</v>
      </c>
      <c r="S117" s="23" t="s">
        <v>43</v>
      </c>
      <c r="T117" s="23" t="str">
        <f t="shared" si="12"/>
        <v>Friday</v>
      </c>
      <c r="U117" s="23">
        <f t="shared" si="13"/>
        <v>1</v>
      </c>
      <c r="V117" s="25">
        <f>IFERROR(Data!$I117/Data!$D117,"")</f>
        <v>0.13953488371833425</v>
      </c>
      <c r="W117" s="25">
        <f>IFERROR(Data!$J117/Data!$D117,"")</f>
        <v>0.12589147287207644</v>
      </c>
      <c r="X117" s="25">
        <f>IFERROR(Data!$K117/Data!$D117,"")</f>
        <v>0.48682170542350106</v>
      </c>
      <c r="Y117" s="25">
        <f>IFERROR(Data!$L117/Data!$D117,"")</f>
        <v>0.20186046511252353</v>
      </c>
      <c r="Z117" s="25">
        <f>IFERROR(Data!$M117/Data!$D117,"")</f>
        <v>4.5891472873564813E-2</v>
      </c>
      <c r="AA117" s="26">
        <v>232.14</v>
      </c>
      <c r="AB117" s="26">
        <f t="shared" si="17"/>
        <v>16.581428571428571</v>
      </c>
      <c r="AC117" s="23">
        <f t="shared" si="14"/>
        <v>613</v>
      </c>
      <c r="AD117" s="23">
        <f t="shared" si="15"/>
        <v>14.5</v>
      </c>
      <c r="AE117" s="23">
        <f>YEAR(Data!$C117)</f>
        <v>2020</v>
      </c>
      <c r="AF117" s="23"/>
      <c r="AG117" s="23">
        <v>12</v>
      </c>
      <c r="AH117" s="27">
        <f>Data!$F117/Data!$D117</f>
        <v>11.404651162578519</v>
      </c>
      <c r="AI117" s="17" t="str">
        <f>RIGHT(Data!$O117,2)</f>
        <v>PM</v>
      </c>
      <c r="AJ117" s="23" t="str">
        <f>Data!$R117&amp;"-"&amp;WEEKNUM(Data!$C117,1)-WEEKNUM(DATE(YEAR(Data!$C117),MONTH(Data!$C117),1),1)+1</f>
        <v>1-2020-4</v>
      </c>
      <c r="AK117" s="23">
        <f>MONTH(Data!$C117)</f>
        <v>1</v>
      </c>
      <c r="AL117" s="23">
        <f>IFERROR(Data!$F117/Data!$E117,0)</f>
        <v>47.153846153846153</v>
      </c>
      <c r="AM117" s="23">
        <f>COUNTIF(Data!$N$2:$N$825,Data!$N117)</f>
        <v>10</v>
      </c>
      <c r="AN117" s="23" t="str">
        <f>VLOOKUP(Data!$N117,'Helpful Tables'!A:D,4,FALSE)</f>
        <v>Washington, DC</v>
      </c>
      <c r="AO117" s="23">
        <f>COUNTIF(AN:AN,Data!$AN117)/COUNTA(AN:AN)</f>
        <v>0.62424242424242427</v>
      </c>
      <c r="AP117" s="23">
        <v>38.879828000000003</v>
      </c>
      <c r="AQ117" s="23">
        <v>-77.005566000000002</v>
      </c>
      <c r="AR117" s="23">
        <f>COUNTIF(Data!$P$2:$P$825,Data!$P117)</f>
        <v>9</v>
      </c>
      <c r="AS117" s="23" cm="1">
        <f t="array" ref="AS117">_xlfn.IFS(Data!$E117&lt;12,((Data!$E117/Data!$D117)*60)*1,AND(Data!$E117&gt;=12,Data!$E117&lt;=15),((Data!$E117/Data!$D117)*60)*1.2,AND(Data!$E117&gt;=16,Data!$E117&lt;=19),((Data!$E117/Data!$D117)*60)*1.5,Data!$E117&gt;=20,((Data!$E117/Data!$D117)*60)*1.8)</f>
        <v>17.413953488048115</v>
      </c>
      <c r="AT117" s="23" cm="1">
        <f t="array" ref="AT117">_xlfn.IFS(Data!$F117&lt;600,((Data!$F117/Data!$D117)*60)*1,AND(Data!$F117&gt;=600,Data!$F117&lt;=625),((Data!$F117/Data!$D117)*60)*1.2,AND(Data!$F117&gt;=626,Data!$F117&lt;=650),((Data!$F117/Data!$D117)*60)*1.5,Data!$F117&gt;=651,((Data!$F117/Data!$D117)*60)*1.8)</f>
        <v>821.13488370565335</v>
      </c>
      <c r="AU117" s="23">
        <f>(Data!$I117*-1.2)+(Data!$J117*-1.1)+(Data!$K117*1.2)+(Data!$L117*1.3)+(Data!$M117*1.5)</f>
        <v>32.761666667199997</v>
      </c>
      <c r="AV117" s="23">
        <f>(Data!$AS117*0.4)+(Data!$AT117*0.4)+(Data!$AU117*0.2)</f>
        <v>341.9718682109206</v>
      </c>
      <c r="AW117" s="23">
        <f>PERCENTRANK(AV:AV,Data!$AV117)*100</f>
        <v>43.5</v>
      </c>
      <c r="AX117" s="23" t="str">
        <f>_xlfn.CONCAT(TEXT(C117,"mmm"),"-",Data!$AE117)</f>
        <v>Jan-2020</v>
      </c>
    </row>
    <row r="118" spans="1:50" ht="17" thickTop="1" thickBot="1" x14ac:dyDescent="0.25">
      <c r="A118" s="28">
        <v>117</v>
      </c>
      <c r="B118" s="29">
        <f t="shared" si="10"/>
        <v>14</v>
      </c>
      <c r="C118" s="41">
        <v>43858</v>
      </c>
      <c r="D118" s="30">
        <f>SUM(Data!$I118:$M118)</f>
        <v>57.399999998999995</v>
      </c>
      <c r="E118" s="29">
        <v>8</v>
      </c>
      <c r="F118" s="29">
        <v>502</v>
      </c>
      <c r="G118" s="29">
        <v>112</v>
      </c>
      <c r="H118" s="29">
        <v>168</v>
      </c>
      <c r="I118" s="29">
        <v>25.75</v>
      </c>
      <c r="J118" s="29">
        <v>14.733333332999999</v>
      </c>
      <c r="K118" s="29">
        <v>8.5833333330000006</v>
      </c>
      <c r="L118" s="29">
        <v>6.0833333329999997</v>
      </c>
      <c r="M118" s="29">
        <v>2.25</v>
      </c>
      <c r="N118" s="29" t="s">
        <v>24</v>
      </c>
      <c r="O118" s="29" t="s">
        <v>26</v>
      </c>
      <c r="P118" s="29" t="s">
        <v>28</v>
      </c>
      <c r="Q118" s="29">
        <f t="shared" si="16"/>
        <v>4</v>
      </c>
      <c r="R118" s="29" t="str">
        <f t="shared" si="11"/>
        <v>1-2020</v>
      </c>
      <c r="S118" s="29" t="s">
        <v>43</v>
      </c>
      <c r="T118" s="29" t="str">
        <f t="shared" si="12"/>
        <v>Tuesday</v>
      </c>
      <c r="U118" s="29">
        <f t="shared" si="13"/>
        <v>0</v>
      </c>
      <c r="V118" s="31">
        <f>IFERROR(Data!$I118/Data!$D118,"")</f>
        <v>0.44860627178481899</v>
      </c>
      <c r="W118" s="31">
        <f>IFERROR(Data!$J118/Data!$D118,"")</f>
        <v>0.25667828106718954</v>
      </c>
      <c r="X118" s="31">
        <f>IFERROR(Data!$K118/Data!$D118,"")</f>
        <v>0.1495354239224658</v>
      </c>
      <c r="Y118" s="31">
        <f>IFERROR(Data!$L118/Data!$D118,"")</f>
        <v>0.10598141695306589</v>
      </c>
      <c r="Z118" s="31">
        <f>IFERROR(Data!$M118/Data!$D118,"")</f>
        <v>3.9198606272459913E-2</v>
      </c>
      <c r="AA118" s="32">
        <v>232.14</v>
      </c>
      <c r="AB118" s="32">
        <f t="shared" si="17"/>
        <v>16.581428571428571</v>
      </c>
      <c r="AC118" s="29">
        <f t="shared" si="14"/>
        <v>613</v>
      </c>
      <c r="AD118" s="29">
        <f t="shared" si="15"/>
        <v>14.5</v>
      </c>
      <c r="AE118" s="29">
        <f>YEAR(Data!$C118)</f>
        <v>2020</v>
      </c>
      <c r="AF118" s="29"/>
      <c r="AG118" s="29">
        <v>12</v>
      </c>
      <c r="AH118" s="33">
        <f>Data!$F118/Data!$D118</f>
        <v>8.745644599455499</v>
      </c>
      <c r="AI118" s="17" t="str">
        <f>RIGHT(Data!$O118,2)</f>
        <v>PM</v>
      </c>
      <c r="AJ118" s="29" t="str">
        <f>Data!$R118&amp;"-"&amp;WEEKNUM(Data!$C118,1)-WEEKNUM(DATE(YEAR(Data!$C118),MONTH(Data!$C118),1),1)+1</f>
        <v>1-2020-5</v>
      </c>
      <c r="AK118" s="29">
        <f>MONTH(Data!$C118)</f>
        <v>1</v>
      </c>
      <c r="AL118" s="29">
        <f>IFERROR(Data!$F118/Data!$E118,0)</f>
        <v>62.75</v>
      </c>
      <c r="AM118" s="29">
        <f>COUNTIF(Data!$N$2:$N$825,Data!$N118)</f>
        <v>35</v>
      </c>
      <c r="AN118" s="29" t="str">
        <f>VLOOKUP(Data!$N118,'Helpful Tables'!A:D,4,FALSE)</f>
        <v>Virginia</v>
      </c>
      <c r="AO118" s="29">
        <f>COUNTIF(AN:AN,Data!$AN118)/COUNTA(AN:AN)</f>
        <v>6.424242424242424E-2</v>
      </c>
      <c r="AP118" s="29">
        <v>38.881884999999997</v>
      </c>
      <c r="AQ118" s="29">
        <v>-77.229702000000003</v>
      </c>
      <c r="AR118" s="29">
        <f>COUNTIF(Data!$P$2:$P$825,Data!$P118)</f>
        <v>10</v>
      </c>
      <c r="AS118" s="29" cm="1">
        <f t="array" ref="AS118">_xlfn.IFS(Data!$E118&lt;12,((Data!$E118/Data!$D118)*60)*1,AND(Data!$E118&gt;=12,Data!$E118&lt;=15),((Data!$E118/Data!$D118)*60)*1.2,AND(Data!$E118&gt;=16,Data!$E118&lt;=19),((Data!$E118/Data!$D118)*60)*1.5,Data!$E118&gt;=20,((Data!$E118/Data!$D118)*60)*1.8)</f>
        <v>8.3623693381247808</v>
      </c>
      <c r="AT118" s="29" cm="1">
        <f t="array" ref="AT118">_xlfn.IFS(Data!$F118&lt;600,((Data!$F118/Data!$D118)*60)*1,AND(Data!$F118&gt;=600,Data!$F118&lt;=625),((Data!$F118/Data!$D118)*60)*1.2,AND(Data!$F118&gt;=626,Data!$F118&lt;=650),((Data!$F118/Data!$D118)*60)*1.5,Data!$F118&gt;=651,((Data!$F118/Data!$D118)*60)*1.8)</f>
        <v>524.73867596732998</v>
      </c>
      <c r="AU118" s="29">
        <f>(Data!$I118*-1.2)+(Data!$J118*-1.1)+(Data!$K118*1.2)+(Data!$L118*1.3)+(Data!$M118*1.5)</f>
        <v>-25.523333333799997</v>
      </c>
      <c r="AV118" s="29">
        <f>(Data!$AS118*0.4)+(Data!$AT118*0.4)+(Data!$AU118*0.2)</f>
        <v>208.13575145542191</v>
      </c>
      <c r="AW118" s="29">
        <f>PERCENTRANK(AV:AV,Data!$AV118)*100</f>
        <v>1.4000000000000001</v>
      </c>
      <c r="AX118" s="29" t="str">
        <f>_xlfn.CONCAT(TEXT(C118,"mmm"),"-",Data!$AE118)</f>
        <v>Jan-2020</v>
      </c>
    </row>
    <row r="119" spans="1:50" ht="17" thickTop="1" thickBot="1" x14ac:dyDescent="0.25">
      <c r="A119" s="22">
        <v>118</v>
      </c>
      <c r="B119" s="23">
        <f t="shared" si="10"/>
        <v>14</v>
      </c>
      <c r="C119" s="41">
        <v>43859</v>
      </c>
      <c r="D119" s="24">
        <f>SUM(Data!$I119:$M119)</f>
        <v>59.150000000999995</v>
      </c>
      <c r="E119" s="23">
        <v>20</v>
      </c>
      <c r="F119" s="23">
        <v>667</v>
      </c>
      <c r="G119" s="23">
        <v>129</v>
      </c>
      <c r="H119" s="23">
        <v>173</v>
      </c>
      <c r="I119" s="23">
        <v>13.816666667</v>
      </c>
      <c r="J119" s="23">
        <v>14.216666667</v>
      </c>
      <c r="K119" s="23">
        <v>10.6</v>
      </c>
      <c r="L119" s="23">
        <v>10.050000000000001</v>
      </c>
      <c r="M119" s="23">
        <v>10.466666667</v>
      </c>
      <c r="N119" s="23" t="s">
        <v>40</v>
      </c>
      <c r="O119" s="23" t="s">
        <v>26</v>
      </c>
      <c r="P119" s="23" t="s">
        <v>41</v>
      </c>
      <c r="Q119" s="23">
        <f t="shared" si="16"/>
        <v>1</v>
      </c>
      <c r="R119" s="23" t="str">
        <f t="shared" si="11"/>
        <v>1-2020</v>
      </c>
      <c r="S119" s="23" t="s">
        <v>47</v>
      </c>
      <c r="T119" s="23" t="str">
        <f t="shared" si="12"/>
        <v>Wednesday</v>
      </c>
      <c r="U119" s="23">
        <f t="shared" si="13"/>
        <v>1</v>
      </c>
      <c r="V119" s="25">
        <f>IFERROR(Data!$I119/Data!$D119,"")</f>
        <v>0.23358692589630456</v>
      </c>
      <c r="W119" s="25">
        <f>IFERROR(Data!$J119/Data!$D119,"")</f>
        <v>0.24034939419712006</v>
      </c>
      <c r="X119" s="25">
        <f>IFERROR(Data!$K119/Data!$D119,"")</f>
        <v>0.17920540997161108</v>
      </c>
      <c r="Y119" s="25">
        <f>IFERROR(Data!$L119/Data!$D119,"")</f>
        <v>0.16990701605798977</v>
      </c>
      <c r="Z119" s="25">
        <f>IFERROR(Data!$M119/Data!$D119,"")</f>
        <v>0.17695125387697463</v>
      </c>
      <c r="AA119" s="26">
        <v>232.14</v>
      </c>
      <c r="AB119" s="26">
        <f t="shared" si="17"/>
        <v>16.581428571428571</v>
      </c>
      <c r="AC119" s="23">
        <f t="shared" si="14"/>
        <v>613</v>
      </c>
      <c r="AD119" s="23">
        <f t="shared" si="15"/>
        <v>14.5</v>
      </c>
      <c r="AE119" s="23">
        <f>YEAR(Data!$C119)</f>
        <v>2020</v>
      </c>
      <c r="AF119" s="23"/>
      <c r="AG119" s="23">
        <v>12</v>
      </c>
      <c r="AH119" s="27">
        <f>Data!$F119/Data!$D119</f>
        <v>11.276415891609867</v>
      </c>
      <c r="AI119" s="17" t="str">
        <f>RIGHT(Data!$O119,2)</f>
        <v>PM</v>
      </c>
      <c r="AJ119" s="23" t="str">
        <f>Data!$R119&amp;"-"&amp;WEEKNUM(Data!$C119,1)-WEEKNUM(DATE(YEAR(Data!$C119),MONTH(Data!$C119),1),1)+1</f>
        <v>1-2020-5</v>
      </c>
      <c r="AK119" s="23">
        <f>MONTH(Data!$C119)</f>
        <v>1</v>
      </c>
      <c r="AL119" s="23">
        <f>IFERROR(Data!$F119/Data!$E119,0)</f>
        <v>33.35</v>
      </c>
      <c r="AM119" s="23">
        <f>COUNTIF(Data!$N$2:$N$825,Data!$N119)</f>
        <v>38</v>
      </c>
      <c r="AN119" s="23" t="str">
        <f>VLOOKUP(Data!$N119,'Helpful Tables'!A:D,4,FALSE)</f>
        <v>Washington, DC</v>
      </c>
      <c r="AO119" s="23">
        <f>COUNTIF(AN:AN,Data!$AN119)/COUNTA(AN:AN)</f>
        <v>0.62424242424242427</v>
      </c>
      <c r="AP119" s="23">
        <v>38.903509999999997</v>
      </c>
      <c r="AQ119" s="23">
        <v>-77.051809000000006</v>
      </c>
      <c r="AR119" s="23">
        <f>COUNTIF(Data!$P$2:$P$825,Data!$P119)</f>
        <v>20</v>
      </c>
      <c r="AS119" s="23" cm="1">
        <f t="array" ref="AS119">_xlfn.IFS(Data!$E119&lt;12,((Data!$E119/Data!$D119)*60)*1,AND(Data!$E119&gt;=12,Data!$E119&lt;=15),((Data!$E119/Data!$D119)*60)*1.2,AND(Data!$E119&gt;=16,Data!$E119&lt;=19),((Data!$E119/Data!$D119)*60)*1.5,Data!$E119&gt;=20,((Data!$E119/Data!$D119)*60)*1.8)</f>
        <v>36.517328824403769</v>
      </c>
      <c r="AT119" s="23" cm="1">
        <f t="array" ref="AT119">_xlfn.IFS(Data!$F119&lt;600,((Data!$F119/Data!$D119)*60)*1,AND(Data!$F119&gt;=600,Data!$F119&lt;=625),((Data!$F119/Data!$D119)*60)*1.2,AND(Data!$F119&gt;=626,Data!$F119&lt;=650),((Data!$F119/Data!$D119)*60)*1.5,Data!$F119&gt;=651,((Data!$F119/Data!$D119)*60)*1.8)</f>
        <v>1217.8529162938655</v>
      </c>
      <c r="AU119" s="23">
        <f>(Data!$I119*-1.2)+(Data!$J119*-1.1)+(Data!$K119*1.2)+(Data!$L119*1.3)+(Data!$M119*1.5)</f>
        <v>9.266666666399999</v>
      </c>
      <c r="AV119" s="23">
        <f>(Data!$AS119*0.4)+(Data!$AT119*0.4)+(Data!$AU119*0.2)</f>
        <v>503.60143138058771</v>
      </c>
      <c r="AW119" s="23">
        <f>PERCENTRANK(AV:AV,Data!$AV119)*100</f>
        <v>80</v>
      </c>
      <c r="AX119" s="23" t="str">
        <f>_xlfn.CONCAT(TEXT(C119,"mmm"),"-",Data!$AE119)</f>
        <v>Jan-2020</v>
      </c>
    </row>
    <row r="120" spans="1:50" ht="17" thickTop="1" thickBot="1" x14ac:dyDescent="0.25">
      <c r="A120" s="28">
        <v>119</v>
      </c>
      <c r="B120" s="29">
        <f t="shared" si="10"/>
        <v>14</v>
      </c>
      <c r="C120" s="41">
        <v>43860</v>
      </c>
      <c r="D120" s="30">
        <f>SUM(Data!$I120:$M120)</f>
        <v>57.5</v>
      </c>
      <c r="E120" s="29">
        <v>6</v>
      </c>
      <c r="F120" s="29">
        <v>537</v>
      </c>
      <c r="G120" s="29">
        <v>116</v>
      </c>
      <c r="H120" s="29">
        <v>163</v>
      </c>
      <c r="I120" s="29">
        <v>22.883333332999999</v>
      </c>
      <c r="J120" s="29">
        <v>13.783333333</v>
      </c>
      <c r="K120" s="29">
        <v>14.716666667</v>
      </c>
      <c r="L120" s="29">
        <v>6.016666667</v>
      </c>
      <c r="M120" s="29">
        <v>0.1</v>
      </c>
      <c r="N120" s="29" t="s">
        <v>33</v>
      </c>
      <c r="O120" s="29" t="s">
        <v>39</v>
      </c>
      <c r="P120" s="29" t="s">
        <v>72</v>
      </c>
      <c r="Q120" s="29">
        <f t="shared" si="16"/>
        <v>1</v>
      </c>
      <c r="R120" s="29" t="str">
        <f t="shared" si="11"/>
        <v>1-2020</v>
      </c>
      <c r="S120" s="29" t="s">
        <v>43</v>
      </c>
      <c r="T120" s="29" t="str">
        <f t="shared" si="12"/>
        <v>Thursday</v>
      </c>
      <c r="U120" s="29">
        <f t="shared" si="13"/>
        <v>0</v>
      </c>
      <c r="V120" s="31">
        <f>IFERROR(Data!$I120/Data!$D120,"")</f>
        <v>0.39797101448695649</v>
      </c>
      <c r="W120" s="31">
        <f>IFERROR(Data!$J120/Data!$D120,"")</f>
        <v>0.23971014492173912</v>
      </c>
      <c r="X120" s="31">
        <f>IFERROR(Data!$K120/Data!$D120,"")</f>
        <v>0.25594202899130436</v>
      </c>
      <c r="Y120" s="31">
        <f>IFERROR(Data!$L120/Data!$D120,"")</f>
        <v>0.10463768116521739</v>
      </c>
      <c r="Z120" s="31">
        <f>IFERROR(Data!$M120/Data!$D120,"")</f>
        <v>1.7391304347826088E-3</v>
      </c>
      <c r="AA120" s="32">
        <v>232.14</v>
      </c>
      <c r="AB120" s="32">
        <f t="shared" si="17"/>
        <v>16.581428571428571</v>
      </c>
      <c r="AC120" s="29">
        <f t="shared" si="14"/>
        <v>613</v>
      </c>
      <c r="AD120" s="29">
        <f t="shared" si="15"/>
        <v>14.5</v>
      </c>
      <c r="AE120" s="29">
        <f>YEAR(Data!$C120)</f>
        <v>2020</v>
      </c>
      <c r="AF120" s="29"/>
      <c r="AG120" s="29">
        <v>12</v>
      </c>
      <c r="AH120" s="33">
        <f>Data!$F120/Data!$D120</f>
        <v>9.339130434782609</v>
      </c>
      <c r="AI120" s="17" t="str">
        <f>RIGHT(Data!$O120,2)</f>
        <v>PM</v>
      </c>
      <c r="AJ120" s="29" t="str">
        <f>Data!$R120&amp;"-"&amp;WEEKNUM(Data!$C120,1)-WEEKNUM(DATE(YEAR(Data!$C120),MONTH(Data!$C120),1),1)+1</f>
        <v>1-2020-5</v>
      </c>
      <c r="AK120" s="29">
        <f>MONTH(Data!$C120)</f>
        <v>1</v>
      </c>
      <c r="AL120" s="29">
        <f>IFERROR(Data!$F120/Data!$E120,0)</f>
        <v>89.5</v>
      </c>
      <c r="AM120" s="29">
        <f>COUNTIF(Data!$N$2:$N$825,Data!$N120)</f>
        <v>48</v>
      </c>
      <c r="AN120" s="29" t="str">
        <f>VLOOKUP(Data!$N120,'Helpful Tables'!A:D,4,FALSE)</f>
        <v>Washington, DC</v>
      </c>
      <c r="AO120" s="29">
        <f>COUNTIF(AN:AN,Data!$AN120)/COUNTA(AN:AN)</f>
        <v>0.62424242424242427</v>
      </c>
      <c r="AP120" s="29">
        <v>38.916486999999996</v>
      </c>
      <c r="AQ120" s="29">
        <v>-77.031514000000001</v>
      </c>
      <c r="AR120" s="29">
        <f>COUNTIF(Data!$P$2:$P$825,Data!$P120)</f>
        <v>3</v>
      </c>
      <c r="AS120" s="29" cm="1">
        <f t="array" ref="AS120">_xlfn.IFS(Data!$E120&lt;12,((Data!$E120/Data!$D120)*60)*1,AND(Data!$E120&gt;=12,Data!$E120&lt;=15),((Data!$E120/Data!$D120)*60)*1.2,AND(Data!$E120&gt;=16,Data!$E120&lt;=19),((Data!$E120/Data!$D120)*60)*1.5,Data!$E120&gt;=20,((Data!$E120/Data!$D120)*60)*1.8)</f>
        <v>6.2608695652173907</v>
      </c>
      <c r="AT120" s="29" cm="1">
        <f t="array" ref="AT120">_xlfn.IFS(Data!$F120&lt;600,((Data!$F120/Data!$D120)*60)*1,AND(Data!$F120&gt;=600,Data!$F120&lt;=625),((Data!$F120/Data!$D120)*60)*1.2,AND(Data!$F120&gt;=626,Data!$F120&lt;=650),((Data!$F120/Data!$D120)*60)*1.5,Data!$F120&gt;=651,((Data!$F120/Data!$D120)*60)*1.8)</f>
        <v>560.3478260869565</v>
      </c>
      <c r="AU120" s="29">
        <f>(Data!$I120*-1.2)+(Data!$J120*-1.1)+(Data!$K120*1.2)+(Data!$L120*1.3)+(Data!$M120*1.5)</f>
        <v>-16.989999998399995</v>
      </c>
      <c r="AV120" s="29">
        <f>(Data!$AS120*0.4)+(Data!$AT120*0.4)+(Data!$AU120*0.2)</f>
        <v>223.24547826118956</v>
      </c>
      <c r="AW120" s="29">
        <f>PERCENTRANK(AV:AV,Data!$AV120)*100</f>
        <v>4.7</v>
      </c>
      <c r="AX120" s="29" t="str">
        <f>_xlfn.CONCAT(TEXT(C120,"mmm"),"-",Data!$AE120)</f>
        <v>Jan-2020</v>
      </c>
    </row>
    <row r="121" spans="1:50" ht="17" thickTop="1" thickBot="1" x14ac:dyDescent="0.25">
      <c r="A121" s="22">
        <v>120</v>
      </c>
      <c r="B121" s="23">
        <f t="shared" si="10"/>
        <v>16</v>
      </c>
      <c r="C121" s="41">
        <v>43862</v>
      </c>
      <c r="D121" s="24">
        <f>SUM(Data!$I121:$M121)</f>
        <v>55.599999998999998</v>
      </c>
      <c r="E121" s="23">
        <v>14</v>
      </c>
      <c r="F121" s="23">
        <v>635</v>
      </c>
      <c r="G121" s="23">
        <v>130</v>
      </c>
      <c r="H121" s="23">
        <v>164</v>
      </c>
      <c r="I121" s="23">
        <v>8</v>
      </c>
      <c r="J121" s="23">
        <v>13.733333332999999</v>
      </c>
      <c r="K121" s="23">
        <v>20.100000000000001</v>
      </c>
      <c r="L121" s="23">
        <v>12.633333332999999</v>
      </c>
      <c r="M121" s="23">
        <v>1.1333333329999999</v>
      </c>
      <c r="N121" s="23" t="s">
        <v>33</v>
      </c>
      <c r="O121" s="23" t="s">
        <v>32</v>
      </c>
      <c r="P121" s="23" t="s">
        <v>34</v>
      </c>
      <c r="Q121" s="23">
        <f t="shared" si="16"/>
        <v>2</v>
      </c>
      <c r="R121" s="23" t="str">
        <f t="shared" si="11"/>
        <v>2-2020</v>
      </c>
      <c r="S121" s="23" t="s">
        <v>43</v>
      </c>
      <c r="T121" s="23" t="str">
        <f t="shared" si="12"/>
        <v>Saturday</v>
      </c>
      <c r="U121" s="23">
        <f t="shared" si="13"/>
        <v>1</v>
      </c>
      <c r="V121" s="25">
        <f>IFERROR(Data!$I121/Data!$D121,"")</f>
        <v>0.1438848920889188</v>
      </c>
      <c r="W121" s="25">
        <f>IFERROR(Data!$J121/Data!$D121,"")</f>
        <v>0.24700239807998206</v>
      </c>
      <c r="X121" s="25">
        <f>IFERROR(Data!$K121/Data!$D121,"")</f>
        <v>0.36151079137340852</v>
      </c>
      <c r="Y121" s="25">
        <f>IFERROR(Data!$L121/Data!$D121,"")</f>
        <v>0.22721822541775571</v>
      </c>
      <c r="Z121" s="25">
        <f>IFERROR(Data!$M121/Data!$D121,"")</f>
        <v>2.0383693039934959E-2</v>
      </c>
      <c r="AA121" s="26">
        <v>232.14</v>
      </c>
      <c r="AB121" s="26">
        <f t="shared" si="17"/>
        <v>14.508749999999999</v>
      </c>
      <c r="AC121" s="23">
        <f t="shared" si="14"/>
        <v>598.6875</v>
      </c>
      <c r="AD121" s="23">
        <f t="shared" si="15"/>
        <v>13.5625</v>
      </c>
      <c r="AE121" s="23">
        <f>YEAR(Data!$C121)</f>
        <v>2020</v>
      </c>
      <c r="AF121" s="23"/>
      <c r="AG121" s="23">
        <v>12</v>
      </c>
      <c r="AH121" s="27">
        <f>Data!$F121/Data!$D121</f>
        <v>11.42086330955793</v>
      </c>
      <c r="AI121" s="17" t="str">
        <f>RIGHT(Data!$O121,2)</f>
        <v>AM</v>
      </c>
      <c r="AJ121" s="23" t="str">
        <f>Data!$R121&amp;"-"&amp;WEEKNUM(Data!$C121,1)-WEEKNUM(DATE(YEAR(Data!$C121),MONTH(Data!$C121),1),1)+1</f>
        <v>2-2020-1</v>
      </c>
      <c r="AK121" s="23">
        <f>MONTH(Data!$C121)</f>
        <v>2</v>
      </c>
      <c r="AL121" s="23">
        <f>IFERROR(Data!$F121/Data!$E121,0)</f>
        <v>45.357142857142854</v>
      </c>
      <c r="AM121" s="23">
        <f>COUNTIF(Data!$N$2:$N$825,Data!$N121)</f>
        <v>48</v>
      </c>
      <c r="AN121" s="23" t="str">
        <f>VLOOKUP(Data!$N121,'Helpful Tables'!A:D,4,FALSE)</f>
        <v>Washington, DC</v>
      </c>
      <c r="AO121" s="23">
        <f>COUNTIF(AN:AN,Data!$AN121)/COUNTA(AN:AN)</f>
        <v>0.62424242424242427</v>
      </c>
      <c r="AP121" s="23">
        <v>38.916486999999996</v>
      </c>
      <c r="AQ121" s="23">
        <v>-77.031514000000001</v>
      </c>
      <c r="AR121" s="23">
        <f>COUNTIF(Data!$P$2:$P$825,Data!$P121)</f>
        <v>30</v>
      </c>
      <c r="AS121" s="23" cm="1">
        <f t="array" ref="AS121">_xlfn.IFS(Data!$E121&lt;12,((Data!$E121/Data!$D121)*60)*1,AND(Data!$E121&gt;=12,Data!$E121&lt;=15),((Data!$E121/Data!$D121)*60)*1.2,AND(Data!$E121&gt;=16,Data!$E121&lt;=19),((Data!$E121/Data!$D121)*60)*1.5,Data!$E121&gt;=20,((Data!$E121/Data!$D121)*60)*1.8)</f>
        <v>18.129496403203767</v>
      </c>
      <c r="AT121" s="23" cm="1">
        <f t="array" ref="AT121">_xlfn.IFS(Data!$F121&lt;600,((Data!$F121/Data!$D121)*60)*1,AND(Data!$F121&gt;=600,Data!$F121&lt;=625),((Data!$F121/Data!$D121)*60)*1.2,AND(Data!$F121&gt;=626,Data!$F121&lt;=650),((Data!$F121/Data!$D121)*60)*1.5,Data!$F121&gt;=651,((Data!$F121/Data!$D121)*60)*1.8)</f>
        <v>1027.8776978602136</v>
      </c>
      <c r="AU121" s="23">
        <f>(Data!$I121*-1.2)+(Data!$J121*-1.1)+(Data!$K121*1.2)+(Data!$L121*1.3)+(Data!$M121*1.5)</f>
        <v>17.5366666661</v>
      </c>
      <c r="AV121" s="23">
        <f>(Data!$AS121*0.4)+(Data!$AT121*0.4)+(Data!$AU121*0.2)</f>
        <v>421.91021103858702</v>
      </c>
      <c r="AW121" s="23">
        <f>PERCENTRANK(AV:AV,Data!$AV121)*100</f>
        <v>61.8</v>
      </c>
      <c r="AX121" s="23" t="str">
        <f>_xlfn.CONCAT(TEXT(C121,"mmm"),"-",Data!$AE121)</f>
        <v>Feb-2020</v>
      </c>
    </row>
    <row r="122" spans="1:50" ht="17" thickTop="1" thickBot="1" x14ac:dyDescent="0.25">
      <c r="A122" s="28">
        <v>121</v>
      </c>
      <c r="B122" s="29">
        <f t="shared" si="10"/>
        <v>16</v>
      </c>
      <c r="C122" s="41">
        <v>43866</v>
      </c>
      <c r="D122" s="30">
        <f>SUM(Data!$I122:$M122)</f>
        <v>61.783333332999995</v>
      </c>
      <c r="E122" s="29">
        <v>16</v>
      </c>
      <c r="F122" s="29">
        <v>584</v>
      </c>
      <c r="G122" s="29">
        <v>117</v>
      </c>
      <c r="H122" s="29">
        <v>167</v>
      </c>
      <c r="I122" s="29">
        <v>27.733333333000001</v>
      </c>
      <c r="J122" s="29">
        <v>12.283333333</v>
      </c>
      <c r="K122" s="29">
        <v>5.5666666669999998</v>
      </c>
      <c r="L122" s="29">
        <v>8.7333333329999991</v>
      </c>
      <c r="M122" s="29">
        <v>7.4666666670000001</v>
      </c>
      <c r="N122" s="29" t="s">
        <v>40</v>
      </c>
      <c r="O122" s="29" t="s">
        <v>26</v>
      </c>
      <c r="P122" s="29" t="s">
        <v>41</v>
      </c>
      <c r="Q122" s="29">
        <f t="shared" si="16"/>
        <v>4</v>
      </c>
      <c r="R122" s="29" t="str">
        <f t="shared" si="11"/>
        <v>2-2020</v>
      </c>
      <c r="S122" s="29" t="s">
        <v>47</v>
      </c>
      <c r="T122" s="29" t="str">
        <f t="shared" si="12"/>
        <v>Wednesday</v>
      </c>
      <c r="U122" s="29">
        <f t="shared" si="13"/>
        <v>1</v>
      </c>
      <c r="V122" s="31">
        <f>IFERROR(Data!$I122/Data!$D122,"")</f>
        <v>0.44888049635526783</v>
      </c>
      <c r="W122" s="31">
        <f>IFERROR(Data!$J122/Data!$D122,"")</f>
        <v>0.19881305637549943</v>
      </c>
      <c r="X122" s="31">
        <f>IFERROR(Data!$K122/Data!$D122,"")</f>
        <v>9.0099811173941738E-2</v>
      </c>
      <c r="Y122" s="31">
        <f>IFERROR(Data!$L122/Data!$D122,"")</f>
        <v>0.1413541947620251</v>
      </c>
      <c r="Z122" s="31">
        <f>IFERROR(Data!$M122/Data!$D122,"")</f>
        <v>0.120852441333266</v>
      </c>
      <c r="AA122" s="32">
        <v>232.14</v>
      </c>
      <c r="AB122" s="32">
        <f t="shared" si="17"/>
        <v>14.508749999999999</v>
      </c>
      <c r="AC122" s="29">
        <f t="shared" si="14"/>
        <v>598.6875</v>
      </c>
      <c r="AD122" s="29">
        <f t="shared" si="15"/>
        <v>13.5625</v>
      </c>
      <c r="AE122" s="29">
        <f>YEAR(Data!$C122)</f>
        <v>2020</v>
      </c>
      <c r="AF122" s="29"/>
      <c r="AG122" s="29">
        <v>12</v>
      </c>
      <c r="AH122" s="33">
        <f>Data!$F122/Data!$D122</f>
        <v>9.4523873752870387</v>
      </c>
      <c r="AI122" s="17" t="str">
        <f>RIGHT(Data!$O122,2)</f>
        <v>PM</v>
      </c>
      <c r="AJ122" s="29" t="str">
        <f>Data!$R122&amp;"-"&amp;WEEKNUM(Data!$C122,1)-WEEKNUM(DATE(YEAR(Data!$C122),MONTH(Data!$C122),1),1)+1</f>
        <v>2-2020-2</v>
      </c>
      <c r="AK122" s="29">
        <f>MONTH(Data!$C122)</f>
        <v>2</v>
      </c>
      <c r="AL122" s="29">
        <f>IFERROR(Data!$F122/Data!$E122,0)</f>
        <v>36.5</v>
      </c>
      <c r="AM122" s="29">
        <f>COUNTIF(Data!$N$2:$N$825,Data!$N122)</f>
        <v>38</v>
      </c>
      <c r="AN122" s="29" t="str">
        <f>VLOOKUP(Data!$N122,'Helpful Tables'!A:D,4,FALSE)</f>
        <v>Washington, DC</v>
      </c>
      <c r="AO122" s="29">
        <f>COUNTIF(AN:AN,Data!$AN122)/COUNTA(AN:AN)</f>
        <v>0.62424242424242427</v>
      </c>
      <c r="AP122" s="29">
        <v>38.903509999999997</v>
      </c>
      <c r="AQ122" s="29">
        <v>-77.051809000000006</v>
      </c>
      <c r="AR122" s="29">
        <f>COUNTIF(Data!$P$2:$P$825,Data!$P122)</f>
        <v>20</v>
      </c>
      <c r="AS122" s="29" cm="1">
        <f t="array" ref="AS122">_xlfn.IFS(Data!$E122&lt;12,((Data!$E122/Data!$D122)*60)*1,AND(Data!$E122&gt;=12,Data!$E122&lt;=15),((Data!$E122/Data!$D122)*60)*1.2,AND(Data!$E122&gt;=16,Data!$E122&lt;=19),((Data!$E122/Data!$D122)*60)*1.5,Data!$E122&gt;=20,((Data!$E122/Data!$D122)*60)*1.8)</f>
        <v>23.307256541803657</v>
      </c>
      <c r="AT122" s="29" cm="1">
        <f t="array" ref="AT122">_xlfn.IFS(Data!$F122&lt;600,((Data!$F122/Data!$D122)*60)*1,AND(Data!$F122&gt;=600,Data!$F122&lt;=625),((Data!$F122/Data!$D122)*60)*1.2,AND(Data!$F122&gt;=626,Data!$F122&lt;=650),((Data!$F122/Data!$D122)*60)*1.5,Data!$F122&gt;=651,((Data!$F122/Data!$D122)*60)*1.8)</f>
        <v>567.14324251722235</v>
      </c>
      <c r="AU122" s="29">
        <f>(Data!$I122*-1.2)+(Data!$J122*-1.1)+(Data!$K122*1.2)+(Data!$L122*1.3)+(Data!$M122*1.5)</f>
        <v>-17.558333332100002</v>
      </c>
      <c r="AV122" s="29">
        <f>(Data!$AS122*0.4)+(Data!$AT122*0.4)+(Data!$AU122*0.2)</f>
        <v>232.66853295719039</v>
      </c>
      <c r="AW122" s="29">
        <f>PERCENTRANK(AV:AV,Data!$AV122)*100</f>
        <v>8.4</v>
      </c>
      <c r="AX122" s="29" t="str">
        <f>_xlfn.CONCAT(TEXT(C122,"mmm"),"-",Data!$AE122)</f>
        <v>Feb-2020</v>
      </c>
    </row>
    <row r="123" spans="1:50" ht="17" thickTop="1" thickBot="1" x14ac:dyDescent="0.25">
      <c r="A123" s="22">
        <v>122</v>
      </c>
      <c r="B123" s="23">
        <f t="shared" si="10"/>
        <v>16</v>
      </c>
      <c r="C123" s="41">
        <v>43867</v>
      </c>
      <c r="D123" s="24">
        <f>SUM(Data!$I123:$M123)</f>
        <v>59</v>
      </c>
      <c r="E123" s="23">
        <v>15</v>
      </c>
      <c r="F123" s="23">
        <v>590</v>
      </c>
      <c r="G123" s="23">
        <v>120</v>
      </c>
      <c r="H123" s="23">
        <v>167</v>
      </c>
      <c r="I123" s="23">
        <v>23.433333333</v>
      </c>
      <c r="J123" s="23">
        <v>8.9499999999999993</v>
      </c>
      <c r="K123" s="23">
        <v>11.95</v>
      </c>
      <c r="L123" s="23">
        <v>11.85</v>
      </c>
      <c r="M123" s="23">
        <v>2.8166666669999998</v>
      </c>
      <c r="N123" s="23" t="s">
        <v>85</v>
      </c>
      <c r="O123" s="23" t="s">
        <v>57</v>
      </c>
      <c r="P123" s="23" t="s">
        <v>86</v>
      </c>
      <c r="Q123" s="23">
        <f t="shared" si="16"/>
        <v>1</v>
      </c>
      <c r="R123" s="23" t="str">
        <f t="shared" si="11"/>
        <v>2-2020</v>
      </c>
      <c r="S123" s="23" t="s">
        <v>48</v>
      </c>
      <c r="T123" s="23" t="str">
        <f t="shared" si="12"/>
        <v>Thursday</v>
      </c>
      <c r="U123" s="23">
        <f t="shared" si="13"/>
        <v>1</v>
      </c>
      <c r="V123" s="25">
        <f>IFERROR(Data!$I123/Data!$D123,"")</f>
        <v>0.39717514123728814</v>
      </c>
      <c r="W123" s="25">
        <f>IFERROR(Data!$J123/Data!$D123,"")</f>
        <v>0.15169491525423728</v>
      </c>
      <c r="X123" s="25">
        <f>IFERROR(Data!$K123/Data!$D123,"")</f>
        <v>0.20254237288135593</v>
      </c>
      <c r="Y123" s="25">
        <f>IFERROR(Data!$L123/Data!$D123,"")</f>
        <v>0.20084745762711864</v>
      </c>
      <c r="Z123" s="25">
        <f>IFERROR(Data!$M123/Data!$D123,"")</f>
        <v>4.7740112999999994E-2</v>
      </c>
      <c r="AA123" s="26">
        <v>232.14</v>
      </c>
      <c r="AB123" s="26">
        <f t="shared" si="17"/>
        <v>14.508749999999999</v>
      </c>
      <c r="AC123" s="23">
        <f t="shared" si="14"/>
        <v>598.6875</v>
      </c>
      <c r="AD123" s="23">
        <f t="shared" si="15"/>
        <v>13.5625</v>
      </c>
      <c r="AE123" s="23">
        <f>YEAR(Data!$C123)</f>
        <v>2020</v>
      </c>
      <c r="AF123" s="23"/>
      <c r="AG123" s="23">
        <v>12</v>
      </c>
      <c r="AH123" s="27">
        <f>Data!$F123/Data!$D123</f>
        <v>10</v>
      </c>
      <c r="AI123" s="17" t="str">
        <f>RIGHT(Data!$O123,2)</f>
        <v>PM</v>
      </c>
      <c r="AJ123" s="23" t="str">
        <f>Data!$R123&amp;"-"&amp;WEEKNUM(Data!$C123,1)-WEEKNUM(DATE(YEAR(Data!$C123),MONTH(Data!$C123),1),1)+1</f>
        <v>2-2020-2</v>
      </c>
      <c r="AK123" s="23">
        <f>MONTH(Data!$C123)</f>
        <v>2</v>
      </c>
      <c r="AL123" s="23">
        <f>IFERROR(Data!$F123/Data!$E123,0)</f>
        <v>39.333333333333336</v>
      </c>
      <c r="AM123" s="23">
        <f>COUNTIF(Data!$N$2:$N$825,Data!$N123)</f>
        <v>4</v>
      </c>
      <c r="AN123" s="23" t="str">
        <f>VLOOKUP(Data!$N123,'Helpful Tables'!A:D,4,FALSE)</f>
        <v>Washington, DC</v>
      </c>
      <c r="AO123" s="23">
        <f>COUNTIF(AN:AN,Data!$AN123)/COUNTA(AN:AN)</f>
        <v>0.62424242424242427</v>
      </c>
      <c r="AP123" s="23">
        <v>38.915415000000003</v>
      </c>
      <c r="AQ123" s="23">
        <v>-77.067172999999997</v>
      </c>
      <c r="AR123" s="23">
        <f>COUNTIF(Data!$P$2:$P$825,Data!$P123)</f>
        <v>3</v>
      </c>
      <c r="AS123" s="23" cm="1">
        <f t="array" ref="AS123">_xlfn.IFS(Data!$E123&lt;12,((Data!$E123/Data!$D123)*60)*1,AND(Data!$E123&gt;=12,Data!$E123&lt;=15),((Data!$E123/Data!$D123)*60)*1.2,AND(Data!$E123&gt;=16,Data!$E123&lt;=19),((Data!$E123/Data!$D123)*60)*1.5,Data!$E123&gt;=20,((Data!$E123/Data!$D123)*60)*1.8)</f>
        <v>18.305084745762709</v>
      </c>
      <c r="AT123" s="23" cm="1">
        <f t="array" ref="AT123">_xlfn.IFS(Data!$F123&lt;600,((Data!$F123/Data!$D123)*60)*1,AND(Data!$F123&gt;=600,Data!$F123&lt;=625),((Data!$F123/Data!$D123)*60)*1.2,AND(Data!$F123&gt;=626,Data!$F123&lt;=650),((Data!$F123/Data!$D123)*60)*1.5,Data!$F123&gt;=651,((Data!$F123/Data!$D123)*60)*1.8)</f>
        <v>600</v>
      </c>
      <c r="AU123" s="23">
        <f>(Data!$I123*-1.2)+(Data!$J123*-1.1)+(Data!$K123*1.2)+(Data!$L123*1.3)+(Data!$M123*1.5)</f>
        <v>-3.994999999100008</v>
      </c>
      <c r="AV123" s="23">
        <f>(Data!$AS123*0.4)+(Data!$AT123*0.4)+(Data!$AU123*0.2)</f>
        <v>246.52303389848507</v>
      </c>
      <c r="AW123" s="23">
        <f>PERCENTRANK(AV:AV,Data!$AV123)*100</f>
        <v>15.8</v>
      </c>
      <c r="AX123" s="23" t="str">
        <f>_xlfn.CONCAT(TEXT(C123,"mmm"),"-",Data!$AE123)</f>
        <v>Feb-2020</v>
      </c>
    </row>
    <row r="124" spans="1:50" ht="17" thickTop="1" thickBot="1" x14ac:dyDescent="0.25">
      <c r="A124" s="28">
        <v>123</v>
      </c>
      <c r="B124" s="29">
        <f t="shared" si="10"/>
        <v>16</v>
      </c>
      <c r="C124" s="41">
        <v>43869</v>
      </c>
      <c r="D124" s="30">
        <f>SUM(Data!$I124:$M124)</f>
        <v>53.299999998999994</v>
      </c>
      <c r="E124" s="29">
        <v>12</v>
      </c>
      <c r="F124" s="29">
        <v>568</v>
      </c>
      <c r="G124" s="29">
        <v>125</v>
      </c>
      <c r="H124" s="29">
        <v>167</v>
      </c>
      <c r="I124" s="29">
        <v>8.7333333329999991</v>
      </c>
      <c r="J124" s="29">
        <v>21.216666666999998</v>
      </c>
      <c r="K124" s="29">
        <v>11.333333333000001</v>
      </c>
      <c r="L124" s="29">
        <v>9.7333333329999991</v>
      </c>
      <c r="M124" s="29">
        <v>2.2833333329999999</v>
      </c>
      <c r="N124" s="29" t="s">
        <v>33</v>
      </c>
      <c r="O124" s="29" t="s">
        <v>45</v>
      </c>
      <c r="P124" s="29" t="s">
        <v>34</v>
      </c>
      <c r="Q124" s="29">
        <f t="shared" si="16"/>
        <v>2</v>
      </c>
      <c r="R124" s="29" t="str">
        <f t="shared" si="11"/>
        <v>2-2020</v>
      </c>
      <c r="S124" s="29" t="s">
        <v>43</v>
      </c>
      <c r="T124" s="29" t="str">
        <f t="shared" si="12"/>
        <v>Saturday</v>
      </c>
      <c r="U124" s="29">
        <f t="shared" si="13"/>
        <v>1</v>
      </c>
      <c r="V124" s="31">
        <f>IFERROR(Data!$I124/Data!$D124,"")</f>
        <v>0.16385240775166704</v>
      </c>
      <c r="W124" s="31">
        <f>IFERROR(Data!$J124/Data!$D124,"")</f>
        <v>0.39806128831891296</v>
      </c>
      <c r="X124" s="31">
        <f>IFERROR(Data!$K124/Data!$D124,"")</f>
        <v>0.21263289555746032</v>
      </c>
      <c r="Y124" s="31">
        <f>IFERROR(Data!$L124/Data!$D124,"")</f>
        <v>0.18261413383081829</v>
      </c>
      <c r="Z124" s="31">
        <f>IFERROR(Data!$M124/Data!$D124,"")</f>
        <v>4.2839274541141455E-2</v>
      </c>
      <c r="AA124" s="32">
        <v>232.14</v>
      </c>
      <c r="AB124" s="32">
        <f t="shared" si="17"/>
        <v>14.508749999999999</v>
      </c>
      <c r="AC124" s="29">
        <f t="shared" si="14"/>
        <v>598.6875</v>
      </c>
      <c r="AD124" s="29">
        <f t="shared" si="15"/>
        <v>13.5625</v>
      </c>
      <c r="AE124" s="29">
        <f>YEAR(Data!$C124)</f>
        <v>2020</v>
      </c>
      <c r="AF124" s="29"/>
      <c r="AG124" s="29">
        <v>12</v>
      </c>
      <c r="AH124" s="33">
        <f>Data!$F124/Data!$D124</f>
        <v>10.656660412957912</v>
      </c>
      <c r="AI124" s="17" t="str">
        <f>RIGHT(Data!$O124,2)</f>
        <v>AM</v>
      </c>
      <c r="AJ124" s="29" t="str">
        <f>Data!$R124&amp;"-"&amp;WEEKNUM(Data!$C124,1)-WEEKNUM(DATE(YEAR(Data!$C124),MONTH(Data!$C124),1),1)+1</f>
        <v>2-2020-2</v>
      </c>
      <c r="AK124" s="29">
        <f>MONTH(Data!$C124)</f>
        <v>2</v>
      </c>
      <c r="AL124" s="29">
        <f>IFERROR(Data!$F124/Data!$E124,0)</f>
        <v>47.333333333333336</v>
      </c>
      <c r="AM124" s="29">
        <f>COUNTIF(Data!$N$2:$N$825,Data!$N124)</f>
        <v>48</v>
      </c>
      <c r="AN124" s="29" t="str">
        <f>VLOOKUP(Data!$N124,'Helpful Tables'!A:D,4,FALSE)</f>
        <v>Washington, DC</v>
      </c>
      <c r="AO124" s="29">
        <f>COUNTIF(AN:AN,Data!$AN124)/COUNTA(AN:AN)</f>
        <v>0.62424242424242427</v>
      </c>
      <c r="AP124" s="29">
        <v>38.916486999999996</v>
      </c>
      <c r="AQ124" s="29">
        <v>-77.031514000000001</v>
      </c>
      <c r="AR124" s="29">
        <f>COUNTIF(Data!$P$2:$P$825,Data!$P124)</f>
        <v>30</v>
      </c>
      <c r="AS124" s="29" cm="1">
        <f t="array" ref="AS124">_xlfn.IFS(Data!$E124&lt;12,((Data!$E124/Data!$D124)*60)*1,AND(Data!$E124&gt;=12,Data!$E124&lt;=15),((Data!$E124/Data!$D124)*60)*1.2,AND(Data!$E124&gt;=16,Data!$E124&lt;=19),((Data!$E124/Data!$D124)*60)*1.5,Data!$E124&gt;=20,((Data!$E124/Data!$D124)*60)*1.8)</f>
        <v>16.210131332386684</v>
      </c>
      <c r="AT124" s="29" cm="1">
        <f t="array" ref="AT124">_xlfn.IFS(Data!$F124&lt;600,((Data!$F124/Data!$D124)*60)*1,AND(Data!$F124&gt;=600,Data!$F124&lt;=625),((Data!$F124/Data!$D124)*60)*1.2,AND(Data!$F124&gt;=626,Data!$F124&lt;=650),((Data!$F124/Data!$D124)*60)*1.5,Data!$F124&gt;=651,((Data!$F124/Data!$D124)*60)*1.8)</f>
        <v>639.39962477747474</v>
      </c>
      <c r="AU124" s="29">
        <f>(Data!$I124*-1.2)+(Data!$J124*-1.1)+(Data!$K124*1.2)+(Data!$L124*1.3)+(Data!$M124*1.5)</f>
        <v>-4.1400000012999962</v>
      </c>
      <c r="AV124" s="29">
        <f>(Data!$AS124*0.4)+(Data!$AT124*0.4)+(Data!$AU124*0.2)</f>
        <v>261.41590244368462</v>
      </c>
      <c r="AW124" s="29">
        <f>PERCENTRANK(AV:AV,Data!$AV124)*100</f>
        <v>20.7</v>
      </c>
      <c r="AX124" s="29" t="str">
        <f>_xlfn.CONCAT(TEXT(C124,"mmm"),"-",Data!$AE124)</f>
        <v>Feb-2020</v>
      </c>
    </row>
    <row r="125" spans="1:50" ht="17" thickTop="1" thickBot="1" x14ac:dyDescent="0.25">
      <c r="A125" s="22">
        <v>124</v>
      </c>
      <c r="B125" s="23">
        <f t="shared" si="10"/>
        <v>16</v>
      </c>
      <c r="C125" s="41">
        <v>43872</v>
      </c>
      <c r="D125" s="24">
        <f>SUM(Data!$I125:$M125)</f>
        <v>59.716666666999998</v>
      </c>
      <c r="E125" s="23">
        <v>15</v>
      </c>
      <c r="F125" s="23">
        <v>645</v>
      </c>
      <c r="G125" s="23">
        <v>126</v>
      </c>
      <c r="H125" s="23">
        <v>168</v>
      </c>
      <c r="I125" s="23">
        <v>16.066666667</v>
      </c>
      <c r="J125" s="23">
        <v>12.883333332999999</v>
      </c>
      <c r="K125" s="23">
        <v>15.9</v>
      </c>
      <c r="L125" s="23">
        <v>11.75</v>
      </c>
      <c r="M125" s="23">
        <v>3.1166666670000001</v>
      </c>
      <c r="N125" s="23" t="s">
        <v>24</v>
      </c>
      <c r="O125" s="23" t="s">
        <v>26</v>
      </c>
      <c r="P125" s="23" t="s">
        <v>87</v>
      </c>
      <c r="Q125" s="23">
        <f t="shared" si="16"/>
        <v>3</v>
      </c>
      <c r="R125" s="23" t="str">
        <f t="shared" si="11"/>
        <v>2-2020</v>
      </c>
      <c r="S125" s="23" t="s">
        <v>43</v>
      </c>
      <c r="T125" s="23" t="str">
        <f t="shared" si="12"/>
        <v>Tuesday</v>
      </c>
      <c r="U125" s="23">
        <f t="shared" si="13"/>
        <v>1</v>
      </c>
      <c r="V125" s="25">
        <f>IFERROR(Data!$I125/Data!$D125,"")</f>
        <v>0.26904828356534161</v>
      </c>
      <c r="W125" s="25">
        <f>IFERROR(Data!$J125/Data!$D125,"")</f>
        <v>0.21574099915592665</v>
      </c>
      <c r="X125" s="25">
        <f>IFERROR(Data!$K125/Data!$D125,"")</f>
        <v>0.26625732626142196</v>
      </c>
      <c r="Y125" s="25">
        <f>IFERROR(Data!$L125/Data!$D125,"")</f>
        <v>0.19676248953281184</v>
      </c>
      <c r="Z125" s="25">
        <f>IFERROR(Data!$M125/Data!$D125,"")</f>
        <v>5.219090148449796E-2</v>
      </c>
      <c r="AA125" s="26">
        <v>232.14</v>
      </c>
      <c r="AB125" s="26">
        <f t="shared" si="17"/>
        <v>14.508749999999999</v>
      </c>
      <c r="AC125" s="23">
        <f t="shared" si="14"/>
        <v>598.6875</v>
      </c>
      <c r="AD125" s="23">
        <f t="shared" si="15"/>
        <v>13.5625</v>
      </c>
      <c r="AE125" s="23">
        <f>YEAR(Data!$C125)</f>
        <v>2020</v>
      </c>
      <c r="AF125" s="23"/>
      <c r="AG125" s="23">
        <v>12</v>
      </c>
      <c r="AH125" s="27">
        <f>Data!$F125/Data!$D125</f>
        <v>10.801004744567118</v>
      </c>
      <c r="AI125" s="17" t="str">
        <f>RIGHT(Data!$O125,2)</f>
        <v>PM</v>
      </c>
      <c r="AJ125" s="23" t="str">
        <f>Data!$R125&amp;"-"&amp;WEEKNUM(Data!$C125,1)-WEEKNUM(DATE(YEAR(Data!$C125),MONTH(Data!$C125),1),1)+1</f>
        <v>2-2020-3</v>
      </c>
      <c r="AK125" s="23">
        <f>MONTH(Data!$C125)</f>
        <v>2</v>
      </c>
      <c r="AL125" s="23">
        <f>IFERROR(Data!$F125/Data!$E125,0)</f>
        <v>43</v>
      </c>
      <c r="AM125" s="23">
        <f>COUNTIF(Data!$N$2:$N$825,Data!$N125)</f>
        <v>35</v>
      </c>
      <c r="AN125" s="23" t="str">
        <f>VLOOKUP(Data!$N125,'Helpful Tables'!A:D,4,FALSE)</f>
        <v>Virginia</v>
      </c>
      <c r="AO125" s="23">
        <f>COUNTIF(AN:AN,Data!$AN125)/COUNTA(AN:AN)</f>
        <v>6.424242424242424E-2</v>
      </c>
      <c r="AP125" s="23">
        <v>38.881884999999997</v>
      </c>
      <c r="AQ125" s="23">
        <v>-77.229702000000003</v>
      </c>
      <c r="AR125" s="23">
        <f>COUNTIF(Data!$P$2:$P$825,Data!$P125)</f>
        <v>1</v>
      </c>
      <c r="AS125" s="23" cm="1">
        <f t="array" ref="AS125">_xlfn.IFS(Data!$E125&lt;12,((Data!$E125/Data!$D125)*60)*1,AND(Data!$E125&gt;=12,Data!$E125&lt;=15),((Data!$E125/Data!$D125)*60)*1.2,AND(Data!$E125&gt;=16,Data!$E125&lt;=19),((Data!$E125/Data!$D125)*60)*1.5,Data!$E125&gt;=20,((Data!$E125/Data!$D125)*60)*1.8)</f>
        <v>18.085403293228662</v>
      </c>
      <c r="AT125" s="23" cm="1">
        <f t="array" ref="AT125">_xlfn.IFS(Data!$F125&lt;600,((Data!$F125/Data!$D125)*60)*1,AND(Data!$F125&gt;=600,Data!$F125&lt;=625),((Data!$F125/Data!$D125)*60)*1.2,AND(Data!$F125&gt;=626,Data!$F125&lt;=650),((Data!$F125/Data!$D125)*60)*1.5,Data!$F125&gt;=651,((Data!$F125/Data!$D125)*60)*1.8)</f>
        <v>972.09042701104067</v>
      </c>
      <c r="AU125" s="23">
        <f>(Data!$I125*-1.2)+(Data!$J125*-1.1)+(Data!$K125*1.2)+(Data!$L125*1.3)+(Data!$M125*1.5)</f>
        <v>5.578333333799999</v>
      </c>
      <c r="AV125" s="23">
        <f>(Data!$AS125*0.4)+(Data!$AT125*0.4)+(Data!$AU125*0.2)</f>
        <v>397.18599878846771</v>
      </c>
      <c r="AW125" s="23">
        <f>PERCENTRANK(AV:AV,Data!$AV125)*100</f>
        <v>50.9</v>
      </c>
      <c r="AX125" s="23" t="str">
        <f>_xlfn.CONCAT(TEXT(C125,"mmm"),"-",Data!$AE125)</f>
        <v>Feb-2020</v>
      </c>
    </row>
    <row r="126" spans="1:50" ht="17" thickTop="1" thickBot="1" x14ac:dyDescent="0.25">
      <c r="A126" s="28">
        <v>125</v>
      </c>
      <c r="B126" s="29">
        <f t="shared" si="10"/>
        <v>16</v>
      </c>
      <c r="C126" s="41">
        <v>43873</v>
      </c>
      <c r="D126" s="30">
        <f>SUM(Data!$I126:$M126)</f>
        <v>55.566666667</v>
      </c>
      <c r="E126" s="29">
        <v>16</v>
      </c>
      <c r="F126" s="29">
        <v>616</v>
      </c>
      <c r="G126" s="29">
        <v>128</v>
      </c>
      <c r="H126" s="29">
        <v>171</v>
      </c>
      <c r="I126" s="29">
        <v>12.966666667</v>
      </c>
      <c r="J126" s="29">
        <v>10.7</v>
      </c>
      <c r="K126" s="29">
        <v>15.633333332999999</v>
      </c>
      <c r="L126" s="29">
        <v>11.266666667000001</v>
      </c>
      <c r="M126" s="29">
        <v>5</v>
      </c>
      <c r="N126" s="29" t="s">
        <v>40</v>
      </c>
      <c r="O126" s="29" t="s">
        <v>26</v>
      </c>
      <c r="P126" s="29" t="s">
        <v>41</v>
      </c>
      <c r="Q126" s="29">
        <f t="shared" si="16"/>
        <v>1</v>
      </c>
      <c r="R126" s="29" t="str">
        <f t="shared" si="11"/>
        <v>2-2020</v>
      </c>
      <c r="S126" s="29" t="s">
        <v>47</v>
      </c>
      <c r="T126" s="29" t="str">
        <f t="shared" si="12"/>
        <v>Wednesday</v>
      </c>
      <c r="U126" s="29">
        <f t="shared" si="13"/>
        <v>1</v>
      </c>
      <c r="V126" s="31">
        <f>IFERROR(Data!$I126/Data!$D126,"")</f>
        <v>0.23335332933873212</v>
      </c>
      <c r="W126" s="31">
        <f>IFERROR(Data!$J126/Data!$D126,"")</f>
        <v>0.19256148770130435</v>
      </c>
      <c r="X126" s="31">
        <f>IFERROR(Data!$K126/Data!$D126,"")</f>
        <v>0.28134373124606271</v>
      </c>
      <c r="Y126" s="31">
        <f>IFERROR(Data!$L126/Data!$D126,"")</f>
        <v>0.20275944811516042</v>
      </c>
      <c r="Z126" s="31">
        <f>IFERROR(Data!$M126/Data!$D126,"")</f>
        <v>8.9982003598740354E-2</v>
      </c>
      <c r="AA126" s="32">
        <v>232.14</v>
      </c>
      <c r="AB126" s="32">
        <f t="shared" si="17"/>
        <v>14.508749999999999</v>
      </c>
      <c r="AC126" s="29">
        <f t="shared" si="14"/>
        <v>598.6875</v>
      </c>
      <c r="AD126" s="29">
        <f t="shared" si="15"/>
        <v>13.5625</v>
      </c>
      <c r="AE126" s="29">
        <f>YEAR(Data!$C126)</f>
        <v>2020</v>
      </c>
      <c r="AF126" s="29"/>
      <c r="AG126" s="29">
        <v>12</v>
      </c>
      <c r="AH126" s="33">
        <f>Data!$F126/Data!$D126</f>
        <v>11.085782843364813</v>
      </c>
      <c r="AI126" s="17" t="str">
        <f>RIGHT(Data!$O126,2)</f>
        <v>PM</v>
      </c>
      <c r="AJ126" s="29" t="str">
        <f>Data!$R126&amp;"-"&amp;WEEKNUM(Data!$C126,1)-WEEKNUM(DATE(YEAR(Data!$C126),MONTH(Data!$C126),1),1)+1</f>
        <v>2-2020-3</v>
      </c>
      <c r="AK126" s="29">
        <f>MONTH(Data!$C126)</f>
        <v>2</v>
      </c>
      <c r="AL126" s="29">
        <f>IFERROR(Data!$F126/Data!$E126,0)</f>
        <v>38.5</v>
      </c>
      <c r="AM126" s="29">
        <f>COUNTIF(Data!$N$2:$N$825,Data!$N126)</f>
        <v>38</v>
      </c>
      <c r="AN126" s="29" t="str">
        <f>VLOOKUP(Data!$N126,'Helpful Tables'!A:D,4,FALSE)</f>
        <v>Washington, DC</v>
      </c>
      <c r="AO126" s="29">
        <f>COUNTIF(AN:AN,Data!$AN126)/COUNTA(AN:AN)</f>
        <v>0.62424242424242427</v>
      </c>
      <c r="AP126" s="29">
        <v>38.903509999999997</v>
      </c>
      <c r="AQ126" s="29">
        <v>-77.051809000000006</v>
      </c>
      <c r="AR126" s="29">
        <f>COUNTIF(Data!$P$2:$P$825,Data!$P126)</f>
        <v>20</v>
      </c>
      <c r="AS126" s="29" cm="1">
        <f t="array" ref="AS126">_xlfn.IFS(Data!$E126&lt;12,((Data!$E126/Data!$D126)*60)*1,AND(Data!$E126&gt;=12,Data!$E126&lt;=15),((Data!$E126/Data!$D126)*60)*1.2,AND(Data!$E126&gt;=16,Data!$E126&lt;=19),((Data!$E126/Data!$D126)*60)*1.5,Data!$E126&gt;=20,((Data!$E126/Data!$D126)*60)*1.8)</f>
        <v>25.914817036437228</v>
      </c>
      <c r="AT126" s="29" cm="1">
        <f t="array" ref="AT126">_xlfn.IFS(Data!$F126&lt;600,((Data!$F126/Data!$D126)*60)*1,AND(Data!$F126&gt;=600,Data!$F126&lt;=625),((Data!$F126/Data!$D126)*60)*1.2,AND(Data!$F126&gt;=626,Data!$F126&lt;=650),((Data!$F126/Data!$D126)*60)*1.5,Data!$F126&gt;=651,((Data!$F126/Data!$D126)*60)*1.8)</f>
        <v>798.17636472226638</v>
      </c>
      <c r="AU126" s="29">
        <f>(Data!$I126*-1.2)+(Data!$J126*-1.1)+(Data!$K126*1.2)+(Data!$L126*1.3)+(Data!$M126*1.5)</f>
        <v>13.576666666300001</v>
      </c>
      <c r="AV126" s="29">
        <f>(Data!$AS126*0.4)+(Data!$AT126*0.4)+(Data!$AU126*0.2)</f>
        <v>332.35180603674144</v>
      </c>
      <c r="AW126" s="29">
        <f>PERCENTRANK(AV:AV,Data!$AV126)*100</f>
        <v>42</v>
      </c>
      <c r="AX126" s="29" t="str">
        <f>_xlfn.CONCAT(TEXT(C126,"mmm"),"-",Data!$AE126)</f>
        <v>Feb-2020</v>
      </c>
    </row>
    <row r="127" spans="1:50" ht="17" thickTop="1" thickBot="1" x14ac:dyDescent="0.25">
      <c r="A127" s="22">
        <v>126</v>
      </c>
      <c r="B127" s="23">
        <f t="shared" si="10"/>
        <v>16</v>
      </c>
      <c r="C127" s="41">
        <v>43875</v>
      </c>
      <c r="D127" s="24">
        <f>SUM(Data!$I127:$M127)</f>
        <v>53.416666667000001</v>
      </c>
      <c r="E127" s="23">
        <v>12</v>
      </c>
      <c r="F127" s="23">
        <v>591</v>
      </c>
      <c r="G127" s="23">
        <v>128</v>
      </c>
      <c r="H127" s="23">
        <v>169</v>
      </c>
      <c r="I127" s="23">
        <v>12.316666667</v>
      </c>
      <c r="J127" s="23">
        <v>12.2</v>
      </c>
      <c r="K127" s="23">
        <v>16.766666666999999</v>
      </c>
      <c r="L127" s="23">
        <v>8.0333333329999999</v>
      </c>
      <c r="M127" s="23">
        <v>4.0999999999999996</v>
      </c>
      <c r="N127" s="23" t="s">
        <v>60</v>
      </c>
      <c r="O127" s="23" t="s">
        <v>39</v>
      </c>
      <c r="P127" s="23" t="s">
        <v>61</v>
      </c>
      <c r="Q127" s="23">
        <f t="shared" si="16"/>
        <v>2</v>
      </c>
      <c r="R127" s="23" t="str">
        <f t="shared" si="11"/>
        <v>2-2020</v>
      </c>
      <c r="S127" s="23" t="s">
        <v>43</v>
      </c>
      <c r="T127" s="23" t="str">
        <f t="shared" si="12"/>
        <v>Friday</v>
      </c>
      <c r="U127" s="23">
        <f t="shared" si="13"/>
        <v>1</v>
      </c>
      <c r="V127" s="25">
        <f>IFERROR(Data!$I127/Data!$D127,"")</f>
        <v>0.23057722309372494</v>
      </c>
      <c r="W127" s="25">
        <f>IFERROR(Data!$J127/Data!$D127,"")</f>
        <v>0.22839313572400377</v>
      </c>
      <c r="X127" s="25">
        <f>IFERROR(Data!$K127/Data!$D127,"")</f>
        <v>0.31388455538649679</v>
      </c>
      <c r="Y127" s="25">
        <f>IFERROR(Data!$L127/Data!$D127,"")</f>
        <v>0.15039001559344531</v>
      </c>
      <c r="Z127" s="25">
        <f>IFERROR(Data!$M127/Data!$D127,"")</f>
        <v>7.6755070202329134E-2</v>
      </c>
      <c r="AA127" s="26">
        <v>232.14</v>
      </c>
      <c r="AB127" s="26">
        <f t="shared" si="17"/>
        <v>14.508749999999999</v>
      </c>
      <c r="AC127" s="23">
        <f t="shared" si="14"/>
        <v>598.6875</v>
      </c>
      <c r="AD127" s="23">
        <f t="shared" si="15"/>
        <v>13.5625</v>
      </c>
      <c r="AE127" s="23">
        <f>YEAR(Data!$C127)</f>
        <v>2020</v>
      </c>
      <c r="AF127" s="23"/>
      <c r="AG127" s="23">
        <v>12</v>
      </c>
      <c r="AH127" s="27">
        <f>Data!$F127/Data!$D127</f>
        <v>11.063962558433298</v>
      </c>
      <c r="AI127" s="17" t="str">
        <f>RIGHT(Data!$O127,2)</f>
        <v>PM</v>
      </c>
      <c r="AJ127" s="23" t="str">
        <f>Data!$R127&amp;"-"&amp;WEEKNUM(Data!$C127,1)-WEEKNUM(DATE(YEAR(Data!$C127),MONTH(Data!$C127),1),1)+1</f>
        <v>2-2020-3</v>
      </c>
      <c r="AK127" s="23">
        <f>MONTH(Data!$C127)</f>
        <v>2</v>
      </c>
      <c r="AL127" s="23">
        <f>IFERROR(Data!$F127/Data!$E127,0)</f>
        <v>49.25</v>
      </c>
      <c r="AM127" s="23">
        <f>COUNTIF(Data!$N$2:$N$825,Data!$N127)</f>
        <v>10</v>
      </c>
      <c r="AN127" s="23" t="str">
        <f>VLOOKUP(Data!$N127,'Helpful Tables'!A:D,4,FALSE)</f>
        <v>Washington, DC</v>
      </c>
      <c r="AO127" s="23">
        <f>COUNTIF(AN:AN,Data!$AN127)/COUNTA(AN:AN)</f>
        <v>0.62424242424242427</v>
      </c>
      <c r="AP127" s="23">
        <v>38.879828000000003</v>
      </c>
      <c r="AQ127" s="23">
        <v>-77.005566000000002</v>
      </c>
      <c r="AR127" s="23">
        <f>COUNTIF(Data!$P$2:$P$825,Data!$P127)</f>
        <v>9</v>
      </c>
      <c r="AS127" s="23" cm="1">
        <f t="array" ref="AS127">_xlfn.IFS(Data!$E127&lt;12,((Data!$E127/Data!$D127)*60)*1,AND(Data!$E127&gt;=12,Data!$E127&lt;=15),((Data!$E127/Data!$D127)*60)*1.2,AND(Data!$E127&gt;=16,Data!$E127&lt;=19),((Data!$E127/Data!$D127)*60)*1.5,Data!$E127&gt;=20,((Data!$E127/Data!$D127)*60)*1.8)</f>
        <v>16.17472698897863</v>
      </c>
      <c r="AT127" s="23" cm="1">
        <f t="array" ref="AT127">_xlfn.IFS(Data!$F127&lt;600,((Data!$F127/Data!$D127)*60)*1,AND(Data!$F127&gt;=600,Data!$F127&lt;=625),((Data!$F127/Data!$D127)*60)*1.2,AND(Data!$F127&gt;=626,Data!$F127&lt;=650),((Data!$F127/Data!$D127)*60)*1.5,Data!$F127&gt;=651,((Data!$F127/Data!$D127)*60)*1.8)</f>
        <v>663.83775350599785</v>
      </c>
      <c r="AU127" s="23">
        <f>(Data!$I127*-1.2)+(Data!$J127*-1.1)+(Data!$K127*1.2)+(Data!$L127*1.3)+(Data!$M127*1.5)</f>
        <v>8.5133333328999967</v>
      </c>
      <c r="AV127" s="23">
        <f>(Data!$AS127*0.4)+(Data!$AT127*0.4)+(Data!$AU127*0.2)</f>
        <v>273.70765886457059</v>
      </c>
      <c r="AW127" s="23">
        <f>PERCENTRANK(AV:AV,Data!$AV127)*100</f>
        <v>23.1</v>
      </c>
      <c r="AX127" s="23" t="str">
        <f>_xlfn.CONCAT(TEXT(C127,"mmm"),"-",Data!$AE127)</f>
        <v>Feb-2020</v>
      </c>
    </row>
    <row r="128" spans="1:50" ht="17" thickTop="1" thickBot="1" x14ac:dyDescent="0.25">
      <c r="A128" s="28">
        <v>127</v>
      </c>
      <c r="B128" s="29">
        <f t="shared" si="10"/>
        <v>16</v>
      </c>
      <c r="C128" s="41">
        <v>43876</v>
      </c>
      <c r="D128" s="30">
        <f>SUM(Data!$I128:$M128)</f>
        <v>55.349999999999994</v>
      </c>
      <c r="E128" s="29">
        <v>14</v>
      </c>
      <c r="F128" s="29">
        <v>647</v>
      </c>
      <c r="G128" s="29">
        <v>132</v>
      </c>
      <c r="H128" s="29">
        <v>170</v>
      </c>
      <c r="I128" s="29">
        <v>6.5833333329999997</v>
      </c>
      <c r="J128" s="29">
        <v>11.9</v>
      </c>
      <c r="K128" s="29">
        <v>22.65</v>
      </c>
      <c r="L128" s="29">
        <v>10.466666667</v>
      </c>
      <c r="M128" s="29">
        <v>3.75</v>
      </c>
      <c r="N128" s="29" t="s">
        <v>33</v>
      </c>
      <c r="O128" s="29" t="s">
        <v>45</v>
      </c>
      <c r="P128" s="29" t="s">
        <v>34</v>
      </c>
      <c r="Q128" s="29">
        <f t="shared" si="16"/>
        <v>1</v>
      </c>
      <c r="R128" s="29" t="str">
        <f t="shared" si="11"/>
        <v>2-2020</v>
      </c>
      <c r="S128" s="29" t="s">
        <v>43</v>
      </c>
      <c r="T128" s="29" t="str">
        <f t="shared" si="12"/>
        <v>Saturday</v>
      </c>
      <c r="U128" s="29">
        <f t="shared" si="13"/>
        <v>1</v>
      </c>
      <c r="V128" s="31">
        <f>IFERROR(Data!$I128/Data!$D128,"")</f>
        <v>0.11894007828364951</v>
      </c>
      <c r="W128" s="31">
        <f>IFERROR(Data!$J128/Data!$D128,"")</f>
        <v>0.21499548328816626</v>
      </c>
      <c r="X128" s="31">
        <f>IFERROR(Data!$K128/Data!$D128,"")</f>
        <v>0.40921409214092141</v>
      </c>
      <c r="Y128" s="31">
        <f>IFERROR(Data!$L128/Data!$D128,"")</f>
        <v>0.18909966878048784</v>
      </c>
      <c r="Z128" s="31">
        <f>IFERROR(Data!$M128/Data!$D128,"")</f>
        <v>6.7750677506775075E-2</v>
      </c>
      <c r="AA128" s="32">
        <v>232.14</v>
      </c>
      <c r="AB128" s="32">
        <f t="shared" si="17"/>
        <v>14.508749999999999</v>
      </c>
      <c r="AC128" s="29">
        <f t="shared" si="14"/>
        <v>598.6875</v>
      </c>
      <c r="AD128" s="29">
        <f t="shared" si="15"/>
        <v>13.5625</v>
      </c>
      <c r="AE128" s="29">
        <f>YEAR(Data!$C128)</f>
        <v>2020</v>
      </c>
      <c r="AF128" s="29"/>
      <c r="AG128" s="29">
        <v>12</v>
      </c>
      <c r="AH128" s="33">
        <f>Data!$F128/Data!$D128</f>
        <v>11.689250225835593</v>
      </c>
      <c r="AI128" s="17" t="str">
        <f>RIGHT(Data!$O128,2)</f>
        <v>AM</v>
      </c>
      <c r="AJ128" s="29" t="str">
        <f>Data!$R128&amp;"-"&amp;WEEKNUM(Data!$C128,1)-WEEKNUM(DATE(YEAR(Data!$C128),MONTH(Data!$C128),1),1)+1</f>
        <v>2-2020-3</v>
      </c>
      <c r="AK128" s="29">
        <f>MONTH(Data!$C128)</f>
        <v>2</v>
      </c>
      <c r="AL128" s="29">
        <f>IFERROR(Data!$F128/Data!$E128,0)</f>
        <v>46.214285714285715</v>
      </c>
      <c r="AM128" s="29">
        <f>COUNTIF(Data!$N$2:$N$825,Data!$N128)</f>
        <v>48</v>
      </c>
      <c r="AN128" s="29" t="str">
        <f>VLOOKUP(Data!$N128,'Helpful Tables'!A:D,4,FALSE)</f>
        <v>Washington, DC</v>
      </c>
      <c r="AO128" s="29">
        <f>COUNTIF(AN:AN,Data!$AN128)/COUNTA(AN:AN)</f>
        <v>0.62424242424242427</v>
      </c>
      <c r="AP128" s="29">
        <v>38.916486999999996</v>
      </c>
      <c r="AQ128" s="29">
        <v>-77.031514000000001</v>
      </c>
      <c r="AR128" s="29">
        <f>COUNTIF(Data!$P$2:$P$825,Data!$P128)</f>
        <v>30</v>
      </c>
      <c r="AS128" s="29" cm="1">
        <f t="array" ref="AS128">_xlfn.IFS(Data!$E128&lt;12,((Data!$E128/Data!$D128)*60)*1,AND(Data!$E128&gt;=12,Data!$E128&lt;=15),((Data!$E128/Data!$D128)*60)*1.2,AND(Data!$E128&gt;=16,Data!$E128&lt;=19),((Data!$E128/Data!$D128)*60)*1.5,Data!$E128&gt;=20,((Data!$E128/Data!$D128)*60)*1.8)</f>
        <v>18.211382113821138</v>
      </c>
      <c r="AT128" s="29" cm="1">
        <f t="array" ref="AT128">_xlfn.IFS(Data!$F128&lt;600,((Data!$F128/Data!$D128)*60)*1,AND(Data!$F128&gt;=600,Data!$F128&lt;=625),((Data!$F128/Data!$D128)*60)*1.2,AND(Data!$F128&gt;=626,Data!$F128&lt;=650),((Data!$F128/Data!$D128)*60)*1.5,Data!$F128&gt;=651,((Data!$F128/Data!$D128)*60)*1.8)</f>
        <v>1052.0325203252034</v>
      </c>
      <c r="AU128" s="29">
        <f>(Data!$I128*-1.2)+(Data!$J128*-1.1)+(Data!$K128*1.2)+(Data!$L128*1.3)+(Data!$M128*1.5)</f>
        <v>25.421666667499995</v>
      </c>
      <c r="AV128" s="29">
        <f>(Data!$AS128*0.4)+(Data!$AT128*0.4)+(Data!$AU128*0.2)</f>
        <v>433.18189430910991</v>
      </c>
      <c r="AW128" s="29">
        <f>PERCENTRANK(AV:AV,Data!$AV128)*100</f>
        <v>64.900000000000006</v>
      </c>
      <c r="AX128" s="29" t="str">
        <f>_xlfn.CONCAT(TEXT(C128,"mmm"),"-",Data!$AE128)</f>
        <v>Feb-2020</v>
      </c>
    </row>
    <row r="129" spans="1:50" ht="17" thickTop="1" thickBot="1" x14ac:dyDescent="0.25">
      <c r="A129" s="22">
        <v>128</v>
      </c>
      <c r="B129" s="23">
        <f t="shared" si="10"/>
        <v>16</v>
      </c>
      <c r="C129" s="41">
        <v>43878</v>
      </c>
      <c r="D129" s="24">
        <f>SUM(Data!$I129:$M129)</f>
        <v>58.033333333000002</v>
      </c>
      <c r="E129" s="23">
        <v>16</v>
      </c>
      <c r="F129" s="23">
        <v>639</v>
      </c>
      <c r="G129" s="23">
        <v>127</v>
      </c>
      <c r="H129" s="23">
        <v>168</v>
      </c>
      <c r="I129" s="23">
        <v>14</v>
      </c>
      <c r="J129" s="23">
        <v>13.45</v>
      </c>
      <c r="K129" s="23">
        <v>15.233333332999999</v>
      </c>
      <c r="L129" s="23">
        <v>12.6</v>
      </c>
      <c r="M129" s="23">
        <v>2.75</v>
      </c>
      <c r="N129" s="23" t="s">
        <v>40</v>
      </c>
      <c r="O129" s="23" t="s">
        <v>88</v>
      </c>
      <c r="P129" s="23" t="s">
        <v>74</v>
      </c>
      <c r="Q129" s="23">
        <f t="shared" si="16"/>
        <v>2</v>
      </c>
      <c r="R129" s="23" t="str">
        <f t="shared" si="11"/>
        <v>2-2020</v>
      </c>
      <c r="S129" s="23" t="s">
        <v>47</v>
      </c>
      <c r="T129" s="23" t="str">
        <f t="shared" si="12"/>
        <v>Monday</v>
      </c>
      <c r="U129" s="23">
        <f t="shared" si="13"/>
        <v>1</v>
      </c>
      <c r="V129" s="25">
        <f>IFERROR(Data!$I129/Data!$D129,"")</f>
        <v>0.24124066628513061</v>
      </c>
      <c r="W129" s="25">
        <f>IFERROR(Data!$J129/Data!$D129,"")</f>
        <v>0.23176335439535761</v>
      </c>
      <c r="X129" s="25">
        <f>IFERROR(Data!$K129/Data!$D129,"")</f>
        <v>0.26249282021402925</v>
      </c>
      <c r="Y129" s="25">
        <f>IFERROR(Data!$L129/Data!$D129,"")</f>
        <v>0.21711659965661753</v>
      </c>
      <c r="Z129" s="25">
        <f>IFERROR(Data!$M129/Data!$D129,"")</f>
        <v>4.738655944886494E-2</v>
      </c>
      <c r="AA129" s="26">
        <v>232.14</v>
      </c>
      <c r="AB129" s="26">
        <f t="shared" si="17"/>
        <v>14.508749999999999</v>
      </c>
      <c r="AC129" s="23">
        <f t="shared" si="14"/>
        <v>598.6875</v>
      </c>
      <c r="AD129" s="23">
        <f t="shared" si="15"/>
        <v>13.5625</v>
      </c>
      <c r="AE129" s="23">
        <f>YEAR(Data!$C129)</f>
        <v>2020</v>
      </c>
      <c r="AF129" s="23"/>
      <c r="AG129" s="23">
        <v>12</v>
      </c>
      <c r="AH129" s="27">
        <f>Data!$F129/Data!$D129</f>
        <v>11.010913268299889</v>
      </c>
      <c r="AI129" s="17" t="str">
        <f>RIGHT(Data!$O129,2)</f>
        <v>AM</v>
      </c>
      <c r="AJ129" s="23" t="str">
        <f>Data!$R129&amp;"-"&amp;WEEKNUM(Data!$C129,1)-WEEKNUM(DATE(YEAR(Data!$C129),MONTH(Data!$C129),1),1)+1</f>
        <v>2-2020-4</v>
      </c>
      <c r="AK129" s="23">
        <f>MONTH(Data!$C129)</f>
        <v>2</v>
      </c>
      <c r="AL129" s="23">
        <f>IFERROR(Data!$F129/Data!$E129,0)</f>
        <v>39.9375</v>
      </c>
      <c r="AM129" s="23">
        <f>COUNTIF(Data!$N$2:$N$825,Data!$N129)</f>
        <v>38</v>
      </c>
      <c r="AN129" s="23" t="str">
        <f>VLOOKUP(Data!$N129,'Helpful Tables'!A:D,4,FALSE)</f>
        <v>Washington, DC</v>
      </c>
      <c r="AO129" s="23">
        <f>COUNTIF(AN:AN,Data!$AN129)/COUNTA(AN:AN)</f>
        <v>0.62424242424242427</v>
      </c>
      <c r="AP129" s="23">
        <v>38.903509999999997</v>
      </c>
      <c r="AQ129" s="23">
        <v>-77.051809000000006</v>
      </c>
      <c r="AR129" s="23">
        <f>COUNTIF(Data!$P$2:$P$825,Data!$P129)</f>
        <v>2</v>
      </c>
      <c r="AS129" s="23" cm="1">
        <f t="array" ref="AS129">_xlfn.IFS(Data!$E129&lt;12,((Data!$E129/Data!$D129)*60)*1,AND(Data!$E129&gt;=12,Data!$E129&lt;=15),((Data!$E129/Data!$D129)*60)*1.2,AND(Data!$E129&gt;=16,Data!$E129&lt;=19),((Data!$E129/Data!$D129)*60)*1.5,Data!$E129&gt;=20,((Data!$E129/Data!$D129)*60)*1.8)</f>
        <v>24.813325675042002</v>
      </c>
      <c r="AT129" s="23" cm="1">
        <f t="array" ref="AT129">_xlfn.IFS(Data!$F129&lt;600,((Data!$F129/Data!$D129)*60)*1,AND(Data!$F129&gt;=600,Data!$F129&lt;=625),((Data!$F129/Data!$D129)*60)*1.2,AND(Data!$F129&gt;=626,Data!$F129&lt;=650),((Data!$F129/Data!$D129)*60)*1.5,Data!$F129&gt;=651,((Data!$F129/Data!$D129)*60)*1.8)</f>
        <v>990.98219414698997</v>
      </c>
      <c r="AU129" s="23">
        <f>(Data!$I129*-1.2)+(Data!$J129*-1.1)+(Data!$K129*1.2)+(Data!$L129*1.3)+(Data!$M129*1.5)</f>
        <v>7.1899999995999977</v>
      </c>
      <c r="AV129" s="23">
        <f>(Data!$AS129*0.4)+(Data!$AT129*0.4)+(Data!$AU129*0.2)</f>
        <v>407.75620792873281</v>
      </c>
      <c r="AW129" s="23">
        <f>PERCENTRANK(AV:AV,Data!$AV129)*100</f>
        <v>56.399999999999991</v>
      </c>
      <c r="AX129" s="23" t="str">
        <f>_xlfn.CONCAT(TEXT(C129,"mmm"),"-",Data!$AE129)</f>
        <v>Feb-2020</v>
      </c>
    </row>
    <row r="130" spans="1:50" ht="17" thickTop="1" thickBot="1" x14ac:dyDescent="0.25">
      <c r="A130" s="28">
        <v>129</v>
      </c>
      <c r="B130" s="29">
        <f t="shared" ref="B130:B193" si="18">COUNTIF(R:R,R130)</f>
        <v>16</v>
      </c>
      <c r="C130" s="41">
        <v>43879</v>
      </c>
      <c r="D130" s="30">
        <f>SUM(Data!$I130:$M130)</f>
        <v>58.000000000000007</v>
      </c>
      <c r="E130" s="29">
        <v>7</v>
      </c>
      <c r="F130" s="29">
        <v>525</v>
      </c>
      <c r="G130" s="29">
        <v>114</v>
      </c>
      <c r="H130" s="29">
        <v>165</v>
      </c>
      <c r="I130" s="29">
        <v>23.45</v>
      </c>
      <c r="J130" s="29">
        <v>16.083333332999999</v>
      </c>
      <c r="K130" s="29">
        <v>10.7</v>
      </c>
      <c r="L130" s="29">
        <v>7.35</v>
      </c>
      <c r="M130" s="29">
        <v>0.41666666699999999</v>
      </c>
      <c r="N130" s="29" t="s">
        <v>24</v>
      </c>
      <c r="O130" s="29" t="s">
        <v>57</v>
      </c>
      <c r="P130" s="29" t="s">
        <v>71</v>
      </c>
      <c r="Q130" s="29">
        <f t="shared" si="16"/>
        <v>1</v>
      </c>
      <c r="R130" s="29" t="str">
        <f t="shared" ref="R130:R193" si="19">MONTH(C130)&amp;"-"&amp;YEAR(C130)</f>
        <v>2-2020</v>
      </c>
      <c r="S130" s="29" t="s">
        <v>43</v>
      </c>
      <c r="T130" s="29" t="str">
        <f t="shared" ref="T130:T193" si="20">IF(WEEKDAY(C130)=1,"Sunday",IF(WEEKDAY(C130)=2,"Monday",IF(WEEKDAY(C130)=3,"Tuesday",IF(WEEKDAY(C130)=4,"Wednesday",IF(WEEKDAY(C130)=5,"Thursday",IF(WEEKDAY(C130)=6,"Friday","Saturday"))))))</f>
        <v>Tuesday</v>
      </c>
      <c r="U130" s="29">
        <f t="shared" ref="U130:U193" si="21">IF(E130&gt;=12,1,0)</f>
        <v>0</v>
      </c>
      <c r="V130" s="31">
        <f>IFERROR(Data!$I130/Data!$D130,"")</f>
        <v>0.40431034482758615</v>
      </c>
      <c r="W130" s="31">
        <f>IFERROR(Data!$J130/Data!$D130,"")</f>
        <v>0.27729885056896547</v>
      </c>
      <c r="X130" s="31">
        <f>IFERROR(Data!$K130/Data!$D130,"")</f>
        <v>0.18448275862068961</v>
      </c>
      <c r="Y130" s="31">
        <f>IFERROR(Data!$L130/Data!$D130,"")</f>
        <v>0.12672413793103446</v>
      </c>
      <c r="Z130" s="31">
        <f>IFERROR(Data!$M130/Data!$D130,"")</f>
        <v>7.1839080517241373E-3</v>
      </c>
      <c r="AA130" s="32">
        <v>232.14</v>
      </c>
      <c r="AB130" s="32">
        <f t="shared" si="17"/>
        <v>14.508749999999999</v>
      </c>
      <c r="AC130" s="29">
        <f t="shared" ref="AC130:AC193" si="22">AVERAGEIF(R:R,R130,F:F)</f>
        <v>598.6875</v>
      </c>
      <c r="AD130" s="29">
        <f t="shared" ref="AD130:AD193" si="23">AVERAGEIF(R:R,R130,E:E)</f>
        <v>13.5625</v>
      </c>
      <c r="AE130" s="29">
        <f>YEAR(Data!$C130)</f>
        <v>2020</v>
      </c>
      <c r="AF130" s="29"/>
      <c r="AG130" s="29">
        <v>12</v>
      </c>
      <c r="AH130" s="33">
        <f>Data!$F130/Data!$D130</f>
        <v>9.0517241379310338</v>
      </c>
      <c r="AI130" s="17" t="str">
        <f>RIGHT(Data!$O130,2)</f>
        <v>PM</v>
      </c>
      <c r="AJ130" s="29" t="str">
        <f>Data!$R130&amp;"-"&amp;WEEKNUM(Data!$C130,1)-WEEKNUM(DATE(YEAR(Data!$C130),MONTH(Data!$C130),1),1)+1</f>
        <v>2-2020-4</v>
      </c>
      <c r="AK130" s="29">
        <f>MONTH(Data!$C130)</f>
        <v>2</v>
      </c>
      <c r="AL130" s="29">
        <f>IFERROR(Data!$F130/Data!$E130,0)</f>
        <v>75</v>
      </c>
      <c r="AM130" s="29">
        <f>COUNTIF(Data!$N$2:$N$825,Data!$N130)</f>
        <v>35</v>
      </c>
      <c r="AN130" s="29" t="str">
        <f>VLOOKUP(Data!$N130,'Helpful Tables'!A:D,4,FALSE)</f>
        <v>Virginia</v>
      </c>
      <c r="AO130" s="29">
        <f>COUNTIF(AN:AN,Data!$AN130)/COUNTA(AN:AN)</f>
        <v>6.424242424242424E-2</v>
      </c>
      <c r="AP130" s="29">
        <v>38.881884999999997</v>
      </c>
      <c r="AQ130" s="29">
        <v>-77.229702000000003</v>
      </c>
      <c r="AR130" s="29">
        <f>COUNTIF(Data!$P$2:$P$825,Data!$P130)</f>
        <v>4</v>
      </c>
      <c r="AS130" s="29" cm="1">
        <f t="array" ref="AS130">_xlfn.IFS(Data!$E130&lt;12,((Data!$E130/Data!$D130)*60)*1,AND(Data!$E130&gt;=12,Data!$E130&lt;=15),((Data!$E130/Data!$D130)*60)*1.2,AND(Data!$E130&gt;=16,Data!$E130&lt;=19),((Data!$E130/Data!$D130)*60)*1.5,Data!$E130&gt;=20,((Data!$E130/Data!$D130)*60)*1.8)</f>
        <v>7.2413793103448274</v>
      </c>
      <c r="AT130" s="29" cm="1">
        <f t="array" ref="AT130">_xlfn.IFS(Data!$F130&lt;600,((Data!$F130/Data!$D130)*60)*1,AND(Data!$F130&gt;=600,Data!$F130&lt;=625),((Data!$F130/Data!$D130)*60)*1.2,AND(Data!$F130&gt;=626,Data!$F130&lt;=650),((Data!$F130/Data!$D130)*60)*1.5,Data!$F130&gt;=651,((Data!$F130/Data!$D130)*60)*1.8)</f>
        <v>543.10344827586198</v>
      </c>
      <c r="AU130" s="29">
        <f>(Data!$I130*-1.2)+(Data!$J130*-1.1)+(Data!$K130*1.2)+(Data!$L130*1.3)+(Data!$M130*1.5)</f>
        <v>-22.811666665799997</v>
      </c>
      <c r="AV130" s="29">
        <f>(Data!$AS130*0.4)+(Data!$AT130*0.4)+(Data!$AU130*0.2)</f>
        <v>215.57559770132272</v>
      </c>
      <c r="AW130" s="29">
        <f>PERCENTRANK(AV:AV,Data!$AV130)*100</f>
        <v>2.6</v>
      </c>
      <c r="AX130" s="29" t="str">
        <f>_xlfn.CONCAT(TEXT(C130,"mmm"),"-",Data!$AE130)</f>
        <v>Feb-2020</v>
      </c>
    </row>
    <row r="131" spans="1:50" ht="17" thickTop="1" thickBot="1" x14ac:dyDescent="0.25">
      <c r="A131" s="22">
        <v>130</v>
      </c>
      <c r="B131" s="23">
        <f t="shared" si="18"/>
        <v>16</v>
      </c>
      <c r="C131" s="41">
        <v>43880</v>
      </c>
      <c r="D131" s="24">
        <f>SUM(Data!$I131:$M131)</f>
        <v>58.916666665000001</v>
      </c>
      <c r="E131" s="23">
        <v>15</v>
      </c>
      <c r="F131" s="23">
        <v>559</v>
      </c>
      <c r="G131" s="23">
        <v>117</v>
      </c>
      <c r="H131" s="23">
        <v>165</v>
      </c>
      <c r="I131" s="23">
        <v>26.883333332999999</v>
      </c>
      <c r="J131" s="23">
        <v>7.8833333330000004</v>
      </c>
      <c r="K131" s="23">
        <v>9.7833333329999999</v>
      </c>
      <c r="L131" s="23">
        <v>13.733333332999999</v>
      </c>
      <c r="M131" s="23">
        <v>0.63333333300000005</v>
      </c>
      <c r="N131" s="23" t="s">
        <v>40</v>
      </c>
      <c r="O131" s="23" t="s">
        <v>26</v>
      </c>
      <c r="P131" s="23" t="s">
        <v>41</v>
      </c>
      <c r="Q131" s="23">
        <f t="shared" ref="Q131:Q194" si="24">C131-C130</f>
        <v>1</v>
      </c>
      <c r="R131" s="23" t="str">
        <f t="shared" si="19"/>
        <v>2-2020</v>
      </c>
      <c r="S131" s="23" t="s">
        <v>47</v>
      </c>
      <c r="T131" s="23" t="str">
        <f t="shared" si="20"/>
        <v>Wednesday</v>
      </c>
      <c r="U131" s="23">
        <f t="shared" si="21"/>
        <v>1</v>
      </c>
      <c r="V131" s="25">
        <f>IFERROR(Data!$I131/Data!$D131,"")</f>
        <v>0.45629420085590644</v>
      </c>
      <c r="W131" s="25">
        <f>IFERROR(Data!$J131/Data!$D131,"")</f>
        <v>0.13380480905046124</v>
      </c>
      <c r="X131" s="25">
        <f>IFERROR(Data!$K131/Data!$D131,"")</f>
        <v>0.16605374823100577</v>
      </c>
      <c r="Y131" s="25">
        <f>IFERROR(Data!$L131/Data!$D131,"")</f>
        <v>0.23309759547476935</v>
      </c>
      <c r="Z131" s="25">
        <f>IFERROR(Data!$M131/Data!$D131,"")</f>
        <v>1.0749646387857133E-2</v>
      </c>
      <c r="AA131" s="26">
        <v>232.14</v>
      </c>
      <c r="AB131" s="26">
        <f t="shared" si="17"/>
        <v>14.508749999999999</v>
      </c>
      <c r="AC131" s="23">
        <f t="shared" si="22"/>
        <v>598.6875</v>
      </c>
      <c r="AD131" s="23">
        <f t="shared" si="23"/>
        <v>13.5625</v>
      </c>
      <c r="AE131" s="23">
        <f>YEAR(Data!$C131)</f>
        <v>2020</v>
      </c>
      <c r="AF131" s="23"/>
      <c r="AG131" s="23">
        <v>12</v>
      </c>
      <c r="AH131" s="27">
        <f>Data!$F131/Data!$D131</f>
        <v>9.4879773694338887</v>
      </c>
      <c r="AI131" s="17" t="str">
        <f>RIGHT(Data!$O131,2)</f>
        <v>PM</v>
      </c>
      <c r="AJ131" s="23" t="str">
        <f>Data!$R131&amp;"-"&amp;WEEKNUM(Data!$C131,1)-WEEKNUM(DATE(YEAR(Data!$C131),MONTH(Data!$C131),1),1)+1</f>
        <v>2-2020-4</v>
      </c>
      <c r="AK131" s="23">
        <f>MONTH(Data!$C131)</f>
        <v>2</v>
      </c>
      <c r="AL131" s="23">
        <f>IFERROR(Data!$F131/Data!$E131,0)</f>
        <v>37.266666666666666</v>
      </c>
      <c r="AM131" s="23">
        <f>COUNTIF(Data!$N$2:$N$825,Data!$N131)</f>
        <v>38</v>
      </c>
      <c r="AN131" s="23" t="str">
        <f>VLOOKUP(Data!$N131,'Helpful Tables'!A:D,4,FALSE)</f>
        <v>Washington, DC</v>
      </c>
      <c r="AO131" s="23">
        <f>COUNTIF(AN:AN,Data!$AN131)/COUNTA(AN:AN)</f>
        <v>0.62424242424242427</v>
      </c>
      <c r="AP131" s="23">
        <v>38.903509999999997</v>
      </c>
      <c r="AQ131" s="23">
        <v>-77.051809000000006</v>
      </c>
      <c r="AR131" s="23">
        <f>COUNTIF(Data!$P$2:$P$825,Data!$P131)</f>
        <v>20</v>
      </c>
      <c r="AS131" s="23" cm="1">
        <f t="array" ref="AS131">_xlfn.IFS(Data!$E131&lt;12,((Data!$E131/Data!$D131)*60)*1,AND(Data!$E131&gt;=12,Data!$E131&lt;=15),((Data!$E131/Data!$D131)*60)*1.2,AND(Data!$E131&gt;=16,Data!$E131&lt;=19),((Data!$E131/Data!$D131)*60)*1.5,Data!$E131&gt;=20,((Data!$E131/Data!$D131)*60)*1.8)</f>
        <v>18.330975955256886</v>
      </c>
      <c r="AT131" s="23" cm="1">
        <f t="array" ref="AT131">_xlfn.IFS(Data!$F131&lt;600,((Data!$F131/Data!$D131)*60)*1,AND(Data!$F131&gt;=600,Data!$F131&lt;=625),((Data!$F131/Data!$D131)*60)*1.2,AND(Data!$F131&gt;=626,Data!$F131&lt;=650),((Data!$F131/Data!$D131)*60)*1.5,Data!$F131&gt;=651,((Data!$F131/Data!$D131)*60)*1.8)</f>
        <v>569.27864216603336</v>
      </c>
      <c r="AU131" s="23">
        <f>(Data!$I131*-1.2)+(Data!$J131*-1.1)+(Data!$K131*1.2)+(Data!$L131*1.3)+(Data!$M131*1.5)</f>
        <v>-10.388333333899993</v>
      </c>
      <c r="AV131" s="23">
        <f>(Data!$AS131*0.4)+(Data!$AT131*0.4)+(Data!$AU131*0.2)</f>
        <v>232.9661805817361</v>
      </c>
      <c r="AW131" s="23">
        <f>PERCENTRANK(AV:AV,Data!$AV131)*100</f>
        <v>8.5</v>
      </c>
      <c r="AX131" s="23" t="str">
        <f>_xlfn.CONCAT(TEXT(C131,"mmm"),"-",Data!$AE131)</f>
        <v>Feb-2020</v>
      </c>
    </row>
    <row r="132" spans="1:50" ht="17" thickTop="1" thickBot="1" x14ac:dyDescent="0.25">
      <c r="A132" s="28">
        <v>131</v>
      </c>
      <c r="B132" s="29">
        <f t="shared" si="18"/>
        <v>16</v>
      </c>
      <c r="C132" s="41">
        <v>43882</v>
      </c>
      <c r="D132" s="30">
        <f>SUM(Data!$I132:$M132)</f>
        <v>52.25</v>
      </c>
      <c r="E132" s="29">
        <v>12</v>
      </c>
      <c r="F132" s="29">
        <v>595</v>
      </c>
      <c r="G132" s="29">
        <v>130</v>
      </c>
      <c r="H132" s="29">
        <v>171</v>
      </c>
      <c r="I132" s="29">
        <v>9.0833333330000006</v>
      </c>
      <c r="J132" s="29">
        <v>12.9</v>
      </c>
      <c r="K132" s="29">
        <v>18.216666666999998</v>
      </c>
      <c r="L132" s="29">
        <v>8</v>
      </c>
      <c r="M132" s="29">
        <v>4.05</v>
      </c>
      <c r="N132" s="29" t="s">
        <v>60</v>
      </c>
      <c r="O132" s="29" t="s">
        <v>39</v>
      </c>
      <c r="P132" s="29" t="s">
        <v>61</v>
      </c>
      <c r="Q132" s="29">
        <f t="shared" si="24"/>
        <v>2</v>
      </c>
      <c r="R132" s="29" t="str">
        <f t="shared" si="19"/>
        <v>2-2020</v>
      </c>
      <c r="S132" s="29" t="s">
        <v>43</v>
      </c>
      <c r="T132" s="29" t="str">
        <f t="shared" si="20"/>
        <v>Friday</v>
      </c>
      <c r="U132" s="29">
        <f t="shared" si="21"/>
        <v>1</v>
      </c>
      <c r="V132" s="31">
        <f>IFERROR(Data!$I132/Data!$D132,"")</f>
        <v>0.17384370015311007</v>
      </c>
      <c r="W132" s="31">
        <f>IFERROR(Data!$J132/Data!$D132,"")</f>
        <v>0.24688995215311005</v>
      </c>
      <c r="X132" s="31">
        <f>IFERROR(Data!$K132/Data!$D132,"")</f>
        <v>0.34864433812440188</v>
      </c>
      <c r="Y132" s="31">
        <f>IFERROR(Data!$L132/Data!$D132,"")</f>
        <v>0.15311004784688995</v>
      </c>
      <c r="Z132" s="31">
        <f>IFERROR(Data!$M132/Data!$D132,"")</f>
        <v>7.7511961722488032E-2</v>
      </c>
      <c r="AA132" s="32">
        <v>232.14</v>
      </c>
      <c r="AB132" s="32">
        <f t="shared" si="17"/>
        <v>14.508749999999999</v>
      </c>
      <c r="AC132" s="29">
        <f t="shared" si="22"/>
        <v>598.6875</v>
      </c>
      <c r="AD132" s="29">
        <f t="shared" si="23"/>
        <v>13.5625</v>
      </c>
      <c r="AE132" s="29">
        <f>YEAR(Data!$C132)</f>
        <v>2020</v>
      </c>
      <c r="AF132" s="29"/>
      <c r="AG132" s="29">
        <v>12</v>
      </c>
      <c r="AH132" s="33">
        <f>Data!$F132/Data!$D132</f>
        <v>11.387559808612441</v>
      </c>
      <c r="AI132" s="17" t="str">
        <f>RIGHT(Data!$O132,2)</f>
        <v>PM</v>
      </c>
      <c r="AJ132" s="29" t="str">
        <f>Data!$R132&amp;"-"&amp;WEEKNUM(Data!$C132,1)-WEEKNUM(DATE(YEAR(Data!$C132),MONTH(Data!$C132),1),1)+1</f>
        <v>2-2020-4</v>
      </c>
      <c r="AK132" s="29">
        <f>MONTH(Data!$C132)</f>
        <v>2</v>
      </c>
      <c r="AL132" s="29">
        <f>IFERROR(Data!$F132/Data!$E132,0)</f>
        <v>49.583333333333336</v>
      </c>
      <c r="AM132" s="29">
        <f>COUNTIF(Data!$N$2:$N$825,Data!$N132)</f>
        <v>10</v>
      </c>
      <c r="AN132" s="29" t="str">
        <f>VLOOKUP(Data!$N132,'Helpful Tables'!A:D,4,FALSE)</f>
        <v>Washington, DC</v>
      </c>
      <c r="AO132" s="29">
        <f>COUNTIF(AN:AN,Data!$AN132)/COUNTA(AN:AN)</f>
        <v>0.62424242424242427</v>
      </c>
      <c r="AP132" s="29">
        <v>38.879828000000003</v>
      </c>
      <c r="AQ132" s="29">
        <v>-77.005566000000002</v>
      </c>
      <c r="AR132" s="29">
        <f>COUNTIF(Data!$P$2:$P$825,Data!$P132)</f>
        <v>9</v>
      </c>
      <c r="AS132" s="29" cm="1">
        <f t="array" ref="AS132">_xlfn.IFS(Data!$E132&lt;12,((Data!$E132/Data!$D132)*60)*1,AND(Data!$E132&gt;=12,Data!$E132&lt;=15),((Data!$E132/Data!$D132)*60)*1.2,AND(Data!$E132&gt;=16,Data!$E132&lt;=19),((Data!$E132/Data!$D132)*60)*1.5,Data!$E132&gt;=20,((Data!$E132/Data!$D132)*60)*1.8)</f>
        <v>16.535885167464116</v>
      </c>
      <c r="AT132" s="29" cm="1">
        <f t="array" ref="AT132">_xlfn.IFS(Data!$F132&lt;600,((Data!$F132/Data!$D132)*60)*1,AND(Data!$F132&gt;=600,Data!$F132&lt;=625),((Data!$F132/Data!$D132)*60)*1.2,AND(Data!$F132&gt;=626,Data!$F132&lt;=650),((Data!$F132/Data!$D132)*60)*1.5,Data!$F132&gt;=651,((Data!$F132/Data!$D132)*60)*1.8)</f>
        <v>683.25358851674639</v>
      </c>
      <c r="AU132" s="29">
        <f>(Data!$I132*-1.2)+(Data!$J132*-1.1)+(Data!$K132*1.2)+(Data!$L132*1.3)+(Data!$M132*1.5)</f>
        <v>13.245000000799992</v>
      </c>
      <c r="AV132" s="29">
        <f>(Data!$AS132*0.4)+(Data!$AT132*0.4)+(Data!$AU132*0.2)</f>
        <v>282.5647894738442</v>
      </c>
      <c r="AW132" s="29">
        <f>PERCENTRANK(AV:AV,Data!$AV132)*100</f>
        <v>23.400000000000002</v>
      </c>
      <c r="AX132" s="29" t="str">
        <f>_xlfn.CONCAT(TEXT(C132,"mmm"),"-",Data!$AE132)</f>
        <v>Feb-2020</v>
      </c>
    </row>
    <row r="133" spans="1:50" ht="17" thickTop="1" thickBot="1" x14ac:dyDescent="0.25">
      <c r="A133" s="22">
        <v>132</v>
      </c>
      <c r="B133" s="23">
        <f t="shared" si="18"/>
        <v>16</v>
      </c>
      <c r="C133" s="41">
        <v>43883</v>
      </c>
      <c r="D133" s="24">
        <f>SUM(Data!$I133:$M133)</f>
        <v>50.949999999999996</v>
      </c>
      <c r="E133" s="23">
        <v>15</v>
      </c>
      <c r="F133" s="23">
        <v>582</v>
      </c>
      <c r="G133" s="23">
        <v>130</v>
      </c>
      <c r="H133" s="23">
        <v>168</v>
      </c>
      <c r="I133" s="23">
        <v>7.1166666669999996</v>
      </c>
      <c r="J133" s="23">
        <v>13.7</v>
      </c>
      <c r="K133" s="23">
        <v>14.733333332999999</v>
      </c>
      <c r="L133" s="23">
        <v>11.283333333</v>
      </c>
      <c r="M133" s="23">
        <v>4.1166666669999996</v>
      </c>
      <c r="N133" s="23" t="s">
        <v>33</v>
      </c>
      <c r="O133" s="23" t="s">
        <v>45</v>
      </c>
      <c r="P133" s="23" t="s">
        <v>34</v>
      </c>
      <c r="Q133" s="23">
        <f t="shared" si="24"/>
        <v>1</v>
      </c>
      <c r="R133" s="23" t="str">
        <f t="shared" si="19"/>
        <v>2-2020</v>
      </c>
      <c r="S133" s="23" t="s">
        <v>43</v>
      </c>
      <c r="T133" s="23" t="str">
        <f t="shared" si="20"/>
        <v>Saturday</v>
      </c>
      <c r="U133" s="23">
        <f t="shared" si="21"/>
        <v>1</v>
      </c>
      <c r="V133" s="25">
        <f>IFERROR(Data!$I133/Data!$D133,"")</f>
        <v>0.13967942427870461</v>
      </c>
      <c r="W133" s="25">
        <f>IFERROR(Data!$J133/Data!$D133,"")</f>
        <v>0.26889106967615312</v>
      </c>
      <c r="X133" s="25">
        <f>IFERROR(Data!$K133/Data!$D133,"")</f>
        <v>0.28917239122669286</v>
      </c>
      <c r="Y133" s="25">
        <f>IFERROR(Data!$L133/Data!$D133,"")</f>
        <v>0.22145894667320903</v>
      </c>
      <c r="Z133" s="25">
        <f>IFERROR(Data!$M133/Data!$D133,"")</f>
        <v>8.0798168145240434E-2</v>
      </c>
      <c r="AA133" s="26">
        <v>232.14</v>
      </c>
      <c r="AB133" s="26">
        <f t="shared" si="17"/>
        <v>14.508749999999999</v>
      </c>
      <c r="AC133" s="23">
        <f t="shared" si="22"/>
        <v>598.6875</v>
      </c>
      <c r="AD133" s="23">
        <f t="shared" si="23"/>
        <v>13.5625</v>
      </c>
      <c r="AE133" s="23">
        <f>YEAR(Data!$C133)</f>
        <v>2020</v>
      </c>
      <c r="AF133" s="23"/>
      <c r="AG133" s="23">
        <v>12</v>
      </c>
      <c r="AH133" s="27">
        <f>Data!$F133/Data!$D133</f>
        <v>11.422963689892052</v>
      </c>
      <c r="AI133" s="17" t="str">
        <f>RIGHT(Data!$O133,2)</f>
        <v>AM</v>
      </c>
      <c r="AJ133" s="23" t="str">
        <f>Data!$R133&amp;"-"&amp;WEEKNUM(Data!$C133,1)-WEEKNUM(DATE(YEAR(Data!$C133),MONTH(Data!$C133),1),1)+1</f>
        <v>2-2020-4</v>
      </c>
      <c r="AK133" s="23">
        <f>MONTH(Data!$C133)</f>
        <v>2</v>
      </c>
      <c r="AL133" s="23">
        <f>IFERROR(Data!$F133/Data!$E133,0)</f>
        <v>38.799999999999997</v>
      </c>
      <c r="AM133" s="23">
        <f>COUNTIF(Data!$N$2:$N$825,Data!$N133)</f>
        <v>48</v>
      </c>
      <c r="AN133" s="23" t="str">
        <f>VLOOKUP(Data!$N133,'Helpful Tables'!A:D,4,FALSE)</f>
        <v>Washington, DC</v>
      </c>
      <c r="AO133" s="23">
        <f>COUNTIF(AN:AN,Data!$AN133)/COUNTA(AN:AN)</f>
        <v>0.62424242424242427</v>
      </c>
      <c r="AP133" s="23">
        <v>38.916486999999996</v>
      </c>
      <c r="AQ133" s="23">
        <v>-77.031514000000001</v>
      </c>
      <c r="AR133" s="23">
        <f>COUNTIF(Data!$P$2:$P$825,Data!$P133)</f>
        <v>30</v>
      </c>
      <c r="AS133" s="23" cm="1">
        <f t="array" ref="AS133">_xlfn.IFS(Data!$E133&lt;12,((Data!$E133/Data!$D133)*60)*1,AND(Data!$E133&gt;=12,Data!$E133&lt;=15),((Data!$E133/Data!$D133)*60)*1.2,AND(Data!$E133&gt;=16,Data!$E133&lt;=19),((Data!$E133/Data!$D133)*60)*1.5,Data!$E133&gt;=20,((Data!$E133/Data!$D133)*60)*1.8)</f>
        <v>21.197252208047107</v>
      </c>
      <c r="AT133" s="23" cm="1">
        <f t="array" ref="AT133">_xlfn.IFS(Data!$F133&lt;600,((Data!$F133/Data!$D133)*60)*1,AND(Data!$F133&gt;=600,Data!$F133&lt;=625),((Data!$F133/Data!$D133)*60)*1.2,AND(Data!$F133&gt;=626,Data!$F133&lt;=650),((Data!$F133/Data!$D133)*60)*1.5,Data!$F133&gt;=651,((Data!$F133/Data!$D133)*60)*1.8)</f>
        <v>685.37782139352316</v>
      </c>
      <c r="AU133" s="23">
        <f>(Data!$I133*-1.2)+(Data!$J133*-1.1)+(Data!$K133*1.2)+(Data!$L133*1.3)+(Data!$M133*1.5)</f>
        <v>14.913333332599999</v>
      </c>
      <c r="AV133" s="23">
        <f>(Data!$AS133*0.4)+(Data!$AT133*0.4)+(Data!$AU133*0.2)</f>
        <v>285.61269610714811</v>
      </c>
      <c r="AW133" s="23">
        <f>PERCENTRANK(AV:AV,Data!$AV133)*100</f>
        <v>23.7</v>
      </c>
      <c r="AX133" s="23" t="str">
        <f>_xlfn.CONCAT(TEXT(C133,"mmm"),"-",Data!$AE133)</f>
        <v>Feb-2020</v>
      </c>
    </row>
    <row r="134" spans="1:50" ht="17" thickTop="1" thickBot="1" x14ac:dyDescent="0.25">
      <c r="A134" s="28">
        <v>133</v>
      </c>
      <c r="B134" s="29">
        <f t="shared" si="18"/>
        <v>16</v>
      </c>
      <c r="C134" s="41">
        <v>43886</v>
      </c>
      <c r="D134" s="30">
        <f>SUM(Data!$I134:$M134)</f>
        <v>58.866666666</v>
      </c>
      <c r="E134" s="29">
        <v>15</v>
      </c>
      <c r="F134" s="29">
        <v>663</v>
      </c>
      <c r="G134" s="29">
        <v>129</v>
      </c>
      <c r="H134" s="29">
        <v>168</v>
      </c>
      <c r="I134" s="29">
        <v>9.9666666670000001</v>
      </c>
      <c r="J134" s="29">
        <v>13.2</v>
      </c>
      <c r="K134" s="29">
        <v>20.333333332999999</v>
      </c>
      <c r="L134" s="29">
        <v>12.333333333000001</v>
      </c>
      <c r="M134" s="29">
        <v>3.0333333329999999</v>
      </c>
      <c r="N134" s="29" t="s">
        <v>24</v>
      </c>
      <c r="O134" s="29" t="s">
        <v>57</v>
      </c>
      <c r="P134" s="29" t="s">
        <v>71</v>
      </c>
      <c r="Q134" s="29">
        <f t="shared" si="24"/>
        <v>3</v>
      </c>
      <c r="R134" s="29" t="str">
        <f t="shared" si="19"/>
        <v>2-2020</v>
      </c>
      <c r="S134" s="29" t="s">
        <v>43</v>
      </c>
      <c r="T134" s="29" t="str">
        <f t="shared" si="20"/>
        <v>Tuesday</v>
      </c>
      <c r="U134" s="29">
        <f t="shared" si="21"/>
        <v>1</v>
      </c>
      <c r="V134" s="31">
        <f>IFERROR(Data!$I134/Data!$D134,"")</f>
        <v>0.16930917328051312</v>
      </c>
      <c r="W134" s="31">
        <f>IFERROR(Data!$J134/Data!$D134,"")</f>
        <v>0.22423556059144092</v>
      </c>
      <c r="X134" s="31">
        <f>IFERROR(Data!$K134/Data!$D134,"")</f>
        <v>0.34541336353165814</v>
      </c>
      <c r="Y134" s="31">
        <f>IFERROR(Data!$L134/Data!$D134,"")</f>
        <v>0.2095130237792697</v>
      </c>
      <c r="Z134" s="31">
        <f>IFERROR(Data!$M134/Data!$D134,"")</f>
        <v>5.1528878817118103E-2</v>
      </c>
      <c r="AA134" s="32">
        <v>232.14</v>
      </c>
      <c r="AB134" s="32">
        <f t="shared" si="17"/>
        <v>14.508749999999999</v>
      </c>
      <c r="AC134" s="29">
        <f t="shared" si="22"/>
        <v>598.6875</v>
      </c>
      <c r="AD134" s="29">
        <f t="shared" si="23"/>
        <v>13.5625</v>
      </c>
      <c r="AE134" s="29">
        <f>YEAR(Data!$C134)</f>
        <v>2020</v>
      </c>
      <c r="AF134" s="29"/>
      <c r="AG134" s="29">
        <v>12</v>
      </c>
      <c r="AH134" s="33">
        <f>Data!$F134/Data!$D134</f>
        <v>11.262740656979194</v>
      </c>
      <c r="AI134" s="17" t="str">
        <f>RIGHT(Data!$O134,2)</f>
        <v>PM</v>
      </c>
      <c r="AJ134" s="29" t="str">
        <f>Data!$R134&amp;"-"&amp;WEEKNUM(Data!$C134,1)-WEEKNUM(DATE(YEAR(Data!$C134),MONTH(Data!$C134),1),1)+1</f>
        <v>2-2020-5</v>
      </c>
      <c r="AK134" s="29">
        <f>MONTH(Data!$C134)</f>
        <v>2</v>
      </c>
      <c r="AL134" s="29">
        <f>IFERROR(Data!$F134/Data!$E134,0)</f>
        <v>44.2</v>
      </c>
      <c r="AM134" s="29">
        <f>COUNTIF(Data!$N$2:$N$825,Data!$N134)</f>
        <v>35</v>
      </c>
      <c r="AN134" s="29" t="str">
        <f>VLOOKUP(Data!$N134,'Helpful Tables'!A:D,4,FALSE)</f>
        <v>Virginia</v>
      </c>
      <c r="AO134" s="29">
        <f>COUNTIF(AN:AN,Data!$AN134)/COUNTA(AN:AN)</f>
        <v>6.424242424242424E-2</v>
      </c>
      <c r="AP134" s="29">
        <v>38.881884999999997</v>
      </c>
      <c r="AQ134" s="29">
        <v>-77.229702000000003</v>
      </c>
      <c r="AR134" s="29">
        <f>COUNTIF(Data!$P$2:$P$825,Data!$P134)</f>
        <v>4</v>
      </c>
      <c r="AS134" s="29" cm="1">
        <f t="array" ref="AS134">_xlfn.IFS(Data!$E134&lt;12,((Data!$E134/Data!$D134)*60)*1,AND(Data!$E134&gt;=12,Data!$E134&lt;=15),((Data!$E134/Data!$D134)*60)*1.2,AND(Data!$E134&gt;=16,Data!$E134&lt;=19),((Data!$E134/Data!$D134)*60)*1.5,Data!$E134&gt;=20,((Data!$E134/Data!$D134)*60)*1.8)</f>
        <v>18.346545866572438</v>
      </c>
      <c r="AT134" s="29" cm="1">
        <f t="array" ref="AT134">_xlfn.IFS(Data!$F134&lt;600,((Data!$F134/Data!$D134)*60)*1,AND(Data!$F134&gt;=600,Data!$F134&lt;=625),((Data!$F134/Data!$D134)*60)*1.2,AND(Data!$F134&gt;=626,Data!$F134&lt;=650),((Data!$F134/Data!$D134)*60)*1.5,Data!$F134&gt;=651,((Data!$F134/Data!$D134)*60)*1.8)</f>
        <v>1216.375990953753</v>
      </c>
      <c r="AU134" s="29">
        <f>(Data!$I134*-1.2)+(Data!$J134*-1.1)+(Data!$K134*1.2)+(Data!$L134*1.3)+(Data!$M134*1.5)</f>
        <v>18.5033333316</v>
      </c>
      <c r="AV134" s="29">
        <f>(Data!$AS134*0.4)+(Data!$AT134*0.4)+(Data!$AU134*0.2)</f>
        <v>497.58968139445017</v>
      </c>
      <c r="AW134" s="29">
        <f>PERCENTRANK(AV:AV,Data!$AV134)*100</f>
        <v>76.599999999999994</v>
      </c>
      <c r="AX134" s="29" t="str">
        <f>_xlfn.CONCAT(TEXT(C134,"mmm"),"-",Data!$AE134)</f>
        <v>Feb-2020</v>
      </c>
    </row>
    <row r="135" spans="1:50" ht="17" thickTop="1" thickBot="1" x14ac:dyDescent="0.25">
      <c r="A135" s="22">
        <v>134</v>
      </c>
      <c r="B135" s="23">
        <f t="shared" si="18"/>
        <v>16</v>
      </c>
      <c r="C135" s="41">
        <v>43887</v>
      </c>
      <c r="D135" s="24">
        <f>SUM(Data!$I135:$M135)</f>
        <v>56.7</v>
      </c>
      <c r="E135" s="23">
        <v>13</v>
      </c>
      <c r="F135" s="23">
        <v>560</v>
      </c>
      <c r="G135" s="23">
        <v>120</v>
      </c>
      <c r="H135" s="23">
        <v>165</v>
      </c>
      <c r="I135" s="23">
        <v>22.866666667000001</v>
      </c>
      <c r="J135" s="23">
        <v>11.866666667000001</v>
      </c>
      <c r="K135" s="23">
        <v>9.1333333329999995</v>
      </c>
      <c r="L135" s="23">
        <v>9.8333333330000006</v>
      </c>
      <c r="M135" s="23">
        <v>3</v>
      </c>
      <c r="N135" s="23" t="s">
        <v>40</v>
      </c>
      <c r="O135" s="23" t="s">
        <v>26</v>
      </c>
      <c r="P135" s="23" t="s">
        <v>41</v>
      </c>
      <c r="Q135" s="23">
        <f t="shared" si="24"/>
        <v>1</v>
      </c>
      <c r="R135" s="23" t="str">
        <f t="shared" si="19"/>
        <v>2-2020</v>
      </c>
      <c r="S135" s="23" t="s">
        <v>47</v>
      </c>
      <c r="T135" s="23" t="str">
        <f t="shared" si="20"/>
        <v>Wednesday</v>
      </c>
      <c r="U135" s="23">
        <f t="shared" si="21"/>
        <v>1</v>
      </c>
      <c r="V135" s="25">
        <f>IFERROR(Data!$I135/Data!$D135,"")</f>
        <v>0.40329218107583775</v>
      </c>
      <c r="W135" s="25">
        <f>IFERROR(Data!$J135/Data!$D135,"")</f>
        <v>0.20928865373897707</v>
      </c>
      <c r="X135" s="25">
        <f>IFERROR(Data!$K135/Data!$D135,"")</f>
        <v>0.16108171663139328</v>
      </c>
      <c r="Y135" s="25">
        <f>IFERROR(Data!$L135/Data!$D135,"")</f>
        <v>0.17342739564373899</v>
      </c>
      <c r="Z135" s="25">
        <f>IFERROR(Data!$M135/Data!$D135,"")</f>
        <v>5.2910052910052907E-2</v>
      </c>
      <c r="AA135" s="26">
        <v>232.14</v>
      </c>
      <c r="AB135" s="26">
        <f t="shared" si="17"/>
        <v>14.508749999999999</v>
      </c>
      <c r="AC135" s="23">
        <f t="shared" si="22"/>
        <v>598.6875</v>
      </c>
      <c r="AD135" s="23">
        <f t="shared" si="23"/>
        <v>13.5625</v>
      </c>
      <c r="AE135" s="23">
        <f>YEAR(Data!$C135)</f>
        <v>2020</v>
      </c>
      <c r="AF135" s="23"/>
      <c r="AG135" s="23">
        <v>12</v>
      </c>
      <c r="AH135" s="27">
        <f>Data!$F135/Data!$D135</f>
        <v>9.8765432098765427</v>
      </c>
      <c r="AI135" s="17" t="str">
        <f>RIGHT(Data!$O135,2)</f>
        <v>PM</v>
      </c>
      <c r="AJ135" s="23" t="str">
        <f>Data!$R135&amp;"-"&amp;WEEKNUM(Data!$C135,1)-WEEKNUM(DATE(YEAR(Data!$C135),MONTH(Data!$C135),1),1)+1</f>
        <v>2-2020-5</v>
      </c>
      <c r="AK135" s="23">
        <f>MONTH(Data!$C135)</f>
        <v>2</v>
      </c>
      <c r="AL135" s="23">
        <f>IFERROR(Data!$F135/Data!$E135,0)</f>
        <v>43.07692307692308</v>
      </c>
      <c r="AM135" s="23">
        <f>COUNTIF(Data!$N$2:$N$825,Data!$N135)</f>
        <v>38</v>
      </c>
      <c r="AN135" s="23" t="str">
        <f>VLOOKUP(Data!$N135,'Helpful Tables'!A:D,4,FALSE)</f>
        <v>Washington, DC</v>
      </c>
      <c r="AO135" s="23">
        <f>COUNTIF(AN:AN,Data!$AN135)/COUNTA(AN:AN)</f>
        <v>0.62424242424242427</v>
      </c>
      <c r="AP135" s="23">
        <v>38.903509999999997</v>
      </c>
      <c r="AQ135" s="23">
        <v>-77.051809000000006</v>
      </c>
      <c r="AR135" s="23">
        <f>COUNTIF(Data!$P$2:$P$825,Data!$P135)</f>
        <v>20</v>
      </c>
      <c r="AS135" s="23" cm="1">
        <f t="array" ref="AS135">_xlfn.IFS(Data!$E135&lt;12,((Data!$E135/Data!$D135)*60)*1,AND(Data!$E135&gt;=12,Data!$E135&lt;=15),((Data!$E135/Data!$D135)*60)*1.2,AND(Data!$E135&gt;=16,Data!$E135&lt;=19),((Data!$E135/Data!$D135)*60)*1.5,Data!$E135&gt;=20,((Data!$E135/Data!$D135)*60)*1.8)</f>
        <v>16.507936507936506</v>
      </c>
      <c r="AT135" s="23" cm="1">
        <f t="array" ref="AT135">_xlfn.IFS(Data!$F135&lt;600,((Data!$F135/Data!$D135)*60)*1,AND(Data!$F135&gt;=600,Data!$F135&lt;=625),((Data!$F135/Data!$D135)*60)*1.2,AND(Data!$F135&gt;=626,Data!$F135&lt;=650),((Data!$F135/Data!$D135)*60)*1.5,Data!$F135&gt;=651,((Data!$F135/Data!$D135)*60)*1.8)</f>
        <v>592.59259259259261</v>
      </c>
      <c r="AU135" s="23">
        <f>(Data!$I135*-1.2)+(Data!$J135*-1.1)+(Data!$K135*1.2)+(Data!$L135*1.3)+(Data!$M135*1.5)</f>
        <v>-12.2500000016</v>
      </c>
      <c r="AV135" s="23">
        <f>(Data!$AS135*0.4)+(Data!$AT135*0.4)+(Data!$AU135*0.2)</f>
        <v>241.19021163989169</v>
      </c>
      <c r="AW135" s="23">
        <f>PERCENTRANK(AV:AV,Data!$AV135)*100</f>
        <v>12.8</v>
      </c>
      <c r="AX135" s="23" t="str">
        <f>_xlfn.CONCAT(TEXT(C135,"mmm"),"-",Data!$AE135)</f>
        <v>Feb-2020</v>
      </c>
    </row>
    <row r="136" spans="1:50" ht="17" thickTop="1" thickBot="1" x14ac:dyDescent="0.25">
      <c r="A136" s="28">
        <v>135</v>
      </c>
      <c r="B136" s="29">
        <f t="shared" si="18"/>
        <v>16</v>
      </c>
      <c r="C136" s="41">
        <v>43890</v>
      </c>
      <c r="D136" s="30">
        <f>SUM(Data!$I136:$M136)</f>
        <v>53.849999999999994</v>
      </c>
      <c r="E136" s="29">
        <v>10</v>
      </c>
      <c r="F136" s="29">
        <v>580</v>
      </c>
      <c r="G136" s="29">
        <v>126</v>
      </c>
      <c r="H136" s="29">
        <v>166</v>
      </c>
      <c r="I136" s="29">
        <v>11.016666667000001</v>
      </c>
      <c r="J136" s="29">
        <v>12.7</v>
      </c>
      <c r="K136" s="29">
        <v>20.333333332999999</v>
      </c>
      <c r="L136" s="29">
        <v>7.5666666669999998</v>
      </c>
      <c r="M136" s="29">
        <v>2.233333333</v>
      </c>
      <c r="N136" s="29" t="s">
        <v>33</v>
      </c>
      <c r="O136" s="29" t="s">
        <v>89</v>
      </c>
      <c r="P136" s="29" t="s">
        <v>34</v>
      </c>
      <c r="Q136" s="29">
        <f t="shared" si="24"/>
        <v>3</v>
      </c>
      <c r="R136" s="29" t="str">
        <f t="shared" si="19"/>
        <v>2-2020</v>
      </c>
      <c r="S136" s="29" t="s">
        <v>48</v>
      </c>
      <c r="T136" s="29" t="str">
        <f t="shared" si="20"/>
        <v>Saturday</v>
      </c>
      <c r="U136" s="29">
        <f t="shared" si="21"/>
        <v>0</v>
      </c>
      <c r="V136" s="31">
        <f>IFERROR(Data!$I136/Data!$D136,"")</f>
        <v>0.20458062519962864</v>
      </c>
      <c r="W136" s="31">
        <f>IFERROR(Data!$J136/Data!$D136,"")</f>
        <v>0.23584029712163418</v>
      </c>
      <c r="X136" s="31">
        <f>IFERROR(Data!$K136/Data!$D136,"")</f>
        <v>0.37759207675023215</v>
      </c>
      <c r="Y136" s="31">
        <f>IFERROR(Data!$L136/Data!$D136,"")</f>
        <v>0.14051377283194058</v>
      </c>
      <c r="Z136" s="31">
        <f>IFERROR(Data!$M136/Data!$D136,"")</f>
        <v>4.1473228096564535E-2</v>
      </c>
      <c r="AA136" s="32">
        <v>232.14</v>
      </c>
      <c r="AB136" s="32">
        <f t="shared" si="17"/>
        <v>14.508749999999999</v>
      </c>
      <c r="AC136" s="29">
        <f t="shared" si="22"/>
        <v>598.6875</v>
      </c>
      <c r="AD136" s="29">
        <f t="shared" si="23"/>
        <v>13.5625</v>
      </c>
      <c r="AE136" s="29">
        <f>YEAR(Data!$C136)</f>
        <v>2020</v>
      </c>
      <c r="AF136" s="29"/>
      <c r="AG136" s="29">
        <v>12</v>
      </c>
      <c r="AH136" s="33">
        <f>Data!$F136/Data!$D136</f>
        <v>10.770659238625814</v>
      </c>
      <c r="AI136" s="17" t="str">
        <f>RIGHT(Data!$O136,2)</f>
        <v>AM</v>
      </c>
      <c r="AJ136" s="29" t="str">
        <f>Data!$R136&amp;"-"&amp;WEEKNUM(Data!$C136,1)-WEEKNUM(DATE(YEAR(Data!$C136),MONTH(Data!$C136),1),1)+1</f>
        <v>2-2020-5</v>
      </c>
      <c r="AK136" s="29">
        <f>MONTH(Data!$C136)</f>
        <v>2</v>
      </c>
      <c r="AL136" s="29">
        <f>IFERROR(Data!$F136/Data!$E136,0)</f>
        <v>58</v>
      </c>
      <c r="AM136" s="29">
        <f>COUNTIF(Data!$N$2:$N$825,Data!$N136)</f>
        <v>48</v>
      </c>
      <c r="AN136" s="29" t="str">
        <f>VLOOKUP(Data!$N136,'Helpful Tables'!A:D,4,FALSE)</f>
        <v>Washington, DC</v>
      </c>
      <c r="AO136" s="29">
        <f>COUNTIF(AN:AN,Data!$AN136)/COUNTA(AN:AN)</f>
        <v>0.62424242424242427</v>
      </c>
      <c r="AP136" s="29">
        <v>38.916486999999996</v>
      </c>
      <c r="AQ136" s="29">
        <v>-77.031514000000001</v>
      </c>
      <c r="AR136" s="29">
        <f>COUNTIF(Data!$P$2:$P$825,Data!$P136)</f>
        <v>30</v>
      </c>
      <c r="AS136" s="29" cm="1">
        <f t="array" ref="AS136">_xlfn.IFS(Data!$E136&lt;12,((Data!$E136/Data!$D136)*60)*1,AND(Data!$E136&gt;=12,Data!$E136&lt;=15),((Data!$E136/Data!$D136)*60)*1.2,AND(Data!$E136&gt;=16,Data!$E136&lt;=19),((Data!$E136/Data!$D136)*60)*1.5,Data!$E136&gt;=20,((Data!$E136/Data!$D136)*60)*1.8)</f>
        <v>11.142061281337048</v>
      </c>
      <c r="AT136" s="29" cm="1">
        <f t="array" ref="AT136">_xlfn.IFS(Data!$F136&lt;600,((Data!$F136/Data!$D136)*60)*1,AND(Data!$F136&gt;=600,Data!$F136&lt;=625),((Data!$F136/Data!$D136)*60)*1.2,AND(Data!$F136&gt;=626,Data!$F136&lt;=650),((Data!$F136/Data!$D136)*60)*1.5,Data!$F136&gt;=651,((Data!$F136/Data!$D136)*60)*1.8)</f>
        <v>646.23955431754882</v>
      </c>
      <c r="AU136" s="29">
        <f>(Data!$I136*-1.2)+(Data!$J136*-1.1)+(Data!$K136*1.2)+(Data!$L136*1.3)+(Data!$M136*1.5)</f>
        <v>10.396666665799996</v>
      </c>
      <c r="AV136" s="29">
        <f>(Data!$AS136*0.4)+(Data!$AT136*0.4)+(Data!$AU136*0.2)</f>
        <v>265.03197957271431</v>
      </c>
      <c r="AW136" s="29">
        <f>PERCENTRANK(AV:AV,Data!$AV136)*100</f>
        <v>21.6</v>
      </c>
      <c r="AX136" s="29" t="str">
        <f>_xlfn.CONCAT(TEXT(C136,"mmm"),"-",Data!$AE136)</f>
        <v>Feb-2020</v>
      </c>
    </row>
    <row r="137" spans="1:50" ht="17" thickTop="1" thickBot="1" x14ac:dyDescent="0.25">
      <c r="A137" s="22">
        <v>136</v>
      </c>
      <c r="B137" s="23">
        <f t="shared" si="18"/>
        <v>8</v>
      </c>
      <c r="C137" s="41">
        <v>43893</v>
      </c>
      <c r="D137" s="24">
        <f>SUM(Data!$I137:$M137)</f>
        <v>59.150000001000002</v>
      </c>
      <c r="E137" s="23">
        <v>12</v>
      </c>
      <c r="F137" s="23">
        <v>575</v>
      </c>
      <c r="G137" s="23">
        <v>119</v>
      </c>
      <c r="H137" s="23">
        <v>167</v>
      </c>
      <c r="I137" s="23">
        <v>22.466666666999998</v>
      </c>
      <c r="J137" s="23">
        <v>14.266666667000001</v>
      </c>
      <c r="K137" s="23">
        <v>10.55</v>
      </c>
      <c r="L137" s="23">
        <v>10.716666667</v>
      </c>
      <c r="M137" s="23">
        <v>1.1499999999999999</v>
      </c>
      <c r="N137" s="23" t="s">
        <v>24</v>
      </c>
      <c r="O137" s="23" t="s">
        <v>57</v>
      </c>
      <c r="P137" s="23" t="s">
        <v>71</v>
      </c>
      <c r="Q137" s="23">
        <f t="shared" si="24"/>
        <v>3</v>
      </c>
      <c r="R137" s="23" t="str">
        <f t="shared" si="19"/>
        <v>3-2020</v>
      </c>
      <c r="S137" s="23" t="s">
        <v>43</v>
      </c>
      <c r="T137" s="23" t="str">
        <f t="shared" si="20"/>
        <v>Tuesday</v>
      </c>
      <c r="U137" s="23">
        <f t="shared" si="21"/>
        <v>1</v>
      </c>
      <c r="V137" s="25">
        <f>IFERROR(Data!$I137/Data!$D137,"")</f>
        <v>0.37982530290143995</v>
      </c>
      <c r="W137" s="25">
        <f>IFERROR(Data!$J137/Data!$D137,"")</f>
        <v>0.24119470273472199</v>
      </c>
      <c r="X137" s="25">
        <f>IFERROR(Data!$K137/Data!$D137,"")</f>
        <v>0.17836010143400913</v>
      </c>
      <c r="Y137" s="25">
        <f>IFERROR(Data!$L137/Data!$D137,"")</f>
        <v>0.18117779656498431</v>
      </c>
      <c r="Z137" s="25">
        <f>IFERROR(Data!$M137/Data!$D137,"")</f>
        <v>1.9442096364844594E-2</v>
      </c>
      <c r="AA137" s="26">
        <v>232.14</v>
      </c>
      <c r="AB137" s="26">
        <f t="shared" si="17"/>
        <v>29.017499999999998</v>
      </c>
      <c r="AC137" s="23">
        <f t="shared" si="22"/>
        <v>589</v>
      </c>
      <c r="AD137" s="23">
        <f t="shared" si="23"/>
        <v>13</v>
      </c>
      <c r="AE137" s="23">
        <f>YEAR(Data!$C137)</f>
        <v>2020</v>
      </c>
      <c r="AF137" s="23"/>
      <c r="AG137" s="23">
        <v>12</v>
      </c>
      <c r="AH137" s="27">
        <f>Data!$F137/Data!$D137</f>
        <v>9.7210481824222974</v>
      </c>
      <c r="AI137" s="17" t="str">
        <f>RIGHT(Data!$O137,2)</f>
        <v>PM</v>
      </c>
      <c r="AJ137" s="23" t="str">
        <f>Data!$R137&amp;"-"&amp;WEEKNUM(Data!$C137,1)-WEEKNUM(DATE(YEAR(Data!$C137),MONTH(Data!$C137),1),1)+1</f>
        <v>3-2020-1</v>
      </c>
      <c r="AK137" s="23">
        <f>MONTH(Data!$C137)</f>
        <v>3</v>
      </c>
      <c r="AL137" s="23">
        <f>IFERROR(Data!$F137/Data!$E137,0)</f>
        <v>47.916666666666664</v>
      </c>
      <c r="AM137" s="23">
        <f>COUNTIF(Data!$N$2:$N$825,Data!$N137)</f>
        <v>35</v>
      </c>
      <c r="AN137" s="23" t="str">
        <f>VLOOKUP(Data!$N137,'Helpful Tables'!A:D,4,FALSE)</f>
        <v>Virginia</v>
      </c>
      <c r="AO137" s="23">
        <f>COUNTIF(AN:AN,Data!$AN137)/COUNTA(AN:AN)</f>
        <v>6.424242424242424E-2</v>
      </c>
      <c r="AP137" s="23">
        <v>38.881884999999997</v>
      </c>
      <c r="AQ137" s="23">
        <v>-77.229702000000003</v>
      </c>
      <c r="AR137" s="23">
        <f>COUNTIF(Data!$P$2:$P$825,Data!$P137)</f>
        <v>4</v>
      </c>
      <c r="AS137" s="23" cm="1">
        <f t="array" ref="AS137">_xlfn.IFS(Data!$E137&lt;12,((Data!$E137/Data!$D137)*60)*1,AND(Data!$E137&gt;=12,Data!$E137&lt;=15),((Data!$E137/Data!$D137)*60)*1.2,AND(Data!$E137&gt;=16,Data!$E137&lt;=19),((Data!$E137/Data!$D137)*60)*1.5,Data!$E137&gt;=20,((Data!$E137/Data!$D137)*60)*1.8)</f>
        <v>14.606931529761503</v>
      </c>
      <c r="AT137" s="23" cm="1">
        <f t="array" ref="AT137">_xlfn.IFS(Data!$F137&lt;600,((Data!$F137/Data!$D137)*60)*1,AND(Data!$F137&gt;=600,Data!$F137&lt;=625),((Data!$F137/Data!$D137)*60)*1.2,AND(Data!$F137&gt;=626,Data!$F137&lt;=650),((Data!$F137/Data!$D137)*60)*1.5,Data!$F137&gt;=651,((Data!$F137/Data!$D137)*60)*1.8)</f>
        <v>583.26289094533786</v>
      </c>
      <c r="AU137" s="23">
        <f>(Data!$I137*-1.2)+(Data!$J137*-1.1)+(Data!$K137*1.2)+(Data!$L137*1.3)+(Data!$M137*1.5)</f>
        <v>-14.336666666999998</v>
      </c>
      <c r="AV137" s="23">
        <f>(Data!$AS137*0.4)+(Data!$AT137*0.4)+(Data!$AU137*0.2)</f>
        <v>236.28059565663975</v>
      </c>
      <c r="AW137" s="23">
        <f>PERCENTRANK(AV:AV,Data!$AV137)*100</f>
        <v>10.199999999999999</v>
      </c>
      <c r="AX137" s="23" t="str">
        <f>_xlfn.CONCAT(TEXT(C137,"mmm"),"-",Data!$AE137)</f>
        <v>Mar-2020</v>
      </c>
    </row>
    <row r="138" spans="1:50" ht="17" thickTop="1" thickBot="1" x14ac:dyDescent="0.25">
      <c r="A138" s="28">
        <v>137</v>
      </c>
      <c r="B138" s="29">
        <f t="shared" si="18"/>
        <v>8</v>
      </c>
      <c r="C138" s="41">
        <v>43894</v>
      </c>
      <c r="D138" s="30">
        <f>SUM(Data!$I138:$M138)</f>
        <v>57.033333331999998</v>
      </c>
      <c r="E138" s="29">
        <v>18</v>
      </c>
      <c r="F138" s="29">
        <v>596</v>
      </c>
      <c r="G138" s="29">
        <v>123</v>
      </c>
      <c r="H138" s="29">
        <v>170</v>
      </c>
      <c r="I138" s="29">
        <v>20.433333333</v>
      </c>
      <c r="J138" s="29">
        <v>10.333333333000001</v>
      </c>
      <c r="K138" s="29">
        <v>8.5833333330000006</v>
      </c>
      <c r="L138" s="29">
        <v>14.633333332999999</v>
      </c>
      <c r="M138" s="29">
        <v>3.05</v>
      </c>
      <c r="N138" s="29" t="s">
        <v>40</v>
      </c>
      <c r="O138" s="29" t="s">
        <v>26</v>
      </c>
      <c r="P138" s="29" t="s">
        <v>41</v>
      </c>
      <c r="Q138" s="29">
        <f t="shared" si="24"/>
        <v>1</v>
      </c>
      <c r="R138" s="29" t="str">
        <f t="shared" si="19"/>
        <v>3-2020</v>
      </c>
      <c r="S138" s="29"/>
      <c r="T138" s="29" t="str">
        <f t="shared" si="20"/>
        <v>Wednesday</v>
      </c>
      <c r="U138" s="29">
        <f t="shared" si="21"/>
        <v>1</v>
      </c>
      <c r="V138" s="31">
        <f>IFERROR(Data!$I138/Data!$D138,"")</f>
        <v>0.35827001753613724</v>
      </c>
      <c r="W138" s="31">
        <f>IFERROR(Data!$J138/Data!$D138,"")</f>
        <v>0.1811805961409978</v>
      </c>
      <c r="X138" s="31">
        <f>IFERROR(Data!$K138/Data!$D138,"")</f>
        <v>0.15049678550322612</v>
      </c>
      <c r="Y138" s="31">
        <f>IFERROR(Data!$L138/Data!$D138,"")</f>
        <v>0.25657510227952252</v>
      </c>
      <c r="Z138" s="31">
        <f>IFERROR(Data!$M138/Data!$D138,"")</f>
        <v>5.3477498540116367E-2</v>
      </c>
      <c r="AA138" s="32">
        <v>232.14</v>
      </c>
      <c r="AB138" s="32">
        <f t="shared" si="17"/>
        <v>29.017499999999998</v>
      </c>
      <c r="AC138" s="29">
        <f t="shared" si="22"/>
        <v>589</v>
      </c>
      <c r="AD138" s="29">
        <f t="shared" si="23"/>
        <v>13</v>
      </c>
      <c r="AE138" s="29">
        <f>YEAR(Data!$C138)</f>
        <v>2020</v>
      </c>
      <c r="AF138" s="29"/>
      <c r="AG138" s="29">
        <v>12</v>
      </c>
      <c r="AH138" s="33">
        <f>Data!$F138/Data!$D138</f>
        <v>10.450029222921099</v>
      </c>
      <c r="AI138" s="17" t="str">
        <f>RIGHT(Data!$O138,2)</f>
        <v>PM</v>
      </c>
      <c r="AJ138" s="29" t="str">
        <f>Data!$R138&amp;"-"&amp;WEEKNUM(Data!$C138,1)-WEEKNUM(DATE(YEAR(Data!$C138),MONTH(Data!$C138),1),1)+1</f>
        <v>3-2020-1</v>
      </c>
      <c r="AK138" s="29">
        <f>MONTH(Data!$C138)</f>
        <v>3</v>
      </c>
      <c r="AL138" s="29">
        <f>IFERROR(Data!$F138/Data!$E138,0)</f>
        <v>33.111111111111114</v>
      </c>
      <c r="AM138" s="29">
        <f>COUNTIF(Data!$N$2:$N$825,Data!$N138)</f>
        <v>38</v>
      </c>
      <c r="AN138" s="29" t="str">
        <f>VLOOKUP(Data!$N138,'Helpful Tables'!A:D,4,FALSE)</f>
        <v>Washington, DC</v>
      </c>
      <c r="AO138" s="29">
        <f>COUNTIF(AN:AN,Data!$AN138)/COUNTA(AN:AN)</f>
        <v>0.62424242424242427</v>
      </c>
      <c r="AP138" s="29">
        <v>38.903509999999997</v>
      </c>
      <c r="AQ138" s="29">
        <v>-77.051809000000006</v>
      </c>
      <c r="AR138" s="29">
        <f>COUNTIF(Data!$P$2:$P$825,Data!$P138)</f>
        <v>20</v>
      </c>
      <c r="AS138" s="29" cm="1">
        <f t="array" ref="AS138">_xlfn.IFS(Data!$E138&lt;12,((Data!$E138/Data!$D138)*60)*1,AND(Data!$E138&gt;=12,Data!$E138&lt;=15),((Data!$E138/Data!$D138)*60)*1.2,AND(Data!$E138&gt;=16,Data!$E138&lt;=19),((Data!$E138/Data!$D138)*60)*1.5,Data!$E138&gt;=20,((Data!$E138/Data!$D138)*60)*1.8)</f>
        <v>28.404441847537221</v>
      </c>
      <c r="AT138" s="29" cm="1">
        <f t="array" ref="AT138">_xlfn.IFS(Data!$F138&lt;600,((Data!$F138/Data!$D138)*60)*1,AND(Data!$F138&gt;=600,Data!$F138&lt;=625),((Data!$F138/Data!$D138)*60)*1.2,AND(Data!$F138&gt;=626,Data!$F138&lt;=650),((Data!$F138/Data!$D138)*60)*1.5,Data!$F138&gt;=651,((Data!$F138/Data!$D138)*60)*1.8)</f>
        <v>627.00175337526593</v>
      </c>
      <c r="AU138" s="29">
        <f>(Data!$I138*-1.2)+(Data!$J138*-1.1)+(Data!$K138*1.2)+(Data!$L138*1.3)+(Data!$M138*1.5)</f>
        <v>-1.9883333334000035</v>
      </c>
      <c r="AV138" s="29">
        <f>(Data!$AS138*0.4)+(Data!$AT138*0.4)+(Data!$AU138*0.2)</f>
        <v>261.76481142244131</v>
      </c>
      <c r="AW138" s="29">
        <f>PERCENTRANK(AV:AV,Data!$AV138)*100</f>
        <v>20.9</v>
      </c>
      <c r="AX138" s="29" t="str">
        <f>_xlfn.CONCAT(TEXT(C138,"mmm"),"-",Data!$AE138)</f>
        <v>Mar-2020</v>
      </c>
    </row>
    <row r="139" spans="1:50" ht="17" thickTop="1" thickBot="1" x14ac:dyDescent="0.25">
      <c r="A139" s="22">
        <v>138</v>
      </c>
      <c r="B139" s="23">
        <f t="shared" si="18"/>
        <v>8</v>
      </c>
      <c r="C139" s="41">
        <v>43895</v>
      </c>
      <c r="D139" s="24">
        <f>SUM(Data!$I139:$M139)</f>
        <v>55.883333333000003</v>
      </c>
      <c r="E139" s="23">
        <v>21</v>
      </c>
      <c r="F139" s="23">
        <v>663</v>
      </c>
      <c r="G139" s="23">
        <v>133</v>
      </c>
      <c r="H139" s="23">
        <v>165</v>
      </c>
      <c r="I139" s="23">
        <v>8.7666666670000009</v>
      </c>
      <c r="J139" s="23">
        <v>11.183333333</v>
      </c>
      <c r="K139" s="23">
        <v>15.033333333</v>
      </c>
      <c r="L139" s="23">
        <v>18.883333332999999</v>
      </c>
      <c r="M139" s="23">
        <v>2.016666667</v>
      </c>
      <c r="N139" s="23" t="s">
        <v>85</v>
      </c>
      <c r="O139" s="23" t="s">
        <v>57</v>
      </c>
      <c r="P139" s="23" t="s">
        <v>86</v>
      </c>
      <c r="Q139" s="23">
        <f t="shared" si="24"/>
        <v>1</v>
      </c>
      <c r="R139" s="23" t="str">
        <f t="shared" si="19"/>
        <v>3-2020</v>
      </c>
      <c r="S139" s="23" t="s">
        <v>48</v>
      </c>
      <c r="T139" s="23" t="str">
        <f t="shared" si="20"/>
        <v>Thursday</v>
      </c>
      <c r="U139" s="23">
        <f t="shared" si="21"/>
        <v>1</v>
      </c>
      <c r="V139" s="25">
        <f>IFERROR(Data!$I139/Data!$D139,"")</f>
        <v>0.15687444080618476</v>
      </c>
      <c r="W139" s="25">
        <f>IFERROR(Data!$J139/Data!$D139,"")</f>
        <v>0.20011929614792792</v>
      </c>
      <c r="X139" s="25">
        <f>IFERROR(Data!$K139/Data!$D139,"")</f>
        <v>0.26901282433205492</v>
      </c>
      <c r="Y139" s="25">
        <f>IFERROR(Data!$L139/Data!$D139,"")</f>
        <v>0.33790635251618195</v>
      </c>
      <c r="Z139" s="25">
        <f>IFERROR(Data!$M139/Data!$D139,"")</f>
        <v>3.608708619765038E-2</v>
      </c>
      <c r="AA139" s="26">
        <v>232.14</v>
      </c>
      <c r="AB139" s="26">
        <f t="shared" si="17"/>
        <v>29.017499999999998</v>
      </c>
      <c r="AC139" s="23">
        <f t="shared" si="22"/>
        <v>589</v>
      </c>
      <c r="AD139" s="23">
        <f t="shared" si="23"/>
        <v>13</v>
      </c>
      <c r="AE139" s="23">
        <f>YEAR(Data!$C139)</f>
        <v>2020</v>
      </c>
      <c r="AF139" s="23"/>
      <c r="AG139" s="23">
        <v>12</v>
      </c>
      <c r="AH139" s="27">
        <f>Data!$F139/Data!$D139</f>
        <v>11.864002385993819</v>
      </c>
      <c r="AI139" s="17" t="str">
        <f>RIGHT(Data!$O139,2)</f>
        <v>PM</v>
      </c>
      <c r="AJ139" s="23" t="str">
        <f>Data!$R139&amp;"-"&amp;WEEKNUM(Data!$C139,1)-WEEKNUM(DATE(YEAR(Data!$C139),MONTH(Data!$C139),1),1)+1</f>
        <v>3-2020-1</v>
      </c>
      <c r="AK139" s="23">
        <f>MONTH(Data!$C139)</f>
        <v>3</v>
      </c>
      <c r="AL139" s="23">
        <f>IFERROR(Data!$F139/Data!$E139,0)</f>
        <v>31.571428571428573</v>
      </c>
      <c r="AM139" s="23">
        <f>COUNTIF(Data!$N$2:$N$825,Data!$N139)</f>
        <v>4</v>
      </c>
      <c r="AN139" s="23" t="str">
        <f>VLOOKUP(Data!$N139,'Helpful Tables'!A:D,4,FALSE)</f>
        <v>Washington, DC</v>
      </c>
      <c r="AO139" s="23">
        <f>COUNTIF(AN:AN,Data!$AN139)/COUNTA(AN:AN)</f>
        <v>0.62424242424242427</v>
      </c>
      <c r="AP139" s="23">
        <v>38.915415000000003</v>
      </c>
      <c r="AQ139" s="23">
        <v>-77.067172999999997</v>
      </c>
      <c r="AR139" s="23">
        <f>COUNTIF(Data!$P$2:$P$825,Data!$P139)</f>
        <v>3</v>
      </c>
      <c r="AS139" s="23" cm="1">
        <f t="array" ref="AS139">_xlfn.IFS(Data!$E139&lt;12,((Data!$E139/Data!$D139)*60)*1,AND(Data!$E139&gt;=12,Data!$E139&lt;=15),((Data!$E139/Data!$D139)*60)*1.2,AND(Data!$E139&gt;=16,Data!$E139&lt;=19),((Data!$E139/Data!$D139)*60)*1.5,Data!$E139&gt;=20,((Data!$E139/Data!$D139)*60)*1.8)</f>
        <v>40.584551148467554</v>
      </c>
      <c r="AT139" s="23" cm="1">
        <f t="array" ref="AT139">_xlfn.IFS(Data!$F139&lt;600,((Data!$F139/Data!$D139)*60)*1,AND(Data!$F139&gt;=600,Data!$F139&lt;=625),((Data!$F139/Data!$D139)*60)*1.2,AND(Data!$F139&gt;=626,Data!$F139&lt;=650),((Data!$F139/Data!$D139)*60)*1.5,Data!$F139&gt;=651,((Data!$F139/Data!$D139)*60)*1.8)</f>
        <v>1281.3122576873325</v>
      </c>
      <c r="AU139" s="23">
        <f>(Data!$I139*-1.2)+(Data!$J139*-1.1)+(Data!$K139*1.2)+(Data!$L139*1.3)+(Data!$M139*1.5)</f>
        <v>22.791666666299996</v>
      </c>
      <c r="AV139" s="23">
        <f>(Data!$AS139*0.4)+(Data!$AT139*0.4)+(Data!$AU139*0.2)</f>
        <v>533.31705686758005</v>
      </c>
      <c r="AW139" s="23">
        <f>PERCENTRANK(AV:AV,Data!$AV139)*100</f>
        <v>94.3</v>
      </c>
      <c r="AX139" s="23" t="str">
        <f>_xlfn.CONCAT(TEXT(C139,"mmm"),"-",Data!$AE139)</f>
        <v>Mar-2020</v>
      </c>
    </row>
    <row r="140" spans="1:50" ht="17" thickTop="1" thickBot="1" x14ac:dyDescent="0.25">
      <c r="A140" s="28">
        <v>139</v>
      </c>
      <c r="B140" s="29">
        <f t="shared" si="18"/>
        <v>8</v>
      </c>
      <c r="C140" s="41">
        <v>43897</v>
      </c>
      <c r="D140" s="30">
        <f>SUM(Data!$I140:$M140)</f>
        <v>55.300000000000004</v>
      </c>
      <c r="E140" s="29">
        <v>14</v>
      </c>
      <c r="F140" s="29">
        <v>623</v>
      </c>
      <c r="G140" s="29">
        <v>129</v>
      </c>
      <c r="H140" s="29">
        <v>166</v>
      </c>
      <c r="I140" s="29">
        <v>8.8000000000000007</v>
      </c>
      <c r="J140" s="29">
        <v>15.55</v>
      </c>
      <c r="K140" s="29">
        <v>17.649999999999999</v>
      </c>
      <c r="L140" s="29">
        <v>12.6</v>
      </c>
      <c r="M140" s="29">
        <v>0.7</v>
      </c>
      <c r="N140" s="29" t="s">
        <v>33</v>
      </c>
      <c r="O140" s="29" t="s">
        <v>45</v>
      </c>
      <c r="P140" s="29" t="s">
        <v>34</v>
      </c>
      <c r="Q140" s="29">
        <f t="shared" si="24"/>
        <v>2</v>
      </c>
      <c r="R140" s="29" t="str">
        <f t="shared" si="19"/>
        <v>3-2020</v>
      </c>
      <c r="S140" s="29" t="s">
        <v>43</v>
      </c>
      <c r="T140" s="29" t="str">
        <f t="shared" si="20"/>
        <v>Saturday</v>
      </c>
      <c r="U140" s="29">
        <f t="shared" si="21"/>
        <v>1</v>
      </c>
      <c r="V140" s="31">
        <f>IFERROR(Data!$I140/Data!$D140,"")</f>
        <v>0.15913200723327306</v>
      </c>
      <c r="W140" s="31">
        <f>IFERROR(Data!$J140/Data!$D140,"")</f>
        <v>0.28119349005424954</v>
      </c>
      <c r="X140" s="31">
        <f>IFERROR(Data!$K140/Data!$D140,"")</f>
        <v>0.31916817359855332</v>
      </c>
      <c r="Y140" s="31">
        <f>IFERROR(Data!$L140/Data!$D140,"")</f>
        <v>0.22784810126582275</v>
      </c>
      <c r="Z140" s="31">
        <f>IFERROR(Data!$M140/Data!$D140,"")</f>
        <v>1.2658227848101264E-2</v>
      </c>
      <c r="AA140" s="32">
        <v>232.14</v>
      </c>
      <c r="AB140" s="32">
        <f t="shared" si="17"/>
        <v>29.017499999999998</v>
      </c>
      <c r="AC140" s="29">
        <f t="shared" si="22"/>
        <v>589</v>
      </c>
      <c r="AD140" s="29">
        <f t="shared" si="23"/>
        <v>13</v>
      </c>
      <c r="AE140" s="29">
        <f>YEAR(Data!$C140)</f>
        <v>2020</v>
      </c>
      <c r="AF140" s="29"/>
      <c r="AG140" s="29">
        <v>12</v>
      </c>
      <c r="AH140" s="33">
        <f>Data!$F140/Data!$D140</f>
        <v>11.265822784810126</v>
      </c>
      <c r="AI140" s="17" t="str">
        <f>RIGHT(Data!$O140,2)</f>
        <v>AM</v>
      </c>
      <c r="AJ140" s="29" t="str">
        <f>Data!$R140&amp;"-"&amp;WEEKNUM(Data!$C140,1)-WEEKNUM(DATE(YEAR(Data!$C140),MONTH(Data!$C140),1),1)+1</f>
        <v>3-2020-1</v>
      </c>
      <c r="AK140" s="29">
        <f>MONTH(Data!$C140)</f>
        <v>3</v>
      </c>
      <c r="AL140" s="29">
        <f>IFERROR(Data!$F140/Data!$E140,0)</f>
        <v>44.5</v>
      </c>
      <c r="AM140" s="29">
        <f>COUNTIF(Data!$N$2:$N$825,Data!$N140)</f>
        <v>48</v>
      </c>
      <c r="AN140" s="29" t="str">
        <f>VLOOKUP(Data!$N140,'Helpful Tables'!A:D,4,FALSE)</f>
        <v>Washington, DC</v>
      </c>
      <c r="AO140" s="29">
        <f>COUNTIF(AN:AN,Data!$AN140)/COUNTA(AN:AN)</f>
        <v>0.62424242424242427</v>
      </c>
      <c r="AP140" s="29">
        <v>38.916486999999996</v>
      </c>
      <c r="AQ140" s="29">
        <v>-77.031514000000001</v>
      </c>
      <c r="AR140" s="29">
        <f>COUNTIF(Data!$P$2:$P$825,Data!$P140)</f>
        <v>30</v>
      </c>
      <c r="AS140" s="29" cm="1">
        <f t="array" ref="AS140">_xlfn.IFS(Data!$E140&lt;12,((Data!$E140/Data!$D140)*60)*1,AND(Data!$E140&gt;=12,Data!$E140&lt;=15),((Data!$E140/Data!$D140)*60)*1.2,AND(Data!$E140&gt;=16,Data!$E140&lt;=19),((Data!$E140/Data!$D140)*60)*1.5,Data!$E140&gt;=20,((Data!$E140/Data!$D140)*60)*1.8)</f>
        <v>18.22784810126582</v>
      </c>
      <c r="AT140" s="29" cm="1">
        <f t="array" ref="AT140">_xlfn.IFS(Data!$F140&lt;600,((Data!$F140/Data!$D140)*60)*1,AND(Data!$F140&gt;=600,Data!$F140&lt;=625),((Data!$F140/Data!$D140)*60)*1.2,AND(Data!$F140&gt;=626,Data!$F140&lt;=650),((Data!$F140/Data!$D140)*60)*1.5,Data!$F140&gt;=651,((Data!$F140/Data!$D140)*60)*1.8)</f>
        <v>811.13924050632909</v>
      </c>
      <c r="AU140" s="29">
        <f>(Data!$I140*-1.2)+(Data!$J140*-1.1)+(Data!$K140*1.2)+(Data!$L140*1.3)+(Data!$M140*1.5)</f>
        <v>10.944999999999997</v>
      </c>
      <c r="AV140" s="29">
        <f>(Data!$AS140*0.4)+(Data!$AT140*0.4)+(Data!$AU140*0.2)</f>
        <v>333.935835443038</v>
      </c>
      <c r="AW140" s="29">
        <f>PERCENTRANK(AV:AV,Data!$AV140)*100</f>
        <v>42.699999999999996</v>
      </c>
      <c r="AX140" s="29" t="str">
        <f>_xlfn.CONCAT(TEXT(C140,"mmm"),"-",Data!$AE140)</f>
        <v>Mar-2020</v>
      </c>
    </row>
    <row r="141" spans="1:50" ht="17" thickTop="1" thickBot="1" x14ac:dyDescent="0.25">
      <c r="A141" s="22">
        <v>140</v>
      </c>
      <c r="B141" s="23">
        <f t="shared" si="18"/>
        <v>8</v>
      </c>
      <c r="C141" s="41">
        <v>43899</v>
      </c>
      <c r="D141" s="24">
        <f>SUM(Data!$I141:$M141)</f>
        <v>58.4</v>
      </c>
      <c r="E141" s="23">
        <v>18</v>
      </c>
      <c r="F141" s="23">
        <v>584</v>
      </c>
      <c r="G141" s="23">
        <v>120</v>
      </c>
      <c r="H141" s="23">
        <v>168</v>
      </c>
      <c r="I141" s="23">
        <v>24.233333333000001</v>
      </c>
      <c r="J141" s="23">
        <v>5.95</v>
      </c>
      <c r="K141" s="23">
        <v>10.316666667</v>
      </c>
      <c r="L141" s="23">
        <v>15.15</v>
      </c>
      <c r="M141" s="23">
        <v>2.75</v>
      </c>
      <c r="N141" s="23" t="s">
        <v>40</v>
      </c>
      <c r="O141" s="23" t="s">
        <v>26</v>
      </c>
      <c r="P141" s="23" t="s">
        <v>64</v>
      </c>
      <c r="Q141" s="23">
        <f t="shared" si="24"/>
        <v>2</v>
      </c>
      <c r="R141" s="23" t="str">
        <f t="shared" si="19"/>
        <v>3-2020</v>
      </c>
      <c r="S141" s="23" t="s">
        <v>47</v>
      </c>
      <c r="T141" s="23" t="str">
        <f t="shared" si="20"/>
        <v>Monday</v>
      </c>
      <c r="U141" s="23">
        <f t="shared" si="21"/>
        <v>1</v>
      </c>
      <c r="V141" s="25">
        <f>IFERROR(Data!$I141/Data!$D141,"")</f>
        <v>0.41495433789383562</v>
      </c>
      <c r="W141" s="25">
        <f>IFERROR(Data!$J141/Data!$D141,"")</f>
        <v>0.10188356164383562</v>
      </c>
      <c r="X141" s="25">
        <f>IFERROR(Data!$K141/Data!$D141,"")</f>
        <v>0.17665525114726027</v>
      </c>
      <c r="Y141" s="25">
        <f>IFERROR(Data!$L141/Data!$D141,"")</f>
        <v>0.25941780821917809</v>
      </c>
      <c r="Z141" s="25">
        <f>IFERROR(Data!$M141/Data!$D141,"")</f>
        <v>4.7089041095890412E-2</v>
      </c>
      <c r="AA141" s="26">
        <v>232.14</v>
      </c>
      <c r="AB141" s="26">
        <f t="shared" si="17"/>
        <v>29.017499999999998</v>
      </c>
      <c r="AC141" s="23">
        <f t="shared" si="22"/>
        <v>589</v>
      </c>
      <c r="AD141" s="23">
        <f t="shared" si="23"/>
        <v>13</v>
      </c>
      <c r="AE141" s="23">
        <f>YEAR(Data!$C141)</f>
        <v>2020</v>
      </c>
      <c r="AF141" s="23"/>
      <c r="AG141" s="23">
        <v>12</v>
      </c>
      <c r="AH141" s="27">
        <f>Data!$F141/Data!$D141</f>
        <v>10</v>
      </c>
      <c r="AI141" s="17" t="str">
        <f>RIGHT(Data!$O141,2)</f>
        <v>PM</v>
      </c>
      <c r="AJ141" s="23" t="str">
        <f>Data!$R141&amp;"-"&amp;WEEKNUM(Data!$C141,1)-WEEKNUM(DATE(YEAR(Data!$C141),MONTH(Data!$C141),1),1)+1</f>
        <v>3-2020-2</v>
      </c>
      <c r="AK141" s="23">
        <f>MONTH(Data!$C141)</f>
        <v>3</v>
      </c>
      <c r="AL141" s="23">
        <f>IFERROR(Data!$F141/Data!$E141,0)</f>
        <v>32.444444444444443</v>
      </c>
      <c r="AM141" s="23">
        <f>COUNTIF(Data!$N$2:$N$825,Data!$N141)</f>
        <v>38</v>
      </c>
      <c r="AN141" s="23" t="str">
        <f>VLOOKUP(Data!$N141,'Helpful Tables'!A:D,4,FALSE)</f>
        <v>Washington, DC</v>
      </c>
      <c r="AO141" s="23">
        <f>COUNTIF(AN:AN,Data!$AN141)/COUNTA(AN:AN)</f>
        <v>0.62424242424242427</v>
      </c>
      <c r="AP141" s="23">
        <v>38.903509999999997</v>
      </c>
      <c r="AQ141" s="23">
        <v>-77.051809000000006</v>
      </c>
      <c r="AR141" s="23">
        <f>COUNTIF(Data!$P$2:$P$825,Data!$P141)</f>
        <v>8</v>
      </c>
      <c r="AS141" s="23" cm="1">
        <f t="array" ref="AS141">_xlfn.IFS(Data!$E141&lt;12,((Data!$E141/Data!$D141)*60)*1,AND(Data!$E141&gt;=12,Data!$E141&lt;=15),((Data!$E141/Data!$D141)*60)*1.2,AND(Data!$E141&gt;=16,Data!$E141&lt;=19),((Data!$E141/Data!$D141)*60)*1.5,Data!$E141&gt;=20,((Data!$E141/Data!$D141)*60)*1.8)</f>
        <v>27.739726027397261</v>
      </c>
      <c r="AT141" s="23" cm="1">
        <f t="array" ref="AT141">_xlfn.IFS(Data!$F141&lt;600,((Data!$F141/Data!$D141)*60)*1,AND(Data!$F141&gt;=600,Data!$F141&lt;=625),((Data!$F141/Data!$D141)*60)*1.2,AND(Data!$F141&gt;=626,Data!$F141&lt;=650),((Data!$F141/Data!$D141)*60)*1.5,Data!$F141&gt;=651,((Data!$F141/Data!$D141)*60)*1.8)</f>
        <v>600</v>
      </c>
      <c r="AU141" s="23">
        <f>(Data!$I141*-1.2)+(Data!$J141*-1.1)+(Data!$K141*1.2)+(Data!$L141*1.3)+(Data!$M141*1.5)</f>
        <v>0.57500000079999936</v>
      </c>
      <c r="AV141" s="23">
        <f>(Data!$AS141*0.4)+(Data!$AT141*0.4)+(Data!$AU141*0.2)</f>
        <v>251.2108904111189</v>
      </c>
      <c r="AW141" s="23">
        <f>PERCENTRANK(AV:AV,Data!$AV141)*100</f>
        <v>17.599999999999998</v>
      </c>
      <c r="AX141" s="23" t="str">
        <f>_xlfn.CONCAT(TEXT(C141,"mmm"),"-",Data!$AE141)</f>
        <v>Mar-2020</v>
      </c>
    </row>
    <row r="142" spans="1:50" ht="17" thickTop="1" thickBot="1" x14ac:dyDescent="0.25">
      <c r="A142" s="28">
        <v>141</v>
      </c>
      <c r="B142" s="29">
        <f t="shared" si="18"/>
        <v>8</v>
      </c>
      <c r="C142" s="41">
        <v>43900</v>
      </c>
      <c r="D142" s="30">
        <f>SUM(Data!$I142:$M142)</f>
        <v>58.933333333</v>
      </c>
      <c r="E142" s="29">
        <v>7</v>
      </c>
      <c r="F142" s="29">
        <v>570</v>
      </c>
      <c r="G142" s="29">
        <v>118</v>
      </c>
      <c r="H142" s="29">
        <v>162</v>
      </c>
      <c r="I142" s="29">
        <v>20.149999999999999</v>
      </c>
      <c r="J142" s="29">
        <v>12.3</v>
      </c>
      <c r="K142" s="29">
        <v>19.416666667000001</v>
      </c>
      <c r="L142" s="29">
        <v>6.983333333</v>
      </c>
      <c r="M142" s="29">
        <v>8.3333332999999996E-2</v>
      </c>
      <c r="N142" s="29" t="s">
        <v>40</v>
      </c>
      <c r="O142" s="29" t="s">
        <v>57</v>
      </c>
      <c r="P142" s="29" t="s">
        <v>90</v>
      </c>
      <c r="Q142" s="29">
        <f t="shared" si="24"/>
        <v>1</v>
      </c>
      <c r="R142" s="29" t="str">
        <f t="shared" si="19"/>
        <v>3-2020</v>
      </c>
      <c r="S142" s="29" t="s">
        <v>43</v>
      </c>
      <c r="T142" s="29" t="str">
        <f t="shared" si="20"/>
        <v>Tuesday</v>
      </c>
      <c r="U142" s="29">
        <f t="shared" si="21"/>
        <v>0</v>
      </c>
      <c r="V142" s="31">
        <f>IFERROR(Data!$I142/Data!$D142,"")</f>
        <v>0.3419117647078162</v>
      </c>
      <c r="W142" s="31">
        <f>IFERROR(Data!$J142/Data!$D142,"")</f>
        <v>0.20871040724099951</v>
      </c>
      <c r="X142" s="31">
        <f>IFERROR(Data!$K142/Data!$D142,"")</f>
        <v>0.32946832579937485</v>
      </c>
      <c r="Y142" s="31">
        <f>IFERROR(Data!$L142/Data!$D142,"")</f>
        <v>0.11849547510813628</v>
      </c>
      <c r="Z142" s="31">
        <f>IFERROR(Data!$M142/Data!$D142,"")</f>
        <v>1.4140271436731563E-3</v>
      </c>
      <c r="AA142" s="32">
        <v>232.14</v>
      </c>
      <c r="AB142" s="32">
        <f t="shared" si="17"/>
        <v>29.017499999999998</v>
      </c>
      <c r="AC142" s="29">
        <f t="shared" si="22"/>
        <v>589</v>
      </c>
      <c r="AD142" s="29">
        <f t="shared" si="23"/>
        <v>13</v>
      </c>
      <c r="AE142" s="29">
        <f>YEAR(Data!$C142)</f>
        <v>2020</v>
      </c>
      <c r="AF142" s="29"/>
      <c r="AG142" s="29">
        <v>12</v>
      </c>
      <c r="AH142" s="33">
        <f>Data!$F142/Data!$D142</f>
        <v>9.6719457014121719</v>
      </c>
      <c r="AI142" s="17" t="str">
        <f>RIGHT(Data!$O142,2)</f>
        <v>PM</v>
      </c>
      <c r="AJ142" s="29" t="str">
        <f>Data!$R142&amp;"-"&amp;WEEKNUM(Data!$C142,1)-WEEKNUM(DATE(YEAR(Data!$C142),MONTH(Data!$C142),1),1)+1</f>
        <v>3-2020-2</v>
      </c>
      <c r="AK142" s="29">
        <f>MONTH(Data!$C142)</f>
        <v>3</v>
      </c>
      <c r="AL142" s="29">
        <f>IFERROR(Data!$F142/Data!$E142,0)</f>
        <v>81.428571428571431</v>
      </c>
      <c r="AM142" s="29">
        <f>COUNTIF(Data!$N$2:$N$825,Data!$N142)</f>
        <v>38</v>
      </c>
      <c r="AN142" s="29" t="str">
        <f>VLOOKUP(Data!$N142,'Helpful Tables'!A:D,4,FALSE)</f>
        <v>Washington, DC</v>
      </c>
      <c r="AO142" s="29">
        <f>COUNTIF(AN:AN,Data!$AN142)/COUNTA(AN:AN)</f>
        <v>0.62424242424242427</v>
      </c>
      <c r="AP142" s="29">
        <v>38.903509999999997</v>
      </c>
      <c r="AQ142" s="29">
        <v>-77.051809000000006</v>
      </c>
      <c r="AR142" s="29">
        <f>COUNTIF(Data!$P$2:$P$825,Data!$P142)</f>
        <v>1</v>
      </c>
      <c r="AS142" s="29" cm="1">
        <f t="array" ref="AS142">_xlfn.IFS(Data!$E142&lt;12,((Data!$E142/Data!$D142)*60)*1,AND(Data!$E142&gt;=12,Data!$E142&lt;=15),((Data!$E142/Data!$D142)*60)*1.2,AND(Data!$E142&gt;=16,Data!$E142&lt;=19),((Data!$E142/Data!$D142)*60)*1.5,Data!$E142&gt;=20,((Data!$E142/Data!$D142)*60)*1.8)</f>
        <v>7.1266968326194942</v>
      </c>
      <c r="AT142" s="29" cm="1">
        <f t="array" ref="AT142">_xlfn.IFS(Data!$F142&lt;600,((Data!$F142/Data!$D142)*60)*1,AND(Data!$F142&gt;=600,Data!$F142&lt;=625),((Data!$F142/Data!$D142)*60)*1.2,AND(Data!$F142&gt;=626,Data!$F142&lt;=650),((Data!$F142/Data!$D142)*60)*1.5,Data!$F142&gt;=651,((Data!$F142/Data!$D142)*60)*1.8)</f>
        <v>580.31674208473032</v>
      </c>
      <c r="AU142" s="29">
        <f>(Data!$I142*-1.2)+(Data!$J142*-1.1)+(Data!$K142*1.2)+(Data!$L142*1.3)+(Data!$M142*1.5)</f>
        <v>-5.2066666671999933</v>
      </c>
      <c r="AV142" s="29">
        <f>(Data!$AS142*0.4)+(Data!$AT142*0.4)+(Data!$AU142*0.2)</f>
        <v>233.93604223349993</v>
      </c>
      <c r="AW142" s="29">
        <f>PERCENTRANK(AV:AV,Data!$AV142)*100</f>
        <v>8.9</v>
      </c>
      <c r="AX142" s="29" t="str">
        <f>_xlfn.CONCAT(TEXT(C142,"mmm"),"-",Data!$AE142)</f>
        <v>Mar-2020</v>
      </c>
    </row>
    <row r="143" spans="1:50" ht="17" thickTop="1" thickBot="1" x14ac:dyDescent="0.25">
      <c r="A143" s="22">
        <v>142</v>
      </c>
      <c r="B143" s="23">
        <f t="shared" si="18"/>
        <v>8</v>
      </c>
      <c r="C143" s="41">
        <v>43902</v>
      </c>
      <c r="D143" s="24">
        <f>SUM(Data!$I143:$M143)</f>
        <v>59.483333334000001</v>
      </c>
      <c r="E143" s="23">
        <v>14</v>
      </c>
      <c r="F143" s="23">
        <v>576</v>
      </c>
      <c r="G143" s="23">
        <v>118</v>
      </c>
      <c r="H143" s="23">
        <v>169</v>
      </c>
      <c r="I143" s="23">
        <v>25.166666667000001</v>
      </c>
      <c r="J143" s="23">
        <v>7.5666666669999998</v>
      </c>
      <c r="K143" s="23">
        <v>12.366666667000001</v>
      </c>
      <c r="L143" s="23">
        <v>13</v>
      </c>
      <c r="M143" s="23">
        <v>1.3833333329999999</v>
      </c>
      <c r="N143" s="23" t="s">
        <v>85</v>
      </c>
      <c r="O143" s="23" t="s">
        <v>57</v>
      </c>
      <c r="P143" s="23" t="s">
        <v>86</v>
      </c>
      <c r="Q143" s="23">
        <f t="shared" si="24"/>
        <v>2</v>
      </c>
      <c r="R143" s="23" t="str">
        <f t="shared" si="19"/>
        <v>3-2020</v>
      </c>
      <c r="S143" s="23" t="s">
        <v>48</v>
      </c>
      <c r="T143" s="23" t="str">
        <f t="shared" si="20"/>
        <v>Thursday</v>
      </c>
      <c r="U143" s="23">
        <f t="shared" si="21"/>
        <v>1</v>
      </c>
      <c r="V143" s="25">
        <f>IFERROR(Data!$I143/Data!$D143,"")</f>
        <v>0.42308769963661436</v>
      </c>
      <c r="W143" s="25">
        <f>IFERROR(Data!$J143/Data!$D143,"")</f>
        <v>0.12720650042446391</v>
      </c>
      <c r="X143" s="25">
        <f>IFERROR(Data!$K143/Data!$D143,"")</f>
        <v>0.20790137293686858</v>
      </c>
      <c r="Y143" s="25">
        <f>IFERROR(Data!$L143/Data!$D143,"")</f>
        <v>0.21854861305442927</v>
      </c>
      <c r="Z143" s="25">
        <f>IFERROR(Data!$M143/Data!$D143,"")</f>
        <v>2.3255813947623917E-2</v>
      </c>
      <c r="AA143" s="26">
        <v>232.14</v>
      </c>
      <c r="AB143" s="26">
        <f t="shared" si="17"/>
        <v>29.017499999999998</v>
      </c>
      <c r="AC143" s="23">
        <f t="shared" si="22"/>
        <v>589</v>
      </c>
      <c r="AD143" s="23">
        <f t="shared" si="23"/>
        <v>13</v>
      </c>
      <c r="AE143" s="23">
        <f>YEAR(Data!$C143)</f>
        <v>2020</v>
      </c>
      <c r="AF143" s="23"/>
      <c r="AG143" s="23">
        <v>12</v>
      </c>
      <c r="AH143" s="27">
        <f>Data!$F143/Data!$D143</f>
        <v>9.6833847014885581</v>
      </c>
      <c r="AI143" s="17" t="str">
        <f>RIGHT(Data!$O143,2)</f>
        <v>PM</v>
      </c>
      <c r="AJ143" s="23" t="str">
        <f>Data!$R143&amp;"-"&amp;WEEKNUM(Data!$C143,1)-WEEKNUM(DATE(YEAR(Data!$C143),MONTH(Data!$C143),1),1)+1</f>
        <v>3-2020-2</v>
      </c>
      <c r="AK143" s="23">
        <f>MONTH(Data!$C143)</f>
        <v>3</v>
      </c>
      <c r="AL143" s="23">
        <f>IFERROR(Data!$F143/Data!$E143,0)</f>
        <v>41.142857142857146</v>
      </c>
      <c r="AM143" s="23">
        <f>COUNTIF(Data!$N$2:$N$825,Data!$N143)</f>
        <v>4</v>
      </c>
      <c r="AN143" s="23" t="str">
        <f>VLOOKUP(Data!$N143,'Helpful Tables'!A:D,4,FALSE)</f>
        <v>Washington, DC</v>
      </c>
      <c r="AO143" s="23">
        <f>COUNTIF(AN:AN,Data!$AN143)/COUNTA(AN:AN)</f>
        <v>0.62424242424242427</v>
      </c>
      <c r="AP143" s="23">
        <v>38.915415000000003</v>
      </c>
      <c r="AQ143" s="23">
        <v>-77.067172999999997</v>
      </c>
      <c r="AR143" s="23">
        <f>COUNTIF(Data!$P$2:$P$825,Data!$P143)</f>
        <v>3</v>
      </c>
      <c r="AS143" s="23" cm="1">
        <f t="array" ref="AS143">_xlfn.IFS(Data!$E143&lt;12,((Data!$E143/Data!$D143)*60)*1,AND(Data!$E143&gt;=12,Data!$E143&lt;=15),((Data!$E143/Data!$D143)*60)*1.2,AND(Data!$E143&gt;=16,Data!$E143&lt;=19),((Data!$E143/Data!$D143)*60)*1.5,Data!$E143&gt;=20,((Data!$E143/Data!$D143)*60)*1.8)</f>
        <v>16.945923227604975</v>
      </c>
      <c r="AT143" s="23" cm="1">
        <f t="array" ref="AT143">_xlfn.IFS(Data!$F143&lt;600,((Data!$F143/Data!$D143)*60)*1,AND(Data!$F143&gt;=600,Data!$F143&lt;=625),((Data!$F143/Data!$D143)*60)*1.2,AND(Data!$F143&gt;=626,Data!$F143&lt;=650),((Data!$F143/Data!$D143)*60)*1.5,Data!$F143&gt;=651,((Data!$F143/Data!$D143)*60)*1.8)</f>
        <v>581.00308208931347</v>
      </c>
      <c r="AU143" s="23">
        <f>(Data!$I143*-1.2)+(Data!$J143*-1.1)+(Data!$K143*1.2)+(Data!$L143*1.3)+(Data!$M143*1.5)</f>
        <v>-4.7083333341999998</v>
      </c>
      <c r="AV143" s="23">
        <f>(Data!$AS143*0.4)+(Data!$AT143*0.4)+(Data!$AU143*0.2)</f>
        <v>238.2379354599274</v>
      </c>
      <c r="AW143" s="23">
        <f>PERCENTRANK(AV:AV,Data!$AV143)*100</f>
        <v>11.200000000000001</v>
      </c>
      <c r="AX143" s="23" t="str">
        <f>_xlfn.CONCAT(TEXT(C143,"mmm"),"-",Data!$AE143)</f>
        <v>Mar-2020</v>
      </c>
    </row>
    <row r="144" spans="1:50" ht="17" thickTop="1" thickBot="1" x14ac:dyDescent="0.25">
      <c r="A144" s="28">
        <v>143</v>
      </c>
      <c r="B144" s="29">
        <f t="shared" si="18"/>
        <v>8</v>
      </c>
      <c r="C144" s="41">
        <v>43904</v>
      </c>
      <c r="D144" s="30">
        <f>SUM(Data!$I144:$M144)</f>
        <v>56.233333332999997</v>
      </c>
      <c r="E144" s="29">
        <v>0</v>
      </c>
      <c r="F144" s="29">
        <v>525</v>
      </c>
      <c r="G144" s="29">
        <v>116</v>
      </c>
      <c r="H144" s="29">
        <v>146</v>
      </c>
      <c r="I144" s="29">
        <v>16.633333332999999</v>
      </c>
      <c r="J144" s="29">
        <v>20.266666666999999</v>
      </c>
      <c r="K144" s="29">
        <v>19.333333332999999</v>
      </c>
      <c r="L144" s="29">
        <v>0</v>
      </c>
      <c r="M144" s="29">
        <v>0</v>
      </c>
      <c r="N144" s="29" t="s">
        <v>91</v>
      </c>
      <c r="O144" s="29" t="s">
        <v>93</v>
      </c>
      <c r="P144" s="29" t="s">
        <v>92</v>
      </c>
      <c r="Q144" s="29">
        <f t="shared" si="24"/>
        <v>2</v>
      </c>
      <c r="R144" s="29" t="str">
        <f t="shared" si="19"/>
        <v>3-2020</v>
      </c>
      <c r="S144" s="29" t="s">
        <v>43</v>
      </c>
      <c r="T144" s="29" t="str">
        <f t="shared" si="20"/>
        <v>Saturday</v>
      </c>
      <c r="U144" s="29">
        <f t="shared" si="21"/>
        <v>0</v>
      </c>
      <c r="V144" s="31">
        <f>IFERROR(Data!$I144/Data!$D144,"")</f>
        <v>0.29579134557970238</v>
      </c>
      <c r="W144" s="31">
        <f>IFERROR(Data!$J144/Data!$D144,"")</f>
        <v>0.36040308240284769</v>
      </c>
      <c r="X144" s="31">
        <f>IFERROR(Data!$K144/Data!$D144,"")</f>
        <v>0.34380557201744993</v>
      </c>
      <c r="Y144" s="31">
        <f>IFERROR(Data!$L144/Data!$D144,"")</f>
        <v>0</v>
      </c>
      <c r="Z144" s="31">
        <f>IFERROR(Data!$M144/Data!$D144,"")</f>
        <v>0</v>
      </c>
      <c r="AA144" s="32">
        <v>232.14</v>
      </c>
      <c r="AB144" s="32">
        <f t="shared" ref="AB144:AB207" si="25">AA144/B144</f>
        <v>29.017499999999998</v>
      </c>
      <c r="AC144" s="29">
        <f t="shared" si="22"/>
        <v>589</v>
      </c>
      <c r="AD144" s="29">
        <f t="shared" si="23"/>
        <v>13</v>
      </c>
      <c r="AE144" s="29">
        <f>YEAR(Data!$C144)</f>
        <v>2020</v>
      </c>
      <c r="AF144" s="29"/>
      <c r="AG144" s="29">
        <v>12</v>
      </c>
      <c r="AH144" s="33">
        <f>Data!$F144/Data!$D144</f>
        <v>9.3360995851175819</v>
      </c>
      <c r="AI144" s="17" t="str">
        <f>RIGHT(Data!$O144,2)</f>
        <v>AM</v>
      </c>
      <c r="AJ144" s="29" t="str">
        <f>Data!$R144&amp;"-"&amp;WEEKNUM(Data!$C144,1)-WEEKNUM(DATE(YEAR(Data!$C144),MONTH(Data!$C144),1),1)+1</f>
        <v>3-2020-2</v>
      </c>
      <c r="AK144" s="29">
        <f>MONTH(Data!$C144)</f>
        <v>3</v>
      </c>
      <c r="AL144" s="29">
        <f>IFERROR(Data!$F144/Data!$E144,0)</f>
        <v>0</v>
      </c>
      <c r="AM144" s="29">
        <f>COUNTIF(Data!$N$2:$N$825,Data!$N144)</f>
        <v>218</v>
      </c>
      <c r="AN144" s="29" t="str">
        <f>VLOOKUP(Data!$N144,'Helpful Tables'!A:D,4,FALSE)</f>
        <v>Washington, DC</v>
      </c>
      <c r="AO144" s="29">
        <f>COUNTIF(AN:AN,Data!$AN144)/COUNTA(AN:AN)</f>
        <v>0.62424242424242427</v>
      </c>
      <c r="AP144" s="29">
        <v>38.934710000000003</v>
      </c>
      <c r="AQ144" s="29">
        <v>-77.058222999999998</v>
      </c>
      <c r="AR144" s="29">
        <f>COUNTIF(Data!$P$2:$P$825,Data!$P144)</f>
        <v>1</v>
      </c>
      <c r="AS144" s="29" cm="1">
        <f t="array" ref="AS144">_xlfn.IFS(Data!$E144&lt;12,((Data!$E144/Data!$D144)*60)*1,AND(Data!$E144&gt;=12,Data!$E144&lt;=15),((Data!$E144/Data!$D144)*60)*1.2,AND(Data!$E144&gt;=16,Data!$E144&lt;=19),((Data!$E144/Data!$D144)*60)*1.5,Data!$E144&gt;=20,((Data!$E144/Data!$D144)*60)*1.8)</f>
        <v>0</v>
      </c>
      <c r="AT144" s="29" cm="1">
        <f t="array" ref="AT144">_xlfn.IFS(Data!$F144&lt;600,((Data!$F144/Data!$D144)*60)*1,AND(Data!$F144&gt;=600,Data!$F144&lt;=625),((Data!$F144/Data!$D144)*60)*1.2,AND(Data!$F144&gt;=626,Data!$F144&lt;=650),((Data!$F144/Data!$D144)*60)*1.5,Data!$F144&gt;=651,((Data!$F144/Data!$D144)*60)*1.8)</f>
        <v>560.16597510705492</v>
      </c>
      <c r="AU144" s="29">
        <f>(Data!$I144*-1.2)+(Data!$J144*-1.1)+(Data!$K144*1.2)+(Data!$L144*1.3)+(Data!$M144*1.5)</f>
        <v>-19.053333333699999</v>
      </c>
      <c r="AV144" s="29">
        <f>(Data!$AS144*0.4)+(Data!$AT144*0.4)+(Data!$AU144*0.2)</f>
        <v>220.25572337608199</v>
      </c>
      <c r="AW144" s="29">
        <f>PERCENTRANK(AV:AV,Data!$AV144)*100</f>
        <v>3.9</v>
      </c>
      <c r="AX144" s="29" t="str">
        <f>_xlfn.CONCAT(TEXT(C144,"mmm"),"-",Data!$AE144)</f>
        <v>Mar-2020</v>
      </c>
    </row>
    <row r="145" spans="1:50" ht="17" thickTop="1" thickBot="1" x14ac:dyDescent="0.25">
      <c r="A145" s="22">
        <v>144</v>
      </c>
      <c r="B145" s="23">
        <f t="shared" si="18"/>
        <v>5</v>
      </c>
      <c r="C145" s="41">
        <v>44341</v>
      </c>
      <c r="D145" s="24">
        <f>SUM(Data!$I145:$M145)</f>
        <v>56</v>
      </c>
      <c r="E145" s="23">
        <v>15</v>
      </c>
      <c r="F145" s="23">
        <v>645</v>
      </c>
      <c r="G145" s="23">
        <v>130</v>
      </c>
      <c r="H145" s="23">
        <v>170</v>
      </c>
      <c r="I145" s="23">
        <v>10</v>
      </c>
      <c r="J145" s="23">
        <v>14</v>
      </c>
      <c r="K145" s="23">
        <v>17</v>
      </c>
      <c r="L145" s="23">
        <v>11</v>
      </c>
      <c r="M145" s="23">
        <v>4</v>
      </c>
      <c r="N145" s="23" t="s">
        <v>91</v>
      </c>
      <c r="O145" s="23" t="s">
        <v>39</v>
      </c>
      <c r="P145" s="23" t="s">
        <v>94</v>
      </c>
      <c r="Q145" s="23">
        <f t="shared" si="24"/>
        <v>437</v>
      </c>
      <c r="R145" s="23" t="str">
        <f t="shared" si="19"/>
        <v>5-2021</v>
      </c>
      <c r="S145" s="23" t="s">
        <v>95</v>
      </c>
      <c r="T145" s="23" t="str">
        <f t="shared" si="20"/>
        <v>Tuesday</v>
      </c>
      <c r="U145" s="23">
        <f t="shared" si="21"/>
        <v>1</v>
      </c>
      <c r="V145" s="25">
        <f>IFERROR(Data!$I145/Data!$D145,"")</f>
        <v>0.17857142857142858</v>
      </c>
      <c r="W145" s="25">
        <f>IFERROR(Data!$J145/Data!$D145,"")</f>
        <v>0.25</v>
      </c>
      <c r="X145" s="25">
        <f>IFERROR(Data!$K145/Data!$D145,"")</f>
        <v>0.30357142857142855</v>
      </c>
      <c r="Y145" s="25">
        <f>IFERROR(Data!$L145/Data!$D145,"")</f>
        <v>0.19642857142857142</v>
      </c>
      <c r="Z145" s="25">
        <f>IFERROR(Data!$M145/Data!$D145,"")</f>
        <v>7.1428571428571425E-2</v>
      </c>
      <c r="AA145" s="26">
        <v>71.327741935000006</v>
      </c>
      <c r="AB145" s="26">
        <f t="shared" si="25"/>
        <v>14.265548387000001</v>
      </c>
      <c r="AC145" s="23">
        <f t="shared" si="22"/>
        <v>657.6</v>
      </c>
      <c r="AD145" s="23">
        <f t="shared" si="23"/>
        <v>14.4</v>
      </c>
      <c r="AE145" s="23">
        <f>YEAR(Data!$C145)</f>
        <v>2021</v>
      </c>
      <c r="AF145" s="23">
        <v>83.74</v>
      </c>
      <c r="AG145" s="23">
        <v>3</v>
      </c>
      <c r="AH145" s="27">
        <f>Data!$F145/Data!$D145</f>
        <v>11.517857142857142</v>
      </c>
      <c r="AI145" s="17" t="str">
        <f>RIGHT(Data!$O145,2)</f>
        <v>PM</v>
      </c>
      <c r="AJ145" s="23" t="str">
        <f>Data!$R145&amp;"-"&amp;WEEKNUM(Data!$C145,1)-WEEKNUM(DATE(YEAR(Data!$C145),MONTH(Data!$C145),1),1)+1</f>
        <v>5-2021-5</v>
      </c>
      <c r="AK145" s="23">
        <f>MONTH(Data!$C145)</f>
        <v>5</v>
      </c>
      <c r="AL145" s="23">
        <f>IFERROR(Data!$F145/Data!$E145,0)</f>
        <v>43</v>
      </c>
      <c r="AM145" s="23">
        <f>COUNTIF(Data!$N$2:$N$825,Data!$N145)</f>
        <v>218</v>
      </c>
      <c r="AN145" s="23" t="str">
        <f>VLOOKUP(Data!$N145,'Helpful Tables'!A:D,4,FALSE)</f>
        <v>Washington, DC</v>
      </c>
      <c r="AO145" s="23">
        <f>COUNTIF(AN:AN,Data!$AN145)/COUNTA(AN:AN)</f>
        <v>0.62424242424242427</v>
      </c>
      <c r="AP145" s="23">
        <v>38.934710000000003</v>
      </c>
      <c r="AQ145" s="23">
        <v>-77.058222999999998</v>
      </c>
      <c r="AR145" s="23">
        <f>COUNTIF(Data!$P$2:$P$825,Data!$P145)</f>
        <v>15</v>
      </c>
      <c r="AS145" s="23" cm="1">
        <f t="array" ref="AS145">_xlfn.IFS(Data!$E145&lt;12,((Data!$E145/Data!$D145)*60)*1,AND(Data!$E145&gt;=12,Data!$E145&lt;=15),((Data!$E145/Data!$D145)*60)*1.2,AND(Data!$E145&gt;=16,Data!$E145&lt;=19),((Data!$E145/Data!$D145)*60)*1.5,Data!$E145&gt;=20,((Data!$E145/Data!$D145)*60)*1.8)</f>
        <v>19.285714285714281</v>
      </c>
      <c r="AT145" s="23" cm="1">
        <f t="array" ref="AT145">_xlfn.IFS(Data!$F145&lt;600,((Data!$F145/Data!$D145)*60)*1,AND(Data!$F145&gt;=600,Data!$F145&lt;=625),((Data!$F145/Data!$D145)*60)*1.2,AND(Data!$F145&gt;=626,Data!$F145&lt;=650),((Data!$F145/Data!$D145)*60)*1.5,Data!$F145&gt;=651,((Data!$F145/Data!$D145)*60)*1.8)</f>
        <v>1036.6071428571429</v>
      </c>
      <c r="AU145" s="23">
        <f>(Data!$I145*-1.2)+(Data!$J145*-1.1)+(Data!$K145*1.2)+(Data!$L145*1.3)+(Data!$M145*1.5)</f>
        <v>13.299999999999997</v>
      </c>
      <c r="AV145" s="23">
        <f>(Data!$AS145*0.4)+(Data!$AT145*0.4)+(Data!$AU145*0.2)</f>
        <v>425.01714285714291</v>
      </c>
      <c r="AW145" s="23">
        <f>PERCENTRANK(AV:AV,Data!$AV145)*100</f>
        <v>62.9</v>
      </c>
      <c r="AX145" s="23" t="str">
        <f>_xlfn.CONCAT(TEXT(C145,"mmm"),"-",Data!$AE145)</f>
        <v>May-2021</v>
      </c>
    </row>
    <row r="146" spans="1:50" ht="17" thickTop="1" thickBot="1" x14ac:dyDescent="0.25">
      <c r="A146" s="28">
        <v>145</v>
      </c>
      <c r="B146" s="29">
        <f t="shared" si="18"/>
        <v>5</v>
      </c>
      <c r="C146" s="41">
        <v>44342</v>
      </c>
      <c r="D146" s="30">
        <f>SUM(Data!$I146:$M146)</f>
        <v>57</v>
      </c>
      <c r="E146" s="29">
        <v>15</v>
      </c>
      <c r="F146" s="29">
        <v>656</v>
      </c>
      <c r="G146" s="29">
        <v>132</v>
      </c>
      <c r="H146" s="29">
        <v>168</v>
      </c>
      <c r="I146" s="29">
        <v>6</v>
      </c>
      <c r="J146" s="29">
        <v>11</v>
      </c>
      <c r="K146" s="29">
        <v>25</v>
      </c>
      <c r="L146" s="29">
        <v>11</v>
      </c>
      <c r="M146" s="29">
        <v>4</v>
      </c>
      <c r="N146" s="29" t="s">
        <v>91</v>
      </c>
      <c r="O146" s="29" t="s">
        <v>39</v>
      </c>
      <c r="P146" s="29" t="s">
        <v>96</v>
      </c>
      <c r="Q146" s="29">
        <f t="shared" si="24"/>
        <v>1</v>
      </c>
      <c r="R146" s="29" t="str">
        <f t="shared" si="19"/>
        <v>5-2021</v>
      </c>
      <c r="S146" s="29" t="s">
        <v>95</v>
      </c>
      <c r="T146" s="29" t="str">
        <f t="shared" si="20"/>
        <v>Wednesday</v>
      </c>
      <c r="U146" s="29">
        <f t="shared" si="21"/>
        <v>1</v>
      </c>
      <c r="V146" s="31">
        <f>IFERROR(Data!$I146/Data!$D146,"")</f>
        <v>0.10526315789473684</v>
      </c>
      <c r="W146" s="31">
        <f>IFERROR(Data!$J146/Data!$D146,"")</f>
        <v>0.19298245614035087</v>
      </c>
      <c r="X146" s="31">
        <f>IFERROR(Data!$K146/Data!$D146,"")</f>
        <v>0.43859649122807015</v>
      </c>
      <c r="Y146" s="31">
        <f>IFERROR(Data!$L146/Data!$D146,"")</f>
        <v>0.19298245614035087</v>
      </c>
      <c r="Z146" s="31">
        <f>IFERROR(Data!$M146/Data!$D146,"")</f>
        <v>7.0175438596491224E-2</v>
      </c>
      <c r="AA146" s="32">
        <v>71.327741935000006</v>
      </c>
      <c r="AB146" s="32">
        <f t="shared" si="25"/>
        <v>14.265548387000001</v>
      </c>
      <c r="AC146" s="29">
        <f t="shared" si="22"/>
        <v>657.6</v>
      </c>
      <c r="AD146" s="29">
        <f t="shared" si="23"/>
        <v>14.4</v>
      </c>
      <c r="AE146" s="29">
        <f>YEAR(Data!$C146)</f>
        <v>2021</v>
      </c>
      <c r="AF146" s="29"/>
      <c r="AG146" s="29">
        <v>3</v>
      </c>
      <c r="AH146" s="33">
        <f>Data!$F146/Data!$D146</f>
        <v>11.508771929824562</v>
      </c>
      <c r="AI146" s="17" t="str">
        <f>RIGHT(Data!$O146,2)</f>
        <v>PM</v>
      </c>
      <c r="AJ146" s="29" t="str">
        <f>Data!$R146&amp;"-"&amp;WEEKNUM(Data!$C146,1)-WEEKNUM(DATE(YEAR(Data!$C146),MONTH(Data!$C146),1),1)+1</f>
        <v>5-2021-5</v>
      </c>
      <c r="AK146" s="29">
        <f>MONTH(Data!$C146)</f>
        <v>5</v>
      </c>
      <c r="AL146" s="29">
        <f>IFERROR(Data!$F146/Data!$E146,0)</f>
        <v>43.733333333333334</v>
      </c>
      <c r="AM146" s="29">
        <f>COUNTIF(Data!$N$2:$N$825,Data!$N146)</f>
        <v>218</v>
      </c>
      <c r="AN146" s="29" t="str">
        <f>VLOOKUP(Data!$N146,'Helpful Tables'!A:D,4,FALSE)</f>
        <v>Washington, DC</v>
      </c>
      <c r="AO146" s="29">
        <f>COUNTIF(AN:AN,Data!$AN146)/COUNTA(AN:AN)</f>
        <v>0.62424242424242427</v>
      </c>
      <c r="AP146" s="29">
        <v>38.934710000000003</v>
      </c>
      <c r="AQ146" s="29">
        <v>-77.058222999999998</v>
      </c>
      <c r="AR146" s="29">
        <f>COUNTIF(Data!$P$2:$P$825,Data!$P146)</f>
        <v>71</v>
      </c>
      <c r="AS146" s="29" cm="1">
        <f t="array" ref="AS146">_xlfn.IFS(Data!$E146&lt;12,((Data!$E146/Data!$D146)*60)*1,AND(Data!$E146&gt;=12,Data!$E146&lt;=15),((Data!$E146/Data!$D146)*60)*1.2,AND(Data!$E146&gt;=16,Data!$E146&lt;=19),((Data!$E146/Data!$D146)*60)*1.5,Data!$E146&gt;=20,((Data!$E146/Data!$D146)*60)*1.8)</f>
        <v>18.94736842105263</v>
      </c>
      <c r="AT146" s="29" cm="1">
        <f t="array" ref="AT146">_xlfn.IFS(Data!$F146&lt;600,((Data!$F146/Data!$D146)*60)*1,AND(Data!$F146&gt;=600,Data!$F146&lt;=625),((Data!$F146/Data!$D146)*60)*1.2,AND(Data!$F146&gt;=626,Data!$F146&lt;=650),((Data!$F146/Data!$D146)*60)*1.5,Data!$F146&gt;=651,((Data!$F146/Data!$D146)*60)*1.8)</f>
        <v>1242.9473684210527</v>
      </c>
      <c r="AU146" s="29">
        <f>(Data!$I146*-1.2)+(Data!$J146*-1.1)+(Data!$K146*1.2)+(Data!$L146*1.3)+(Data!$M146*1.5)</f>
        <v>31</v>
      </c>
      <c r="AV146" s="29">
        <f>(Data!$AS146*0.4)+(Data!$AT146*0.4)+(Data!$AU146*0.2)</f>
        <v>510.95789473684215</v>
      </c>
      <c r="AW146" s="29">
        <f>PERCENTRANK(AV:AV,Data!$AV146)*100</f>
        <v>85</v>
      </c>
      <c r="AX146" s="29" t="str">
        <f>_xlfn.CONCAT(TEXT(C146,"mmm"),"-",Data!$AE146)</f>
        <v>May-2021</v>
      </c>
    </row>
    <row r="147" spans="1:50" ht="17" thickTop="1" thickBot="1" x14ac:dyDescent="0.25">
      <c r="A147" s="22">
        <v>146</v>
      </c>
      <c r="B147" s="23">
        <f t="shared" si="18"/>
        <v>5</v>
      </c>
      <c r="C147" s="41">
        <v>44344</v>
      </c>
      <c r="D147" s="24">
        <f>SUM(Data!$I147:$M147)</f>
        <v>55</v>
      </c>
      <c r="E147" s="23">
        <v>14</v>
      </c>
      <c r="F147" s="23">
        <v>609</v>
      </c>
      <c r="G147" s="23">
        <v>127</v>
      </c>
      <c r="H147" s="23">
        <v>167</v>
      </c>
      <c r="I147" s="23">
        <v>10</v>
      </c>
      <c r="J147" s="23">
        <v>16</v>
      </c>
      <c r="K147" s="23">
        <v>15</v>
      </c>
      <c r="L147" s="23">
        <v>12</v>
      </c>
      <c r="M147" s="23">
        <v>2</v>
      </c>
      <c r="N147" s="23" t="s">
        <v>91</v>
      </c>
      <c r="O147" s="23" t="s">
        <v>39</v>
      </c>
      <c r="P147" s="23" t="s">
        <v>97</v>
      </c>
      <c r="Q147" s="23">
        <f t="shared" si="24"/>
        <v>2</v>
      </c>
      <c r="R147" s="23" t="str">
        <f t="shared" si="19"/>
        <v>5-2021</v>
      </c>
      <c r="S147" s="23" t="s">
        <v>95</v>
      </c>
      <c r="T147" s="23" t="str">
        <f t="shared" si="20"/>
        <v>Friday</v>
      </c>
      <c r="U147" s="23">
        <f t="shared" si="21"/>
        <v>1</v>
      </c>
      <c r="V147" s="25">
        <f>IFERROR(Data!$I147/Data!$D147,"")</f>
        <v>0.18181818181818182</v>
      </c>
      <c r="W147" s="25">
        <f>IFERROR(Data!$J147/Data!$D147,"")</f>
        <v>0.29090909090909089</v>
      </c>
      <c r="X147" s="25">
        <f>IFERROR(Data!$K147/Data!$D147,"")</f>
        <v>0.27272727272727271</v>
      </c>
      <c r="Y147" s="25">
        <f>IFERROR(Data!$L147/Data!$D147,"")</f>
        <v>0.21818181818181817</v>
      </c>
      <c r="Z147" s="25">
        <f>IFERROR(Data!$M147/Data!$D147,"")</f>
        <v>3.6363636363636362E-2</v>
      </c>
      <c r="AA147" s="26">
        <v>71.327741935000006</v>
      </c>
      <c r="AB147" s="26">
        <f t="shared" si="25"/>
        <v>14.265548387000001</v>
      </c>
      <c r="AC147" s="23">
        <f t="shared" si="22"/>
        <v>657.6</v>
      </c>
      <c r="AD147" s="23">
        <f t="shared" si="23"/>
        <v>14.4</v>
      </c>
      <c r="AE147" s="23">
        <f>YEAR(Data!$C147)</f>
        <v>2021</v>
      </c>
      <c r="AF147" s="23"/>
      <c r="AG147" s="23">
        <v>3</v>
      </c>
      <c r="AH147" s="27">
        <f>Data!$F147/Data!$D147</f>
        <v>11.072727272727272</v>
      </c>
      <c r="AI147" s="17" t="str">
        <f>RIGHT(Data!$O147,2)</f>
        <v>PM</v>
      </c>
      <c r="AJ147" s="23" t="str">
        <f>Data!$R147&amp;"-"&amp;WEEKNUM(Data!$C147,1)-WEEKNUM(DATE(YEAR(Data!$C147),MONTH(Data!$C147),1),1)+1</f>
        <v>5-2021-5</v>
      </c>
      <c r="AK147" s="23">
        <f>MONTH(Data!$C147)</f>
        <v>5</v>
      </c>
      <c r="AL147" s="23">
        <f>IFERROR(Data!$F147/Data!$E147,0)</f>
        <v>43.5</v>
      </c>
      <c r="AM147" s="23">
        <f>COUNTIF(Data!$N$2:$N$825,Data!$N147)</f>
        <v>218</v>
      </c>
      <c r="AN147" s="23" t="str">
        <f>VLOOKUP(Data!$N147,'Helpful Tables'!A:D,4,FALSE)</f>
        <v>Washington, DC</v>
      </c>
      <c r="AO147" s="23">
        <f>COUNTIF(AN:AN,Data!$AN147)/COUNTA(AN:AN)</f>
        <v>0.62424242424242427</v>
      </c>
      <c r="AP147" s="23">
        <v>38.934710000000003</v>
      </c>
      <c r="AQ147" s="23">
        <v>-77.058222999999998</v>
      </c>
      <c r="AR147" s="23">
        <f>COUNTIF(Data!$P$2:$P$825,Data!$P147)</f>
        <v>14</v>
      </c>
      <c r="AS147" s="23" cm="1">
        <f t="array" ref="AS147">_xlfn.IFS(Data!$E147&lt;12,((Data!$E147/Data!$D147)*60)*1,AND(Data!$E147&gt;=12,Data!$E147&lt;=15),((Data!$E147/Data!$D147)*60)*1.2,AND(Data!$E147&gt;=16,Data!$E147&lt;=19),((Data!$E147/Data!$D147)*60)*1.5,Data!$E147&gt;=20,((Data!$E147/Data!$D147)*60)*1.8)</f>
        <v>18.327272727272724</v>
      </c>
      <c r="AT147" s="23" cm="1">
        <f t="array" ref="AT147">_xlfn.IFS(Data!$F147&lt;600,((Data!$F147/Data!$D147)*60)*1,AND(Data!$F147&gt;=600,Data!$F147&lt;=625),((Data!$F147/Data!$D147)*60)*1.2,AND(Data!$F147&gt;=626,Data!$F147&lt;=650),((Data!$F147/Data!$D147)*60)*1.5,Data!$F147&gt;=651,((Data!$F147/Data!$D147)*60)*1.8)</f>
        <v>797.23636363636365</v>
      </c>
      <c r="AU147" s="23">
        <f>(Data!$I147*-1.2)+(Data!$J147*-1.1)+(Data!$K147*1.2)+(Data!$L147*1.3)+(Data!$M147*1.5)</f>
        <v>7</v>
      </c>
      <c r="AV147" s="23">
        <f>(Data!$AS147*0.4)+(Data!$AT147*0.4)+(Data!$AU147*0.2)</f>
        <v>327.62545454545455</v>
      </c>
      <c r="AW147" s="23">
        <f>PERCENTRANK(AV:AV,Data!$AV147)*100</f>
        <v>40.699999999999996</v>
      </c>
      <c r="AX147" s="23" t="str">
        <f>_xlfn.CONCAT(TEXT(C147,"mmm"),"-",Data!$AE147)</f>
        <v>May-2021</v>
      </c>
    </row>
    <row r="148" spans="1:50" ht="17" thickTop="1" thickBot="1" x14ac:dyDescent="0.25">
      <c r="A148" s="28">
        <v>147</v>
      </c>
      <c r="B148" s="29">
        <f t="shared" si="18"/>
        <v>5</v>
      </c>
      <c r="C148" s="41">
        <v>44346</v>
      </c>
      <c r="D148" s="30">
        <f>SUM(Data!$I148:$M148)</f>
        <v>59</v>
      </c>
      <c r="E148" s="29">
        <v>9</v>
      </c>
      <c r="F148" s="29">
        <v>696</v>
      </c>
      <c r="G148" s="29">
        <v>131</v>
      </c>
      <c r="H148" s="29">
        <v>170</v>
      </c>
      <c r="I148" s="29">
        <v>5</v>
      </c>
      <c r="J148" s="29">
        <v>11</v>
      </c>
      <c r="K148" s="29">
        <v>34</v>
      </c>
      <c r="L148" s="29">
        <v>8</v>
      </c>
      <c r="M148" s="29">
        <v>1</v>
      </c>
      <c r="N148" s="29" t="s">
        <v>91</v>
      </c>
      <c r="O148" s="29" t="s">
        <v>45</v>
      </c>
      <c r="P148" s="29" t="s">
        <v>98</v>
      </c>
      <c r="Q148" s="29">
        <f t="shared" si="24"/>
        <v>2</v>
      </c>
      <c r="R148" s="29" t="str">
        <f t="shared" si="19"/>
        <v>5-2021</v>
      </c>
      <c r="S148" s="29" t="s">
        <v>95</v>
      </c>
      <c r="T148" s="29" t="str">
        <f t="shared" si="20"/>
        <v>Sunday</v>
      </c>
      <c r="U148" s="29">
        <f t="shared" si="21"/>
        <v>0</v>
      </c>
      <c r="V148" s="31">
        <f>IFERROR(Data!$I148/Data!$D148,"")</f>
        <v>8.4745762711864403E-2</v>
      </c>
      <c r="W148" s="31">
        <f>IFERROR(Data!$J148/Data!$D148,"")</f>
        <v>0.1864406779661017</v>
      </c>
      <c r="X148" s="31">
        <f>IFERROR(Data!$K148/Data!$D148,"")</f>
        <v>0.57627118644067798</v>
      </c>
      <c r="Y148" s="31">
        <f>IFERROR(Data!$L148/Data!$D148,"")</f>
        <v>0.13559322033898305</v>
      </c>
      <c r="Z148" s="31">
        <f>IFERROR(Data!$M148/Data!$D148,"")</f>
        <v>1.6949152542372881E-2</v>
      </c>
      <c r="AA148" s="32">
        <v>71.327741935000006</v>
      </c>
      <c r="AB148" s="32">
        <f t="shared" si="25"/>
        <v>14.265548387000001</v>
      </c>
      <c r="AC148" s="29">
        <f t="shared" si="22"/>
        <v>657.6</v>
      </c>
      <c r="AD148" s="29">
        <f t="shared" si="23"/>
        <v>14.4</v>
      </c>
      <c r="AE148" s="29">
        <f>YEAR(Data!$C148)</f>
        <v>2021</v>
      </c>
      <c r="AF148" s="29"/>
      <c r="AG148" s="29">
        <v>3</v>
      </c>
      <c r="AH148" s="33">
        <f>Data!$F148/Data!$D148</f>
        <v>11.796610169491526</v>
      </c>
      <c r="AI148" s="17" t="str">
        <f>RIGHT(Data!$O148,2)</f>
        <v>AM</v>
      </c>
      <c r="AJ148" s="29" t="str">
        <f>Data!$R148&amp;"-"&amp;WEEKNUM(Data!$C148,1)-WEEKNUM(DATE(YEAR(Data!$C148),MONTH(Data!$C148),1),1)+1</f>
        <v>5-2021-6</v>
      </c>
      <c r="AK148" s="29">
        <f>MONTH(Data!$C148)</f>
        <v>5</v>
      </c>
      <c r="AL148" s="29">
        <f>IFERROR(Data!$F148/Data!$E148,0)</f>
        <v>77.333333333333329</v>
      </c>
      <c r="AM148" s="29">
        <f>COUNTIF(Data!$N$2:$N$825,Data!$N148)</f>
        <v>218</v>
      </c>
      <c r="AN148" s="29" t="str">
        <f>VLOOKUP(Data!$N148,'Helpful Tables'!A:D,4,FALSE)</f>
        <v>Washington, DC</v>
      </c>
      <c r="AO148" s="29">
        <f>COUNTIF(AN:AN,Data!$AN148)/COUNTA(AN:AN)</f>
        <v>0.62424242424242427</v>
      </c>
      <c r="AP148" s="29">
        <v>38.934710000000003</v>
      </c>
      <c r="AQ148" s="29">
        <v>-77.058222999999998</v>
      </c>
      <c r="AR148" s="29">
        <f>COUNTIF(Data!$P$2:$P$825,Data!$P148)</f>
        <v>28</v>
      </c>
      <c r="AS148" s="29" cm="1">
        <f t="array" ref="AS148">_xlfn.IFS(Data!$E148&lt;12,((Data!$E148/Data!$D148)*60)*1,AND(Data!$E148&gt;=12,Data!$E148&lt;=15),((Data!$E148/Data!$D148)*60)*1.2,AND(Data!$E148&gt;=16,Data!$E148&lt;=19),((Data!$E148/Data!$D148)*60)*1.5,Data!$E148&gt;=20,((Data!$E148/Data!$D148)*60)*1.8)</f>
        <v>9.1525423728813564</v>
      </c>
      <c r="AT148" s="29" cm="1">
        <f t="array" ref="AT148">_xlfn.IFS(Data!$F148&lt;600,((Data!$F148/Data!$D148)*60)*1,AND(Data!$F148&gt;=600,Data!$F148&lt;=625),((Data!$F148/Data!$D148)*60)*1.2,AND(Data!$F148&gt;=626,Data!$F148&lt;=650),((Data!$F148/Data!$D148)*60)*1.5,Data!$F148&gt;=651,((Data!$F148/Data!$D148)*60)*1.8)</f>
        <v>1274.0338983050849</v>
      </c>
      <c r="AU148" s="29">
        <f>(Data!$I148*-1.2)+(Data!$J148*-1.1)+(Data!$K148*1.2)+(Data!$L148*1.3)+(Data!$M148*1.5)</f>
        <v>34.599999999999994</v>
      </c>
      <c r="AV148" s="29">
        <f>(Data!$AS148*0.4)+(Data!$AT148*0.4)+(Data!$AU148*0.2)</f>
        <v>520.19457627118652</v>
      </c>
      <c r="AW148" s="29">
        <f>PERCENTRANK(AV:AV,Data!$AV148)*100</f>
        <v>89.4</v>
      </c>
      <c r="AX148" s="29" t="str">
        <f>_xlfn.CONCAT(TEXT(C148,"mmm"),"-",Data!$AE148)</f>
        <v>May-2021</v>
      </c>
    </row>
    <row r="149" spans="1:50" ht="17" thickTop="1" thickBot="1" x14ac:dyDescent="0.25">
      <c r="A149" s="22">
        <v>148</v>
      </c>
      <c r="B149" s="23">
        <f t="shared" si="18"/>
        <v>5</v>
      </c>
      <c r="C149" s="41">
        <v>44347</v>
      </c>
      <c r="D149" s="24">
        <f>SUM(Data!$I149:$M149)</f>
        <v>56</v>
      </c>
      <c r="E149" s="23">
        <v>19</v>
      </c>
      <c r="F149" s="23">
        <v>682</v>
      </c>
      <c r="G149" s="23">
        <v>136</v>
      </c>
      <c r="H149" s="23">
        <v>167</v>
      </c>
      <c r="I149" s="23">
        <v>4</v>
      </c>
      <c r="J149" s="23">
        <v>10</v>
      </c>
      <c r="K149" s="23">
        <v>23</v>
      </c>
      <c r="L149" s="23">
        <v>16</v>
      </c>
      <c r="M149" s="23">
        <v>3</v>
      </c>
      <c r="N149" s="23" t="s">
        <v>91</v>
      </c>
      <c r="O149" s="23" t="s">
        <v>83</v>
      </c>
      <c r="P149" s="23" t="s">
        <v>96</v>
      </c>
      <c r="Q149" s="23">
        <f t="shared" si="24"/>
        <v>1</v>
      </c>
      <c r="R149" s="23" t="str">
        <f t="shared" si="19"/>
        <v>5-2021</v>
      </c>
      <c r="S149" s="23" t="s">
        <v>95</v>
      </c>
      <c r="T149" s="23" t="str">
        <f t="shared" si="20"/>
        <v>Monday</v>
      </c>
      <c r="U149" s="23">
        <f t="shared" si="21"/>
        <v>1</v>
      </c>
      <c r="V149" s="25">
        <f>IFERROR(Data!$I149/Data!$D149,"")</f>
        <v>7.1428571428571425E-2</v>
      </c>
      <c r="W149" s="25">
        <f>IFERROR(Data!$J149/Data!$D149,"")</f>
        <v>0.17857142857142858</v>
      </c>
      <c r="X149" s="25">
        <f>IFERROR(Data!$K149/Data!$D149,"")</f>
        <v>0.4107142857142857</v>
      </c>
      <c r="Y149" s="25">
        <f>IFERROR(Data!$L149/Data!$D149,"")</f>
        <v>0.2857142857142857</v>
      </c>
      <c r="Z149" s="25">
        <f>IFERROR(Data!$M149/Data!$D149,"")</f>
        <v>5.3571428571428568E-2</v>
      </c>
      <c r="AA149" s="26">
        <v>71.327741935000006</v>
      </c>
      <c r="AB149" s="26">
        <f t="shared" si="25"/>
        <v>14.265548387000001</v>
      </c>
      <c r="AC149" s="23">
        <f t="shared" si="22"/>
        <v>657.6</v>
      </c>
      <c r="AD149" s="23">
        <f t="shared" si="23"/>
        <v>14.4</v>
      </c>
      <c r="AE149" s="23">
        <f>YEAR(Data!$C149)</f>
        <v>2021</v>
      </c>
      <c r="AF149" s="23"/>
      <c r="AG149" s="23">
        <v>3</v>
      </c>
      <c r="AH149" s="27">
        <f>Data!$F149/Data!$D149</f>
        <v>12.178571428571429</v>
      </c>
      <c r="AI149" s="17" t="str">
        <f>RIGHT(Data!$O149,2)</f>
        <v>PM</v>
      </c>
      <c r="AJ149" s="23" t="str">
        <f>Data!$R149&amp;"-"&amp;WEEKNUM(Data!$C149,1)-WEEKNUM(DATE(YEAR(Data!$C149),MONTH(Data!$C149),1),1)+1</f>
        <v>5-2021-6</v>
      </c>
      <c r="AK149" s="23">
        <f>MONTH(Data!$C149)</f>
        <v>5</v>
      </c>
      <c r="AL149" s="23">
        <f>IFERROR(Data!$F149/Data!$E149,0)</f>
        <v>35.89473684210526</v>
      </c>
      <c r="AM149" s="23">
        <f>COUNTIF(Data!$N$2:$N$825,Data!$N149)</f>
        <v>218</v>
      </c>
      <c r="AN149" s="23" t="str">
        <f>VLOOKUP(Data!$N149,'Helpful Tables'!A:D,4,FALSE)</f>
        <v>Washington, DC</v>
      </c>
      <c r="AO149" s="23">
        <f>COUNTIF(AN:AN,Data!$AN149)/COUNTA(AN:AN)</f>
        <v>0.62424242424242427</v>
      </c>
      <c r="AP149" s="23">
        <v>38.934710000000003</v>
      </c>
      <c r="AQ149" s="23">
        <v>-77.058222999999998</v>
      </c>
      <c r="AR149" s="23">
        <f>COUNTIF(Data!$P$2:$P$825,Data!$P149)</f>
        <v>71</v>
      </c>
      <c r="AS149" s="23" cm="1">
        <f t="array" ref="AS149">_xlfn.IFS(Data!$E149&lt;12,((Data!$E149/Data!$D149)*60)*1,AND(Data!$E149&gt;=12,Data!$E149&lt;=15),((Data!$E149/Data!$D149)*60)*1.2,AND(Data!$E149&gt;=16,Data!$E149&lt;=19),((Data!$E149/Data!$D149)*60)*1.5,Data!$E149&gt;=20,((Data!$E149/Data!$D149)*60)*1.8)</f>
        <v>30.535714285714285</v>
      </c>
      <c r="AT149" s="23" cm="1">
        <f t="array" ref="AT149">_xlfn.IFS(Data!$F149&lt;600,((Data!$F149/Data!$D149)*60)*1,AND(Data!$F149&gt;=600,Data!$F149&lt;=625),((Data!$F149/Data!$D149)*60)*1.2,AND(Data!$F149&gt;=626,Data!$F149&lt;=650),((Data!$F149/Data!$D149)*60)*1.5,Data!$F149&gt;=651,((Data!$F149/Data!$D149)*60)*1.8)</f>
        <v>1315.2857142857144</v>
      </c>
      <c r="AU149" s="23">
        <f>(Data!$I149*-1.2)+(Data!$J149*-1.1)+(Data!$K149*1.2)+(Data!$L149*1.3)+(Data!$M149*1.5)</f>
        <v>37.099999999999994</v>
      </c>
      <c r="AV149" s="23">
        <f>(Data!$AS149*0.4)+(Data!$AT149*0.4)+(Data!$AU149*0.2)</f>
        <v>545.74857142857138</v>
      </c>
      <c r="AW149" s="23">
        <f>PERCENTRANK(AV:AV,Data!$AV149)*100</f>
        <v>97.3</v>
      </c>
      <c r="AX149" s="23" t="str">
        <f>_xlfn.CONCAT(TEXT(C149,"mmm"),"-",Data!$AE149)</f>
        <v>May-2021</v>
      </c>
    </row>
    <row r="150" spans="1:50" ht="17" thickTop="1" thickBot="1" x14ac:dyDescent="0.25">
      <c r="A150" s="28">
        <v>149</v>
      </c>
      <c r="B150" s="29">
        <f t="shared" si="18"/>
        <v>16</v>
      </c>
      <c r="C150" s="41">
        <v>44349</v>
      </c>
      <c r="D150" s="30">
        <f>SUM(Data!$I150:$M150)</f>
        <v>58</v>
      </c>
      <c r="E150" s="29">
        <v>16</v>
      </c>
      <c r="F150" s="29">
        <v>659</v>
      </c>
      <c r="G150" s="29">
        <v>126</v>
      </c>
      <c r="H150" s="29">
        <v>166</v>
      </c>
      <c r="I150" s="29">
        <v>10</v>
      </c>
      <c r="J150" s="29">
        <v>18</v>
      </c>
      <c r="K150" s="29">
        <v>14</v>
      </c>
      <c r="L150" s="29">
        <v>13</v>
      </c>
      <c r="M150" s="29">
        <v>3</v>
      </c>
      <c r="N150" s="29" t="s">
        <v>91</v>
      </c>
      <c r="O150" s="29" t="s">
        <v>39</v>
      </c>
      <c r="P150" s="29" t="s">
        <v>96</v>
      </c>
      <c r="Q150" s="29">
        <f t="shared" si="24"/>
        <v>2</v>
      </c>
      <c r="R150" s="29" t="str">
        <f t="shared" si="19"/>
        <v>6-2021</v>
      </c>
      <c r="S150" s="29" t="s">
        <v>99</v>
      </c>
      <c r="T150" s="29" t="str">
        <f t="shared" si="20"/>
        <v>Wednesday</v>
      </c>
      <c r="U150" s="29">
        <f t="shared" si="21"/>
        <v>1</v>
      </c>
      <c r="V150" s="31">
        <f>IFERROR(Data!$I150/Data!$D150,"")</f>
        <v>0.17241379310344829</v>
      </c>
      <c r="W150" s="31">
        <f>IFERROR(Data!$J150/Data!$D150,"")</f>
        <v>0.31034482758620691</v>
      </c>
      <c r="X150" s="31">
        <f>IFERROR(Data!$K150/Data!$D150,"")</f>
        <v>0.2413793103448276</v>
      </c>
      <c r="Y150" s="31">
        <f>IFERROR(Data!$L150/Data!$D150,"")</f>
        <v>0.22413793103448276</v>
      </c>
      <c r="Z150" s="31">
        <f>IFERROR(Data!$M150/Data!$D150,"")</f>
        <v>5.1724137931034482E-2</v>
      </c>
      <c r="AA150" s="32">
        <v>232.14</v>
      </c>
      <c r="AB150" s="32">
        <f t="shared" si="25"/>
        <v>14.508749999999999</v>
      </c>
      <c r="AC150" s="29">
        <f t="shared" si="22"/>
        <v>612.625</v>
      </c>
      <c r="AD150" s="29">
        <f t="shared" si="23"/>
        <v>13.3125</v>
      </c>
      <c r="AE150" s="29">
        <f>YEAR(Data!$C150)</f>
        <v>2021</v>
      </c>
      <c r="AF150" s="29"/>
      <c r="AG150" s="29">
        <v>12</v>
      </c>
      <c r="AH150" s="33">
        <f>Data!$F150/Data!$D150</f>
        <v>11.362068965517242</v>
      </c>
      <c r="AI150" s="17" t="str">
        <f>RIGHT(Data!$O150,2)</f>
        <v>PM</v>
      </c>
      <c r="AJ150" s="29" t="str">
        <f>Data!$R150&amp;"-"&amp;WEEKNUM(Data!$C150,1)-WEEKNUM(DATE(YEAR(Data!$C150),MONTH(Data!$C150),1),1)+1</f>
        <v>6-2021-1</v>
      </c>
      <c r="AK150" s="29">
        <f>MONTH(Data!$C150)</f>
        <v>6</v>
      </c>
      <c r="AL150" s="29">
        <f>IFERROR(Data!$F150/Data!$E150,0)</f>
        <v>41.1875</v>
      </c>
      <c r="AM150" s="29">
        <f>COUNTIF(Data!$N$2:$N$825,Data!$N150)</f>
        <v>218</v>
      </c>
      <c r="AN150" s="29" t="str">
        <f>VLOOKUP(Data!$N150,'Helpful Tables'!A:D,4,FALSE)</f>
        <v>Washington, DC</v>
      </c>
      <c r="AO150" s="29">
        <f>COUNTIF(AN:AN,Data!$AN150)/COUNTA(AN:AN)</f>
        <v>0.62424242424242427</v>
      </c>
      <c r="AP150" s="29">
        <v>38.934710000000003</v>
      </c>
      <c r="AQ150" s="29">
        <v>-77.058222999999998</v>
      </c>
      <c r="AR150" s="29">
        <f>COUNTIF(Data!$P$2:$P$825,Data!$P150)</f>
        <v>71</v>
      </c>
      <c r="AS150" s="29" cm="1">
        <f t="array" ref="AS150">_xlfn.IFS(Data!$E150&lt;12,((Data!$E150/Data!$D150)*60)*1,AND(Data!$E150&gt;=12,Data!$E150&lt;=15),((Data!$E150/Data!$D150)*60)*1.2,AND(Data!$E150&gt;=16,Data!$E150&lt;=19),((Data!$E150/Data!$D150)*60)*1.5,Data!$E150&gt;=20,((Data!$E150/Data!$D150)*60)*1.8)</f>
        <v>24.827586206896555</v>
      </c>
      <c r="AT150" s="29" cm="1">
        <f t="array" ref="AT150">_xlfn.IFS(Data!$F150&lt;600,((Data!$F150/Data!$D150)*60)*1,AND(Data!$F150&gt;=600,Data!$F150&lt;=625),((Data!$F150/Data!$D150)*60)*1.2,AND(Data!$F150&gt;=626,Data!$F150&lt;=650),((Data!$F150/Data!$D150)*60)*1.5,Data!$F150&gt;=651,((Data!$F150/Data!$D150)*60)*1.8)</f>
        <v>1227.1034482758621</v>
      </c>
      <c r="AU150" s="29">
        <f>(Data!$I150*-1.2)+(Data!$J150*-1.1)+(Data!$K150*1.2)+(Data!$L150*1.3)+(Data!$M150*1.5)</f>
        <v>6.4000000000000021</v>
      </c>
      <c r="AV150" s="29">
        <f>(Data!$AS150*0.4)+(Data!$AT150*0.4)+(Data!$AU150*0.2)</f>
        <v>502.05241379310343</v>
      </c>
      <c r="AW150" s="29">
        <f>PERCENTRANK(AV:AV,Data!$AV150)*100</f>
        <v>79</v>
      </c>
      <c r="AX150" s="29" t="str">
        <f>_xlfn.CONCAT(TEXT(C150,"mmm"),"-",Data!$AE150)</f>
        <v>Jun-2021</v>
      </c>
    </row>
    <row r="151" spans="1:50" ht="17" thickTop="1" thickBot="1" x14ac:dyDescent="0.25">
      <c r="A151" s="22">
        <v>150</v>
      </c>
      <c r="B151" s="23">
        <f t="shared" si="18"/>
        <v>16</v>
      </c>
      <c r="C151" s="41">
        <v>44350</v>
      </c>
      <c r="D151" s="24">
        <f>SUM(Data!$I151:$M151)</f>
        <v>54</v>
      </c>
      <c r="E151" s="23">
        <v>6</v>
      </c>
      <c r="F151" s="23">
        <v>531</v>
      </c>
      <c r="G151" s="23">
        <v>119</v>
      </c>
      <c r="H151" s="23">
        <v>164</v>
      </c>
      <c r="I151" s="23">
        <v>17</v>
      </c>
      <c r="J151" s="23">
        <v>15</v>
      </c>
      <c r="K151" s="23">
        <v>16</v>
      </c>
      <c r="L151" s="23">
        <v>6</v>
      </c>
      <c r="M151" s="23">
        <v>0</v>
      </c>
      <c r="N151" s="23" t="s">
        <v>91</v>
      </c>
      <c r="O151" s="23" t="s">
        <v>39</v>
      </c>
      <c r="P151" s="23" t="s">
        <v>94</v>
      </c>
      <c r="Q151" s="23">
        <f t="shared" si="24"/>
        <v>1</v>
      </c>
      <c r="R151" s="23" t="str">
        <f t="shared" si="19"/>
        <v>6-2021</v>
      </c>
      <c r="S151" s="23" t="s">
        <v>99</v>
      </c>
      <c r="T151" s="23" t="str">
        <f t="shared" si="20"/>
        <v>Thursday</v>
      </c>
      <c r="U151" s="23">
        <f t="shared" si="21"/>
        <v>0</v>
      </c>
      <c r="V151" s="25">
        <f>IFERROR(Data!$I151/Data!$D151,"")</f>
        <v>0.31481481481481483</v>
      </c>
      <c r="W151" s="25">
        <f>IFERROR(Data!$J151/Data!$D151,"")</f>
        <v>0.27777777777777779</v>
      </c>
      <c r="X151" s="25">
        <f>IFERROR(Data!$K151/Data!$D151,"")</f>
        <v>0.29629629629629628</v>
      </c>
      <c r="Y151" s="25">
        <f>IFERROR(Data!$L151/Data!$D151,"")</f>
        <v>0.1111111111111111</v>
      </c>
      <c r="Z151" s="25">
        <f>IFERROR(Data!$M151/Data!$D151,"")</f>
        <v>0</v>
      </c>
      <c r="AA151" s="26">
        <v>232.14</v>
      </c>
      <c r="AB151" s="26">
        <f t="shared" si="25"/>
        <v>14.508749999999999</v>
      </c>
      <c r="AC151" s="23">
        <f t="shared" si="22"/>
        <v>612.625</v>
      </c>
      <c r="AD151" s="23">
        <f t="shared" si="23"/>
        <v>13.3125</v>
      </c>
      <c r="AE151" s="23">
        <f>YEAR(Data!$C151)</f>
        <v>2021</v>
      </c>
      <c r="AF151" s="23"/>
      <c r="AG151" s="23">
        <v>12</v>
      </c>
      <c r="AH151" s="27">
        <f>Data!$F151/Data!$D151</f>
        <v>9.8333333333333339</v>
      </c>
      <c r="AI151" s="17" t="str">
        <f>RIGHT(Data!$O151,2)</f>
        <v>PM</v>
      </c>
      <c r="AJ151" s="23" t="str">
        <f>Data!$R151&amp;"-"&amp;WEEKNUM(Data!$C151,1)-WEEKNUM(DATE(YEAR(Data!$C151),MONTH(Data!$C151),1),1)+1</f>
        <v>6-2021-1</v>
      </c>
      <c r="AK151" s="23">
        <f>MONTH(Data!$C151)</f>
        <v>6</v>
      </c>
      <c r="AL151" s="23">
        <f>IFERROR(Data!$F151/Data!$E151,0)</f>
        <v>88.5</v>
      </c>
      <c r="AM151" s="23">
        <f>COUNTIF(Data!$N$2:$N$825,Data!$N151)</f>
        <v>218</v>
      </c>
      <c r="AN151" s="23" t="str">
        <f>VLOOKUP(Data!$N151,'Helpful Tables'!A:D,4,FALSE)</f>
        <v>Washington, DC</v>
      </c>
      <c r="AO151" s="23">
        <f>COUNTIF(AN:AN,Data!$AN151)/COUNTA(AN:AN)</f>
        <v>0.62424242424242427</v>
      </c>
      <c r="AP151" s="23">
        <v>38.934710000000003</v>
      </c>
      <c r="AQ151" s="23">
        <v>-77.058222999999998</v>
      </c>
      <c r="AR151" s="23">
        <f>COUNTIF(Data!$P$2:$P$825,Data!$P151)</f>
        <v>15</v>
      </c>
      <c r="AS151" s="23" cm="1">
        <f t="array" ref="AS151">_xlfn.IFS(Data!$E151&lt;12,((Data!$E151/Data!$D151)*60)*1,AND(Data!$E151&gt;=12,Data!$E151&lt;=15),((Data!$E151/Data!$D151)*60)*1.2,AND(Data!$E151&gt;=16,Data!$E151&lt;=19),((Data!$E151/Data!$D151)*60)*1.5,Data!$E151&gt;=20,((Data!$E151/Data!$D151)*60)*1.8)</f>
        <v>6.6666666666666661</v>
      </c>
      <c r="AT151" s="23" cm="1">
        <f t="array" ref="AT151">_xlfn.IFS(Data!$F151&lt;600,((Data!$F151/Data!$D151)*60)*1,AND(Data!$F151&gt;=600,Data!$F151&lt;=625),((Data!$F151/Data!$D151)*60)*1.2,AND(Data!$F151&gt;=626,Data!$F151&lt;=650),((Data!$F151/Data!$D151)*60)*1.5,Data!$F151&gt;=651,((Data!$F151/Data!$D151)*60)*1.8)</f>
        <v>590</v>
      </c>
      <c r="AU151" s="23">
        <f>(Data!$I151*-1.2)+(Data!$J151*-1.1)+(Data!$K151*1.2)+(Data!$L151*1.3)+(Data!$M151*1.5)</f>
        <v>-9.8999999999999986</v>
      </c>
      <c r="AV151" s="23">
        <f>(Data!$AS151*0.4)+(Data!$AT151*0.4)+(Data!$AU151*0.2)</f>
        <v>236.68666666666667</v>
      </c>
      <c r="AW151" s="23">
        <f>PERCENTRANK(AV:AV,Data!$AV151)*100</f>
        <v>10.5</v>
      </c>
      <c r="AX151" s="23" t="str">
        <f>_xlfn.CONCAT(TEXT(C151,"mmm"),"-",Data!$AE151)</f>
        <v>Jun-2021</v>
      </c>
    </row>
    <row r="152" spans="1:50" ht="17" thickTop="1" thickBot="1" x14ac:dyDescent="0.25">
      <c r="A152" s="28">
        <v>151</v>
      </c>
      <c r="B152" s="29">
        <f t="shared" si="18"/>
        <v>16</v>
      </c>
      <c r="C152" s="41">
        <v>44353</v>
      </c>
      <c r="D152" s="30">
        <f>SUM(Data!$I152:$M152)</f>
        <v>60</v>
      </c>
      <c r="E152" s="29">
        <v>12</v>
      </c>
      <c r="F152" s="29">
        <v>675</v>
      </c>
      <c r="G152" s="29">
        <v>129</v>
      </c>
      <c r="H152" s="29">
        <v>168</v>
      </c>
      <c r="I152" s="29">
        <v>9</v>
      </c>
      <c r="J152" s="29">
        <v>18</v>
      </c>
      <c r="K152" s="29">
        <v>21</v>
      </c>
      <c r="L152" s="29">
        <v>7</v>
      </c>
      <c r="M152" s="29">
        <v>5</v>
      </c>
      <c r="N152" s="29" t="s">
        <v>91</v>
      </c>
      <c r="O152" s="29" t="s">
        <v>45</v>
      </c>
      <c r="P152" s="29" t="s">
        <v>100</v>
      </c>
      <c r="Q152" s="29">
        <f t="shared" si="24"/>
        <v>3</v>
      </c>
      <c r="R152" s="29" t="str">
        <f t="shared" si="19"/>
        <v>6-2021</v>
      </c>
      <c r="S152" s="29" t="s">
        <v>95</v>
      </c>
      <c r="T152" s="29" t="str">
        <f t="shared" si="20"/>
        <v>Sunday</v>
      </c>
      <c r="U152" s="29">
        <f t="shared" si="21"/>
        <v>1</v>
      </c>
      <c r="V152" s="31">
        <f>IFERROR(Data!$I152/Data!$D152,"")</f>
        <v>0.15</v>
      </c>
      <c r="W152" s="31">
        <f>IFERROR(Data!$J152/Data!$D152,"")</f>
        <v>0.3</v>
      </c>
      <c r="X152" s="31">
        <f>IFERROR(Data!$K152/Data!$D152,"")</f>
        <v>0.35</v>
      </c>
      <c r="Y152" s="31">
        <f>IFERROR(Data!$L152/Data!$D152,"")</f>
        <v>0.11666666666666667</v>
      </c>
      <c r="Z152" s="31">
        <f>IFERROR(Data!$M152/Data!$D152,"")</f>
        <v>8.3333333333333329E-2</v>
      </c>
      <c r="AA152" s="32">
        <v>232.14</v>
      </c>
      <c r="AB152" s="32">
        <f t="shared" si="25"/>
        <v>14.508749999999999</v>
      </c>
      <c r="AC152" s="29">
        <f t="shared" si="22"/>
        <v>612.625</v>
      </c>
      <c r="AD152" s="29">
        <f t="shared" si="23"/>
        <v>13.3125</v>
      </c>
      <c r="AE152" s="29">
        <f>YEAR(Data!$C152)</f>
        <v>2021</v>
      </c>
      <c r="AF152" s="29"/>
      <c r="AG152" s="29">
        <v>12</v>
      </c>
      <c r="AH152" s="33">
        <f>Data!$F152/Data!$D152</f>
        <v>11.25</v>
      </c>
      <c r="AI152" s="17" t="str">
        <f>RIGHT(Data!$O152,2)</f>
        <v>AM</v>
      </c>
      <c r="AJ152" s="29" t="str">
        <f>Data!$R152&amp;"-"&amp;WEEKNUM(Data!$C152,1)-WEEKNUM(DATE(YEAR(Data!$C152),MONTH(Data!$C152),1),1)+1</f>
        <v>6-2021-2</v>
      </c>
      <c r="AK152" s="29">
        <f>MONTH(Data!$C152)</f>
        <v>6</v>
      </c>
      <c r="AL152" s="29">
        <f>IFERROR(Data!$F152/Data!$E152,0)</f>
        <v>56.25</v>
      </c>
      <c r="AM152" s="29">
        <f>COUNTIF(Data!$N$2:$N$825,Data!$N152)</f>
        <v>218</v>
      </c>
      <c r="AN152" s="29" t="str">
        <f>VLOOKUP(Data!$N152,'Helpful Tables'!A:D,4,FALSE)</f>
        <v>Washington, DC</v>
      </c>
      <c r="AO152" s="29">
        <f>COUNTIF(AN:AN,Data!$AN152)/COUNTA(AN:AN)</f>
        <v>0.62424242424242427</v>
      </c>
      <c r="AP152" s="29">
        <v>38.934710000000003</v>
      </c>
      <c r="AQ152" s="29">
        <v>-77.058222999999998</v>
      </c>
      <c r="AR152" s="29">
        <f>COUNTIF(Data!$P$2:$P$825,Data!$P152)</f>
        <v>35</v>
      </c>
      <c r="AS152" s="29" cm="1">
        <f t="array" ref="AS152">_xlfn.IFS(Data!$E152&lt;12,((Data!$E152/Data!$D152)*60)*1,AND(Data!$E152&gt;=12,Data!$E152&lt;=15),((Data!$E152/Data!$D152)*60)*1.2,AND(Data!$E152&gt;=16,Data!$E152&lt;=19),((Data!$E152/Data!$D152)*60)*1.5,Data!$E152&gt;=20,((Data!$E152/Data!$D152)*60)*1.8)</f>
        <v>14.399999999999999</v>
      </c>
      <c r="AT152" s="29" cm="1">
        <f t="array" ref="AT152">_xlfn.IFS(Data!$F152&lt;600,((Data!$F152/Data!$D152)*60)*1,AND(Data!$F152&gt;=600,Data!$F152&lt;=625),((Data!$F152/Data!$D152)*60)*1.2,AND(Data!$F152&gt;=626,Data!$F152&lt;=650),((Data!$F152/Data!$D152)*60)*1.5,Data!$F152&gt;=651,((Data!$F152/Data!$D152)*60)*1.8)</f>
        <v>1215</v>
      </c>
      <c r="AU152" s="29">
        <f>(Data!$I152*-1.2)+(Data!$J152*-1.1)+(Data!$K152*1.2)+(Data!$L152*1.3)+(Data!$M152*1.5)</f>
        <v>11.199999999999998</v>
      </c>
      <c r="AV152" s="29">
        <f>(Data!$AS152*0.4)+(Data!$AT152*0.4)+(Data!$AU152*0.2)</f>
        <v>494</v>
      </c>
      <c r="AW152" s="29">
        <f>PERCENTRANK(AV:AV,Data!$AV152)*100</f>
        <v>74.2</v>
      </c>
      <c r="AX152" s="29" t="str">
        <f>_xlfn.CONCAT(TEXT(C152,"mmm"),"-",Data!$AE152)</f>
        <v>Jun-2021</v>
      </c>
    </row>
    <row r="153" spans="1:50" ht="17" thickTop="1" thickBot="1" x14ac:dyDescent="0.25">
      <c r="A153" s="22">
        <v>152</v>
      </c>
      <c r="B153" s="23">
        <f t="shared" si="18"/>
        <v>16</v>
      </c>
      <c r="C153" s="41">
        <v>44355</v>
      </c>
      <c r="D153" s="24">
        <f>SUM(Data!$I153:$M153)</f>
        <v>61</v>
      </c>
      <c r="E153" s="23">
        <v>12</v>
      </c>
      <c r="F153" s="23">
        <v>632</v>
      </c>
      <c r="G153" s="23">
        <v>124</v>
      </c>
      <c r="H153" s="23">
        <v>166</v>
      </c>
      <c r="I153" s="23">
        <v>17</v>
      </c>
      <c r="J153" s="23">
        <v>15</v>
      </c>
      <c r="K153" s="23">
        <v>17</v>
      </c>
      <c r="L153" s="23">
        <v>8</v>
      </c>
      <c r="M153" s="23">
        <v>4</v>
      </c>
      <c r="N153" s="23" t="s">
        <v>101</v>
      </c>
      <c r="O153" s="23" t="s">
        <v>103</v>
      </c>
      <c r="P153" s="23" t="s">
        <v>102</v>
      </c>
      <c r="Q153" s="23">
        <f t="shared" si="24"/>
        <v>2</v>
      </c>
      <c r="R153" s="23" t="str">
        <f t="shared" si="19"/>
        <v>6-2021</v>
      </c>
      <c r="S153" s="23" t="s">
        <v>104</v>
      </c>
      <c r="T153" s="23" t="str">
        <f t="shared" si="20"/>
        <v>Tuesday</v>
      </c>
      <c r="U153" s="23">
        <f t="shared" si="21"/>
        <v>1</v>
      </c>
      <c r="V153" s="25">
        <f>IFERROR(Data!$I153/Data!$D153,"")</f>
        <v>0.27868852459016391</v>
      </c>
      <c r="W153" s="25">
        <f>IFERROR(Data!$J153/Data!$D153,"")</f>
        <v>0.24590163934426229</v>
      </c>
      <c r="X153" s="25">
        <f>IFERROR(Data!$K153/Data!$D153,"")</f>
        <v>0.27868852459016391</v>
      </c>
      <c r="Y153" s="25">
        <f>IFERROR(Data!$L153/Data!$D153,"")</f>
        <v>0.13114754098360656</v>
      </c>
      <c r="Z153" s="25">
        <f>IFERROR(Data!$M153/Data!$D153,"")</f>
        <v>6.5573770491803282E-2</v>
      </c>
      <c r="AA153" s="26">
        <v>232.14</v>
      </c>
      <c r="AB153" s="26">
        <f t="shared" si="25"/>
        <v>14.508749999999999</v>
      </c>
      <c r="AC153" s="23">
        <f t="shared" si="22"/>
        <v>612.625</v>
      </c>
      <c r="AD153" s="23">
        <f t="shared" si="23"/>
        <v>13.3125</v>
      </c>
      <c r="AE153" s="23">
        <f>YEAR(Data!$C153)</f>
        <v>2021</v>
      </c>
      <c r="AF153" s="23"/>
      <c r="AG153" s="23">
        <v>12</v>
      </c>
      <c r="AH153" s="27">
        <f>Data!$F153/Data!$D153</f>
        <v>10.360655737704919</v>
      </c>
      <c r="AI153" s="17" t="str">
        <f>RIGHT(Data!$O153,2)</f>
        <v>PM</v>
      </c>
      <c r="AJ153" s="23" t="str">
        <f>Data!$R153&amp;"-"&amp;WEEKNUM(Data!$C153,1)-WEEKNUM(DATE(YEAR(Data!$C153),MONTH(Data!$C153),1),1)+1</f>
        <v>6-2021-2</v>
      </c>
      <c r="AK153" s="23">
        <f>MONTH(Data!$C153)</f>
        <v>6</v>
      </c>
      <c r="AL153" s="23">
        <f>IFERROR(Data!$F153/Data!$E153,0)</f>
        <v>52.666666666666664</v>
      </c>
      <c r="AM153" s="23">
        <f>COUNTIF(Data!$N$2:$N$825,Data!$N153)</f>
        <v>191</v>
      </c>
      <c r="AN153" s="23" t="str">
        <f>VLOOKUP(Data!$N153,'Helpful Tables'!A:D,4,FALSE)</f>
        <v>Washington, DC</v>
      </c>
      <c r="AO153" s="23">
        <f>COUNTIF(AN:AN,Data!$AN153)/COUNTA(AN:AN)</f>
        <v>0.62424242424242427</v>
      </c>
      <c r="AP153" s="23">
        <v>38.949649000000001</v>
      </c>
      <c r="AQ153" s="23">
        <v>-77.080878999999996</v>
      </c>
      <c r="AR153" s="23">
        <f>COUNTIF(Data!$P$2:$P$825,Data!$P153)</f>
        <v>20</v>
      </c>
      <c r="AS153" s="23" cm="1">
        <f t="array" ref="AS153">_xlfn.IFS(Data!$E153&lt;12,((Data!$E153/Data!$D153)*60)*1,AND(Data!$E153&gt;=12,Data!$E153&lt;=15),((Data!$E153/Data!$D153)*60)*1.2,AND(Data!$E153&gt;=16,Data!$E153&lt;=19),((Data!$E153/Data!$D153)*60)*1.5,Data!$E153&gt;=20,((Data!$E153/Data!$D153)*60)*1.8)</f>
        <v>14.163934426229506</v>
      </c>
      <c r="AT153" s="23" cm="1">
        <f t="array" ref="AT153">_xlfn.IFS(Data!$F153&lt;600,((Data!$F153/Data!$D153)*60)*1,AND(Data!$F153&gt;=600,Data!$F153&lt;=625),((Data!$F153/Data!$D153)*60)*1.2,AND(Data!$F153&gt;=626,Data!$F153&lt;=650),((Data!$F153/Data!$D153)*60)*1.5,Data!$F153&gt;=651,((Data!$F153/Data!$D153)*60)*1.8)</f>
        <v>932.45901639344265</v>
      </c>
      <c r="AU153" s="23">
        <f>(Data!$I153*-1.2)+(Data!$J153*-1.1)+(Data!$K153*1.2)+(Data!$L153*1.3)+(Data!$M153*1.5)</f>
        <v>-9.9999999999999645E-2</v>
      </c>
      <c r="AV153" s="23">
        <f>(Data!$AS153*0.4)+(Data!$AT153*0.4)+(Data!$AU153*0.2)</f>
        <v>378.62918032786888</v>
      </c>
      <c r="AW153" s="23">
        <f>PERCENTRANK(AV:AV,Data!$AV153)*100</f>
        <v>44.9</v>
      </c>
      <c r="AX153" s="23" t="str">
        <f>_xlfn.CONCAT(TEXT(C153,"mmm"),"-",Data!$AE153)</f>
        <v>Jun-2021</v>
      </c>
    </row>
    <row r="154" spans="1:50" ht="17" thickTop="1" thickBot="1" x14ac:dyDescent="0.25">
      <c r="A154" s="28">
        <v>153</v>
      </c>
      <c r="B154" s="29">
        <f t="shared" si="18"/>
        <v>16</v>
      </c>
      <c r="C154" s="41">
        <v>44356</v>
      </c>
      <c r="D154" s="30">
        <f>SUM(Data!$I154:$M154)</f>
        <v>58</v>
      </c>
      <c r="E154" s="29">
        <v>23</v>
      </c>
      <c r="F154" s="29">
        <v>634</v>
      </c>
      <c r="G154" s="29">
        <v>127</v>
      </c>
      <c r="H154" s="29">
        <v>168</v>
      </c>
      <c r="I154" s="29">
        <v>14</v>
      </c>
      <c r="J154" s="29">
        <v>14</v>
      </c>
      <c r="K154" s="29">
        <v>7</v>
      </c>
      <c r="L154" s="29">
        <v>20</v>
      </c>
      <c r="M154" s="29">
        <v>3</v>
      </c>
      <c r="N154" s="29" t="s">
        <v>91</v>
      </c>
      <c r="O154" s="29" t="s">
        <v>39</v>
      </c>
      <c r="P154" s="29" t="s">
        <v>96</v>
      </c>
      <c r="Q154" s="29">
        <f t="shared" si="24"/>
        <v>1</v>
      </c>
      <c r="R154" s="29" t="str">
        <f t="shared" si="19"/>
        <v>6-2021</v>
      </c>
      <c r="S154" s="29" t="s">
        <v>99</v>
      </c>
      <c r="T154" s="29" t="str">
        <f t="shared" si="20"/>
        <v>Wednesday</v>
      </c>
      <c r="U154" s="29">
        <f t="shared" si="21"/>
        <v>1</v>
      </c>
      <c r="V154" s="31">
        <f>IFERROR(Data!$I154/Data!$D154,"")</f>
        <v>0.2413793103448276</v>
      </c>
      <c r="W154" s="31">
        <f>IFERROR(Data!$J154/Data!$D154,"")</f>
        <v>0.2413793103448276</v>
      </c>
      <c r="X154" s="31">
        <f>IFERROR(Data!$K154/Data!$D154,"")</f>
        <v>0.1206896551724138</v>
      </c>
      <c r="Y154" s="31">
        <f>IFERROR(Data!$L154/Data!$D154,"")</f>
        <v>0.34482758620689657</v>
      </c>
      <c r="Z154" s="31">
        <f>IFERROR(Data!$M154/Data!$D154,"")</f>
        <v>5.1724137931034482E-2</v>
      </c>
      <c r="AA154" s="32">
        <v>232.14</v>
      </c>
      <c r="AB154" s="32">
        <f t="shared" si="25"/>
        <v>14.508749999999999</v>
      </c>
      <c r="AC154" s="29">
        <f t="shared" si="22"/>
        <v>612.625</v>
      </c>
      <c r="AD154" s="29">
        <f t="shared" si="23"/>
        <v>13.3125</v>
      </c>
      <c r="AE154" s="29">
        <f>YEAR(Data!$C154)</f>
        <v>2021</v>
      </c>
      <c r="AF154" s="29"/>
      <c r="AG154" s="29">
        <v>12</v>
      </c>
      <c r="AH154" s="33">
        <f>Data!$F154/Data!$D154</f>
        <v>10.931034482758621</v>
      </c>
      <c r="AI154" s="17" t="str">
        <f>RIGHT(Data!$O154,2)</f>
        <v>PM</v>
      </c>
      <c r="AJ154" s="29" t="str">
        <f>Data!$R154&amp;"-"&amp;WEEKNUM(Data!$C154,1)-WEEKNUM(DATE(YEAR(Data!$C154),MONTH(Data!$C154),1),1)+1</f>
        <v>6-2021-2</v>
      </c>
      <c r="AK154" s="29">
        <f>MONTH(Data!$C154)</f>
        <v>6</v>
      </c>
      <c r="AL154" s="29">
        <f>IFERROR(Data!$F154/Data!$E154,0)</f>
        <v>27.565217391304348</v>
      </c>
      <c r="AM154" s="29">
        <f>COUNTIF(Data!$N$2:$N$825,Data!$N154)</f>
        <v>218</v>
      </c>
      <c r="AN154" s="29" t="str">
        <f>VLOOKUP(Data!$N154,'Helpful Tables'!A:D,4,FALSE)</f>
        <v>Washington, DC</v>
      </c>
      <c r="AO154" s="29">
        <f>COUNTIF(AN:AN,Data!$AN154)/COUNTA(AN:AN)</f>
        <v>0.62424242424242427</v>
      </c>
      <c r="AP154" s="29">
        <v>38.934710000000003</v>
      </c>
      <c r="AQ154" s="29">
        <v>-77.058222999999998</v>
      </c>
      <c r="AR154" s="29">
        <f>COUNTIF(Data!$P$2:$P$825,Data!$P154)</f>
        <v>71</v>
      </c>
      <c r="AS154" s="29" cm="1">
        <f t="array" ref="AS154">_xlfn.IFS(Data!$E154&lt;12,((Data!$E154/Data!$D154)*60)*1,AND(Data!$E154&gt;=12,Data!$E154&lt;=15),((Data!$E154/Data!$D154)*60)*1.2,AND(Data!$E154&gt;=16,Data!$E154&lt;=19),((Data!$E154/Data!$D154)*60)*1.5,Data!$E154&gt;=20,((Data!$E154/Data!$D154)*60)*1.8)</f>
        <v>42.827586206896555</v>
      </c>
      <c r="AT154" s="29" cm="1">
        <f t="array" ref="AT154">_xlfn.IFS(Data!$F154&lt;600,((Data!$F154/Data!$D154)*60)*1,AND(Data!$F154&gt;=600,Data!$F154&lt;=625),((Data!$F154/Data!$D154)*60)*1.2,AND(Data!$F154&gt;=626,Data!$F154&lt;=650),((Data!$F154/Data!$D154)*60)*1.5,Data!$F154&gt;=651,((Data!$F154/Data!$D154)*60)*1.8)</f>
        <v>983.79310344827582</v>
      </c>
      <c r="AU154" s="29">
        <f>(Data!$I154*-1.2)+(Data!$J154*-1.1)+(Data!$K154*1.2)+(Data!$L154*1.3)+(Data!$M154*1.5)</f>
        <v>6.6999999999999957</v>
      </c>
      <c r="AV154" s="29">
        <f>(Data!$AS154*0.4)+(Data!$AT154*0.4)+(Data!$AU154*0.2)</f>
        <v>411.98827586206897</v>
      </c>
      <c r="AW154" s="29">
        <f>PERCENTRANK(AV:AV,Data!$AV154)*100</f>
        <v>58.099999999999994</v>
      </c>
      <c r="AX154" s="29" t="str">
        <f>_xlfn.CONCAT(TEXT(C154,"mmm"),"-",Data!$AE154)</f>
        <v>Jun-2021</v>
      </c>
    </row>
    <row r="155" spans="1:50" ht="17" thickTop="1" thickBot="1" x14ac:dyDescent="0.25">
      <c r="A155" s="22">
        <v>154</v>
      </c>
      <c r="B155" s="23">
        <f t="shared" si="18"/>
        <v>16</v>
      </c>
      <c r="C155" s="41">
        <v>44358</v>
      </c>
      <c r="D155" s="24">
        <f>SUM(Data!$I155:$M155)</f>
        <v>58</v>
      </c>
      <c r="E155" s="23">
        <v>7</v>
      </c>
      <c r="F155" s="23">
        <v>615</v>
      </c>
      <c r="G155" s="23">
        <v>124</v>
      </c>
      <c r="H155" s="23">
        <v>162</v>
      </c>
      <c r="I155" s="23">
        <v>10</v>
      </c>
      <c r="J155" s="23">
        <v>20</v>
      </c>
      <c r="K155" s="23">
        <v>21</v>
      </c>
      <c r="L155" s="23">
        <v>7</v>
      </c>
      <c r="M155" s="23">
        <v>0</v>
      </c>
      <c r="N155" s="23" t="s">
        <v>91</v>
      </c>
      <c r="O155" s="23" t="s">
        <v>84</v>
      </c>
      <c r="P155" s="23" t="s">
        <v>98</v>
      </c>
      <c r="Q155" s="23">
        <f t="shared" si="24"/>
        <v>2</v>
      </c>
      <c r="R155" s="23" t="str">
        <f t="shared" si="19"/>
        <v>6-2021</v>
      </c>
      <c r="S155" s="23" t="s">
        <v>105</v>
      </c>
      <c r="T155" s="23" t="str">
        <f t="shared" si="20"/>
        <v>Friday</v>
      </c>
      <c r="U155" s="23">
        <f t="shared" si="21"/>
        <v>0</v>
      </c>
      <c r="V155" s="25">
        <f>IFERROR(Data!$I155/Data!$D155,"")</f>
        <v>0.17241379310344829</v>
      </c>
      <c r="W155" s="25">
        <f>IFERROR(Data!$J155/Data!$D155,"")</f>
        <v>0.34482758620689657</v>
      </c>
      <c r="X155" s="25">
        <f>IFERROR(Data!$K155/Data!$D155,"")</f>
        <v>0.36206896551724138</v>
      </c>
      <c r="Y155" s="25">
        <f>IFERROR(Data!$L155/Data!$D155,"")</f>
        <v>0.1206896551724138</v>
      </c>
      <c r="Z155" s="25">
        <f>IFERROR(Data!$M155/Data!$D155,"")</f>
        <v>0</v>
      </c>
      <c r="AA155" s="26">
        <v>232.14</v>
      </c>
      <c r="AB155" s="26">
        <f t="shared" si="25"/>
        <v>14.508749999999999</v>
      </c>
      <c r="AC155" s="23">
        <f t="shared" si="22"/>
        <v>612.625</v>
      </c>
      <c r="AD155" s="23">
        <f t="shared" si="23"/>
        <v>13.3125</v>
      </c>
      <c r="AE155" s="23">
        <f>YEAR(Data!$C155)</f>
        <v>2021</v>
      </c>
      <c r="AF155" s="23"/>
      <c r="AG155" s="23">
        <v>12</v>
      </c>
      <c r="AH155" s="27">
        <f>Data!$F155/Data!$D155</f>
        <v>10.603448275862069</v>
      </c>
      <c r="AI155" s="17" t="str">
        <f>RIGHT(Data!$O155,2)</f>
        <v>AM</v>
      </c>
      <c r="AJ155" s="23" t="str">
        <f>Data!$R155&amp;"-"&amp;WEEKNUM(Data!$C155,1)-WEEKNUM(DATE(YEAR(Data!$C155),MONTH(Data!$C155),1),1)+1</f>
        <v>6-2021-2</v>
      </c>
      <c r="AK155" s="23">
        <f>MONTH(Data!$C155)</f>
        <v>6</v>
      </c>
      <c r="AL155" s="23">
        <f>IFERROR(Data!$F155/Data!$E155,0)</f>
        <v>87.857142857142861</v>
      </c>
      <c r="AM155" s="23">
        <f>COUNTIF(Data!$N$2:$N$825,Data!$N155)</f>
        <v>218</v>
      </c>
      <c r="AN155" s="23" t="str">
        <f>VLOOKUP(Data!$N155,'Helpful Tables'!A:D,4,FALSE)</f>
        <v>Washington, DC</v>
      </c>
      <c r="AO155" s="23">
        <f>COUNTIF(AN:AN,Data!$AN155)/COUNTA(AN:AN)</f>
        <v>0.62424242424242427</v>
      </c>
      <c r="AP155" s="23">
        <v>38.934710000000003</v>
      </c>
      <c r="AQ155" s="23">
        <v>-77.058222999999998</v>
      </c>
      <c r="AR155" s="23">
        <f>COUNTIF(Data!$P$2:$P$825,Data!$P155)</f>
        <v>28</v>
      </c>
      <c r="AS155" s="23" cm="1">
        <f t="array" ref="AS155">_xlfn.IFS(Data!$E155&lt;12,((Data!$E155/Data!$D155)*60)*1,AND(Data!$E155&gt;=12,Data!$E155&lt;=15),((Data!$E155/Data!$D155)*60)*1.2,AND(Data!$E155&gt;=16,Data!$E155&lt;=19),((Data!$E155/Data!$D155)*60)*1.5,Data!$E155&gt;=20,((Data!$E155/Data!$D155)*60)*1.8)</f>
        <v>7.2413793103448283</v>
      </c>
      <c r="AT155" s="23" cm="1">
        <f t="array" ref="AT155">_xlfn.IFS(Data!$F155&lt;600,((Data!$F155/Data!$D155)*60)*1,AND(Data!$F155&gt;=600,Data!$F155&lt;=625),((Data!$F155/Data!$D155)*60)*1.2,AND(Data!$F155&gt;=626,Data!$F155&lt;=650),((Data!$F155/Data!$D155)*60)*1.5,Data!$F155&gt;=651,((Data!$F155/Data!$D155)*60)*1.8)</f>
        <v>763.44827586206895</v>
      </c>
      <c r="AU155" s="23">
        <f>(Data!$I155*-1.2)+(Data!$J155*-1.1)+(Data!$K155*1.2)+(Data!$L155*1.3)+(Data!$M155*1.5)</f>
        <v>0.29999999999999893</v>
      </c>
      <c r="AV155" s="23">
        <f>(Data!$AS155*0.4)+(Data!$AT155*0.4)+(Data!$AU155*0.2)</f>
        <v>308.33586206896553</v>
      </c>
      <c r="AW155" s="23">
        <f>PERCENTRANK(AV:AV,Data!$AV155)*100</f>
        <v>30.3</v>
      </c>
      <c r="AX155" s="23" t="str">
        <f>_xlfn.CONCAT(TEXT(C155,"mmm"),"-",Data!$AE155)</f>
        <v>Jun-2021</v>
      </c>
    </row>
    <row r="156" spans="1:50" ht="17" thickTop="1" thickBot="1" x14ac:dyDescent="0.25">
      <c r="A156" s="28">
        <v>155</v>
      </c>
      <c r="B156" s="29">
        <f t="shared" si="18"/>
        <v>16</v>
      </c>
      <c r="C156" s="41">
        <v>44360</v>
      </c>
      <c r="D156" s="30">
        <f>SUM(Data!$I156:$M156)</f>
        <v>60</v>
      </c>
      <c r="E156" s="29">
        <v>19</v>
      </c>
      <c r="F156" s="29">
        <v>650</v>
      </c>
      <c r="G156" s="29">
        <v>126</v>
      </c>
      <c r="H156" s="29">
        <v>167</v>
      </c>
      <c r="I156" s="29">
        <v>18</v>
      </c>
      <c r="J156" s="29">
        <v>9</v>
      </c>
      <c r="K156" s="29">
        <v>14</v>
      </c>
      <c r="L156" s="29">
        <v>17</v>
      </c>
      <c r="M156" s="29">
        <v>2</v>
      </c>
      <c r="N156" s="29" t="s">
        <v>91</v>
      </c>
      <c r="O156" s="29" t="s">
        <v>81</v>
      </c>
      <c r="P156" s="29" t="s">
        <v>100</v>
      </c>
      <c r="Q156" s="29">
        <f t="shared" si="24"/>
        <v>2</v>
      </c>
      <c r="R156" s="29" t="str">
        <f t="shared" si="19"/>
        <v>6-2021</v>
      </c>
      <c r="S156" s="29" t="s">
        <v>104</v>
      </c>
      <c r="T156" s="29" t="str">
        <f t="shared" si="20"/>
        <v>Sunday</v>
      </c>
      <c r="U156" s="29">
        <f t="shared" si="21"/>
        <v>1</v>
      </c>
      <c r="V156" s="31">
        <f>IFERROR(Data!$I156/Data!$D156,"")</f>
        <v>0.3</v>
      </c>
      <c r="W156" s="31">
        <f>IFERROR(Data!$J156/Data!$D156,"")</f>
        <v>0.15</v>
      </c>
      <c r="X156" s="31">
        <f>IFERROR(Data!$K156/Data!$D156,"")</f>
        <v>0.23333333333333334</v>
      </c>
      <c r="Y156" s="31">
        <f>IFERROR(Data!$L156/Data!$D156,"")</f>
        <v>0.28333333333333333</v>
      </c>
      <c r="Z156" s="31">
        <f>IFERROR(Data!$M156/Data!$D156,"")</f>
        <v>3.3333333333333333E-2</v>
      </c>
      <c r="AA156" s="32">
        <v>232.14</v>
      </c>
      <c r="AB156" s="32">
        <f t="shared" si="25"/>
        <v>14.508749999999999</v>
      </c>
      <c r="AC156" s="29">
        <f t="shared" si="22"/>
        <v>612.625</v>
      </c>
      <c r="AD156" s="29">
        <f t="shared" si="23"/>
        <v>13.3125</v>
      </c>
      <c r="AE156" s="29">
        <f>YEAR(Data!$C156)</f>
        <v>2021</v>
      </c>
      <c r="AF156" s="29"/>
      <c r="AG156" s="29">
        <v>12</v>
      </c>
      <c r="AH156" s="33">
        <f>Data!$F156/Data!$D156</f>
        <v>10.833333333333334</v>
      </c>
      <c r="AI156" s="17" t="str">
        <f>RIGHT(Data!$O156,2)</f>
        <v>AM</v>
      </c>
      <c r="AJ156" s="29" t="str">
        <f>Data!$R156&amp;"-"&amp;WEEKNUM(Data!$C156,1)-WEEKNUM(DATE(YEAR(Data!$C156),MONTH(Data!$C156),1),1)+1</f>
        <v>6-2021-3</v>
      </c>
      <c r="AK156" s="29">
        <f>MONTH(Data!$C156)</f>
        <v>6</v>
      </c>
      <c r="AL156" s="29">
        <f>IFERROR(Data!$F156/Data!$E156,0)</f>
        <v>34.210526315789473</v>
      </c>
      <c r="AM156" s="29">
        <f>COUNTIF(Data!$N$2:$N$825,Data!$N156)</f>
        <v>218</v>
      </c>
      <c r="AN156" s="29" t="str">
        <f>VLOOKUP(Data!$N156,'Helpful Tables'!A:D,4,FALSE)</f>
        <v>Washington, DC</v>
      </c>
      <c r="AO156" s="29">
        <f>COUNTIF(AN:AN,Data!$AN156)/COUNTA(AN:AN)</f>
        <v>0.62424242424242427</v>
      </c>
      <c r="AP156" s="29">
        <v>38.934710000000003</v>
      </c>
      <c r="AQ156" s="29">
        <v>-77.058222999999998</v>
      </c>
      <c r="AR156" s="29">
        <f>COUNTIF(Data!$P$2:$P$825,Data!$P156)</f>
        <v>35</v>
      </c>
      <c r="AS156" s="29" cm="1">
        <f t="array" ref="AS156">_xlfn.IFS(Data!$E156&lt;12,((Data!$E156/Data!$D156)*60)*1,AND(Data!$E156&gt;=12,Data!$E156&lt;=15),((Data!$E156/Data!$D156)*60)*1.2,AND(Data!$E156&gt;=16,Data!$E156&lt;=19),((Data!$E156/Data!$D156)*60)*1.5,Data!$E156&gt;=20,((Data!$E156/Data!$D156)*60)*1.8)</f>
        <v>28.5</v>
      </c>
      <c r="AT156" s="29" cm="1">
        <f t="array" ref="AT156">_xlfn.IFS(Data!$F156&lt;600,((Data!$F156/Data!$D156)*60)*1,AND(Data!$F156&gt;=600,Data!$F156&lt;=625),((Data!$F156/Data!$D156)*60)*1.2,AND(Data!$F156&gt;=626,Data!$F156&lt;=650),((Data!$F156/Data!$D156)*60)*1.5,Data!$F156&gt;=651,((Data!$F156/Data!$D156)*60)*1.8)</f>
        <v>975</v>
      </c>
      <c r="AU156" s="29">
        <f>(Data!$I156*-1.2)+(Data!$J156*-1.1)+(Data!$K156*1.2)+(Data!$L156*1.3)+(Data!$M156*1.5)</f>
        <v>10.400000000000002</v>
      </c>
      <c r="AV156" s="29">
        <f>(Data!$AS156*0.4)+(Data!$AT156*0.4)+(Data!$AU156*0.2)</f>
        <v>403.47999999999996</v>
      </c>
      <c r="AW156" s="29">
        <f>PERCENTRANK(AV:AV,Data!$AV156)*100</f>
        <v>54.500000000000007</v>
      </c>
      <c r="AX156" s="29" t="str">
        <f>_xlfn.CONCAT(TEXT(C156,"mmm"),"-",Data!$AE156)</f>
        <v>Jun-2021</v>
      </c>
    </row>
    <row r="157" spans="1:50" ht="17" thickTop="1" thickBot="1" x14ac:dyDescent="0.25">
      <c r="A157" s="22">
        <v>156</v>
      </c>
      <c r="B157" s="23">
        <f t="shared" si="18"/>
        <v>16</v>
      </c>
      <c r="C157" s="41">
        <v>44361</v>
      </c>
      <c r="D157" s="24">
        <f>SUM(Data!$I157:$M157)</f>
        <v>60</v>
      </c>
      <c r="E157" s="23">
        <v>14</v>
      </c>
      <c r="F157" s="23">
        <v>587</v>
      </c>
      <c r="G157" s="23">
        <v>119</v>
      </c>
      <c r="H157" s="23">
        <v>171</v>
      </c>
      <c r="I157" s="23">
        <v>24</v>
      </c>
      <c r="J157" s="23">
        <v>10</v>
      </c>
      <c r="K157" s="23">
        <v>12</v>
      </c>
      <c r="L157" s="23">
        <v>12</v>
      </c>
      <c r="M157" s="23">
        <v>2</v>
      </c>
      <c r="N157" s="23" t="s">
        <v>101</v>
      </c>
      <c r="O157" s="23" t="s">
        <v>103</v>
      </c>
      <c r="P157" s="23" t="s">
        <v>106</v>
      </c>
      <c r="Q157" s="23">
        <f t="shared" si="24"/>
        <v>1</v>
      </c>
      <c r="R157" s="23" t="str">
        <f t="shared" si="19"/>
        <v>6-2021</v>
      </c>
      <c r="S157" s="23" t="s">
        <v>104</v>
      </c>
      <c r="T157" s="23" t="str">
        <f t="shared" si="20"/>
        <v>Monday</v>
      </c>
      <c r="U157" s="23">
        <f t="shared" si="21"/>
        <v>1</v>
      </c>
      <c r="V157" s="25">
        <f>IFERROR(Data!$I157/Data!$D157,"")</f>
        <v>0.4</v>
      </c>
      <c r="W157" s="25">
        <f>IFERROR(Data!$J157/Data!$D157,"")</f>
        <v>0.16666666666666666</v>
      </c>
      <c r="X157" s="25">
        <f>IFERROR(Data!$K157/Data!$D157,"")</f>
        <v>0.2</v>
      </c>
      <c r="Y157" s="25">
        <f>IFERROR(Data!$L157/Data!$D157,"")</f>
        <v>0.2</v>
      </c>
      <c r="Z157" s="25">
        <f>IFERROR(Data!$M157/Data!$D157,"")</f>
        <v>3.3333333333333333E-2</v>
      </c>
      <c r="AA157" s="26">
        <v>232.14</v>
      </c>
      <c r="AB157" s="26">
        <f t="shared" si="25"/>
        <v>14.508749999999999</v>
      </c>
      <c r="AC157" s="23">
        <f t="shared" si="22"/>
        <v>612.625</v>
      </c>
      <c r="AD157" s="23">
        <f t="shared" si="23"/>
        <v>13.3125</v>
      </c>
      <c r="AE157" s="23">
        <f>YEAR(Data!$C157)</f>
        <v>2021</v>
      </c>
      <c r="AF157" s="23"/>
      <c r="AG157" s="23">
        <v>12</v>
      </c>
      <c r="AH157" s="27">
        <f>Data!$F157/Data!$D157</f>
        <v>9.7833333333333332</v>
      </c>
      <c r="AI157" s="17" t="str">
        <f>RIGHT(Data!$O157,2)</f>
        <v>PM</v>
      </c>
      <c r="AJ157" s="23" t="str">
        <f>Data!$R157&amp;"-"&amp;WEEKNUM(Data!$C157,1)-WEEKNUM(DATE(YEAR(Data!$C157),MONTH(Data!$C157),1),1)+1</f>
        <v>6-2021-3</v>
      </c>
      <c r="AK157" s="23">
        <f>MONTH(Data!$C157)</f>
        <v>6</v>
      </c>
      <c r="AL157" s="23">
        <f>IFERROR(Data!$F157/Data!$E157,0)</f>
        <v>41.928571428571431</v>
      </c>
      <c r="AM157" s="23">
        <f>COUNTIF(Data!$N$2:$N$825,Data!$N157)</f>
        <v>191</v>
      </c>
      <c r="AN157" s="23" t="str">
        <f>VLOOKUP(Data!$N157,'Helpful Tables'!A:D,4,FALSE)</f>
        <v>Washington, DC</v>
      </c>
      <c r="AO157" s="23">
        <f>COUNTIF(AN:AN,Data!$AN157)/COUNTA(AN:AN)</f>
        <v>0.62424242424242427</v>
      </c>
      <c r="AP157" s="23">
        <v>38.949649000000001</v>
      </c>
      <c r="AQ157" s="23">
        <v>-77.080878999999996</v>
      </c>
      <c r="AR157" s="23">
        <f>COUNTIF(Data!$P$2:$P$825,Data!$P157)</f>
        <v>1</v>
      </c>
      <c r="AS157" s="23" cm="1">
        <f t="array" ref="AS157">_xlfn.IFS(Data!$E157&lt;12,((Data!$E157/Data!$D157)*60)*1,AND(Data!$E157&gt;=12,Data!$E157&lt;=15),((Data!$E157/Data!$D157)*60)*1.2,AND(Data!$E157&gt;=16,Data!$E157&lt;=19),((Data!$E157/Data!$D157)*60)*1.5,Data!$E157&gt;=20,((Data!$E157/Data!$D157)*60)*1.8)</f>
        <v>16.8</v>
      </c>
      <c r="AT157" s="23" cm="1">
        <f t="array" ref="AT157">_xlfn.IFS(Data!$F157&lt;600,((Data!$F157/Data!$D157)*60)*1,AND(Data!$F157&gt;=600,Data!$F157&lt;=625),((Data!$F157/Data!$D157)*60)*1.2,AND(Data!$F157&gt;=626,Data!$F157&lt;=650),((Data!$F157/Data!$D157)*60)*1.5,Data!$F157&gt;=651,((Data!$F157/Data!$D157)*60)*1.8)</f>
        <v>587</v>
      </c>
      <c r="AU157" s="23">
        <f>(Data!$I157*-1.2)+(Data!$J157*-1.1)+(Data!$K157*1.2)+(Data!$L157*1.3)+(Data!$M157*1.5)</f>
        <v>-6.7999999999999972</v>
      </c>
      <c r="AV157" s="23">
        <f>(Data!$AS157*0.4)+(Data!$AT157*0.4)+(Data!$AU157*0.2)</f>
        <v>240.16000000000003</v>
      </c>
      <c r="AW157" s="23">
        <f>PERCENTRANK(AV:AV,Data!$AV157)*100</f>
        <v>12.1</v>
      </c>
      <c r="AX157" s="23" t="str">
        <f>_xlfn.CONCAT(TEXT(C157,"mmm"),"-",Data!$AE157)</f>
        <v>Jun-2021</v>
      </c>
    </row>
    <row r="158" spans="1:50" ht="17" thickTop="1" thickBot="1" x14ac:dyDescent="0.25">
      <c r="A158" s="28">
        <v>157</v>
      </c>
      <c r="B158" s="29">
        <f t="shared" si="18"/>
        <v>16</v>
      </c>
      <c r="C158" s="41">
        <v>44363</v>
      </c>
      <c r="D158" s="30">
        <f>SUM(Data!$I158:$M158)</f>
        <v>58</v>
      </c>
      <c r="E158" s="29">
        <v>14</v>
      </c>
      <c r="F158" s="29">
        <v>653</v>
      </c>
      <c r="G158" s="29">
        <v>129</v>
      </c>
      <c r="H158" s="29">
        <v>166</v>
      </c>
      <c r="I158" s="29">
        <v>13</v>
      </c>
      <c r="J158" s="29">
        <v>10</v>
      </c>
      <c r="K158" s="29">
        <v>21</v>
      </c>
      <c r="L158" s="29">
        <v>13</v>
      </c>
      <c r="M158" s="29">
        <v>1</v>
      </c>
      <c r="N158" s="29" t="s">
        <v>91</v>
      </c>
      <c r="O158" s="29" t="s">
        <v>39</v>
      </c>
      <c r="P158" s="29" t="s">
        <v>96</v>
      </c>
      <c r="Q158" s="29">
        <f t="shared" si="24"/>
        <v>2</v>
      </c>
      <c r="R158" s="29" t="str">
        <f t="shared" si="19"/>
        <v>6-2021</v>
      </c>
      <c r="S158" s="29" t="s">
        <v>105</v>
      </c>
      <c r="T158" s="29" t="str">
        <f t="shared" si="20"/>
        <v>Wednesday</v>
      </c>
      <c r="U158" s="29">
        <f t="shared" si="21"/>
        <v>1</v>
      </c>
      <c r="V158" s="31">
        <f>IFERROR(Data!$I158/Data!$D158,"")</f>
        <v>0.22413793103448276</v>
      </c>
      <c r="W158" s="31">
        <f>IFERROR(Data!$J158/Data!$D158,"")</f>
        <v>0.17241379310344829</v>
      </c>
      <c r="X158" s="31">
        <f>IFERROR(Data!$K158/Data!$D158,"")</f>
        <v>0.36206896551724138</v>
      </c>
      <c r="Y158" s="31">
        <f>IFERROR(Data!$L158/Data!$D158,"")</f>
        <v>0.22413793103448276</v>
      </c>
      <c r="Z158" s="31">
        <f>IFERROR(Data!$M158/Data!$D158,"")</f>
        <v>1.7241379310344827E-2</v>
      </c>
      <c r="AA158" s="32">
        <v>232.14</v>
      </c>
      <c r="AB158" s="32">
        <f t="shared" si="25"/>
        <v>14.508749999999999</v>
      </c>
      <c r="AC158" s="29">
        <f t="shared" si="22"/>
        <v>612.625</v>
      </c>
      <c r="AD158" s="29">
        <f t="shared" si="23"/>
        <v>13.3125</v>
      </c>
      <c r="AE158" s="29">
        <f>YEAR(Data!$C158)</f>
        <v>2021</v>
      </c>
      <c r="AF158" s="29"/>
      <c r="AG158" s="29">
        <v>12</v>
      </c>
      <c r="AH158" s="33">
        <f>Data!$F158/Data!$D158</f>
        <v>11.258620689655173</v>
      </c>
      <c r="AI158" s="17" t="str">
        <f>RIGHT(Data!$O158,2)</f>
        <v>PM</v>
      </c>
      <c r="AJ158" s="29" t="str">
        <f>Data!$R158&amp;"-"&amp;WEEKNUM(Data!$C158,1)-WEEKNUM(DATE(YEAR(Data!$C158),MONTH(Data!$C158),1),1)+1</f>
        <v>6-2021-3</v>
      </c>
      <c r="AK158" s="29">
        <f>MONTH(Data!$C158)</f>
        <v>6</v>
      </c>
      <c r="AL158" s="29">
        <f>IFERROR(Data!$F158/Data!$E158,0)</f>
        <v>46.642857142857146</v>
      </c>
      <c r="AM158" s="29">
        <f>COUNTIF(Data!$N$2:$N$825,Data!$N158)</f>
        <v>218</v>
      </c>
      <c r="AN158" s="29" t="str">
        <f>VLOOKUP(Data!$N158,'Helpful Tables'!A:D,4,FALSE)</f>
        <v>Washington, DC</v>
      </c>
      <c r="AO158" s="29">
        <f>COUNTIF(AN:AN,Data!$AN158)/COUNTA(AN:AN)</f>
        <v>0.62424242424242427</v>
      </c>
      <c r="AP158" s="29">
        <v>38.934710000000003</v>
      </c>
      <c r="AQ158" s="29">
        <v>-77.058222999999998</v>
      </c>
      <c r="AR158" s="29">
        <f>COUNTIF(Data!$P$2:$P$825,Data!$P158)</f>
        <v>71</v>
      </c>
      <c r="AS158" s="29" cm="1">
        <f t="array" ref="AS158">_xlfn.IFS(Data!$E158&lt;12,((Data!$E158/Data!$D158)*60)*1,AND(Data!$E158&gt;=12,Data!$E158&lt;=15),((Data!$E158/Data!$D158)*60)*1.2,AND(Data!$E158&gt;=16,Data!$E158&lt;=19),((Data!$E158/Data!$D158)*60)*1.5,Data!$E158&gt;=20,((Data!$E158/Data!$D158)*60)*1.8)</f>
        <v>17.379310344827587</v>
      </c>
      <c r="AT158" s="29" cm="1">
        <f t="array" ref="AT158">_xlfn.IFS(Data!$F158&lt;600,((Data!$F158/Data!$D158)*60)*1,AND(Data!$F158&gt;=600,Data!$F158&lt;=625),((Data!$F158/Data!$D158)*60)*1.2,AND(Data!$F158&gt;=626,Data!$F158&lt;=650),((Data!$F158/Data!$D158)*60)*1.5,Data!$F158&gt;=651,((Data!$F158/Data!$D158)*60)*1.8)</f>
        <v>1215.9310344827586</v>
      </c>
      <c r="AU158" s="29">
        <f>(Data!$I158*-1.2)+(Data!$J158*-1.1)+(Data!$K158*1.2)+(Data!$L158*1.3)+(Data!$M158*1.5)</f>
        <v>17</v>
      </c>
      <c r="AV158" s="29">
        <f>(Data!$AS158*0.4)+(Data!$AT158*0.4)+(Data!$AU158*0.2)</f>
        <v>496.72413793103448</v>
      </c>
      <c r="AW158" s="29">
        <f>PERCENTRANK(AV:AV,Data!$AV158)*100</f>
        <v>75.599999999999994</v>
      </c>
      <c r="AX158" s="29" t="str">
        <f>_xlfn.CONCAT(TEXT(C158,"mmm"),"-",Data!$AE158)</f>
        <v>Jun-2021</v>
      </c>
    </row>
    <row r="159" spans="1:50" ht="17" thickTop="1" thickBot="1" x14ac:dyDescent="0.25">
      <c r="A159" s="22">
        <v>158</v>
      </c>
      <c r="B159" s="23">
        <f t="shared" si="18"/>
        <v>16</v>
      </c>
      <c r="C159" s="41">
        <v>44365</v>
      </c>
      <c r="D159" s="24">
        <f>SUM(Data!$I159:$M159)</f>
        <v>64</v>
      </c>
      <c r="E159" s="23">
        <v>12</v>
      </c>
      <c r="F159" s="23">
        <v>541</v>
      </c>
      <c r="G159" s="23">
        <v>110</v>
      </c>
      <c r="H159" s="23">
        <v>164</v>
      </c>
      <c r="I159" s="23">
        <v>34</v>
      </c>
      <c r="J159" s="23">
        <v>8</v>
      </c>
      <c r="K159" s="23">
        <v>10</v>
      </c>
      <c r="L159" s="23">
        <v>10</v>
      </c>
      <c r="M159" s="23">
        <v>2</v>
      </c>
      <c r="N159" s="23" t="s">
        <v>101</v>
      </c>
      <c r="O159" s="23" t="s">
        <v>107</v>
      </c>
      <c r="P159" s="23" t="s">
        <v>102</v>
      </c>
      <c r="Q159" s="23">
        <f t="shared" si="24"/>
        <v>2</v>
      </c>
      <c r="R159" s="23" t="str">
        <f t="shared" si="19"/>
        <v>6-2021</v>
      </c>
      <c r="S159" s="23" t="s">
        <v>104</v>
      </c>
      <c r="T159" s="23" t="str">
        <f t="shared" si="20"/>
        <v>Friday</v>
      </c>
      <c r="U159" s="23">
        <f t="shared" si="21"/>
        <v>1</v>
      </c>
      <c r="V159" s="25">
        <f>IFERROR(Data!$I159/Data!$D159,"")</f>
        <v>0.53125</v>
      </c>
      <c r="W159" s="25">
        <f>IFERROR(Data!$J159/Data!$D159,"")</f>
        <v>0.125</v>
      </c>
      <c r="X159" s="25">
        <f>IFERROR(Data!$K159/Data!$D159,"")</f>
        <v>0.15625</v>
      </c>
      <c r="Y159" s="25">
        <f>IFERROR(Data!$L159/Data!$D159,"")</f>
        <v>0.15625</v>
      </c>
      <c r="Z159" s="25">
        <f>IFERROR(Data!$M159/Data!$D159,"")</f>
        <v>3.125E-2</v>
      </c>
      <c r="AA159" s="26">
        <v>232.14</v>
      </c>
      <c r="AB159" s="26">
        <f t="shared" si="25"/>
        <v>14.508749999999999</v>
      </c>
      <c r="AC159" s="23">
        <f t="shared" si="22"/>
        <v>612.625</v>
      </c>
      <c r="AD159" s="23">
        <f t="shared" si="23"/>
        <v>13.3125</v>
      </c>
      <c r="AE159" s="23">
        <f>YEAR(Data!$C159)</f>
        <v>2021</v>
      </c>
      <c r="AF159" s="23"/>
      <c r="AG159" s="23">
        <v>12</v>
      </c>
      <c r="AH159" s="27">
        <f>Data!$F159/Data!$D159</f>
        <v>8.453125</v>
      </c>
      <c r="AI159" s="17" t="str">
        <f>RIGHT(Data!$O159,2)</f>
        <v>AM</v>
      </c>
      <c r="AJ159" s="23" t="str">
        <f>Data!$R159&amp;"-"&amp;WEEKNUM(Data!$C159,1)-WEEKNUM(DATE(YEAR(Data!$C159),MONTH(Data!$C159),1),1)+1</f>
        <v>6-2021-3</v>
      </c>
      <c r="AK159" s="23">
        <f>MONTH(Data!$C159)</f>
        <v>6</v>
      </c>
      <c r="AL159" s="23">
        <f>IFERROR(Data!$F159/Data!$E159,0)</f>
        <v>45.083333333333336</v>
      </c>
      <c r="AM159" s="23">
        <f>COUNTIF(Data!$N$2:$N$825,Data!$N159)</f>
        <v>191</v>
      </c>
      <c r="AN159" s="23" t="str">
        <f>VLOOKUP(Data!$N159,'Helpful Tables'!A:D,4,FALSE)</f>
        <v>Washington, DC</v>
      </c>
      <c r="AO159" s="23">
        <f>COUNTIF(AN:AN,Data!$AN159)/COUNTA(AN:AN)</f>
        <v>0.62424242424242427</v>
      </c>
      <c r="AP159" s="23">
        <v>38.949649000000001</v>
      </c>
      <c r="AQ159" s="23">
        <v>-77.080878999999996</v>
      </c>
      <c r="AR159" s="23">
        <f>COUNTIF(Data!$P$2:$P$825,Data!$P159)</f>
        <v>20</v>
      </c>
      <c r="AS159" s="23" cm="1">
        <f t="array" ref="AS159">_xlfn.IFS(Data!$E159&lt;12,((Data!$E159/Data!$D159)*60)*1,AND(Data!$E159&gt;=12,Data!$E159&lt;=15),((Data!$E159/Data!$D159)*60)*1.2,AND(Data!$E159&gt;=16,Data!$E159&lt;=19),((Data!$E159/Data!$D159)*60)*1.5,Data!$E159&gt;=20,((Data!$E159/Data!$D159)*60)*1.8)</f>
        <v>13.5</v>
      </c>
      <c r="AT159" s="23" cm="1">
        <f t="array" ref="AT159">_xlfn.IFS(Data!$F159&lt;600,((Data!$F159/Data!$D159)*60)*1,AND(Data!$F159&gt;=600,Data!$F159&lt;=625),((Data!$F159/Data!$D159)*60)*1.2,AND(Data!$F159&gt;=626,Data!$F159&lt;=650),((Data!$F159/Data!$D159)*60)*1.5,Data!$F159&gt;=651,((Data!$F159/Data!$D159)*60)*1.8)</f>
        <v>507.1875</v>
      </c>
      <c r="AU159" s="23">
        <f>(Data!$I159*-1.2)+(Data!$J159*-1.1)+(Data!$K159*1.2)+(Data!$L159*1.3)+(Data!$M159*1.5)</f>
        <v>-21.599999999999994</v>
      </c>
      <c r="AV159" s="23">
        <f>(Data!$AS159*0.4)+(Data!$AT159*0.4)+(Data!$AU159*0.2)</f>
        <v>203.95500000000001</v>
      </c>
      <c r="AW159" s="23">
        <f>PERCENTRANK(AV:AV,Data!$AV159)*100</f>
        <v>0.89999999999999991</v>
      </c>
      <c r="AX159" s="23" t="str">
        <f>_xlfn.CONCAT(TEXT(C159,"mmm"),"-",Data!$AE159)</f>
        <v>Jun-2021</v>
      </c>
    </row>
    <row r="160" spans="1:50" ht="17" thickTop="1" thickBot="1" x14ac:dyDescent="0.25">
      <c r="A160" s="28">
        <v>159</v>
      </c>
      <c r="B160" s="29">
        <f t="shared" si="18"/>
        <v>16</v>
      </c>
      <c r="C160" s="41">
        <v>44366</v>
      </c>
      <c r="D160" s="30">
        <f>SUM(Data!$I160:$M160)</f>
        <v>58</v>
      </c>
      <c r="E160" s="29">
        <v>13</v>
      </c>
      <c r="F160" s="29">
        <v>655</v>
      </c>
      <c r="G160" s="29">
        <v>130</v>
      </c>
      <c r="H160" s="29">
        <v>167</v>
      </c>
      <c r="I160" s="29">
        <v>6</v>
      </c>
      <c r="J160" s="29">
        <v>18</v>
      </c>
      <c r="K160" s="29">
        <v>21</v>
      </c>
      <c r="L160" s="29">
        <v>12</v>
      </c>
      <c r="M160" s="29">
        <v>1</v>
      </c>
      <c r="N160" s="29" t="s">
        <v>91</v>
      </c>
      <c r="O160" s="29" t="s">
        <v>45</v>
      </c>
      <c r="P160" s="29" t="s">
        <v>108</v>
      </c>
      <c r="Q160" s="29">
        <f t="shared" si="24"/>
        <v>1</v>
      </c>
      <c r="R160" s="29" t="str">
        <f t="shared" si="19"/>
        <v>6-2021</v>
      </c>
      <c r="S160" s="29" t="s">
        <v>99</v>
      </c>
      <c r="T160" s="29" t="str">
        <f t="shared" si="20"/>
        <v>Saturday</v>
      </c>
      <c r="U160" s="29">
        <f t="shared" si="21"/>
        <v>1</v>
      </c>
      <c r="V160" s="31">
        <f>IFERROR(Data!$I160/Data!$D160,"")</f>
        <v>0.10344827586206896</v>
      </c>
      <c r="W160" s="31">
        <f>IFERROR(Data!$J160/Data!$D160,"")</f>
        <v>0.31034482758620691</v>
      </c>
      <c r="X160" s="31">
        <f>IFERROR(Data!$K160/Data!$D160,"")</f>
        <v>0.36206896551724138</v>
      </c>
      <c r="Y160" s="31">
        <f>IFERROR(Data!$L160/Data!$D160,"")</f>
        <v>0.20689655172413793</v>
      </c>
      <c r="Z160" s="31">
        <f>IFERROR(Data!$M160/Data!$D160,"")</f>
        <v>1.7241379310344827E-2</v>
      </c>
      <c r="AA160" s="32">
        <v>232.14</v>
      </c>
      <c r="AB160" s="32">
        <f t="shared" si="25"/>
        <v>14.508749999999999</v>
      </c>
      <c r="AC160" s="29">
        <f t="shared" si="22"/>
        <v>612.625</v>
      </c>
      <c r="AD160" s="29">
        <f t="shared" si="23"/>
        <v>13.3125</v>
      </c>
      <c r="AE160" s="29">
        <f>YEAR(Data!$C160)</f>
        <v>2021</v>
      </c>
      <c r="AF160" s="29"/>
      <c r="AG160" s="29">
        <v>12</v>
      </c>
      <c r="AH160" s="33">
        <f>Data!$F160/Data!$D160</f>
        <v>11.293103448275861</v>
      </c>
      <c r="AI160" s="17" t="str">
        <f>RIGHT(Data!$O160,2)</f>
        <v>AM</v>
      </c>
      <c r="AJ160" s="29" t="str">
        <f>Data!$R160&amp;"-"&amp;WEEKNUM(Data!$C160,1)-WEEKNUM(DATE(YEAR(Data!$C160),MONTH(Data!$C160),1),1)+1</f>
        <v>6-2021-3</v>
      </c>
      <c r="AK160" s="29">
        <f>MONTH(Data!$C160)</f>
        <v>6</v>
      </c>
      <c r="AL160" s="29">
        <f>IFERROR(Data!$F160/Data!$E160,0)</f>
        <v>50.384615384615387</v>
      </c>
      <c r="AM160" s="29">
        <f>COUNTIF(Data!$N$2:$N$825,Data!$N160)</f>
        <v>218</v>
      </c>
      <c r="AN160" s="29" t="str">
        <f>VLOOKUP(Data!$N160,'Helpful Tables'!A:D,4,FALSE)</f>
        <v>Washington, DC</v>
      </c>
      <c r="AO160" s="29">
        <f>COUNTIF(AN:AN,Data!$AN160)/COUNTA(AN:AN)</f>
        <v>0.62424242424242427</v>
      </c>
      <c r="AP160" s="29">
        <v>38.934710000000003</v>
      </c>
      <c r="AQ160" s="29">
        <v>-77.058222999999998</v>
      </c>
      <c r="AR160" s="29">
        <f>COUNTIF(Data!$P$2:$P$825,Data!$P160)</f>
        <v>3</v>
      </c>
      <c r="AS160" s="29" cm="1">
        <f t="array" ref="AS160">_xlfn.IFS(Data!$E160&lt;12,((Data!$E160/Data!$D160)*60)*1,AND(Data!$E160&gt;=12,Data!$E160&lt;=15),((Data!$E160/Data!$D160)*60)*1.2,AND(Data!$E160&gt;=16,Data!$E160&lt;=19),((Data!$E160/Data!$D160)*60)*1.5,Data!$E160&gt;=20,((Data!$E160/Data!$D160)*60)*1.8)</f>
        <v>16.137931034482758</v>
      </c>
      <c r="AT160" s="29" cm="1">
        <f t="array" ref="AT160">_xlfn.IFS(Data!$F160&lt;600,((Data!$F160/Data!$D160)*60)*1,AND(Data!$F160&gt;=600,Data!$F160&lt;=625),((Data!$F160/Data!$D160)*60)*1.2,AND(Data!$F160&gt;=626,Data!$F160&lt;=650),((Data!$F160/Data!$D160)*60)*1.5,Data!$F160&gt;=651,((Data!$F160/Data!$D160)*60)*1.8)</f>
        <v>1219.655172413793</v>
      </c>
      <c r="AU160" s="29">
        <f>(Data!$I160*-1.2)+(Data!$J160*-1.1)+(Data!$K160*1.2)+(Data!$L160*1.3)+(Data!$M160*1.5)</f>
        <v>15.3</v>
      </c>
      <c r="AV160" s="29">
        <f>(Data!$AS160*0.4)+(Data!$AT160*0.4)+(Data!$AU160*0.2)</f>
        <v>497.37724137931031</v>
      </c>
      <c r="AW160" s="29">
        <f>PERCENTRANK(AV:AV,Data!$AV160)*100</f>
        <v>76.2</v>
      </c>
      <c r="AX160" s="29" t="str">
        <f>_xlfn.CONCAT(TEXT(C160,"mmm"),"-",Data!$AE160)</f>
        <v>Jun-2021</v>
      </c>
    </row>
    <row r="161" spans="1:50" ht="17" thickTop="1" thickBot="1" x14ac:dyDescent="0.25">
      <c r="A161" s="22">
        <v>160</v>
      </c>
      <c r="B161" s="23">
        <f t="shared" si="18"/>
        <v>16</v>
      </c>
      <c r="C161" s="41">
        <v>44368</v>
      </c>
      <c r="D161" s="24">
        <f>SUM(Data!$I161:$M161)</f>
        <v>57</v>
      </c>
      <c r="E161" s="23">
        <v>11</v>
      </c>
      <c r="F161" s="23">
        <v>611</v>
      </c>
      <c r="G161" s="23">
        <v>126</v>
      </c>
      <c r="H161" s="23">
        <v>168</v>
      </c>
      <c r="I161" s="23">
        <v>13</v>
      </c>
      <c r="J161" s="23">
        <v>14</v>
      </c>
      <c r="K161" s="23">
        <v>19</v>
      </c>
      <c r="L161" s="23">
        <v>10</v>
      </c>
      <c r="M161" s="23">
        <v>1</v>
      </c>
      <c r="N161" s="23" t="s">
        <v>91</v>
      </c>
      <c r="O161" s="23" t="s">
        <v>39</v>
      </c>
      <c r="P161" s="23" t="s">
        <v>94</v>
      </c>
      <c r="Q161" s="23">
        <f t="shared" si="24"/>
        <v>2</v>
      </c>
      <c r="R161" s="23" t="str">
        <f t="shared" si="19"/>
        <v>6-2021</v>
      </c>
      <c r="S161" s="23" t="s">
        <v>105</v>
      </c>
      <c r="T161" s="23" t="str">
        <f t="shared" si="20"/>
        <v>Monday</v>
      </c>
      <c r="U161" s="23">
        <f t="shared" si="21"/>
        <v>0</v>
      </c>
      <c r="V161" s="25">
        <f>IFERROR(Data!$I161/Data!$D161,"")</f>
        <v>0.22807017543859648</v>
      </c>
      <c r="W161" s="25">
        <f>IFERROR(Data!$J161/Data!$D161,"")</f>
        <v>0.24561403508771928</v>
      </c>
      <c r="X161" s="25">
        <f>IFERROR(Data!$K161/Data!$D161,"")</f>
        <v>0.33333333333333331</v>
      </c>
      <c r="Y161" s="25">
        <f>IFERROR(Data!$L161/Data!$D161,"")</f>
        <v>0.17543859649122806</v>
      </c>
      <c r="Z161" s="25">
        <f>IFERROR(Data!$M161/Data!$D161,"")</f>
        <v>1.7543859649122806E-2</v>
      </c>
      <c r="AA161" s="26">
        <v>232.14</v>
      </c>
      <c r="AB161" s="26">
        <f t="shared" si="25"/>
        <v>14.508749999999999</v>
      </c>
      <c r="AC161" s="23">
        <f t="shared" si="22"/>
        <v>612.625</v>
      </c>
      <c r="AD161" s="23">
        <f t="shared" si="23"/>
        <v>13.3125</v>
      </c>
      <c r="AE161" s="23">
        <f>YEAR(Data!$C161)</f>
        <v>2021</v>
      </c>
      <c r="AF161" s="23"/>
      <c r="AG161" s="23">
        <v>12</v>
      </c>
      <c r="AH161" s="27">
        <f>Data!$F161/Data!$D161</f>
        <v>10.719298245614034</v>
      </c>
      <c r="AI161" s="17" t="str">
        <f>RIGHT(Data!$O161,2)</f>
        <v>PM</v>
      </c>
      <c r="AJ161" s="23" t="str">
        <f>Data!$R161&amp;"-"&amp;WEEKNUM(Data!$C161,1)-WEEKNUM(DATE(YEAR(Data!$C161),MONTH(Data!$C161),1),1)+1</f>
        <v>6-2021-4</v>
      </c>
      <c r="AK161" s="23">
        <f>MONTH(Data!$C161)</f>
        <v>6</v>
      </c>
      <c r="AL161" s="23">
        <f>IFERROR(Data!$F161/Data!$E161,0)</f>
        <v>55.545454545454547</v>
      </c>
      <c r="AM161" s="23">
        <f>COUNTIF(Data!$N$2:$N$825,Data!$N161)</f>
        <v>218</v>
      </c>
      <c r="AN161" s="23" t="str">
        <f>VLOOKUP(Data!$N161,'Helpful Tables'!A:D,4,FALSE)</f>
        <v>Washington, DC</v>
      </c>
      <c r="AO161" s="23">
        <f>COUNTIF(AN:AN,Data!$AN161)/COUNTA(AN:AN)</f>
        <v>0.62424242424242427</v>
      </c>
      <c r="AP161" s="23">
        <v>38.934710000000003</v>
      </c>
      <c r="AQ161" s="23">
        <v>-77.058222999999998</v>
      </c>
      <c r="AR161" s="23">
        <f>COUNTIF(Data!$P$2:$P$825,Data!$P161)</f>
        <v>15</v>
      </c>
      <c r="AS161" s="23" cm="1">
        <f t="array" ref="AS161">_xlfn.IFS(Data!$E161&lt;12,((Data!$E161/Data!$D161)*60)*1,AND(Data!$E161&gt;=12,Data!$E161&lt;=15),((Data!$E161/Data!$D161)*60)*1.2,AND(Data!$E161&gt;=16,Data!$E161&lt;=19),((Data!$E161/Data!$D161)*60)*1.5,Data!$E161&gt;=20,((Data!$E161/Data!$D161)*60)*1.8)</f>
        <v>11.578947368421051</v>
      </c>
      <c r="AT161" s="23" cm="1">
        <f t="array" ref="AT161">_xlfn.IFS(Data!$F161&lt;600,((Data!$F161/Data!$D161)*60)*1,AND(Data!$F161&gt;=600,Data!$F161&lt;=625),((Data!$F161/Data!$D161)*60)*1.2,AND(Data!$F161&gt;=626,Data!$F161&lt;=650),((Data!$F161/Data!$D161)*60)*1.5,Data!$F161&gt;=651,((Data!$F161/Data!$D161)*60)*1.8)</f>
        <v>771.78947368421052</v>
      </c>
      <c r="AU161" s="23">
        <f>(Data!$I161*-1.2)+(Data!$J161*-1.1)+(Data!$K161*1.2)+(Data!$L161*1.3)+(Data!$M161*1.5)</f>
        <v>6.3000000000000007</v>
      </c>
      <c r="AV161" s="23">
        <f>(Data!$AS161*0.4)+(Data!$AT161*0.4)+(Data!$AU161*0.2)</f>
        <v>314.60736842105268</v>
      </c>
      <c r="AW161" s="23">
        <f>PERCENTRANK(AV:AV,Data!$AV161)*100</f>
        <v>33.4</v>
      </c>
      <c r="AX161" s="23" t="str">
        <f>_xlfn.CONCAT(TEXT(C161,"mmm"),"-",Data!$AE161)</f>
        <v>Jun-2021</v>
      </c>
    </row>
    <row r="162" spans="1:50" ht="17" thickTop="1" thickBot="1" x14ac:dyDescent="0.25">
      <c r="A162" s="28">
        <v>161</v>
      </c>
      <c r="B162" s="29">
        <f t="shared" si="18"/>
        <v>16</v>
      </c>
      <c r="C162" s="41">
        <v>44369</v>
      </c>
      <c r="D162" s="30">
        <f>SUM(Data!$I162:$M162)</f>
        <v>56</v>
      </c>
      <c r="E162" s="29">
        <v>17</v>
      </c>
      <c r="F162" s="29">
        <v>528</v>
      </c>
      <c r="G162" s="29">
        <v>117</v>
      </c>
      <c r="H162" s="29">
        <v>170</v>
      </c>
      <c r="I162" s="29">
        <v>26</v>
      </c>
      <c r="J162" s="29">
        <v>8</v>
      </c>
      <c r="K162" s="29">
        <v>5</v>
      </c>
      <c r="L162" s="29">
        <v>14</v>
      </c>
      <c r="M162" s="29">
        <v>3</v>
      </c>
      <c r="N162" s="29" t="s">
        <v>101</v>
      </c>
      <c r="O162" s="29" t="s">
        <v>103</v>
      </c>
      <c r="P162" s="29" t="s">
        <v>109</v>
      </c>
      <c r="Q162" s="29">
        <f t="shared" si="24"/>
        <v>1</v>
      </c>
      <c r="R162" s="29" t="str">
        <f t="shared" si="19"/>
        <v>6-2021</v>
      </c>
      <c r="S162" s="29" t="s">
        <v>104</v>
      </c>
      <c r="T162" s="29" t="str">
        <f t="shared" si="20"/>
        <v>Tuesday</v>
      </c>
      <c r="U162" s="29">
        <f t="shared" si="21"/>
        <v>1</v>
      </c>
      <c r="V162" s="31">
        <f>IFERROR(Data!$I162/Data!$D162,"")</f>
        <v>0.4642857142857143</v>
      </c>
      <c r="W162" s="31">
        <f>IFERROR(Data!$J162/Data!$D162,"")</f>
        <v>0.14285714285714285</v>
      </c>
      <c r="X162" s="31">
        <f>IFERROR(Data!$K162/Data!$D162,"")</f>
        <v>8.9285714285714288E-2</v>
      </c>
      <c r="Y162" s="31">
        <f>IFERROR(Data!$L162/Data!$D162,"")</f>
        <v>0.25</v>
      </c>
      <c r="Z162" s="31">
        <f>IFERROR(Data!$M162/Data!$D162,"")</f>
        <v>5.3571428571428568E-2</v>
      </c>
      <c r="AA162" s="32">
        <v>232.14</v>
      </c>
      <c r="AB162" s="32">
        <f t="shared" si="25"/>
        <v>14.508749999999999</v>
      </c>
      <c r="AC162" s="29">
        <f t="shared" si="22"/>
        <v>612.625</v>
      </c>
      <c r="AD162" s="29">
        <f t="shared" si="23"/>
        <v>13.3125</v>
      </c>
      <c r="AE162" s="29">
        <f>YEAR(Data!$C162)</f>
        <v>2021</v>
      </c>
      <c r="AF162" s="29"/>
      <c r="AG162" s="29">
        <v>12</v>
      </c>
      <c r="AH162" s="33">
        <f>Data!$F162/Data!$D162</f>
        <v>9.4285714285714288</v>
      </c>
      <c r="AI162" s="17" t="str">
        <f>RIGHT(Data!$O162,2)</f>
        <v>PM</v>
      </c>
      <c r="AJ162" s="29" t="str">
        <f>Data!$R162&amp;"-"&amp;WEEKNUM(Data!$C162,1)-WEEKNUM(DATE(YEAR(Data!$C162),MONTH(Data!$C162),1),1)+1</f>
        <v>6-2021-4</v>
      </c>
      <c r="AK162" s="29">
        <f>MONTH(Data!$C162)</f>
        <v>6</v>
      </c>
      <c r="AL162" s="29">
        <f>IFERROR(Data!$F162/Data!$E162,0)</f>
        <v>31.058823529411764</v>
      </c>
      <c r="AM162" s="29">
        <f>COUNTIF(Data!$N$2:$N$825,Data!$N162)</f>
        <v>191</v>
      </c>
      <c r="AN162" s="29" t="str">
        <f>VLOOKUP(Data!$N162,'Helpful Tables'!A:D,4,FALSE)</f>
        <v>Washington, DC</v>
      </c>
      <c r="AO162" s="29">
        <f>COUNTIF(AN:AN,Data!$AN162)/COUNTA(AN:AN)</f>
        <v>0.62424242424242427</v>
      </c>
      <c r="AP162" s="29">
        <v>38.949649000000001</v>
      </c>
      <c r="AQ162" s="29">
        <v>-77.080878999999996</v>
      </c>
      <c r="AR162" s="29">
        <f>COUNTIF(Data!$P$2:$P$825,Data!$P162)</f>
        <v>66</v>
      </c>
      <c r="AS162" s="29" cm="1">
        <f t="array" ref="AS162">_xlfn.IFS(Data!$E162&lt;12,((Data!$E162/Data!$D162)*60)*1,AND(Data!$E162&gt;=12,Data!$E162&lt;=15),((Data!$E162/Data!$D162)*60)*1.2,AND(Data!$E162&gt;=16,Data!$E162&lt;=19),((Data!$E162/Data!$D162)*60)*1.5,Data!$E162&gt;=20,((Data!$E162/Data!$D162)*60)*1.8)</f>
        <v>27.321428571428569</v>
      </c>
      <c r="AT162" s="29" cm="1">
        <f t="array" ref="AT162">_xlfn.IFS(Data!$F162&lt;600,((Data!$F162/Data!$D162)*60)*1,AND(Data!$F162&gt;=600,Data!$F162&lt;=625),((Data!$F162/Data!$D162)*60)*1.2,AND(Data!$F162&gt;=626,Data!$F162&lt;=650),((Data!$F162/Data!$D162)*60)*1.5,Data!$F162&gt;=651,((Data!$F162/Data!$D162)*60)*1.8)</f>
        <v>565.71428571428578</v>
      </c>
      <c r="AU162" s="29">
        <f>(Data!$I162*-1.2)+(Data!$J162*-1.1)+(Data!$K162*1.2)+(Data!$L162*1.3)+(Data!$M162*1.5)</f>
        <v>-11.3</v>
      </c>
      <c r="AV162" s="29">
        <f>(Data!$AS162*0.4)+(Data!$AT162*0.4)+(Data!$AU162*0.2)</f>
        <v>234.95428571428576</v>
      </c>
      <c r="AW162" s="29">
        <f>PERCENTRANK(AV:AV,Data!$AV162)*100</f>
        <v>9.9</v>
      </c>
      <c r="AX162" s="29" t="str">
        <f>_xlfn.CONCAT(TEXT(C162,"mmm"),"-",Data!$AE162)</f>
        <v>Jun-2021</v>
      </c>
    </row>
    <row r="163" spans="1:50" ht="17" thickTop="1" thickBot="1" x14ac:dyDescent="0.25">
      <c r="A163" s="22">
        <v>162</v>
      </c>
      <c r="B163" s="23">
        <f t="shared" si="18"/>
        <v>16</v>
      </c>
      <c r="C163" s="41">
        <v>44371</v>
      </c>
      <c r="D163" s="24">
        <f>SUM(Data!$I163:$M163)</f>
        <v>60</v>
      </c>
      <c r="E163" s="23">
        <v>11</v>
      </c>
      <c r="F163" s="23">
        <v>579</v>
      </c>
      <c r="G163" s="23">
        <v>119</v>
      </c>
      <c r="H163" s="23">
        <v>167</v>
      </c>
      <c r="I163" s="23">
        <v>24</v>
      </c>
      <c r="J163" s="23">
        <v>11</v>
      </c>
      <c r="K163" s="23">
        <v>14</v>
      </c>
      <c r="L163" s="23">
        <v>10</v>
      </c>
      <c r="M163" s="23">
        <v>1</v>
      </c>
      <c r="N163" s="23" t="s">
        <v>91</v>
      </c>
      <c r="O163" s="23" t="s">
        <v>110</v>
      </c>
      <c r="P163" s="23" t="s">
        <v>100</v>
      </c>
      <c r="Q163" s="23">
        <f t="shared" si="24"/>
        <v>2</v>
      </c>
      <c r="R163" s="23" t="str">
        <f t="shared" si="19"/>
        <v>6-2021</v>
      </c>
      <c r="S163" s="23" t="s">
        <v>105</v>
      </c>
      <c r="T163" s="23" t="str">
        <f t="shared" si="20"/>
        <v>Thursday</v>
      </c>
      <c r="U163" s="23">
        <f t="shared" si="21"/>
        <v>0</v>
      </c>
      <c r="V163" s="25">
        <f>IFERROR(Data!$I163/Data!$D163,"")</f>
        <v>0.4</v>
      </c>
      <c r="W163" s="25">
        <f>IFERROR(Data!$J163/Data!$D163,"")</f>
        <v>0.18333333333333332</v>
      </c>
      <c r="X163" s="25">
        <f>IFERROR(Data!$K163/Data!$D163,"")</f>
        <v>0.23333333333333334</v>
      </c>
      <c r="Y163" s="25">
        <f>IFERROR(Data!$L163/Data!$D163,"")</f>
        <v>0.16666666666666666</v>
      </c>
      <c r="Z163" s="25">
        <f>IFERROR(Data!$M163/Data!$D163,"")</f>
        <v>1.6666666666666666E-2</v>
      </c>
      <c r="AA163" s="26">
        <v>232.14</v>
      </c>
      <c r="AB163" s="26">
        <f t="shared" si="25"/>
        <v>14.508749999999999</v>
      </c>
      <c r="AC163" s="23">
        <f t="shared" si="22"/>
        <v>612.625</v>
      </c>
      <c r="AD163" s="23">
        <f t="shared" si="23"/>
        <v>13.3125</v>
      </c>
      <c r="AE163" s="23">
        <f>YEAR(Data!$C163)</f>
        <v>2021</v>
      </c>
      <c r="AF163" s="23"/>
      <c r="AG163" s="23">
        <v>12</v>
      </c>
      <c r="AH163" s="27">
        <f>Data!$F163/Data!$D163</f>
        <v>9.65</v>
      </c>
      <c r="AI163" s="17" t="str">
        <f>RIGHT(Data!$O163,2)</f>
        <v>AM</v>
      </c>
      <c r="AJ163" s="23" t="str">
        <f>Data!$R163&amp;"-"&amp;WEEKNUM(Data!$C163,1)-WEEKNUM(DATE(YEAR(Data!$C163),MONTH(Data!$C163),1),1)+1</f>
        <v>6-2021-4</v>
      </c>
      <c r="AK163" s="23">
        <f>MONTH(Data!$C163)</f>
        <v>6</v>
      </c>
      <c r="AL163" s="23">
        <f>IFERROR(Data!$F163/Data!$E163,0)</f>
        <v>52.636363636363633</v>
      </c>
      <c r="AM163" s="23">
        <f>COUNTIF(Data!$N$2:$N$825,Data!$N163)</f>
        <v>218</v>
      </c>
      <c r="AN163" s="23" t="str">
        <f>VLOOKUP(Data!$N163,'Helpful Tables'!A:D,4,FALSE)</f>
        <v>Washington, DC</v>
      </c>
      <c r="AO163" s="23">
        <f>COUNTIF(AN:AN,Data!$AN163)/COUNTA(AN:AN)</f>
        <v>0.62424242424242427</v>
      </c>
      <c r="AP163" s="23">
        <v>38.934710000000003</v>
      </c>
      <c r="AQ163" s="23">
        <v>-77.058222999999998</v>
      </c>
      <c r="AR163" s="23">
        <f>COUNTIF(Data!$P$2:$P$825,Data!$P163)</f>
        <v>35</v>
      </c>
      <c r="AS163" s="23" cm="1">
        <f t="array" ref="AS163">_xlfn.IFS(Data!$E163&lt;12,((Data!$E163/Data!$D163)*60)*1,AND(Data!$E163&gt;=12,Data!$E163&lt;=15),((Data!$E163/Data!$D163)*60)*1.2,AND(Data!$E163&gt;=16,Data!$E163&lt;=19),((Data!$E163/Data!$D163)*60)*1.5,Data!$E163&gt;=20,((Data!$E163/Data!$D163)*60)*1.8)</f>
        <v>11</v>
      </c>
      <c r="AT163" s="23" cm="1">
        <f t="array" ref="AT163">_xlfn.IFS(Data!$F163&lt;600,((Data!$F163/Data!$D163)*60)*1,AND(Data!$F163&gt;=600,Data!$F163&lt;=625),((Data!$F163/Data!$D163)*60)*1.2,AND(Data!$F163&gt;=626,Data!$F163&lt;=650),((Data!$F163/Data!$D163)*60)*1.5,Data!$F163&gt;=651,((Data!$F163/Data!$D163)*60)*1.8)</f>
        <v>579</v>
      </c>
      <c r="AU163" s="23">
        <f>(Data!$I163*-1.2)+(Data!$J163*-1.1)+(Data!$K163*1.2)+(Data!$L163*1.3)+(Data!$M163*1.5)</f>
        <v>-9.5999999999999979</v>
      </c>
      <c r="AV163" s="23">
        <f>(Data!$AS163*0.4)+(Data!$AT163*0.4)+(Data!$AU163*0.2)</f>
        <v>234.08000000000004</v>
      </c>
      <c r="AW163" s="23">
        <f>PERCENTRANK(AV:AV,Data!$AV163)*100</f>
        <v>9.1</v>
      </c>
      <c r="AX163" s="23" t="str">
        <f>_xlfn.CONCAT(TEXT(C163,"mmm"),"-",Data!$AE163)</f>
        <v>Jun-2021</v>
      </c>
    </row>
    <row r="164" spans="1:50" ht="17" thickTop="1" thickBot="1" x14ac:dyDescent="0.25">
      <c r="A164" s="28">
        <v>163</v>
      </c>
      <c r="B164" s="29">
        <f t="shared" si="18"/>
        <v>16</v>
      </c>
      <c r="C164" s="41">
        <v>44374</v>
      </c>
      <c r="D164" s="30">
        <f>SUM(Data!$I164:$M164)</f>
        <v>57</v>
      </c>
      <c r="E164" s="29">
        <v>13</v>
      </c>
      <c r="F164" s="29">
        <v>614</v>
      </c>
      <c r="G164" s="29">
        <v>125</v>
      </c>
      <c r="H164" s="29">
        <v>171</v>
      </c>
      <c r="I164" s="29">
        <v>15</v>
      </c>
      <c r="J164" s="29">
        <v>15</v>
      </c>
      <c r="K164" s="29">
        <v>14</v>
      </c>
      <c r="L164" s="29">
        <v>9</v>
      </c>
      <c r="M164" s="29">
        <v>4</v>
      </c>
      <c r="N164" s="29" t="s">
        <v>111</v>
      </c>
      <c r="O164" s="29" t="s">
        <v>113</v>
      </c>
      <c r="P164" s="29" t="s">
        <v>112</v>
      </c>
      <c r="Q164" s="29">
        <f t="shared" si="24"/>
        <v>3</v>
      </c>
      <c r="R164" s="29" t="str">
        <f t="shared" si="19"/>
        <v>6-2021</v>
      </c>
      <c r="S164" s="29" t="s">
        <v>114</v>
      </c>
      <c r="T164" s="29" t="str">
        <f t="shared" si="20"/>
        <v>Sunday</v>
      </c>
      <c r="U164" s="29">
        <f t="shared" si="21"/>
        <v>1</v>
      </c>
      <c r="V164" s="31">
        <f>IFERROR(Data!$I164/Data!$D164,"")</f>
        <v>0.26315789473684209</v>
      </c>
      <c r="W164" s="31">
        <f>IFERROR(Data!$J164/Data!$D164,"")</f>
        <v>0.26315789473684209</v>
      </c>
      <c r="X164" s="31">
        <f>IFERROR(Data!$K164/Data!$D164,"")</f>
        <v>0.24561403508771928</v>
      </c>
      <c r="Y164" s="31">
        <f>IFERROR(Data!$L164/Data!$D164,"")</f>
        <v>0.15789473684210525</v>
      </c>
      <c r="Z164" s="31">
        <f>IFERROR(Data!$M164/Data!$D164,"")</f>
        <v>7.0175438596491224E-2</v>
      </c>
      <c r="AA164" s="32">
        <v>232.14</v>
      </c>
      <c r="AB164" s="32">
        <f t="shared" si="25"/>
        <v>14.508749999999999</v>
      </c>
      <c r="AC164" s="29">
        <f t="shared" si="22"/>
        <v>612.625</v>
      </c>
      <c r="AD164" s="29">
        <f t="shared" si="23"/>
        <v>13.3125</v>
      </c>
      <c r="AE164" s="29">
        <f>YEAR(Data!$C164)</f>
        <v>2021</v>
      </c>
      <c r="AF164" s="29"/>
      <c r="AG164" s="29">
        <v>12</v>
      </c>
      <c r="AH164" s="33">
        <f>Data!$F164/Data!$D164</f>
        <v>10.771929824561404</v>
      </c>
      <c r="AI164" s="17" t="str">
        <f>RIGHT(Data!$O164,2)</f>
        <v>AM</v>
      </c>
      <c r="AJ164" s="29" t="str">
        <f>Data!$R164&amp;"-"&amp;WEEKNUM(Data!$C164,1)-WEEKNUM(DATE(YEAR(Data!$C164),MONTH(Data!$C164),1),1)+1</f>
        <v>6-2021-5</v>
      </c>
      <c r="AK164" s="29">
        <f>MONTH(Data!$C164)</f>
        <v>6</v>
      </c>
      <c r="AL164" s="29">
        <f>IFERROR(Data!$F164/Data!$E164,0)</f>
        <v>47.230769230769234</v>
      </c>
      <c r="AM164" s="29">
        <f>COUNTIF(Data!$N$2:$N$825,Data!$N164)</f>
        <v>3</v>
      </c>
      <c r="AN164" s="29" t="str">
        <f>VLOOKUP(Data!$N164,'Helpful Tables'!A:D,4,FALSE)</f>
        <v>Massachusetts</v>
      </c>
      <c r="AO164" s="29">
        <f>COUNTIF(AN:AN,Data!$AN164)/COUNTA(AN:AN)</f>
        <v>1.9393939393939394E-2</v>
      </c>
      <c r="AP164" s="29">
        <v>42.383611000000002</v>
      </c>
      <c r="AQ164" s="29">
        <v>-71.181432999999998</v>
      </c>
      <c r="AR164" s="29">
        <f>COUNTIF(Data!$P$2:$P$825,Data!$P164)</f>
        <v>1</v>
      </c>
      <c r="AS164" s="29" cm="1">
        <f t="array" ref="AS164">_xlfn.IFS(Data!$E164&lt;12,((Data!$E164/Data!$D164)*60)*1,AND(Data!$E164&gt;=12,Data!$E164&lt;=15),((Data!$E164/Data!$D164)*60)*1.2,AND(Data!$E164&gt;=16,Data!$E164&lt;=19),((Data!$E164/Data!$D164)*60)*1.5,Data!$E164&gt;=20,((Data!$E164/Data!$D164)*60)*1.8)</f>
        <v>16.421052631578945</v>
      </c>
      <c r="AT164" s="29" cm="1">
        <f t="array" ref="AT164">_xlfn.IFS(Data!$F164&lt;600,((Data!$F164/Data!$D164)*60)*1,AND(Data!$F164&gt;=600,Data!$F164&lt;=625),((Data!$F164/Data!$D164)*60)*1.2,AND(Data!$F164&gt;=626,Data!$F164&lt;=650),((Data!$F164/Data!$D164)*60)*1.5,Data!$F164&gt;=651,((Data!$F164/Data!$D164)*60)*1.8)</f>
        <v>775.57894736842115</v>
      </c>
      <c r="AU164" s="29">
        <f>(Data!$I164*-1.2)+(Data!$J164*-1.1)+(Data!$K164*1.2)+(Data!$L164*1.3)+(Data!$M164*1.5)</f>
        <v>0</v>
      </c>
      <c r="AV164" s="29">
        <f>(Data!$AS164*0.4)+(Data!$AT164*0.4)+(Data!$AU164*0.2)</f>
        <v>316.80000000000007</v>
      </c>
      <c r="AW164" s="29">
        <f>PERCENTRANK(AV:AV,Data!$AV164)*100</f>
        <v>35.4</v>
      </c>
      <c r="AX164" s="29" t="str">
        <f>_xlfn.CONCAT(TEXT(C164,"mmm"),"-",Data!$AE164)</f>
        <v>Jun-2021</v>
      </c>
    </row>
    <row r="165" spans="1:50" ht="17" thickTop="1" thickBot="1" x14ac:dyDescent="0.25">
      <c r="A165" s="22">
        <v>164</v>
      </c>
      <c r="B165" s="23">
        <f t="shared" si="18"/>
        <v>16</v>
      </c>
      <c r="C165" s="41">
        <v>44375</v>
      </c>
      <c r="D165" s="24">
        <f>SUM(Data!$I165:$M165)</f>
        <v>62</v>
      </c>
      <c r="E165" s="23">
        <v>13</v>
      </c>
      <c r="F165" s="23">
        <v>638</v>
      </c>
      <c r="G165" s="23">
        <v>122</v>
      </c>
      <c r="H165" s="23">
        <v>164</v>
      </c>
      <c r="I165" s="23">
        <v>23</v>
      </c>
      <c r="J165" s="23">
        <v>9</v>
      </c>
      <c r="K165" s="23">
        <v>17</v>
      </c>
      <c r="L165" s="23">
        <v>11</v>
      </c>
      <c r="M165" s="23">
        <v>2</v>
      </c>
      <c r="N165" s="23" t="s">
        <v>111</v>
      </c>
      <c r="O165" s="23" t="s">
        <v>113</v>
      </c>
      <c r="P165" s="23" t="s">
        <v>116</v>
      </c>
      <c r="Q165" s="23">
        <f t="shared" si="24"/>
        <v>1</v>
      </c>
      <c r="R165" s="23" t="str">
        <f t="shared" si="19"/>
        <v>6-2021</v>
      </c>
      <c r="S165" s="23" t="s">
        <v>117</v>
      </c>
      <c r="T165" s="23" t="str">
        <f t="shared" si="20"/>
        <v>Monday</v>
      </c>
      <c r="U165" s="23">
        <f t="shared" si="21"/>
        <v>1</v>
      </c>
      <c r="V165" s="25">
        <f>IFERROR(Data!$I165/Data!$D165,"")</f>
        <v>0.37096774193548387</v>
      </c>
      <c r="W165" s="25">
        <f>IFERROR(Data!$J165/Data!$D165,"")</f>
        <v>0.14516129032258066</v>
      </c>
      <c r="X165" s="25">
        <f>IFERROR(Data!$K165/Data!$D165,"")</f>
        <v>0.27419354838709675</v>
      </c>
      <c r="Y165" s="25">
        <f>IFERROR(Data!$L165/Data!$D165,"")</f>
        <v>0.17741935483870969</v>
      </c>
      <c r="Z165" s="25">
        <f>IFERROR(Data!$M165/Data!$D165,"")</f>
        <v>3.2258064516129031E-2</v>
      </c>
      <c r="AA165" s="26">
        <v>232.14</v>
      </c>
      <c r="AB165" s="26">
        <f t="shared" si="25"/>
        <v>14.508749999999999</v>
      </c>
      <c r="AC165" s="23">
        <f t="shared" si="22"/>
        <v>612.625</v>
      </c>
      <c r="AD165" s="23">
        <f t="shared" si="23"/>
        <v>13.3125</v>
      </c>
      <c r="AE165" s="23">
        <f>YEAR(Data!$C165)</f>
        <v>2021</v>
      </c>
      <c r="AF165" s="23"/>
      <c r="AG165" s="23">
        <v>12</v>
      </c>
      <c r="AH165" s="27">
        <f>Data!$F165/Data!$D165</f>
        <v>10.290322580645162</v>
      </c>
      <c r="AI165" s="17" t="str">
        <f>RIGHT(Data!$O165,2)</f>
        <v>AM</v>
      </c>
      <c r="AJ165" s="23" t="str">
        <f>Data!$R165&amp;"-"&amp;WEEKNUM(Data!$C165,1)-WEEKNUM(DATE(YEAR(Data!$C165),MONTH(Data!$C165),1),1)+1</f>
        <v>6-2021-5</v>
      </c>
      <c r="AK165" s="23">
        <f>MONTH(Data!$C165)</f>
        <v>6</v>
      </c>
      <c r="AL165" s="23">
        <f>IFERROR(Data!$F165/Data!$E165,0)</f>
        <v>49.07692307692308</v>
      </c>
      <c r="AM165" s="23">
        <f>COUNTIF(Data!$N$2:$N$825,Data!$N165)</f>
        <v>3</v>
      </c>
      <c r="AN165" s="23" t="str">
        <f>VLOOKUP(Data!$N165,'Helpful Tables'!A:D,4,FALSE)</f>
        <v>Massachusetts</v>
      </c>
      <c r="AO165" s="23">
        <f>COUNTIF(AN:AN,Data!$AN165)/COUNTA(AN:AN)</f>
        <v>1.9393939393939394E-2</v>
      </c>
      <c r="AP165" s="23">
        <v>42.383611000000002</v>
      </c>
      <c r="AQ165" s="23">
        <v>-71.181432999999998</v>
      </c>
      <c r="AR165" s="23">
        <f>COUNTIF(Data!$P$2:$P$825,Data!$P165)</f>
        <v>1</v>
      </c>
      <c r="AS165" s="23" cm="1">
        <f t="array" ref="AS165">_xlfn.IFS(Data!$E165&lt;12,((Data!$E165/Data!$D165)*60)*1,AND(Data!$E165&gt;=12,Data!$E165&lt;=15),((Data!$E165/Data!$D165)*60)*1.2,AND(Data!$E165&gt;=16,Data!$E165&lt;=19),((Data!$E165/Data!$D165)*60)*1.5,Data!$E165&gt;=20,((Data!$E165/Data!$D165)*60)*1.8)</f>
        <v>15.096774193548388</v>
      </c>
      <c r="AT165" s="23" cm="1">
        <f t="array" ref="AT165">_xlfn.IFS(Data!$F165&lt;600,((Data!$F165/Data!$D165)*60)*1,AND(Data!$F165&gt;=600,Data!$F165&lt;=625),((Data!$F165/Data!$D165)*60)*1.2,AND(Data!$F165&gt;=626,Data!$F165&lt;=650),((Data!$F165/Data!$D165)*60)*1.5,Data!$F165&gt;=651,((Data!$F165/Data!$D165)*60)*1.8)</f>
        <v>926.12903225806463</v>
      </c>
      <c r="AU165" s="23">
        <f>(Data!$I165*-1.2)+(Data!$J165*-1.1)+(Data!$K165*1.2)+(Data!$L165*1.3)+(Data!$M165*1.5)</f>
        <v>0.19999999999999929</v>
      </c>
      <c r="AV165" s="23">
        <f>(Data!$AS165*0.4)+(Data!$AT165*0.4)+(Data!$AU165*0.2)</f>
        <v>376.53032258064525</v>
      </c>
      <c r="AW165" s="23">
        <f>PERCENTRANK(AV:AV,Data!$AV165)*100</f>
        <v>44.7</v>
      </c>
      <c r="AX165" s="23" t="str">
        <f>_xlfn.CONCAT(TEXT(C165,"mmm"),"-",Data!$AE165)</f>
        <v>Jun-2021</v>
      </c>
    </row>
    <row r="166" spans="1:50" ht="17" thickTop="1" thickBot="1" x14ac:dyDescent="0.25">
      <c r="A166" s="28">
        <v>165</v>
      </c>
      <c r="B166" s="29">
        <f t="shared" si="18"/>
        <v>17</v>
      </c>
      <c r="C166" s="41">
        <v>44378</v>
      </c>
      <c r="D166" s="30">
        <f>SUM(Data!$I166:$M166)</f>
        <v>61</v>
      </c>
      <c r="E166" s="29">
        <v>14</v>
      </c>
      <c r="F166" s="29">
        <v>659</v>
      </c>
      <c r="G166" s="29">
        <v>127</v>
      </c>
      <c r="H166" s="29">
        <v>166</v>
      </c>
      <c r="I166" s="29">
        <v>14</v>
      </c>
      <c r="J166" s="29">
        <v>9</v>
      </c>
      <c r="K166" s="29">
        <v>24</v>
      </c>
      <c r="L166" s="29">
        <v>13</v>
      </c>
      <c r="M166" s="29">
        <v>1</v>
      </c>
      <c r="N166" s="29" t="s">
        <v>91</v>
      </c>
      <c r="O166" s="29" t="s">
        <v>39</v>
      </c>
      <c r="P166" s="29" t="s">
        <v>97</v>
      </c>
      <c r="Q166" s="29">
        <f t="shared" si="24"/>
        <v>3</v>
      </c>
      <c r="R166" s="29" t="str">
        <f t="shared" si="19"/>
        <v>7-2021</v>
      </c>
      <c r="S166" s="29" t="s">
        <v>117</v>
      </c>
      <c r="T166" s="29" t="str">
        <f t="shared" si="20"/>
        <v>Thursday</v>
      </c>
      <c r="U166" s="29">
        <f t="shared" si="21"/>
        <v>1</v>
      </c>
      <c r="V166" s="31">
        <f>IFERROR(Data!$I166/Data!$D166,"")</f>
        <v>0.22950819672131148</v>
      </c>
      <c r="W166" s="31">
        <f>IFERROR(Data!$J166/Data!$D166,"")</f>
        <v>0.14754098360655737</v>
      </c>
      <c r="X166" s="31">
        <f>IFERROR(Data!$K166/Data!$D166,"")</f>
        <v>0.39344262295081966</v>
      </c>
      <c r="Y166" s="31">
        <f>IFERROR(Data!$L166/Data!$D166,"")</f>
        <v>0.21311475409836064</v>
      </c>
      <c r="Z166" s="31">
        <f>IFERROR(Data!$M166/Data!$D166,"")</f>
        <v>1.6393442622950821E-2</v>
      </c>
      <c r="AA166" s="32">
        <v>232.14</v>
      </c>
      <c r="AB166" s="32">
        <f t="shared" si="25"/>
        <v>13.655294117647058</v>
      </c>
      <c r="AC166" s="29">
        <f t="shared" si="22"/>
        <v>600.11764705882354</v>
      </c>
      <c r="AD166" s="29">
        <f t="shared" si="23"/>
        <v>14.176470588235293</v>
      </c>
      <c r="AE166" s="29">
        <f>YEAR(Data!$C166)</f>
        <v>2021</v>
      </c>
      <c r="AF166" s="29"/>
      <c r="AG166" s="29">
        <v>12</v>
      </c>
      <c r="AH166" s="33">
        <f>Data!$F166/Data!$D166</f>
        <v>10.803278688524591</v>
      </c>
      <c r="AI166" s="17" t="str">
        <f>RIGHT(Data!$O166,2)</f>
        <v>PM</v>
      </c>
      <c r="AJ166" s="29" t="str">
        <f>Data!$R166&amp;"-"&amp;WEEKNUM(Data!$C166,1)-WEEKNUM(DATE(YEAR(Data!$C166),MONTH(Data!$C166),1),1)+1</f>
        <v>7-2021-1</v>
      </c>
      <c r="AK166" s="29">
        <f>MONTH(Data!$C166)</f>
        <v>7</v>
      </c>
      <c r="AL166" s="29">
        <f>IFERROR(Data!$F166/Data!$E166,0)</f>
        <v>47.071428571428569</v>
      </c>
      <c r="AM166" s="29">
        <f>COUNTIF(Data!$N$2:$N$825,Data!$N166)</f>
        <v>218</v>
      </c>
      <c r="AN166" s="29" t="str">
        <f>VLOOKUP(Data!$N166,'Helpful Tables'!A:D,4,FALSE)</f>
        <v>Washington, DC</v>
      </c>
      <c r="AO166" s="29">
        <f>COUNTIF(AN:AN,Data!$AN166)/COUNTA(AN:AN)</f>
        <v>0.62424242424242427</v>
      </c>
      <c r="AP166" s="29">
        <v>38.934710000000003</v>
      </c>
      <c r="AQ166" s="29">
        <v>-77.058222999999998</v>
      </c>
      <c r="AR166" s="29">
        <f>COUNTIF(Data!$P$2:$P$825,Data!$P166)</f>
        <v>14</v>
      </c>
      <c r="AS166" s="29" cm="1">
        <f t="array" ref="AS166">_xlfn.IFS(Data!$E166&lt;12,((Data!$E166/Data!$D166)*60)*1,AND(Data!$E166&gt;=12,Data!$E166&lt;=15),((Data!$E166/Data!$D166)*60)*1.2,AND(Data!$E166&gt;=16,Data!$E166&lt;=19),((Data!$E166/Data!$D166)*60)*1.5,Data!$E166&gt;=20,((Data!$E166/Data!$D166)*60)*1.8)</f>
        <v>16.524590163934427</v>
      </c>
      <c r="AT166" s="29" cm="1">
        <f t="array" ref="AT166">_xlfn.IFS(Data!$F166&lt;600,((Data!$F166/Data!$D166)*60)*1,AND(Data!$F166&gt;=600,Data!$F166&lt;=625),((Data!$F166/Data!$D166)*60)*1.2,AND(Data!$F166&gt;=626,Data!$F166&lt;=650),((Data!$F166/Data!$D166)*60)*1.5,Data!$F166&gt;=651,((Data!$F166/Data!$D166)*60)*1.8)</f>
        <v>1166.7540983606559</v>
      </c>
      <c r="AU166" s="29">
        <f>(Data!$I166*-1.2)+(Data!$J166*-1.1)+(Data!$K166*1.2)+(Data!$L166*1.3)+(Data!$M166*1.5)</f>
        <v>20.499999999999996</v>
      </c>
      <c r="AV166" s="29">
        <f>(Data!$AS166*0.4)+(Data!$AT166*0.4)+(Data!$AU166*0.2)</f>
        <v>477.41147540983616</v>
      </c>
      <c r="AW166" s="29">
        <f>PERCENTRANK(AV:AV,Data!$AV166)*100</f>
        <v>67.900000000000006</v>
      </c>
      <c r="AX166" s="29" t="str">
        <f>_xlfn.CONCAT(TEXT(C166,"mmm"),"-",Data!$AE166)</f>
        <v>Jul-2021</v>
      </c>
    </row>
    <row r="167" spans="1:50" ht="17" thickTop="1" thickBot="1" x14ac:dyDescent="0.25">
      <c r="A167" s="22">
        <v>166</v>
      </c>
      <c r="B167" s="23">
        <f t="shared" si="18"/>
        <v>17</v>
      </c>
      <c r="C167" s="41">
        <v>44379</v>
      </c>
      <c r="D167" s="24">
        <f>SUM(Data!$I167:$M167)</f>
        <v>61</v>
      </c>
      <c r="E167" s="23">
        <v>11</v>
      </c>
      <c r="F167" s="23">
        <v>620</v>
      </c>
      <c r="G167" s="23">
        <v>121</v>
      </c>
      <c r="H167" s="23">
        <v>170</v>
      </c>
      <c r="I167" s="23">
        <v>19</v>
      </c>
      <c r="J167" s="23">
        <v>15</v>
      </c>
      <c r="K167" s="23">
        <v>16</v>
      </c>
      <c r="L167" s="23">
        <v>9</v>
      </c>
      <c r="M167" s="23">
        <v>2</v>
      </c>
      <c r="N167" s="23" t="s">
        <v>91</v>
      </c>
      <c r="O167" s="23" t="s">
        <v>110</v>
      </c>
      <c r="P167" s="23" t="s">
        <v>97</v>
      </c>
      <c r="Q167" s="23">
        <f t="shared" si="24"/>
        <v>1</v>
      </c>
      <c r="R167" s="23" t="str">
        <f t="shared" si="19"/>
        <v>7-2021</v>
      </c>
      <c r="S167" s="23" t="s">
        <v>117</v>
      </c>
      <c r="T167" s="23" t="str">
        <f t="shared" si="20"/>
        <v>Friday</v>
      </c>
      <c r="U167" s="23">
        <f t="shared" si="21"/>
        <v>0</v>
      </c>
      <c r="V167" s="25">
        <f>IFERROR(Data!$I167/Data!$D167,"")</f>
        <v>0.31147540983606559</v>
      </c>
      <c r="W167" s="25">
        <f>IFERROR(Data!$J167/Data!$D167,"")</f>
        <v>0.24590163934426229</v>
      </c>
      <c r="X167" s="25">
        <f>IFERROR(Data!$K167/Data!$D167,"")</f>
        <v>0.26229508196721313</v>
      </c>
      <c r="Y167" s="25">
        <f>IFERROR(Data!$L167/Data!$D167,"")</f>
        <v>0.14754098360655737</v>
      </c>
      <c r="Z167" s="25">
        <f>IFERROR(Data!$M167/Data!$D167,"")</f>
        <v>3.2786885245901641E-2</v>
      </c>
      <c r="AA167" s="26">
        <v>232.14</v>
      </c>
      <c r="AB167" s="26">
        <f t="shared" si="25"/>
        <v>13.655294117647058</v>
      </c>
      <c r="AC167" s="23">
        <f t="shared" si="22"/>
        <v>600.11764705882354</v>
      </c>
      <c r="AD167" s="23">
        <f t="shared" si="23"/>
        <v>14.176470588235293</v>
      </c>
      <c r="AE167" s="23">
        <f>YEAR(Data!$C167)</f>
        <v>2021</v>
      </c>
      <c r="AF167" s="23"/>
      <c r="AG167" s="23">
        <v>12</v>
      </c>
      <c r="AH167" s="27">
        <f>Data!$F167/Data!$D167</f>
        <v>10.163934426229508</v>
      </c>
      <c r="AI167" s="17" t="str">
        <f>RIGHT(Data!$O167,2)</f>
        <v>AM</v>
      </c>
      <c r="AJ167" s="23" t="str">
        <f>Data!$R167&amp;"-"&amp;WEEKNUM(Data!$C167,1)-WEEKNUM(DATE(YEAR(Data!$C167),MONTH(Data!$C167),1),1)+1</f>
        <v>7-2021-1</v>
      </c>
      <c r="AK167" s="23">
        <f>MONTH(Data!$C167)</f>
        <v>7</v>
      </c>
      <c r="AL167" s="23">
        <f>IFERROR(Data!$F167/Data!$E167,0)</f>
        <v>56.363636363636367</v>
      </c>
      <c r="AM167" s="23">
        <f>COUNTIF(Data!$N$2:$N$825,Data!$N167)</f>
        <v>218</v>
      </c>
      <c r="AN167" s="23" t="str">
        <f>VLOOKUP(Data!$N167,'Helpful Tables'!A:D,4,FALSE)</f>
        <v>Washington, DC</v>
      </c>
      <c r="AO167" s="23">
        <f>COUNTIF(AN:AN,Data!$AN167)/COUNTA(AN:AN)</f>
        <v>0.62424242424242427</v>
      </c>
      <c r="AP167" s="23">
        <v>38.934710000000003</v>
      </c>
      <c r="AQ167" s="23">
        <v>-77.058222999999998</v>
      </c>
      <c r="AR167" s="23">
        <f>COUNTIF(Data!$P$2:$P$825,Data!$P167)</f>
        <v>14</v>
      </c>
      <c r="AS167" s="23" cm="1">
        <f t="array" ref="AS167">_xlfn.IFS(Data!$E167&lt;12,((Data!$E167/Data!$D167)*60)*1,AND(Data!$E167&gt;=12,Data!$E167&lt;=15),((Data!$E167/Data!$D167)*60)*1.2,AND(Data!$E167&gt;=16,Data!$E167&lt;=19),((Data!$E167/Data!$D167)*60)*1.5,Data!$E167&gt;=20,((Data!$E167/Data!$D167)*60)*1.8)</f>
        <v>10.819672131147541</v>
      </c>
      <c r="AT167" s="23" cm="1">
        <f t="array" ref="AT167">_xlfn.IFS(Data!$F167&lt;600,((Data!$F167/Data!$D167)*60)*1,AND(Data!$F167&gt;=600,Data!$F167&lt;=625),((Data!$F167/Data!$D167)*60)*1.2,AND(Data!$F167&gt;=626,Data!$F167&lt;=650),((Data!$F167/Data!$D167)*60)*1.5,Data!$F167&gt;=651,((Data!$F167/Data!$D167)*60)*1.8)</f>
        <v>731.80327868852453</v>
      </c>
      <c r="AU167" s="23">
        <f>(Data!$I167*-1.2)+(Data!$J167*-1.1)+(Data!$K167*1.2)+(Data!$L167*1.3)+(Data!$M167*1.5)</f>
        <v>-5.3999999999999968</v>
      </c>
      <c r="AV167" s="23">
        <f>(Data!$AS167*0.4)+(Data!$AT167*0.4)+(Data!$AU167*0.2)</f>
        <v>295.96918032786886</v>
      </c>
      <c r="AW167" s="23">
        <f>PERCENTRANK(AV:AV,Data!$AV167)*100</f>
        <v>25.1</v>
      </c>
      <c r="AX167" s="23" t="str">
        <f>_xlfn.CONCAT(TEXT(C167,"mmm"),"-",Data!$AE167)</f>
        <v>Jul-2021</v>
      </c>
    </row>
    <row r="168" spans="1:50" ht="17" thickTop="1" thickBot="1" x14ac:dyDescent="0.25">
      <c r="A168" s="28">
        <v>167</v>
      </c>
      <c r="B168" s="29">
        <f t="shared" si="18"/>
        <v>17</v>
      </c>
      <c r="C168" s="41">
        <v>44381</v>
      </c>
      <c r="D168" s="30">
        <f>SUM(Data!$I168:$M168)</f>
        <v>58</v>
      </c>
      <c r="E168" s="29">
        <v>15</v>
      </c>
      <c r="F168" s="29">
        <v>600</v>
      </c>
      <c r="G168" s="29">
        <v>122</v>
      </c>
      <c r="H168" s="29">
        <v>168</v>
      </c>
      <c r="I168" s="29">
        <v>23</v>
      </c>
      <c r="J168" s="29">
        <v>9</v>
      </c>
      <c r="K168" s="29">
        <v>11</v>
      </c>
      <c r="L168" s="29">
        <v>12</v>
      </c>
      <c r="M168" s="29">
        <v>3</v>
      </c>
      <c r="N168" s="29" t="s">
        <v>91</v>
      </c>
      <c r="O168" s="29" t="s">
        <v>45</v>
      </c>
      <c r="P168" s="29" t="s">
        <v>100</v>
      </c>
      <c r="Q168" s="29">
        <f t="shared" si="24"/>
        <v>2</v>
      </c>
      <c r="R168" s="29" t="str">
        <f t="shared" si="19"/>
        <v>7-2021</v>
      </c>
      <c r="S168" s="29" t="s">
        <v>104</v>
      </c>
      <c r="T168" s="29" t="str">
        <f t="shared" si="20"/>
        <v>Sunday</v>
      </c>
      <c r="U168" s="29">
        <f t="shared" si="21"/>
        <v>1</v>
      </c>
      <c r="V168" s="31">
        <f>IFERROR(Data!$I168/Data!$D168,"")</f>
        <v>0.39655172413793105</v>
      </c>
      <c r="W168" s="31">
        <f>IFERROR(Data!$J168/Data!$D168,"")</f>
        <v>0.15517241379310345</v>
      </c>
      <c r="X168" s="31">
        <f>IFERROR(Data!$K168/Data!$D168,"")</f>
        <v>0.18965517241379309</v>
      </c>
      <c r="Y168" s="31">
        <f>IFERROR(Data!$L168/Data!$D168,"")</f>
        <v>0.20689655172413793</v>
      </c>
      <c r="Z168" s="31">
        <f>IFERROR(Data!$M168/Data!$D168,"")</f>
        <v>5.1724137931034482E-2</v>
      </c>
      <c r="AA168" s="32">
        <v>232.14</v>
      </c>
      <c r="AB168" s="32">
        <f t="shared" si="25"/>
        <v>13.655294117647058</v>
      </c>
      <c r="AC168" s="29">
        <f t="shared" si="22"/>
        <v>600.11764705882354</v>
      </c>
      <c r="AD168" s="29">
        <f t="shared" si="23"/>
        <v>14.176470588235293</v>
      </c>
      <c r="AE168" s="29">
        <f>YEAR(Data!$C168)</f>
        <v>2021</v>
      </c>
      <c r="AF168" s="29"/>
      <c r="AG168" s="29">
        <v>12</v>
      </c>
      <c r="AH168" s="33">
        <f>Data!$F168/Data!$D168</f>
        <v>10.344827586206897</v>
      </c>
      <c r="AI168" s="17" t="str">
        <f>RIGHT(Data!$O168,2)</f>
        <v>AM</v>
      </c>
      <c r="AJ168" s="29" t="str">
        <f>Data!$R168&amp;"-"&amp;WEEKNUM(Data!$C168,1)-WEEKNUM(DATE(YEAR(Data!$C168),MONTH(Data!$C168),1),1)+1</f>
        <v>7-2021-2</v>
      </c>
      <c r="AK168" s="29">
        <f>MONTH(Data!$C168)</f>
        <v>7</v>
      </c>
      <c r="AL168" s="29">
        <f>IFERROR(Data!$F168/Data!$E168,0)</f>
        <v>40</v>
      </c>
      <c r="AM168" s="29">
        <f>COUNTIF(Data!$N$2:$N$825,Data!$N168)</f>
        <v>218</v>
      </c>
      <c r="AN168" s="29" t="str">
        <f>VLOOKUP(Data!$N168,'Helpful Tables'!A:D,4,FALSE)</f>
        <v>Washington, DC</v>
      </c>
      <c r="AO168" s="29">
        <f>COUNTIF(AN:AN,Data!$AN168)/COUNTA(AN:AN)</f>
        <v>0.62424242424242427</v>
      </c>
      <c r="AP168" s="29">
        <v>38.934710000000003</v>
      </c>
      <c r="AQ168" s="29">
        <v>-77.058222999999998</v>
      </c>
      <c r="AR168" s="29">
        <f>COUNTIF(Data!$P$2:$P$825,Data!$P168)</f>
        <v>35</v>
      </c>
      <c r="AS168" s="29" cm="1">
        <f t="array" ref="AS168">_xlfn.IFS(Data!$E168&lt;12,((Data!$E168/Data!$D168)*60)*1,AND(Data!$E168&gt;=12,Data!$E168&lt;=15),((Data!$E168/Data!$D168)*60)*1.2,AND(Data!$E168&gt;=16,Data!$E168&lt;=19),((Data!$E168/Data!$D168)*60)*1.5,Data!$E168&gt;=20,((Data!$E168/Data!$D168)*60)*1.8)</f>
        <v>18.620689655172413</v>
      </c>
      <c r="AT168" s="29" cm="1">
        <f t="array" ref="AT168">_xlfn.IFS(Data!$F168&lt;600,((Data!$F168/Data!$D168)*60)*1,AND(Data!$F168&gt;=600,Data!$F168&lt;=625),((Data!$F168/Data!$D168)*60)*1.2,AND(Data!$F168&gt;=626,Data!$F168&lt;=650),((Data!$F168/Data!$D168)*60)*1.5,Data!$F168&gt;=651,((Data!$F168/Data!$D168)*60)*1.8)</f>
        <v>744.82758620689663</v>
      </c>
      <c r="AU168" s="29">
        <f>(Data!$I168*-1.2)+(Data!$J168*-1.1)+(Data!$K168*1.2)+(Data!$L168*1.3)+(Data!$M168*1.5)</f>
        <v>-4.1999999999999993</v>
      </c>
      <c r="AV168" s="29">
        <f>(Data!$AS168*0.4)+(Data!$AT168*0.4)+(Data!$AU168*0.2)</f>
        <v>304.53931034482764</v>
      </c>
      <c r="AW168" s="29">
        <f>PERCENTRANK(AV:AV,Data!$AV168)*100</f>
        <v>28.4</v>
      </c>
      <c r="AX168" s="29" t="str">
        <f>_xlfn.CONCAT(TEXT(C168,"mmm"),"-",Data!$AE168)</f>
        <v>Jul-2021</v>
      </c>
    </row>
    <row r="169" spans="1:50" ht="17" thickTop="1" thickBot="1" x14ac:dyDescent="0.25">
      <c r="A169" s="22">
        <v>168</v>
      </c>
      <c r="B169" s="23">
        <f t="shared" si="18"/>
        <v>17</v>
      </c>
      <c r="C169" s="41">
        <v>44383</v>
      </c>
      <c r="D169" s="24">
        <f>SUM(Data!$I169:$M169)</f>
        <v>59</v>
      </c>
      <c r="E169" s="23">
        <v>15</v>
      </c>
      <c r="F169" s="23">
        <v>597</v>
      </c>
      <c r="G169" s="23">
        <v>120</v>
      </c>
      <c r="H169" s="23">
        <v>175</v>
      </c>
      <c r="I169" s="23">
        <v>22</v>
      </c>
      <c r="J169" s="23">
        <v>9</v>
      </c>
      <c r="K169" s="23">
        <v>13</v>
      </c>
      <c r="L169" s="23">
        <v>13</v>
      </c>
      <c r="M169" s="23">
        <v>2</v>
      </c>
      <c r="N169" s="23" t="s">
        <v>101</v>
      </c>
      <c r="O169" s="23" t="s">
        <v>39</v>
      </c>
      <c r="P169" s="23" t="s">
        <v>102</v>
      </c>
      <c r="Q169" s="23">
        <f t="shared" si="24"/>
        <v>2</v>
      </c>
      <c r="R169" s="23" t="str">
        <f t="shared" si="19"/>
        <v>7-2021</v>
      </c>
      <c r="S169" s="23" t="s">
        <v>104</v>
      </c>
      <c r="T169" s="23" t="str">
        <f t="shared" si="20"/>
        <v>Tuesday</v>
      </c>
      <c r="U169" s="23">
        <f t="shared" si="21"/>
        <v>1</v>
      </c>
      <c r="V169" s="25">
        <f>IFERROR(Data!$I169/Data!$D169,"")</f>
        <v>0.3728813559322034</v>
      </c>
      <c r="W169" s="25">
        <f>IFERROR(Data!$J169/Data!$D169,"")</f>
        <v>0.15254237288135594</v>
      </c>
      <c r="X169" s="25">
        <f>IFERROR(Data!$K169/Data!$D169,"")</f>
        <v>0.22033898305084745</v>
      </c>
      <c r="Y169" s="25">
        <f>IFERROR(Data!$L169/Data!$D169,"")</f>
        <v>0.22033898305084745</v>
      </c>
      <c r="Z169" s="25">
        <f>IFERROR(Data!$M169/Data!$D169,"")</f>
        <v>3.3898305084745763E-2</v>
      </c>
      <c r="AA169" s="26">
        <v>232.14</v>
      </c>
      <c r="AB169" s="26">
        <f t="shared" si="25"/>
        <v>13.655294117647058</v>
      </c>
      <c r="AC169" s="23">
        <f t="shared" si="22"/>
        <v>600.11764705882354</v>
      </c>
      <c r="AD169" s="23">
        <f t="shared" si="23"/>
        <v>14.176470588235293</v>
      </c>
      <c r="AE169" s="23">
        <f>YEAR(Data!$C169)</f>
        <v>2021</v>
      </c>
      <c r="AF169" s="23"/>
      <c r="AG169" s="23">
        <v>12</v>
      </c>
      <c r="AH169" s="27">
        <f>Data!$F169/Data!$D169</f>
        <v>10.118644067796611</v>
      </c>
      <c r="AI169" s="17" t="str">
        <f>RIGHT(Data!$O169,2)</f>
        <v>PM</v>
      </c>
      <c r="AJ169" s="23" t="str">
        <f>Data!$R169&amp;"-"&amp;WEEKNUM(Data!$C169,1)-WEEKNUM(DATE(YEAR(Data!$C169),MONTH(Data!$C169),1),1)+1</f>
        <v>7-2021-2</v>
      </c>
      <c r="AK169" s="23">
        <f>MONTH(Data!$C169)</f>
        <v>7</v>
      </c>
      <c r="AL169" s="23">
        <f>IFERROR(Data!$F169/Data!$E169,0)</f>
        <v>39.799999999999997</v>
      </c>
      <c r="AM169" s="23">
        <f>COUNTIF(Data!$N$2:$N$825,Data!$N169)</f>
        <v>191</v>
      </c>
      <c r="AN169" s="23" t="str">
        <f>VLOOKUP(Data!$N169,'Helpful Tables'!A:D,4,FALSE)</f>
        <v>Washington, DC</v>
      </c>
      <c r="AO169" s="23">
        <f>COUNTIF(AN:AN,Data!$AN169)/COUNTA(AN:AN)</f>
        <v>0.62424242424242427</v>
      </c>
      <c r="AP169" s="23">
        <v>38.949649000000001</v>
      </c>
      <c r="AQ169" s="23">
        <v>-77.080878999999996</v>
      </c>
      <c r="AR169" s="23">
        <f>COUNTIF(Data!$P$2:$P$825,Data!$P169)</f>
        <v>20</v>
      </c>
      <c r="AS169" s="23" cm="1">
        <f t="array" ref="AS169">_xlfn.IFS(Data!$E169&lt;12,((Data!$E169/Data!$D169)*60)*1,AND(Data!$E169&gt;=12,Data!$E169&lt;=15),((Data!$E169/Data!$D169)*60)*1.2,AND(Data!$E169&gt;=16,Data!$E169&lt;=19),((Data!$E169/Data!$D169)*60)*1.5,Data!$E169&gt;=20,((Data!$E169/Data!$D169)*60)*1.8)</f>
        <v>18.305084745762709</v>
      </c>
      <c r="AT169" s="23" cm="1">
        <f t="array" ref="AT169">_xlfn.IFS(Data!$F169&lt;600,((Data!$F169/Data!$D169)*60)*1,AND(Data!$F169&gt;=600,Data!$F169&lt;=625),((Data!$F169/Data!$D169)*60)*1.2,AND(Data!$F169&gt;=626,Data!$F169&lt;=650),((Data!$F169/Data!$D169)*60)*1.5,Data!$F169&gt;=651,((Data!$F169/Data!$D169)*60)*1.8)</f>
        <v>607.11864406779659</v>
      </c>
      <c r="AU169" s="23">
        <f>(Data!$I169*-1.2)+(Data!$J169*-1.1)+(Data!$K169*1.2)+(Data!$L169*1.3)+(Data!$M169*1.5)</f>
        <v>-0.79999999999999361</v>
      </c>
      <c r="AV169" s="23">
        <f>(Data!$AS169*0.4)+(Data!$AT169*0.4)+(Data!$AU169*0.2)</f>
        <v>250.00949152542373</v>
      </c>
      <c r="AW169" s="23">
        <f>PERCENTRANK(AV:AV,Data!$AV169)*100</f>
        <v>17.299999999999997</v>
      </c>
      <c r="AX169" s="23" t="str">
        <f>_xlfn.CONCAT(TEXT(C169,"mmm"),"-",Data!$AE169)</f>
        <v>Jul-2021</v>
      </c>
    </row>
    <row r="170" spans="1:50" ht="17" thickTop="1" thickBot="1" x14ac:dyDescent="0.25">
      <c r="A170" s="28">
        <v>169</v>
      </c>
      <c r="B170" s="29">
        <f t="shared" si="18"/>
        <v>17</v>
      </c>
      <c r="C170" s="41">
        <v>44384</v>
      </c>
      <c r="D170" s="30">
        <f>SUM(Data!$I170:$M170)</f>
        <v>57</v>
      </c>
      <c r="E170" s="29">
        <v>13</v>
      </c>
      <c r="F170" s="29">
        <v>611</v>
      </c>
      <c r="G170" s="29">
        <v>125</v>
      </c>
      <c r="H170" s="29">
        <v>163</v>
      </c>
      <c r="I170" s="29">
        <v>12</v>
      </c>
      <c r="J170" s="29">
        <v>16</v>
      </c>
      <c r="K170" s="29">
        <v>16</v>
      </c>
      <c r="L170" s="29">
        <v>12</v>
      </c>
      <c r="M170" s="29">
        <v>1</v>
      </c>
      <c r="N170" s="29" t="s">
        <v>91</v>
      </c>
      <c r="O170" s="29" t="s">
        <v>39</v>
      </c>
      <c r="P170" s="29" t="s">
        <v>96</v>
      </c>
      <c r="Q170" s="29">
        <f t="shared" si="24"/>
        <v>1</v>
      </c>
      <c r="R170" s="29" t="str">
        <f t="shared" si="19"/>
        <v>7-2021</v>
      </c>
      <c r="S170" s="29" t="s">
        <v>117</v>
      </c>
      <c r="T170" s="29" t="str">
        <f t="shared" si="20"/>
        <v>Wednesday</v>
      </c>
      <c r="U170" s="29">
        <f t="shared" si="21"/>
        <v>1</v>
      </c>
      <c r="V170" s="31">
        <f>IFERROR(Data!$I170/Data!$D170,"")</f>
        <v>0.21052631578947367</v>
      </c>
      <c r="W170" s="31">
        <f>IFERROR(Data!$J170/Data!$D170,"")</f>
        <v>0.2807017543859649</v>
      </c>
      <c r="X170" s="31">
        <f>IFERROR(Data!$K170/Data!$D170,"")</f>
        <v>0.2807017543859649</v>
      </c>
      <c r="Y170" s="31">
        <f>IFERROR(Data!$L170/Data!$D170,"")</f>
        <v>0.21052631578947367</v>
      </c>
      <c r="Z170" s="31">
        <f>IFERROR(Data!$M170/Data!$D170,"")</f>
        <v>1.7543859649122806E-2</v>
      </c>
      <c r="AA170" s="32">
        <v>232.14</v>
      </c>
      <c r="AB170" s="32">
        <f t="shared" si="25"/>
        <v>13.655294117647058</v>
      </c>
      <c r="AC170" s="29">
        <f t="shared" si="22"/>
        <v>600.11764705882354</v>
      </c>
      <c r="AD170" s="29">
        <f t="shared" si="23"/>
        <v>14.176470588235293</v>
      </c>
      <c r="AE170" s="29">
        <f>YEAR(Data!$C170)</f>
        <v>2021</v>
      </c>
      <c r="AF170" s="29"/>
      <c r="AG170" s="29">
        <v>12</v>
      </c>
      <c r="AH170" s="33">
        <f>Data!$F170/Data!$D170</f>
        <v>10.719298245614034</v>
      </c>
      <c r="AI170" s="17" t="str">
        <f>RIGHT(Data!$O170,2)</f>
        <v>PM</v>
      </c>
      <c r="AJ170" s="29" t="str">
        <f>Data!$R170&amp;"-"&amp;WEEKNUM(Data!$C170,1)-WEEKNUM(DATE(YEAR(Data!$C170),MONTH(Data!$C170),1),1)+1</f>
        <v>7-2021-2</v>
      </c>
      <c r="AK170" s="29">
        <f>MONTH(Data!$C170)</f>
        <v>7</v>
      </c>
      <c r="AL170" s="29">
        <f>IFERROR(Data!$F170/Data!$E170,0)</f>
        <v>47</v>
      </c>
      <c r="AM170" s="29">
        <f>COUNTIF(Data!$N$2:$N$825,Data!$N170)</f>
        <v>218</v>
      </c>
      <c r="AN170" s="29" t="str">
        <f>VLOOKUP(Data!$N170,'Helpful Tables'!A:D,4,FALSE)</f>
        <v>Washington, DC</v>
      </c>
      <c r="AO170" s="29">
        <f>COUNTIF(AN:AN,Data!$AN170)/COUNTA(AN:AN)</f>
        <v>0.62424242424242427</v>
      </c>
      <c r="AP170" s="29">
        <v>38.934710000000003</v>
      </c>
      <c r="AQ170" s="29">
        <v>-77.058222999999998</v>
      </c>
      <c r="AR170" s="29">
        <f>COUNTIF(Data!$P$2:$P$825,Data!$P170)</f>
        <v>71</v>
      </c>
      <c r="AS170" s="29" cm="1">
        <f t="array" ref="AS170">_xlfn.IFS(Data!$E170&lt;12,((Data!$E170/Data!$D170)*60)*1,AND(Data!$E170&gt;=12,Data!$E170&lt;=15),((Data!$E170/Data!$D170)*60)*1.2,AND(Data!$E170&gt;=16,Data!$E170&lt;=19),((Data!$E170/Data!$D170)*60)*1.5,Data!$E170&gt;=20,((Data!$E170/Data!$D170)*60)*1.8)</f>
        <v>16.421052631578945</v>
      </c>
      <c r="AT170" s="29" cm="1">
        <f t="array" ref="AT170">_xlfn.IFS(Data!$F170&lt;600,((Data!$F170/Data!$D170)*60)*1,AND(Data!$F170&gt;=600,Data!$F170&lt;=625),((Data!$F170/Data!$D170)*60)*1.2,AND(Data!$F170&gt;=626,Data!$F170&lt;=650),((Data!$F170/Data!$D170)*60)*1.5,Data!$F170&gt;=651,((Data!$F170/Data!$D170)*60)*1.8)</f>
        <v>771.78947368421052</v>
      </c>
      <c r="AU170" s="29">
        <f>(Data!$I170*-1.2)+(Data!$J170*-1.1)+(Data!$K170*1.2)+(Data!$L170*1.3)+(Data!$M170*1.5)</f>
        <v>4.3000000000000007</v>
      </c>
      <c r="AV170" s="29">
        <f>(Data!$AS170*0.4)+(Data!$AT170*0.4)+(Data!$AU170*0.2)</f>
        <v>316.14421052631587</v>
      </c>
      <c r="AW170" s="29">
        <f>PERCENTRANK(AV:AV,Data!$AV170)*100</f>
        <v>35</v>
      </c>
      <c r="AX170" s="29" t="str">
        <f>_xlfn.CONCAT(TEXT(C170,"mmm"),"-",Data!$AE170)</f>
        <v>Jul-2021</v>
      </c>
    </row>
    <row r="171" spans="1:50" ht="17" thickTop="1" thickBot="1" x14ac:dyDescent="0.25">
      <c r="A171" s="22">
        <v>170</v>
      </c>
      <c r="B171" s="23">
        <f t="shared" si="18"/>
        <v>17</v>
      </c>
      <c r="C171" s="41">
        <v>44386</v>
      </c>
      <c r="D171" s="24">
        <f>SUM(Data!$I171:$M171)</f>
        <v>58</v>
      </c>
      <c r="E171" s="23">
        <v>6</v>
      </c>
      <c r="F171" s="23">
        <v>526</v>
      </c>
      <c r="G171" s="23">
        <v>115</v>
      </c>
      <c r="H171" s="23">
        <v>162</v>
      </c>
      <c r="I171" s="23">
        <v>22</v>
      </c>
      <c r="J171" s="23">
        <v>16</v>
      </c>
      <c r="K171" s="23">
        <v>14</v>
      </c>
      <c r="L171" s="23">
        <v>6</v>
      </c>
      <c r="M171" s="23">
        <v>0</v>
      </c>
      <c r="N171" s="23" t="s">
        <v>91</v>
      </c>
      <c r="O171" s="23" t="s">
        <v>110</v>
      </c>
      <c r="P171" s="23" t="s">
        <v>98</v>
      </c>
      <c r="Q171" s="23">
        <f t="shared" si="24"/>
        <v>2</v>
      </c>
      <c r="R171" s="23" t="str">
        <f t="shared" si="19"/>
        <v>7-2021</v>
      </c>
      <c r="S171" s="23" t="s">
        <v>117</v>
      </c>
      <c r="T171" s="23" t="str">
        <f t="shared" si="20"/>
        <v>Friday</v>
      </c>
      <c r="U171" s="23">
        <f t="shared" si="21"/>
        <v>0</v>
      </c>
      <c r="V171" s="25">
        <f>IFERROR(Data!$I171/Data!$D171,"")</f>
        <v>0.37931034482758619</v>
      </c>
      <c r="W171" s="25">
        <f>IFERROR(Data!$J171/Data!$D171,"")</f>
        <v>0.27586206896551724</v>
      </c>
      <c r="X171" s="25">
        <f>IFERROR(Data!$K171/Data!$D171,"")</f>
        <v>0.2413793103448276</v>
      </c>
      <c r="Y171" s="25">
        <f>IFERROR(Data!$L171/Data!$D171,"")</f>
        <v>0.10344827586206896</v>
      </c>
      <c r="Z171" s="25">
        <f>IFERROR(Data!$M171/Data!$D171,"")</f>
        <v>0</v>
      </c>
      <c r="AA171" s="26">
        <v>232.14</v>
      </c>
      <c r="AB171" s="26">
        <f t="shared" si="25"/>
        <v>13.655294117647058</v>
      </c>
      <c r="AC171" s="23">
        <f t="shared" si="22"/>
        <v>600.11764705882354</v>
      </c>
      <c r="AD171" s="23">
        <f t="shared" si="23"/>
        <v>14.176470588235293</v>
      </c>
      <c r="AE171" s="23">
        <f>YEAR(Data!$C171)</f>
        <v>2021</v>
      </c>
      <c r="AF171" s="23"/>
      <c r="AG171" s="23">
        <v>12</v>
      </c>
      <c r="AH171" s="27">
        <f>Data!$F171/Data!$D171</f>
        <v>9.068965517241379</v>
      </c>
      <c r="AI171" s="17" t="str">
        <f>RIGHT(Data!$O171,2)</f>
        <v>AM</v>
      </c>
      <c r="AJ171" s="23" t="str">
        <f>Data!$R171&amp;"-"&amp;WEEKNUM(Data!$C171,1)-WEEKNUM(DATE(YEAR(Data!$C171),MONTH(Data!$C171),1),1)+1</f>
        <v>7-2021-2</v>
      </c>
      <c r="AK171" s="23">
        <f>MONTH(Data!$C171)</f>
        <v>7</v>
      </c>
      <c r="AL171" s="23">
        <f>IFERROR(Data!$F171/Data!$E171,0)</f>
        <v>87.666666666666671</v>
      </c>
      <c r="AM171" s="23">
        <f>COUNTIF(Data!$N$2:$N$825,Data!$N171)</f>
        <v>218</v>
      </c>
      <c r="AN171" s="23" t="str">
        <f>VLOOKUP(Data!$N171,'Helpful Tables'!A:D,4,FALSE)</f>
        <v>Washington, DC</v>
      </c>
      <c r="AO171" s="23">
        <f>COUNTIF(AN:AN,Data!$AN171)/COUNTA(AN:AN)</f>
        <v>0.62424242424242427</v>
      </c>
      <c r="AP171" s="23">
        <v>38.934710000000003</v>
      </c>
      <c r="AQ171" s="23">
        <v>-77.058222999999998</v>
      </c>
      <c r="AR171" s="23">
        <f>COUNTIF(Data!$P$2:$P$825,Data!$P171)</f>
        <v>28</v>
      </c>
      <c r="AS171" s="23" cm="1">
        <f t="array" ref="AS171">_xlfn.IFS(Data!$E171&lt;12,((Data!$E171/Data!$D171)*60)*1,AND(Data!$E171&gt;=12,Data!$E171&lt;=15),((Data!$E171/Data!$D171)*60)*1.2,AND(Data!$E171&gt;=16,Data!$E171&lt;=19),((Data!$E171/Data!$D171)*60)*1.5,Data!$E171&gt;=20,((Data!$E171/Data!$D171)*60)*1.8)</f>
        <v>6.2068965517241379</v>
      </c>
      <c r="AT171" s="23" cm="1">
        <f t="array" ref="AT171">_xlfn.IFS(Data!$F171&lt;600,((Data!$F171/Data!$D171)*60)*1,AND(Data!$F171&gt;=600,Data!$F171&lt;=625),((Data!$F171/Data!$D171)*60)*1.2,AND(Data!$F171&gt;=626,Data!$F171&lt;=650),((Data!$F171/Data!$D171)*60)*1.5,Data!$F171&gt;=651,((Data!$F171/Data!$D171)*60)*1.8)</f>
        <v>544.13793103448279</v>
      </c>
      <c r="AU171" s="23">
        <f>(Data!$I171*-1.2)+(Data!$J171*-1.1)+(Data!$K171*1.2)+(Data!$L171*1.3)+(Data!$M171*1.5)</f>
        <v>-19.399999999999999</v>
      </c>
      <c r="AV171" s="23">
        <f>(Data!$AS171*0.4)+(Data!$AT171*0.4)+(Data!$AU171*0.2)</f>
        <v>216.25793103448279</v>
      </c>
      <c r="AW171" s="23">
        <f>PERCENTRANK(AV:AV,Data!$AV171)*100</f>
        <v>3</v>
      </c>
      <c r="AX171" s="23" t="str">
        <f>_xlfn.CONCAT(TEXT(C171,"mmm"),"-",Data!$AE171)</f>
        <v>Jul-2021</v>
      </c>
    </row>
    <row r="172" spans="1:50" ht="17" thickTop="1" thickBot="1" x14ac:dyDescent="0.25">
      <c r="A172" s="28">
        <v>171</v>
      </c>
      <c r="B172" s="29">
        <f t="shared" si="18"/>
        <v>17</v>
      </c>
      <c r="C172" s="41">
        <v>44389</v>
      </c>
      <c r="D172" s="30">
        <f>SUM(Data!$I172:$M172)</f>
        <v>61</v>
      </c>
      <c r="E172" s="29">
        <v>17</v>
      </c>
      <c r="F172" s="29">
        <v>613</v>
      </c>
      <c r="G172" s="29">
        <v>121</v>
      </c>
      <c r="H172" s="29">
        <v>170</v>
      </c>
      <c r="I172" s="29">
        <v>22</v>
      </c>
      <c r="J172" s="29">
        <v>11</v>
      </c>
      <c r="K172" s="29">
        <v>11</v>
      </c>
      <c r="L172" s="29">
        <v>15</v>
      </c>
      <c r="M172" s="29">
        <v>2</v>
      </c>
      <c r="N172" s="29" t="s">
        <v>101</v>
      </c>
      <c r="O172" s="29" t="s">
        <v>39</v>
      </c>
      <c r="P172" s="29" t="s">
        <v>118</v>
      </c>
      <c r="Q172" s="29">
        <f t="shared" si="24"/>
        <v>3</v>
      </c>
      <c r="R172" s="29" t="str">
        <f t="shared" si="19"/>
        <v>7-2021</v>
      </c>
      <c r="S172" s="29" t="s">
        <v>104</v>
      </c>
      <c r="T172" s="29" t="str">
        <f t="shared" si="20"/>
        <v>Monday</v>
      </c>
      <c r="U172" s="29">
        <f t="shared" si="21"/>
        <v>1</v>
      </c>
      <c r="V172" s="31">
        <f>IFERROR(Data!$I172/Data!$D172,"")</f>
        <v>0.36065573770491804</v>
      </c>
      <c r="W172" s="31">
        <f>IFERROR(Data!$J172/Data!$D172,"")</f>
        <v>0.18032786885245902</v>
      </c>
      <c r="X172" s="31">
        <f>IFERROR(Data!$K172/Data!$D172,"")</f>
        <v>0.18032786885245902</v>
      </c>
      <c r="Y172" s="31">
        <f>IFERROR(Data!$L172/Data!$D172,"")</f>
        <v>0.24590163934426229</v>
      </c>
      <c r="Z172" s="31">
        <f>IFERROR(Data!$M172/Data!$D172,"")</f>
        <v>3.2786885245901641E-2</v>
      </c>
      <c r="AA172" s="32">
        <v>232.14</v>
      </c>
      <c r="AB172" s="32">
        <f t="shared" si="25"/>
        <v>13.655294117647058</v>
      </c>
      <c r="AC172" s="29">
        <f t="shared" si="22"/>
        <v>600.11764705882354</v>
      </c>
      <c r="AD172" s="29">
        <f t="shared" si="23"/>
        <v>14.176470588235293</v>
      </c>
      <c r="AE172" s="29">
        <f>YEAR(Data!$C172)</f>
        <v>2021</v>
      </c>
      <c r="AF172" s="29"/>
      <c r="AG172" s="29">
        <v>12</v>
      </c>
      <c r="AH172" s="33">
        <f>Data!$F172/Data!$D172</f>
        <v>10.049180327868852</v>
      </c>
      <c r="AI172" s="17" t="str">
        <f>RIGHT(Data!$O172,2)</f>
        <v>PM</v>
      </c>
      <c r="AJ172" s="29" t="str">
        <f>Data!$R172&amp;"-"&amp;WEEKNUM(Data!$C172,1)-WEEKNUM(DATE(YEAR(Data!$C172),MONTH(Data!$C172),1),1)+1</f>
        <v>7-2021-3</v>
      </c>
      <c r="AK172" s="29">
        <f>MONTH(Data!$C172)</f>
        <v>7</v>
      </c>
      <c r="AL172" s="29">
        <f>IFERROR(Data!$F172/Data!$E172,0)</f>
        <v>36.058823529411768</v>
      </c>
      <c r="AM172" s="29">
        <f>COUNTIF(Data!$N$2:$N$825,Data!$N172)</f>
        <v>191</v>
      </c>
      <c r="AN172" s="29" t="str">
        <f>VLOOKUP(Data!$N172,'Helpful Tables'!A:D,4,FALSE)</f>
        <v>Washington, DC</v>
      </c>
      <c r="AO172" s="29">
        <f>COUNTIF(AN:AN,Data!$AN172)/COUNTA(AN:AN)</f>
        <v>0.62424242424242427</v>
      </c>
      <c r="AP172" s="29">
        <v>38.949649000000001</v>
      </c>
      <c r="AQ172" s="29">
        <v>-77.080878999999996</v>
      </c>
      <c r="AR172" s="29">
        <f>COUNTIF(Data!$P$2:$P$825,Data!$P172)</f>
        <v>16</v>
      </c>
      <c r="AS172" s="29" cm="1">
        <f t="array" ref="AS172">_xlfn.IFS(Data!$E172&lt;12,((Data!$E172/Data!$D172)*60)*1,AND(Data!$E172&gt;=12,Data!$E172&lt;=15),((Data!$E172/Data!$D172)*60)*1.2,AND(Data!$E172&gt;=16,Data!$E172&lt;=19),((Data!$E172/Data!$D172)*60)*1.5,Data!$E172&gt;=20,((Data!$E172/Data!$D172)*60)*1.8)</f>
        <v>25.081967213114751</v>
      </c>
      <c r="AT172" s="29" cm="1">
        <f t="array" ref="AT172">_xlfn.IFS(Data!$F172&lt;600,((Data!$F172/Data!$D172)*60)*1,AND(Data!$F172&gt;=600,Data!$F172&lt;=625),((Data!$F172/Data!$D172)*60)*1.2,AND(Data!$F172&gt;=626,Data!$F172&lt;=650),((Data!$F172/Data!$D172)*60)*1.5,Data!$F172&gt;=651,((Data!$F172/Data!$D172)*60)*1.8)</f>
        <v>723.54098360655735</v>
      </c>
      <c r="AU172" s="29">
        <f>(Data!$I172*-1.2)+(Data!$J172*-1.1)+(Data!$K172*1.2)+(Data!$L172*1.3)+(Data!$M172*1.5)</f>
        <v>-2.8000000000000007</v>
      </c>
      <c r="AV172" s="29">
        <f>(Data!$AS172*0.4)+(Data!$AT172*0.4)+(Data!$AU172*0.2)</f>
        <v>298.88918032786887</v>
      </c>
      <c r="AW172" s="29">
        <f>PERCENTRANK(AV:AV,Data!$AV172)*100</f>
        <v>25.900000000000002</v>
      </c>
      <c r="AX172" s="29" t="str">
        <f>_xlfn.CONCAT(TEXT(C172,"mmm"),"-",Data!$AE172)</f>
        <v>Jul-2021</v>
      </c>
    </row>
    <row r="173" spans="1:50" ht="17" thickTop="1" thickBot="1" x14ac:dyDescent="0.25">
      <c r="A173" s="22">
        <v>172</v>
      </c>
      <c r="B173" s="23">
        <f t="shared" si="18"/>
        <v>17</v>
      </c>
      <c r="C173" s="41">
        <v>44390</v>
      </c>
      <c r="D173" s="24">
        <f>SUM(Data!$I173:$M173)</f>
        <v>58</v>
      </c>
      <c r="E173" s="23">
        <v>13</v>
      </c>
      <c r="F173" s="23">
        <v>633</v>
      </c>
      <c r="G173" s="23">
        <v>127</v>
      </c>
      <c r="H173" s="23">
        <v>165</v>
      </c>
      <c r="I173" s="23">
        <v>10</v>
      </c>
      <c r="J173" s="23">
        <v>19</v>
      </c>
      <c r="K173" s="23">
        <v>16</v>
      </c>
      <c r="L173" s="23">
        <v>12</v>
      </c>
      <c r="M173" s="23">
        <v>1</v>
      </c>
      <c r="N173" s="23" t="s">
        <v>101</v>
      </c>
      <c r="O173" s="23" t="s">
        <v>39</v>
      </c>
      <c r="P173" s="23" t="s">
        <v>102</v>
      </c>
      <c r="Q173" s="23">
        <f t="shared" si="24"/>
        <v>1</v>
      </c>
      <c r="R173" s="23" t="str">
        <f t="shared" si="19"/>
        <v>7-2021</v>
      </c>
      <c r="S173" s="23" t="s">
        <v>104</v>
      </c>
      <c r="T173" s="23" t="str">
        <f t="shared" si="20"/>
        <v>Tuesday</v>
      </c>
      <c r="U173" s="23">
        <f t="shared" si="21"/>
        <v>1</v>
      </c>
      <c r="V173" s="25">
        <f>IFERROR(Data!$I173/Data!$D173,"")</f>
        <v>0.17241379310344829</v>
      </c>
      <c r="W173" s="25">
        <f>IFERROR(Data!$J173/Data!$D173,"")</f>
        <v>0.32758620689655171</v>
      </c>
      <c r="X173" s="25">
        <f>IFERROR(Data!$K173/Data!$D173,"")</f>
        <v>0.27586206896551724</v>
      </c>
      <c r="Y173" s="25">
        <f>IFERROR(Data!$L173/Data!$D173,"")</f>
        <v>0.20689655172413793</v>
      </c>
      <c r="Z173" s="25">
        <f>IFERROR(Data!$M173/Data!$D173,"")</f>
        <v>1.7241379310344827E-2</v>
      </c>
      <c r="AA173" s="26">
        <v>232.14</v>
      </c>
      <c r="AB173" s="26">
        <f t="shared" si="25"/>
        <v>13.655294117647058</v>
      </c>
      <c r="AC173" s="23">
        <f t="shared" si="22"/>
        <v>600.11764705882354</v>
      </c>
      <c r="AD173" s="23">
        <f t="shared" si="23"/>
        <v>14.176470588235293</v>
      </c>
      <c r="AE173" s="23">
        <f>YEAR(Data!$C173)</f>
        <v>2021</v>
      </c>
      <c r="AF173" s="23"/>
      <c r="AG173" s="23">
        <v>12</v>
      </c>
      <c r="AH173" s="27">
        <f>Data!$F173/Data!$D173</f>
        <v>10.913793103448276</v>
      </c>
      <c r="AI173" s="17" t="str">
        <f>RIGHT(Data!$O173,2)</f>
        <v>PM</v>
      </c>
      <c r="AJ173" s="23" t="str">
        <f>Data!$R173&amp;"-"&amp;WEEKNUM(Data!$C173,1)-WEEKNUM(DATE(YEAR(Data!$C173),MONTH(Data!$C173),1),1)+1</f>
        <v>7-2021-3</v>
      </c>
      <c r="AK173" s="23">
        <f>MONTH(Data!$C173)</f>
        <v>7</v>
      </c>
      <c r="AL173" s="23">
        <f>IFERROR(Data!$F173/Data!$E173,0)</f>
        <v>48.692307692307693</v>
      </c>
      <c r="AM173" s="23">
        <f>COUNTIF(Data!$N$2:$N$825,Data!$N173)</f>
        <v>191</v>
      </c>
      <c r="AN173" s="23" t="str">
        <f>VLOOKUP(Data!$N173,'Helpful Tables'!A:D,4,FALSE)</f>
        <v>Washington, DC</v>
      </c>
      <c r="AO173" s="23">
        <f>COUNTIF(AN:AN,Data!$AN173)/COUNTA(AN:AN)</f>
        <v>0.62424242424242427</v>
      </c>
      <c r="AP173" s="23">
        <v>38.949649000000001</v>
      </c>
      <c r="AQ173" s="23">
        <v>-77.080878999999996</v>
      </c>
      <c r="AR173" s="23">
        <f>COUNTIF(Data!$P$2:$P$825,Data!$P173)</f>
        <v>20</v>
      </c>
      <c r="AS173" s="23" cm="1">
        <f t="array" ref="AS173">_xlfn.IFS(Data!$E173&lt;12,((Data!$E173/Data!$D173)*60)*1,AND(Data!$E173&gt;=12,Data!$E173&lt;=15),((Data!$E173/Data!$D173)*60)*1.2,AND(Data!$E173&gt;=16,Data!$E173&lt;=19),((Data!$E173/Data!$D173)*60)*1.5,Data!$E173&gt;=20,((Data!$E173/Data!$D173)*60)*1.8)</f>
        <v>16.137931034482758</v>
      </c>
      <c r="AT173" s="23" cm="1">
        <f t="array" ref="AT173">_xlfn.IFS(Data!$F173&lt;600,((Data!$F173/Data!$D173)*60)*1,AND(Data!$F173&gt;=600,Data!$F173&lt;=625),((Data!$F173/Data!$D173)*60)*1.2,AND(Data!$F173&gt;=626,Data!$F173&lt;=650),((Data!$F173/Data!$D173)*60)*1.5,Data!$F173&gt;=651,((Data!$F173/Data!$D173)*60)*1.8)</f>
        <v>982.24137931034477</v>
      </c>
      <c r="AU173" s="23">
        <f>(Data!$I173*-1.2)+(Data!$J173*-1.1)+(Data!$K173*1.2)+(Data!$L173*1.3)+(Data!$M173*1.5)</f>
        <v>3.399999999999995</v>
      </c>
      <c r="AV173" s="23">
        <f>(Data!$AS173*0.4)+(Data!$AT173*0.4)+(Data!$AU173*0.2)</f>
        <v>400.03172413793101</v>
      </c>
      <c r="AW173" s="23">
        <f>PERCENTRANK(AV:AV,Data!$AV173)*100</f>
        <v>52.5</v>
      </c>
      <c r="AX173" s="23" t="str">
        <f>_xlfn.CONCAT(TEXT(C173,"mmm"),"-",Data!$AE173)</f>
        <v>Jul-2021</v>
      </c>
    </row>
    <row r="174" spans="1:50" ht="17" thickTop="1" thickBot="1" x14ac:dyDescent="0.25">
      <c r="A174" s="28">
        <v>173</v>
      </c>
      <c r="B174" s="29">
        <f t="shared" si="18"/>
        <v>17</v>
      </c>
      <c r="C174" s="41">
        <v>44392</v>
      </c>
      <c r="D174" s="30">
        <f>SUM(Data!$I174:$M174)</f>
        <v>57</v>
      </c>
      <c r="E174" s="29">
        <v>14</v>
      </c>
      <c r="F174" s="29">
        <v>601</v>
      </c>
      <c r="G174" s="29">
        <v>124</v>
      </c>
      <c r="H174" s="29">
        <v>165</v>
      </c>
      <c r="I174" s="29">
        <v>12</v>
      </c>
      <c r="J174" s="29">
        <v>17</v>
      </c>
      <c r="K174" s="29">
        <v>14</v>
      </c>
      <c r="L174" s="29">
        <v>11</v>
      </c>
      <c r="M174" s="29">
        <v>3</v>
      </c>
      <c r="N174" s="29" t="s">
        <v>91</v>
      </c>
      <c r="O174" s="29" t="s">
        <v>110</v>
      </c>
      <c r="P174" s="29" t="s">
        <v>100</v>
      </c>
      <c r="Q174" s="29">
        <f t="shared" si="24"/>
        <v>2</v>
      </c>
      <c r="R174" s="29" t="str">
        <f t="shared" si="19"/>
        <v>7-2021</v>
      </c>
      <c r="S174" s="29" t="s">
        <v>117</v>
      </c>
      <c r="T174" s="29" t="str">
        <f t="shared" si="20"/>
        <v>Thursday</v>
      </c>
      <c r="U174" s="29">
        <f t="shared" si="21"/>
        <v>1</v>
      </c>
      <c r="V174" s="31">
        <f>IFERROR(Data!$I174/Data!$D174,"")</f>
        <v>0.21052631578947367</v>
      </c>
      <c r="W174" s="31">
        <f>IFERROR(Data!$J174/Data!$D174,"")</f>
        <v>0.2982456140350877</v>
      </c>
      <c r="X174" s="31">
        <f>IFERROR(Data!$K174/Data!$D174,"")</f>
        <v>0.24561403508771928</v>
      </c>
      <c r="Y174" s="31">
        <f>IFERROR(Data!$L174/Data!$D174,"")</f>
        <v>0.19298245614035087</v>
      </c>
      <c r="Z174" s="31">
        <f>IFERROR(Data!$M174/Data!$D174,"")</f>
        <v>5.2631578947368418E-2</v>
      </c>
      <c r="AA174" s="32">
        <v>232.14</v>
      </c>
      <c r="AB174" s="32">
        <f t="shared" si="25"/>
        <v>13.655294117647058</v>
      </c>
      <c r="AC174" s="29">
        <f t="shared" si="22"/>
        <v>600.11764705882354</v>
      </c>
      <c r="AD174" s="29">
        <f t="shared" si="23"/>
        <v>14.176470588235293</v>
      </c>
      <c r="AE174" s="29">
        <f>YEAR(Data!$C174)</f>
        <v>2021</v>
      </c>
      <c r="AF174" s="29"/>
      <c r="AG174" s="29">
        <v>12</v>
      </c>
      <c r="AH174" s="33">
        <f>Data!$F174/Data!$D174</f>
        <v>10.543859649122806</v>
      </c>
      <c r="AI174" s="17" t="str">
        <f>RIGHT(Data!$O174,2)</f>
        <v>AM</v>
      </c>
      <c r="AJ174" s="29" t="str">
        <f>Data!$R174&amp;"-"&amp;WEEKNUM(Data!$C174,1)-WEEKNUM(DATE(YEAR(Data!$C174),MONTH(Data!$C174),1),1)+1</f>
        <v>7-2021-3</v>
      </c>
      <c r="AK174" s="29">
        <f>MONTH(Data!$C174)</f>
        <v>7</v>
      </c>
      <c r="AL174" s="29">
        <f>IFERROR(Data!$F174/Data!$E174,0)</f>
        <v>42.928571428571431</v>
      </c>
      <c r="AM174" s="29">
        <f>COUNTIF(Data!$N$2:$N$825,Data!$N174)</f>
        <v>218</v>
      </c>
      <c r="AN174" s="29" t="str">
        <f>VLOOKUP(Data!$N174,'Helpful Tables'!A:D,4,FALSE)</f>
        <v>Washington, DC</v>
      </c>
      <c r="AO174" s="29">
        <f>COUNTIF(AN:AN,Data!$AN174)/COUNTA(AN:AN)</f>
        <v>0.62424242424242427</v>
      </c>
      <c r="AP174" s="29">
        <v>38.934710000000003</v>
      </c>
      <c r="AQ174" s="29">
        <v>-77.058222999999998</v>
      </c>
      <c r="AR174" s="29">
        <f>COUNTIF(Data!$P$2:$P$825,Data!$P174)</f>
        <v>35</v>
      </c>
      <c r="AS174" s="29" cm="1">
        <f t="array" ref="AS174">_xlfn.IFS(Data!$E174&lt;12,((Data!$E174/Data!$D174)*60)*1,AND(Data!$E174&gt;=12,Data!$E174&lt;=15),((Data!$E174/Data!$D174)*60)*1.2,AND(Data!$E174&gt;=16,Data!$E174&lt;=19),((Data!$E174/Data!$D174)*60)*1.5,Data!$E174&gt;=20,((Data!$E174/Data!$D174)*60)*1.8)</f>
        <v>17.684210526315788</v>
      </c>
      <c r="AT174" s="29" cm="1">
        <f t="array" ref="AT174">_xlfn.IFS(Data!$F174&lt;600,((Data!$F174/Data!$D174)*60)*1,AND(Data!$F174&gt;=600,Data!$F174&lt;=625),((Data!$F174/Data!$D174)*60)*1.2,AND(Data!$F174&gt;=626,Data!$F174&lt;=650),((Data!$F174/Data!$D174)*60)*1.5,Data!$F174&gt;=651,((Data!$F174/Data!$D174)*60)*1.8)</f>
        <v>759.15789473684208</v>
      </c>
      <c r="AU174" s="29">
        <f>(Data!$I174*-1.2)+(Data!$J174*-1.1)+(Data!$K174*1.2)+(Data!$L174*1.3)+(Data!$M174*1.5)</f>
        <v>2.5</v>
      </c>
      <c r="AV174" s="29">
        <f>(Data!$AS174*0.4)+(Data!$AT174*0.4)+(Data!$AU174*0.2)</f>
        <v>311.23684210526318</v>
      </c>
      <c r="AW174" s="29">
        <f>PERCENTRANK(AV:AV,Data!$AV174)*100</f>
        <v>31.7</v>
      </c>
      <c r="AX174" s="29" t="str">
        <f>_xlfn.CONCAT(TEXT(C174,"mmm"),"-",Data!$AE174)</f>
        <v>Jul-2021</v>
      </c>
    </row>
    <row r="175" spans="1:50" ht="17" thickTop="1" thickBot="1" x14ac:dyDescent="0.25">
      <c r="A175" s="22">
        <v>174</v>
      </c>
      <c r="B175" s="23">
        <f t="shared" si="18"/>
        <v>17</v>
      </c>
      <c r="C175" s="41">
        <v>44393</v>
      </c>
      <c r="D175" s="24">
        <f>SUM(Data!$I175:$M175)</f>
        <v>58</v>
      </c>
      <c r="E175" s="23">
        <v>17</v>
      </c>
      <c r="F175" s="23">
        <v>615</v>
      </c>
      <c r="G175" s="23">
        <v>124</v>
      </c>
      <c r="H175" s="23">
        <v>167</v>
      </c>
      <c r="I175" s="23">
        <v>21</v>
      </c>
      <c r="J175" s="23">
        <v>10</v>
      </c>
      <c r="K175" s="23">
        <v>10</v>
      </c>
      <c r="L175" s="23">
        <v>14</v>
      </c>
      <c r="M175" s="23">
        <v>3</v>
      </c>
      <c r="N175" s="23" t="s">
        <v>101</v>
      </c>
      <c r="O175" s="23" t="s">
        <v>107</v>
      </c>
      <c r="P175" s="23" t="s">
        <v>102</v>
      </c>
      <c r="Q175" s="23">
        <f t="shared" si="24"/>
        <v>1</v>
      </c>
      <c r="R175" s="23" t="str">
        <f t="shared" si="19"/>
        <v>7-2021</v>
      </c>
      <c r="S175" s="23" t="s">
        <v>104</v>
      </c>
      <c r="T175" s="23" t="str">
        <f t="shared" si="20"/>
        <v>Friday</v>
      </c>
      <c r="U175" s="23">
        <f t="shared" si="21"/>
        <v>1</v>
      </c>
      <c r="V175" s="25">
        <f>IFERROR(Data!$I175/Data!$D175,"")</f>
        <v>0.36206896551724138</v>
      </c>
      <c r="W175" s="25">
        <f>IFERROR(Data!$J175/Data!$D175,"")</f>
        <v>0.17241379310344829</v>
      </c>
      <c r="X175" s="25">
        <f>IFERROR(Data!$K175/Data!$D175,"")</f>
        <v>0.17241379310344829</v>
      </c>
      <c r="Y175" s="25">
        <f>IFERROR(Data!$L175/Data!$D175,"")</f>
        <v>0.2413793103448276</v>
      </c>
      <c r="Z175" s="25">
        <f>IFERROR(Data!$M175/Data!$D175,"")</f>
        <v>5.1724137931034482E-2</v>
      </c>
      <c r="AA175" s="26">
        <v>232.14</v>
      </c>
      <c r="AB175" s="26">
        <f t="shared" si="25"/>
        <v>13.655294117647058</v>
      </c>
      <c r="AC175" s="23">
        <f t="shared" si="22"/>
        <v>600.11764705882354</v>
      </c>
      <c r="AD175" s="23">
        <f t="shared" si="23"/>
        <v>14.176470588235293</v>
      </c>
      <c r="AE175" s="23">
        <f>YEAR(Data!$C175)</f>
        <v>2021</v>
      </c>
      <c r="AF175" s="23"/>
      <c r="AG175" s="23">
        <v>12</v>
      </c>
      <c r="AH175" s="27">
        <f>Data!$F175/Data!$D175</f>
        <v>10.603448275862069</v>
      </c>
      <c r="AI175" s="17" t="str">
        <f>RIGHT(Data!$O175,2)</f>
        <v>AM</v>
      </c>
      <c r="AJ175" s="23" t="str">
        <f>Data!$R175&amp;"-"&amp;WEEKNUM(Data!$C175,1)-WEEKNUM(DATE(YEAR(Data!$C175),MONTH(Data!$C175),1),1)+1</f>
        <v>7-2021-3</v>
      </c>
      <c r="AK175" s="23">
        <f>MONTH(Data!$C175)</f>
        <v>7</v>
      </c>
      <c r="AL175" s="23">
        <f>IFERROR(Data!$F175/Data!$E175,0)</f>
        <v>36.176470588235297</v>
      </c>
      <c r="AM175" s="23">
        <f>COUNTIF(Data!$N$2:$N$825,Data!$N175)</f>
        <v>191</v>
      </c>
      <c r="AN175" s="23" t="str">
        <f>VLOOKUP(Data!$N175,'Helpful Tables'!A:D,4,FALSE)</f>
        <v>Washington, DC</v>
      </c>
      <c r="AO175" s="23">
        <f>COUNTIF(AN:AN,Data!$AN175)/COUNTA(AN:AN)</f>
        <v>0.62424242424242427</v>
      </c>
      <c r="AP175" s="23">
        <v>38.949649000000001</v>
      </c>
      <c r="AQ175" s="23">
        <v>-77.080878999999996</v>
      </c>
      <c r="AR175" s="23">
        <f>COUNTIF(Data!$P$2:$P$825,Data!$P175)</f>
        <v>20</v>
      </c>
      <c r="AS175" s="23" cm="1">
        <f t="array" ref="AS175">_xlfn.IFS(Data!$E175&lt;12,((Data!$E175/Data!$D175)*60)*1,AND(Data!$E175&gt;=12,Data!$E175&lt;=15),((Data!$E175/Data!$D175)*60)*1.2,AND(Data!$E175&gt;=16,Data!$E175&lt;=19),((Data!$E175/Data!$D175)*60)*1.5,Data!$E175&gt;=20,((Data!$E175/Data!$D175)*60)*1.8)</f>
        <v>26.379310344827584</v>
      </c>
      <c r="AT175" s="23" cm="1">
        <f t="array" ref="AT175">_xlfn.IFS(Data!$F175&lt;600,((Data!$F175/Data!$D175)*60)*1,AND(Data!$F175&gt;=600,Data!$F175&lt;=625),((Data!$F175/Data!$D175)*60)*1.2,AND(Data!$F175&gt;=626,Data!$F175&lt;=650),((Data!$F175/Data!$D175)*60)*1.5,Data!$F175&gt;=651,((Data!$F175/Data!$D175)*60)*1.8)</f>
        <v>763.44827586206895</v>
      </c>
      <c r="AU175" s="23">
        <f>(Data!$I175*-1.2)+(Data!$J175*-1.1)+(Data!$K175*1.2)+(Data!$L175*1.3)+(Data!$M175*1.5)</f>
        <v>-1.5000000000000036</v>
      </c>
      <c r="AV175" s="23">
        <f>(Data!$AS175*0.4)+(Data!$AT175*0.4)+(Data!$AU175*0.2)</f>
        <v>315.63103448275865</v>
      </c>
      <c r="AW175" s="23">
        <f>PERCENTRANK(AV:AV,Data!$AV175)*100</f>
        <v>34.699999999999996</v>
      </c>
      <c r="AX175" s="23" t="str">
        <f>_xlfn.CONCAT(TEXT(C175,"mmm"),"-",Data!$AE175)</f>
        <v>Jul-2021</v>
      </c>
    </row>
    <row r="176" spans="1:50" ht="17" thickTop="1" thickBot="1" x14ac:dyDescent="0.25">
      <c r="A176" s="28">
        <v>175</v>
      </c>
      <c r="B176" s="29">
        <f t="shared" si="18"/>
        <v>17</v>
      </c>
      <c r="C176" s="41">
        <v>44396</v>
      </c>
      <c r="D176" s="30">
        <f>SUM(Data!$I176:$M176)</f>
        <v>56</v>
      </c>
      <c r="E176" s="29">
        <v>20</v>
      </c>
      <c r="F176" s="29">
        <v>615</v>
      </c>
      <c r="G176" s="29">
        <v>124</v>
      </c>
      <c r="H176" s="29">
        <v>181</v>
      </c>
      <c r="I176" s="29">
        <v>22</v>
      </c>
      <c r="J176" s="29">
        <v>11</v>
      </c>
      <c r="K176" s="29">
        <v>3</v>
      </c>
      <c r="L176" s="29">
        <v>5</v>
      </c>
      <c r="M176" s="29">
        <v>15</v>
      </c>
      <c r="N176" s="29" t="s">
        <v>101</v>
      </c>
      <c r="O176" s="29" t="s">
        <v>39</v>
      </c>
      <c r="P176" s="29" t="s">
        <v>109</v>
      </c>
      <c r="Q176" s="29">
        <f t="shared" si="24"/>
        <v>3</v>
      </c>
      <c r="R176" s="29" t="str">
        <f t="shared" si="19"/>
        <v>7-2021</v>
      </c>
      <c r="S176" s="29" t="s">
        <v>104</v>
      </c>
      <c r="T176" s="29" t="str">
        <f t="shared" si="20"/>
        <v>Monday</v>
      </c>
      <c r="U176" s="29">
        <f t="shared" si="21"/>
        <v>1</v>
      </c>
      <c r="V176" s="31">
        <f>IFERROR(Data!$I176/Data!$D176,"")</f>
        <v>0.39285714285714285</v>
      </c>
      <c r="W176" s="31">
        <f>IFERROR(Data!$J176/Data!$D176,"")</f>
        <v>0.19642857142857142</v>
      </c>
      <c r="X176" s="31">
        <f>IFERROR(Data!$K176/Data!$D176,"")</f>
        <v>5.3571428571428568E-2</v>
      </c>
      <c r="Y176" s="31">
        <f>IFERROR(Data!$L176/Data!$D176,"")</f>
        <v>8.9285714285714288E-2</v>
      </c>
      <c r="Z176" s="31">
        <f>IFERROR(Data!$M176/Data!$D176,"")</f>
        <v>0.26785714285714285</v>
      </c>
      <c r="AA176" s="32">
        <v>232.14</v>
      </c>
      <c r="AB176" s="32">
        <f t="shared" si="25"/>
        <v>13.655294117647058</v>
      </c>
      <c r="AC176" s="29">
        <f t="shared" si="22"/>
        <v>600.11764705882354</v>
      </c>
      <c r="AD176" s="29">
        <f t="shared" si="23"/>
        <v>14.176470588235293</v>
      </c>
      <c r="AE176" s="29">
        <f>YEAR(Data!$C176)</f>
        <v>2021</v>
      </c>
      <c r="AF176" s="29"/>
      <c r="AG176" s="29">
        <v>12</v>
      </c>
      <c r="AH176" s="33">
        <f>Data!$F176/Data!$D176</f>
        <v>10.982142857142858</v>
      </c>
      <c r="AI176" s="17" t="str">
        <f>RIGHT(Data!$O176,2)</f>
        <v>PM</v>
      </c>
      <c r="AJ176" s="29" t="str">
        <f>Data!$R176&amp;"-"&amp;WEEKNUM(Data!$C176,1)-WEEKNUM(DATE(YEAR(Data!$C176),MONTH(Data!$C176),1),1)+1</f>
        <v>7-2021-4</v>
      </c>
      <c r="AK176" s="29">
        <f>MONTH(Data!$C176)</f>
        <v>7</v>
      </c>
      <c r="AL176" s="29">
        <f>IFERROR(Data!$F176/Data!$E176,0)</f>
        <v>30.75</v>
      </c>
      <c r="AM176" s="29">
        <f>COUNTIF(Data!$N$2:$N$825,Data!$N176)</f>
        <v>191</v>
      </c>
      <c r="AN176" s="29" t="str">
        <f>VLOOKUP(Data!$N176,'Helpful Tables'!A:D,4,FALSE)</f>
        <v>Washington, DC</v>
      </c>
      <c r="AO176" s="29">
        <f>COUNTIF(AN:AN,Data!$AN176)/COUNTA(AN:AN)</f>
        <v>0.62424242424242427</v>
      </c>
      <c r="AP176" s="29">
        <v>38.949649000000001</v>
      </c>
      <c r="AQ176" s="29">
        <v>-77.080878999999996</v>
      </c>
      <c r="AR176" s="29">
        <f>COUNTIF(Data!$P$2:$P$825,Data!$P176)</f>
        <v>66</v>
      </c>
      <c r="AS176" s="29" cm="1">
        <f t="array" ref="AS176">_xlfn.IFS(Data!$E176&lt;12,((Data!$E176/Data!$D176)*60)*1,AND(Data!$E176&gt;=12,Data!$E176&lt;=15),((Data!$E176/Data!$D176)*60)*1.2,AND(Data!$E176&gt;=16,Data!$E176&lt;=19),((Data!$E176/Data!$D176)*60)*1.5,Data!$E176&gt;=20,((Data!$E176/Data!$D176)*60)*1.8)</f>
        <v>38.571428571428577</v>
      </c>
      <c r="AT176" s="29" cm="1">
        <f t="array" ref="AT176">_xlfn.IFS(Data!$F176&lt;600,((Data!$F176/Data!$D176)*60)*1,AND(Data!$F176&gt;=600,Data!$F176&lt;=625),((Data!$F176/Data!$D176)*60)*1.2,AND(Data!$F176&gt;=626,Data!$F176&lt;=650),((Data!$F176/Data!$D176)*60)*1.5,Data!$F176&gt;=651,((Data!$F176/Data!$D176)*60)*1.8)</f>
        <v>790.71428571428567</v>
      </c>
      <c r="AU176" s="29">
        <f>(Data!$I176*-1.2)+(Data!$J176*-1.1)+(Data!$K176*1.2)+(Data!$L176*1.3)+(Data!$M176*1.5)</f>
        <v>-5.8999999999999986</v>
      </c>
      <c r="AV176" s="29">
        <f>(Data!$AS176*0.4)+(Data!$AT176*0.4)+(Data!$AU176*0.2)</f>
        <v>330.53428571428572</v>
      </c>
      <c r="AW176" s="29">
        <f>PERCENTRANK(AV:AV,Data!$AV176)*100</f>
        <v>41.4</v>
      </c>
      <c r="AX176" s="29" t="str">
        <f>_xlfn.CONCAT(TEXT(C176,"mmm"),"-",Data!$AE176)</f>
        <v>Jul-2021</v>
      </c>
    </row>
    <row r="177" spans="1:50" ht="17" thickTop="1" thickBot="1" x14ac:dyDescent="0.25">
      <c r="A177" s="22">
        <v>176</v>
      </c>
      <c r="B177" s="23">
        <f t="shared" si="18"/>
        <v>17</v>
      </c>
      <c r="C177" s="41">
        <v>44398</v>
      </c>
      <c r="D177" s="24">
        <f>SUM(Data!$I177:$M177)</f>
        <v>60</v>
      </c>
      <c r="E177" s="23">
        <v>12</v>
      </c>
      <c r="F177" s="23">
        <v>601</v>
      </c>
      <c r="G177" s="23">
        <v>121</v>
      </c>
      <c r="H177" s="23">
        <v>168</v>
      </c>
      <c r="I177" s="23">
        <v>17</v>
      </c>
      <c r="J177" s="23">
        <v>20</v>
      </c>
      <c r="K177" s="23">
        <v>11</v>
      </c>
      <c r="L177" s="23">
        <v>9</v>
      </c>
      <c r="M177" s="23">
        <v>3</v>
      </c>
      <c r="N177" s="23" t="s">
        <v>91</v>
      </c>
      <c r="O177" s="23" t="s">
        <v>39</v>
      </c>
      <c r="P177" s="23" t="s">
        <v>96</v>
      </c>
      <c r="Q177" s="23">
        <f t="shared" si="24"/>
        <v>2</v>
      </c>
      <c r="R177" s="23" t="str">
        <f t="shared" si="19"/>
        <v>7-2021</v>
      </c>
      <c r="S177" s="23" t="s">
        <v>117</v>
      </c>
      <c r="T177" s="23" t="str">
        <f t="shared" si="20"/>
        <v>Wednesday</v>
      </c>
      <c r="U177" s="23">
        <f t="shared" si="21"/>
        <v>1</v>
      </c>
      <c r="V177" s="25">
        <f>IFERROR(Data!$I177/Data!$D177,"")</f>
        <v>0.28333333333333333</v>
      </c>
      <c r="W177" s="25">
        <f>IFERROR(Data!$J177/Data!$D177,"")</f>
        <v>0.33333333333333331</v>
      </c>
      <c r="X177" s="25">
        <f>IFERROR(Data!$K177/Data!$D177,"")</f>
        <v>0.18333333333333332</v>
      </c>
      <c r="Y177" s="25">
        <f>IFERROR(Data!$L177/Data!$D177,"")</f>
        <v>0.15</v>
      </c>
      <c r="Z177" s="25">
        <f>IFERROR(Data!$M177/Data!$D177,"")</f>
        <v>0.05</v>
      </c>
      <c r="AA177" s="26">
        <v>232.14</v>
      </c>
      <c r="AB177" s="26">
        <f t="shared" si="25"/>
        <v>13.655294117647058</v>
      </c>
      <c r="AC177" s="23">
        <f t="shared" si="22"/>
        <v>600.11764705882354</v>
      </c>
      <c r="AD177" s="23">
        <f t="shared" si="23"/>
        <v>14.176470588235293</v>
      </c>
      <c r="AE177" s="23">
        <f>YEAR(Data!$C177)</f>
        <v>2021</v>
      </c>
      <c r="AF177" s="23"/>
      <c r="AG177" s="23">
        <v>12</v>
      </c>
      <c r="AH177" s="27">
        <f>Data!$F177/Data!$D177</f>
        <v>10.016666666666667</v>
      </c>
      <c r="AI177" s="17" t="str">
        <f>RIGHT(Data!$O177,2)</f>
        <v>PM</v>
      </c>
      <c r="AJ177" s="23" t="str">
        <f>Data!$R177&amp;"-"&amp;WEEKNUM(Data!$C177,1)-WEEKNUM(DATE(YEAR(Data!$C177),MONTH(Data!$C177),1),1)+1</f>
        <v>7-2021-4</v>
      </c>
      <c r="AK177" s="23">
        <f>MONTH(Data!$C177)</f>
        <v>7</v>
      </c>
      <c r="AL177" s="23">
        <f>IFERROR(Data!$F177/Data!$E177,0)</f>
        <v>50.083333333333336</v>
      </c>
      <c r="AM177" s="23">
        <f>COUNTIF(Data!$N$2:$N$825,Data!$N177)</f>
        <v>218</v>
      </c>
      <c r="AN177" s="23" t="str">
        <f>VLOOKUP(Data!$N177,'Helpful Tables'!A:D,4,FALSE)</f>
        <v>Washington, DC</v>
      </c>
      <c r="AO177" s="23">
        <f>COUNTIF(AN:AN,Data!$AN177)/COUNTA(AN:AN)</f>
        <v>0.62424242424242427</v>
      </c>
      <c r="AP177" s="23">
        <v>38.934710000000003</v>
      </c>
      <c r="AQ177" s="23">
        <v>-77.058222999999998</v>
      </c>
      <c r="AR177" s="23">
        <f>COUNTIF(Data!$P$2:$P$825,Data!$P177)</f>
        <v>71</v>
      </c>
      <c r="AS177" s="23" cm="1">
        <f t="array" ref="AS177">_xlfn.IFS(Data!$E177&lt;12,((Data!$E177/Data!$D177)*60)*1,AND(Data!$E177&gt;=12,Data!$E177&lt;=15),((Data!$E177/Data!$D177)*60)*1.2,AND(Data!$E177&gt;=16,Data!$E177&lt;=19),((Data!$E177/Data!$D177)*60)*1.5,Data!$E177&gt;=20,((Data!$E177/Data!$D177)*60)*1.8)</f>
        <v>14.399999999999999</v>
      </c>
      <c r="AT177" s="23" cm="1">
        <f t="array" ref="AT177">_xlfn.IFS(Data!$F177&lt;600,((Data!$F177/Data!$D177)*60)*1,AND(Data!$F177&gt;=600,Data!$F177&lt;=625),((Data!$F177/Data!$D177)*60)*1.2,AND(Data!$F177&gt;=626,Data!$F177&lt;=650),((Data!$F177/Data!$D177)*60)*1.5,Data!$F177&gt;=651,((Data!$F177/Data!$D177)*60)*1.8)</f>
        <v>721.19999999999993</v>
      </c>
      <c r="AU177" s="23">
        <f>(Data!$I177*-1.2)+(Data!$J177*-1.1)+(Data!$K177*1.2)+(Data!$L177*1.3)+(Data!$M177*1.5)</f>
        <v>-13</v>
      </c>
      <c r="AV177" s="23">
        <f>(Data!$AS177*0.4)+(Data!$AT177*0.4)+(Data!$AU177*0.2)</f>
        <v>291.63999999999993</v>
      </c>
      <c r="AW177" s="23">
        <f>PERCENTRANK(AV:AV,Data!$AV177)*100</f>
        <v>24.2</v>
      </c>
      <c r="AX177" s="23" t="str">
        <f>_xlfn.CONCAT(TEXT(C177,"mmm"),"-",Data!$AE177)</f>
        <v>Jul-2021</v>
      </c>
    </row>
    <row r="178" spans="1:50" ht="17" thickTop="1" thickBot="1" x14ac:dyDescent="0.25">
      <c r="A178" s="28">
        <v>177</v>
      </c>
      <c r="B178" s="29">
        <f t="shared" si="18"/>
        <v>17</v>
      </c>
      <c r="C178" s="41">
        <v>44399</v>
      </c>
      <c r="D178" s="30">
        <f>SUM(Data!$I178:$M178)</f>
        <v>53</v>
      </c>
      <c r="E178" s="29">
        <v>9</v>
      </c>
      <c r="F178" s="29">
        <v>474</v>
      </c>
      <c r="G178" s="29">
        <v>113</v>
      </c>
      <c r="H178" s="29">
        <v>163</v>
      </c>
      <c r="I178" s="29">
        <v>24</v>
      </c>
      <c r="J178" s="29">
        <v>10</v>
      </c>
      <c r="K178" s="29">
        <v>10</v>
      </c>
      <c r="L178" s="29">
        <v>9</v>
      </c>
      <c r="M178" s="29">
        <v>0</v>
      </c>
      <c r="N178" s="29" t="s">
        <v>91</v>
      </c>
      <c r="O178" s="29" t="s">
        <v>39</v>
      </c>
      <c r="P178" s="29" t="s">
        <v>96</v>
      </c>
      <c r="Q178" s="29">
        <f t="shared" si="24"/>
        <v>1</v>
      </c>
      <c r="R178" s="29" t="str">
        <f t="shared" si="19"/>
        <v>7-2021</v>
      </c>
      <c r="S178" s="29" t="s">
        <v>117</v>
      </c>
      <c r="T178" s="29" t="str">
        <f t="shared" si="20"/>
        <v>Thursday</v>
      </c>
      <c r="U178" s="29">
        <f t="shared" si="21"/>
        <v>0</v>
      </c>
      <c r="V178" s="31">
        <f>IFERROR(Data!$I178/Data!$D178,"")</f>
        <v>0.45283018867924529</v>
      </c>
      <c r="W178" s="31">
        <f>IFERROR(Data!$J178/Data!$D178,"")</f>
        <v>0.18867924528301888</v>
      </c>
      <c r="X178" s="31">
        <f>IFERROR(Data!$K178/Data!$D178,"")</f>
        <v>0.18867924528301888</v>
      </c>
      <c r="Y178" s="31">
        <f>IFERROR(Data!$L178/Data!$D178,"")</f>
        <v>0.16981132075471697</v>
      </c>
      <c r="Z178" s="31">
        <f>IFERROR(Data!$M178/Data!$D178,"")</f>
        <v>0</v>
      </c>
      <c r="AA178" s="32">
        <v>232.14</v>
      </c>
      <c r="AB178" s="32">
        <f t="shared" si="25"/>
        <v>13.655294117647058</v>
      </c>
      <c r="AC178" s="29">
        <f t="shared" si="22"/>
        <v>600.11764705882354</v>
      </c>
      <c r="AD178" s="29">
        <f t="shared" si="23"/>
        <v>14.176470588235293</v>
      </c>
      <c r="AE178" s="29">
        <f>YEAR(Data!$C178)</f>
        <v>2021</v>
      </c>
      <c r="AF178" s="29"/>
      <c r="AG178" s="29">
        <v>12</v>
      </c>
      <c r="AH178" s="33">
        <f>Data!$F178/Data!$D178</f>
        <v>8.9433962264150946</v>
      </c>
      <c r="AI178" s="17" t="str">
        <f>RIGHT(Data!$O178,2)</f>
        <v>PM</v>
      </c>
      <c r="AJ178" s="29" t="str">
        <f>Data!$R178&amp;"-"&amp;WEEKNUM(Data!$C178,1)-WEEKNUM(DATE(YEAR(Data!$C178),MONTH(Data!$C178),1),1)+1</f>
        <v>7-2021-4</v>
      </c>
      <c r="AK178" s="29">
        <f>MONTH(Data!$C178)</f>
        <v>7</v>
      </c>
      <c r="AL178" s="29">
        <f>IFERROR(Data!$F178/Data!$E178,0)</f>
        <v>52.666666666666664</v>
      </c>
      <c r="AM178" s="29">
        <f>COUNTIF(Data!$N$2:$N$825,Data!$N178)</f>
        <v>218</v>
      </c>
      <c r="AN178" s="29" t="str">
        <f>VLOOKUP(Data!$N178,'Helpful Tables'!A:D,4,FALSE)</f>
        <v>Washington, DC</v>
      </c>
      <c r="AO178" s="29">
        <f>COUNTIF(AN:AN,Data!$AN178)/COUNTA(AN:AN)</f>
        <v>0.62424242424242427</v>
      </c>
      <c r="AP178" s="29">
        <v>38.934710000000003</v>
      </c>
      <c r="AQ178" s="29">
        <v>-77.058222999999998</v>
      </c>
      <c r="AR178" s="29">
        <f>COUNTIF(Data!$P$2:$P$825,Data!$P178)</f>
        <v>71</v>
      </c>
      <c r="AS178" s="29" cm="1">
        <f t="array" ref="AS178">_xlfn.IFS(Data!$E178&lt;12,((Data!$E178/Data!$D178)*60)*1,AND(Data!$E178&gt;=12,Data!$E178&lt;=15),((Data!$E178/Data!$D178)*60)*1.2,AND(Data!$E178&gt;=16,Data!$E178&lt;=19),((Data!$E178/Data!$D178)*60)*1.5,Data!$E178&gt;=20,((Data!$E178/Data!$D178)*60)*1.8)</f>
        <v>10.188679245283017</v>
      </c>
      <c r="AT178" s="29" cm="1">
        <f t="array" ref="AT178">_xlfn.IFS(Data!$F178&lt;600,((Data!$F178/Data!$D178)*60)*1,AND(Data!$F178&gt;=600,Data!$F178&lt;=625),((Data!$F178/Data!$D178)*60)*1.2,AND(Data!$F178&gt;=626,Data!$F178&lt;=650),((Data!$F178/Data!$D178)*60)*1.5,Data!$F178&gt;=651,((Data!$F178/Data!$D178)*60)*1.8)</f>
        <v>536.60377358490564</v>
      </c>
      <c r="AU178" s="29">
        <f>(Data!$I178*-1.2)+(Data!$J178*-1.1)+(Data!$K178*1.2)+(Data!$L178*1.3)+(Data!$M178*1.5)</f>
        <v>-16.099999999999994</v>
      </c>
      <c r="AV178" s="29">
        <f>(Data!$AS178*0.4)+(Data!$AT178*0.4)+(Data!$AU178*0.2)</f>
        <v>215.49698113207546</v>
      </c>
      <c r="AW178" s="29">
        <f>PERCENTRANK(AV:AV,Data!$AV178)*100</f>
        <v>2.5</v>
      </c>
      <c r="AX178" s="29" t="str">
        <f>_xlfn.CONCAT(TEXT(C178,"mmm"),"-",Data!$AE178)</f>
        <v>Jul-2021</v>
      </c>
    </row>
    <row r="179" spans="1:50" ht="17" thickTop="1" thickBot="1" x14ac:dyDescent="0.25">
      <c r="A179" s="22">
        <v>178</v>
      </c>
      <c r="B179" s="23">
        <f t="shared" si="18"/>
        <v>17</v>
      </c>
      <c r="C179" s="41">
        <v>44401</v>
      </c>
      <c r="D179" s="24">
        <f>SUM(Data!$I179:$M179)</f>
        <v>61</v>
      </c>
      <c r="E179" s="23">
        <v>16</v>
      </c>
      <c r="F179" s="23">
        <v>661</v>
      </c>
      <c r="G179" s="23">
        <v>128</v>
      </c>
      <c r="H179" s="23">
        <v>165</v>
      </c>
      <c r="I179" s="23">
        <v>13</v>
      </c>
      <c r="J179" s="23">
        <v>14</v>
      </c>
      <c r="K179" s="23">
        <v>18</v>
      </c>
      <c r="L179" s="23">
        <v>14</v>
      </c>
      <c r="M179" s="23">
        <v>2</v>
      </c>
      <c r="N179" s="23" t="s">
        <v>101</v>
      </c>
      <c r="O179" s="23" t="s">
        <v>45</v>
      </c>
      <c r="P179" s="23" t="s">
        <v>109</v>
      </c>
      <c r="Q179" s="23">
        <f t="shared" si="24"/>
        <v>2</v>
      </c>
      <c r="R179" s="23" t="str">
        <f t="shared" si="19"/>
        <v>7-2021</v>
      </c>
      <c r="S179" s="23" t="s">
        <v>104</v>
      </c>
      <c r="T179" s="23" t="str">
        <f t="shared" si="20"/>
        <v>Saturday</v>
      </c>
      <c r="U179" s="23">
        <f t="shared" si="21"/>
        <v>1</v>
      </c>
      <c r="V179" s="25">
        <f>IFERROR(Data!$I179/Data!$D179,"")</f>
        <v>0.21311475409836064</v>
      </c>
      <c r="W179" s="25">
        <f>IFERROR(Data!$J179/Data!$D179,"")</f>
        <v>0.22950819672131148</v>
      </c>
      <c r="X179" s="25">
        <f>IFERROR(Data!$K179/Data!$D179,"")</f>
        <v>0.29508196721311475</v>
      </c>
      <c r="Y179" s="25">
        <f>IFERROR(Data!$L179/Data!$D179,"")</f>
        <v>0.22950819672131148</v>
      </c>
      <c r="Z179" s="25">
        <f>IFERROR(Data!$M179/Data!$D179,"")</f>
        <v>3.2786885245901641E-2</v>
      </c>
      <c r="AA179" s="26">
        <v>232.14</v>
      </c>
      <c r="AB179" s="26">
        <f t="shared" si="25"/>
        <v>13.655294117647058</v>
      </c>
      <c r="AC179" s="23">
        <f t="shared" si="22"/>
        <v>600.11764705882354</v>
      </c>
      <c r="AD179" s="23">
        <f t="shared" si="23"/>
        <v>14.176470588235293</v>
      </c>
      <c r="AE179" s="23">
        <f>YEAR(Data!$C179)</f>
        <v>2021</v>
      </c>
      <c r="AF179" s="23"/>
      <c r="AG179" s="23">
        <v>12</v>
      </c>
      <c r="AH179" s="27">
        <f>Data!$F179/Data!$D179</f>
        <v>10.836065573770492</v>
      </c>
      <c r="AI179" s="17" t="str">
        <f>RIGHT(Data!$O179,2)</f>
        <v>AM</v>
      </c>
      <c r="AJ179" s="23" t="str">
        <f>Data!$R179&amp;"-"&amp;WEEKNUM(Data!$C179,1)-WEEKNUM(DATE(YEAR(Data!$C179),MONTH(Data!$C179),1),1)+1</f>
        <v>7-2021-4</v>
      </c>
      <c r="AK179" s="23">
        <f>MONTH(Data!$C179)</f>
        <v>7</v>
      </c>
      <c r="AL179" s="23">
        <f>IFERROR(Data!$F179/Data!$E179,0)</f>
        <v>41.3125</v>
      </c>
      <c r="AM179" s="23">
        <f>COUNTIF(Data!$N$2:$N$825,Data!$N179)</f>
        <v>191</v>
      </c>
      <c r="AN179" s="23" t="str">
        <f>VLOOKUP(Data!$N179,'Helpful Tables'!A:D,4,FALSE)</f>
        <v>Washington, DC</v>
      </c>
      <c r="AO179" s="23">
        <f>COUNTIF(AN:AN,Data!$AN179)/COUNTA(AN:AN)</f>
        <v>0.62424242424242427</v>
      </c>
      <c r="AP179" s="23">
        <v>38.949649000000001</v>
      </c>
      <c r="AQ179" s="23">
        <v>-77.080878999999996</v>
      </c>
      <c r="AR179" s="23">
        <f>COUNTIF(Data!$P$2:$P$825,Data!$P179)</f>
        <v>66</v>
      </c>
      <c r="AS179" s="23" cm="1">
        <f t="array" ref="AS179">_xlfn.IFS(Data!$E179&lt;12,((Data!$E179/Data!$D179)*60)*1,AND(Data!$E179&gt;=12,Data!$E179&lt;=15),((Data!$E179/Data!$D179)*60)*1.2,AND(Data!$E179&gt;=16,Data!$E179&lt;=19),((Data!$E179/Data!$D179)*60)*1.5,Data!$E179&gt;=20,((Data!$E179/Data!$D179)*60)*1.8)</f>
        <v>23.606557377049182</v>
      </c>
      <c r="AT179" s="23" cm="1">
        <f t="array" ref="AT179">_xlfn.IFS(Data!$F179&lt;600,((Data!$F179/Data!$D179)*60)*1,AND(Data!$F179&gt;=600,Data!$F179&lt;=625),((Data!$F179/Data!$D179)*60)*1.2,AND(Data!$F179&gt;=626,Data!$F179&lt;=650),((Data!$F179/Data!$D179)*60)*1.5,Data!$F179&gt;=651,((Data!$F179/Data!$D179)*60)*1.8)</f>
        <v>1170.295081967213</v>
      </c>
      <c r="AU179" s="23">
        <f>(Data!$I179*-1.2)+(Data!$J179*-1.1)+(Data!$K179*1.2)+(Data!$L179*1.3)+(Data!$M179*1.5)</f>
        <v>11.799999999999997</v>
      </c>
      <c r="AV179" s="23">
        <f>(Data!$AS179*0.4)+(Data!$AT179*0.4)+(Data!$AU179*0.2)</f>
        <v>479.92065573770492</v>
      </c>
      <c r="AW179" s="23">
        <f>PERCENTRANK(AV:AV,Data!$AV179)*100</f>
        <v>68.899999999999991</v>
      </c>
      <c r="AX179" s="23" t="str">
        <f>_xlfn.CONCAT(TEXT(C179,"mmm"),"-",Data!$AE179)</f>
        <v>Jul-2021</v>
      </c>
    </row>
    <row r="180" spans="1:50" ht="17" thickTop="1" thickBot="1" x14ac:dyDescent="0.25">
      <c r="A180" s="28">
        <v>179</v>
      </c>
      <c r="B180" s="29">
        <f t="shared" si="18"/>
        <v>17</v>
      </c>
      <c r="C180" s="41">
        <v>44404</v>
      </c>
      <c r="D180" s="30">
        <f>SUM(Data!$I180:$M180)</f>
        <v>58</v>
      </c>
      <c r="E180" s="29">
        <v>18</v>
      </c>
      <c r="F180" s="29">
        <v>593</v>
      </c>
      <c r="G180" s="29">
        <v>123</v>
      </c>
      <c r="H180" s="29">
        <v>167</v>
      </c>
      <c r="I180" s="29">
        <v>22</v>
      </c>
      <c r="J180" s="29">
        <v>9</v>
      </c>
      <c r="K180" s="29">
        <v>9</v>
      </c>
      <c r="L180" s="29">
        <v>15</v>
      </c>
      <c r="M180" s="29">
        <v>3</v>
      </c>
      <c r="N180" s="29" t="s">
        <v>101</v>
      </c>
      <c r="O180" s="29" t="s">
        <v>107</v>
      </c>
      <c r="P180" s="29" t="s">
        <v>119</v>
      </c>
      <c r="Q180" s="29">
        <f t="shared" si="24"/>
        <v>3</v>
      </c>
      <c r="R180" s="29" t="str">
        <f t="shared" si="19"/>
        <v>7-2021</v>
      </c>
      <c r="S180" s="29" t="s">
        <v>104</v>
      </c>
      <c r="T180" s="29" t="str">
        <f t="shared" si="20"/>
        <v>Tuesday</v>
      </c>
      <c r="U180" s="29">
        <f t="shared" si="21"/>
        <v>1</v>
      </c>
      <c r="V180" s="31">
        <f>IFERROR(Data!$I180/Data!$D180,"")</f>
        <v>0.37931034482758619</v>
      </c>
      <c r="W180" s="31">
        <f>IFERROR(Data!$J180/Data!$D180,"")</f>
        <v>0.15517241379310345</v>
      </c>
      <c r="X180" s="31">
        <f>IFERROR(Data!$K180/Data!$D180,"")</f>
        <v>0.15517241379310345</v>
      </c>
      <c r="Y180" s="31">
        <f>IFERROR(Data!$L180/Data!$D180,"")</f>
        <v>0.25862068965517243</v>
      </c>
      <c r="Z180" s="31">
        <f>IFERROR(Data!$M180/Data!$D180,"")</f>
        <v>5.1724137931034482E-2</v>
      </c>
      <c r="AA180" s="32">
        <v>232.14</v>
      </c>
      <c r="AB180" s="32">
        <f t="shared" si="25"/>
        <v>13.655294117647058</v>
      </c>
      <c r="AC180" s="29">
        <f t="shared" si="22"/>
        <v>600.11764705882354</v>
      </c>
      <c r="AD180" s="29">
        <f t="shared" si="23"/>
        <v>14.176470588235293</v>
      </c>
      <c r="AE180" s="29">
        <f>YEAR(Data!$C180)</f>
        <v>2021</v>
      </c>
      <c r="AF180" s="29"/>
      <c r="AG180" s="29">
        <v>12</v>
      </c>
      <c r="AH180" s="33">
        <f>Data!$F180/Data!$D180</f>
        <v>10.224137931034482</v>
      </c>
      <c r="AI180" s="17" t="str">
        <f>RIGHT(Data!$O180,2)</f>
        <v>AM</v>
      </c>
      <c r="AJ180" s="29" t="str">
        <f>Data!$R180&amp;"-"&amp;WEEKNUM(Data!$C180,1)-WEEKNUM(DATE(YEAR(Data!$C180),MONTH(Data!$C180),1),1)+1</f>
        <v>7-2021-5</v>
      </c>
      <c r="AK180" s="29">
        <f>MONTH(Data!$C180)</f>
        <v>7</v>
      </c>
      <c r="AL180" s="29">
        <f>IFERROR(Data!$F180/Data!$E180,0)</f>
        <v>32.944444444444443</v>
      </c>
      <c r="AM180" s="29">
        <f>COUNTIF(Data!$N$2:$N$825,Data!$N180)</f>
        <v>191</v>
      </c>
      <c r="AN180" s="29" t="str">
        <f>VLOOKUP(Data!$N180,'Helpful Tables'!A:D,4,FALSE)</f>
        <v>Washington, DC</v>
      </c>
      <c r="AO180" s="29">
        <f>COUNTIF(AN:AN,Data!$AN180)/COUNTA(AN:AN)</f>
        <v>0.62424242424242427</v>
      </c>
      <c r="AP180" s="29">
        <v>38.949649000000001</v>
      </c>
      <c r="AQ180" s="29">
        <v>-77.080878999999996</v>
      </c>
      <c r="AR180" s="29">
        <f>COUNTIF(Data!$P$2:$P$825,Data!$P180)</f>
        <v>1</v>
      </c>
      <c r="AS180" s="29" cm="1">
        <f t="array" ref="AS180">_xlfn.IFS(Data!$E180&lt;12,((Data!$E180/Data!$D180)*60)*1,AND(Data!$E180&gt;=12,Data!$E180&lt;=15),((Data!$E180/Data!$D180)*60)*1.2,AND(Data!$E180&gt;=16,Data!$E180&lt;=19),((Data!$E180/Data!$D180)*60)*1.5,Data!$E180&gt;=20,((Data!$E180/Data!$D180)*60)*1.8)</f>
        <v>27.931034482758619</v>
      </c>
      <c r="AT180" s="29" cm="1">
        <f t="array" ref="AT180">_xlfn.IFS(Data!$F180&lt;600,((Data!$F180/Data!$D180)*60)*1,AND(Data!$F180&gt;=600,Data!$F180&lt;=625),((Data!$F180/Data!$D180)*60)*1.2,AND(Data!$F180&gt;=626,Data!$F180&lt;=650),((Data!$F180/Data!$D180)*60)*1.5,Data!$F180&gt;=651,((Data!$F180/Data!$D180)*60)*1.8)</f>
        <v>613.44827586206895</v>
      </c>
      <c r="AU180" s="29">
        <f>(Data!$I180*-1.2)+(Data!$J180*-1.1)+(Data!$K180*1.2)+(Data!$L180*1.3)+(Data!$M180*1.5)</f>
        <v>-1.5</v>
      </c>
      <c r="AV180" s="29">
        <f>(Data!$AS180*0.4)+(Data!$AT180*0.4)+(Data!$AU180*0.2)</f>
        <v>256.25172413793103</v>
      </c>
      <c r="AW180" s="29">
        <f>PERCENTRANK(AV:AV,Data!$AV180)*100</f>
        <v>19.600000000000001</v>
      </c>
      <c r="AX180" s="29" t="str">
        <f>_xlfn.CONCAT(TEXT(C180,"mmm"),"-",Data!$AE180)</f>
        <v>Jul-2021</v>
      </c>
    </row>
    <row r="181" spans="1:50" ht="17" thickTop="1" thickBot="1" x14ac:dyDescent="0.25">
      <c r="A181" s="22">
        <v>180</v>
      </c>
      <c r="B181" s="23">
        <f t="shared" si="18"/>
        <v>17</v>
      </c>
      <c r="C181" s="41">
        <v>44405</v>
      </c>
      <c r="D181" s="24">
        <f>SUM(Data!$I181:$M181)</f>
        <v>58</v>
      </c>
      <c r="E181" s="23">
        <v>13</v>
      </c>
      <c r="F181" s="23">
        <v>614</v>
      </c>
      <c r="G181" s="23">
        <v>124</v>
      </c>
      <c r="H181" s="23">
        <v>173</v>
      </c>
      <c r="I181" s="23">
        <v>16</v>
      </c>
      <c r="J181" s="23">
        <v>16</v>
      </c>
      <c r="K181" s="23">
        <v>13</v>
      </c>
      <c r="L181" s="23">
        <v>8</v>
      </c>
      <c r="M181" s="23">
        <v>5</v>
      </c>
      <c r="N181" s="23" t="s">
        <v>91</v>
      </c>
      <c r="O181" s="23" t="s">
        <v>39</v>
      </c>
      <c r="P181" s="23" t="s">
        <v>96</v>
      </c>
      <c r="Q181" s="23">
        <f t="shared" si="24"/>
        <v>1</v>
      </c>
      <c r="R181" s="23" t="str">
        <f t="shared" si="19"/>
        <v>7-2021</v>
      </c>
      <c r="S181" s="23" t="s">
        <v>117</v>
      </c>
      <c r="T181" s="23" t="str">
        <f t="shared" si="20"/>
        <v>Wednesday</v>
      </c>
      <c r="U181" s="23">
        <f t="shared" si="21"/>
        <v>1</v>
      </c>
      <c r="V181" s="25">
        <f>IFERROR(Data!$I181/Data!$D181,"")</f>
        <v>0.27586206896551724</v>
      </c>
      <c r="W181" s="25">
        <f>IFERROR(Data!$J181/Data!$D181,"")</f>
        <v>0.27586206896551724</v>
      </c>
      <c r="X181" s="25">
        <f>IFERROR(Data!$K181/Data!$D181,"")</f>
        <v>0.22413793103448276</v>
      </c>
      <c r="Y181" s="25">
        <f>IFERROR(Data!$L181/Data!$D181,"")</f>
        <v>0.13793103448275862</v>
      </c>
      <c r="Z181" s="25">
        <f>IFERROR(Data!$M181/Data!$D181,"")</f>
        <v>8.6206896551724144E-2</v>
      </c>
      <c r="AA181" s="26">
        <v>232.14</v>
      </c>
      <c r="AB181" s="26">
        <f t="shared" si="25"/>
        <v>13.655294117647058</v>
      </c>
      <c r="AC181" s="23">
        <f t="shared" si="22"/>
        <v>600.11764705882354</v>
      </c>
      <c r="AD181" s="23">
        <f t="shared" si="23"/>
        <v>14.176470588235293</v>
      </c>
      <c r="AE181" s="23">
        <f>YEAR(Data!$C181)</f>
        <v>2021</v>
      </c>
      <c r="AF181" s="23"/>
      <c r="AG181" s="23">
        <v>12</v>
      </c>
      <c r="AH181" s="27">
        <f>Data!$F181/Data!$D181</f>
        <v>10.586206896551724</v>
      </c>
      <c r="AI181" s="17" t="str">
        <f>RIGHT(Data!$O181,2)</f>
        <v>PM</v>
      </c>
      <c r="AJ181" s="23" t="str">
        <f>Data!$R181&amp;"-"&amp;WEEKNUM(Data!$C181,1)-WEEKNUM(DATE(YEAR(Data!$C181),MONTH(Data!$C181),1),1)+1</f>
        <v>7-2021-5</v>
      </c>
      <c r="AK181" s="23">
        <f>MONTH(Data!$C181)</f>
        <v>7</v>
      </c>
      <c r="AL181" s="23">
        <f>IFERROR(Data!$F181/Data!$E181,0)</f>
        <v>47.230769230769234</v>
      </c>
      <c r="AM181" s="23">
        <f>COUNTIF(Data!$N$2:$N$825,Data!$N181)</f>
        <v>218</v>
      </c>
      <c r="AN181" s="23" t="str">
        <f>VLOOKUP(Data!$N181,'Helpful Tables'!A:D,4,FALSE)</f>
        <v>Washington, DC</v>
      </c>
      <c r="AO181" s="23">
        <f>COUNTIF(AN:AN,Data!$AN181)/COUNTA(AN:AN)</f>
        <v>0.62424242424242427</v>
      </c>
      <c r="AP181" s="23">
        <v>38.934710000000003</v>
      </c>
      <c r="AQ181" s="23">
        <v>-77.058222999999998</v>
      </c>
      <c r="AR181" s="23">
        <f>COUNTIF(Data!$P$2:$P$825,Data!$P181)</f>
        <v>71</v>
      </c>
      <c r="AS181" s="23" cm="1">
        <f t="array" ref="AS181">_xlfn.IFS(Data!$E181&lt;12,((Data!$E181/Data!$D181)*60)*1,AND(Data!$E181&gt;=12,Data!$E181&lt;=15),((Data!$E181/Data!$D181)*60)*1.2,AND(Data!$E181&gt;=16,Data!$E181&lt;=19),((Data!$E181/Data!$D181)*60)*1.5,Data!$E181&gt;=20,((Data!$E181/Data!$D181)*60)*1.8)</f>
        <v>16.137931034482758</v>
      </c>
      <c r="AT181" s="23" cm="1">
        <f t="array" ref="AT181">_xlfn.IFS(Data!$F181&lt;600,((Data!$F181/Data!$D181)*60)*1,AND(Data!$F181&gt;=600,Data!$F181&lt;=625),((Data!$F181/Data!$D181)*60)*1.2,AND(Data!$F181&gt;=626,Data!$F181&lt;=650),((Data!$F181/Data!$D181)*60)*1.5,Data!$F181&gt;=651,((Data!$F181/Data!$D181)*60)*1.8)</f>
        <v>762.20689655172418</v>
      </c>
      <c r="AU181" s="23">
        <f>(Data!$I181*-1.2)+(Data!$J181*-1.1)+(Data!$K181*1.2)+(Data!$L181*1.3)+(Data!$M181*1.5)</f>
        <v>-3.2999999999999954</v>
      </c>
      <c r="AV181" s="23">
        <f>(Data!$AS181*0.4)+(Data!$AT181*0.4)+(Data!$AU181*0.2)</f>
        <v>310.67793103448275</v>
      </c>
      <c r="AW181" s="23">
        <f>PERCENTRANK(AV:AV,Data!$AV181)*100</f>
        <v>31.6</v>
      </c>
      <c r="AX181" s="23" t="str">
        <f>_xlfn.CONCAT(TEXT(C181,"mmm"),"-",Data!$AE181)</f>
        <v>Jul-2021</v>
      </c>
    </row>
    <row r="182" spans="1:50" ht="17" thickTop="1" thickBot="1" x14ac:dyDescent="0.25">
      <c r="A182" s="28">
        <v>181</v>
      </c>
      <c r="B182" s="29">
        <f t="shared" si="18"/>
        <v>17</v>
      </c>
      <c r="C182" s="41">
        <v>44407</v>
      </c>
      <c r="D182" s="30">
        <f>SUM(Data!$I182:$M182)</f>
        <v>58</v>
      </c>
      <c r="E182" s="29">
        <v>18</v>
      </c>
      <c r="F182" s="29">
        <v>569</v>
      </c>
      <c r="G182" s="29">
        <v>120</v>
      </c>
      <c r="H182" s="29">
        <v>165</v>
      </c>
      <c r="I182" s="29">
        <v>24</v>
      </c>
      <c r="J182" s="29">
        <v>11</v>
      </c>
      <c r="K182" s="29">
        <v>5</v>
      </c>
      <c r="L182" s="29">
        <v>14</v>
      </c>
      <c r="M182" s="29">
        <v>4</v>
      </c>
      <c r="N182" s="29" t="s">
        <v>101</v>
      </c>
      <c r="O182" s="29" t="s">
        <v>107</v>
      </c>
      <c r="P182" s="29" t="s">
        <v>102</v>
      </c>
      <c r="Q182" s="29">
        <f t="shared" si="24"/>
        <v>2</v>
      </c>
      <c r="R182" s="29" t="str">
        <f t="shared" si="19"/>
        <v>7-2021</v>
      </c>
      <c r="S182" s="29" t="s">
        <v>104</v>
      </c>
      <c r="T182" s="29" t="str">
        <f t="shared" si="20"/>
        <v>Friday</v>
      </c>
      <c r="U182" s="29">
        <f t="shared" si="21"/>
        <v>1</v>
      </c>
      <c r="V182" s="31">
        <f>IFERROR(Data!$I182/Data!$D182,"")</f>
        <v>0.41379310344827586</v>
      </c>
      <c r="W182" s="31">
        <f>IFERROR(Data!$J182/Data!$D182,"")</f>
        <v>0.18965517241379309</v>
      </c>
      <c r="X182" s="31">
        <f>IFERROR(Data!$K182/Data!$D182,"")</f>
        <v>8.6206896551724144E-2</v>
      </c>
      <c r="Y182" s="31">
        <f>IFERROR(Data!$L182/Data!$D182,"")</f>
        <v>0.2413793103448276</v>
      </c>
      <c r="Z182" s="31">
        <f>IFERROR(Data!$M182/Data!$D182,"")</f>
        <v>6.8965517241379309E-2</v>
      </c>
      <c r="AA182" s="32">
        <v>232.14</v>
      </c>
      <c r="AB182" s="32">
        <f t="shared" si="25"/>
        <v>13.655294117647058</v>
      </c>
      <c r="AC182" s="29">
        <f t="shared" si="22"/>
        <v>600.11764705882354</v>
      </c>
      <c r="AD182" s="29">
        <f t="shared" si="23"/>
        <v>14.176470588235293</v>
      </c>
      <c r="AE182" s="29">
        <f>YEAR(Data!$C182)</f>
        <v>2021</v>
      </c>
      <c r="AF182" s="29"/>
      <c r="AG182" s="29">
        <v>12</v>
      </c>
      <c r="AH182" s="33">
        <f>Data!$F182/Data!$D182</f>
        <v>9.8103448275862064</v>
      </c>
      <c r="AI182" s="17" t="str">
        <f>RIGHT(Data!$O182,2)</f>
        <v>AM</v>
      </c>
      <c r="AJ182" s="29" t="str">
        <f>Data!$R182&amp;"-"&amp;WEEKNUM(Data!$C182,1)-WEEKNUM(DATE(YEAR(Data!$C182),MONTH(Data!$C182),1),1)+1</f>
        <v>7-2021-5</v>
      </c>
      <c r="AK182" s="29">
        <f>MONTH(Data!$C182)</f>
        <v>7</v>
      </c>
      <c r="AL182" s="29">
        <f>IFERROR(Data!$F182/Data!$E182,0)</f>
        <v>31.611111111111111</v>
      </c>
      <c r="AM182" s="29">
        <f>COUNTIF(Data!$N$2:$N$825,Data!$N182)</f>
        <v>191</v>
      </c>
      <c r="AN182" s="29" t="str">
        <f>VLOOKUP(Data!$N182,'Helpful Tables'!A:D,4,FALSE)</f>
        <v>Washington, DC</v>
      </c>
      <c r="AO182" s="29">
        <f>COUNTIF(AN:AN,Data!$AN182)/COUNTA(AN:AN)</f>
        <v>0.62424242424242427</v>
      </c>
      <c r="AP182" s="29">
        <v>38.949649000000001</v>
      </c>
      <c r="AQ182" s="29">
        <v>-77.080878999999996</v>
      </c>
      <c r="AR182" s="29">
        <f>COUNTIF(Data!$P$2:$P$825,Data!$P182)</f>
        <v>20</v>
      </c>
      <c r="AS182" s="29" cm="1">
        <f t="array" ref="AS182">_xlfn.IFS(Data!$E182&lt;12,((Data!$E182/Data!$D182)*60)*1,AND(Data!$E182&gt;=12,Data!$E182&lt;=15),((Data!$E182/Data!$D182)*60)*1.2,AND(Data!$E182&gt;=16,Data!$E182&lt;=19),((Data!$E182/Data!$D182)*60)*1.5,Data!$E182&gt;=20,((Data!$E182/Data!$D182)*60)*1.8)</f>
        <v>27.931034482758619</v>
      </c>
      <c r="AT182" s="29" cm="1">
        <f t="array" ref="AT182">_xlfn.IFS(Data!$F182&lt;600,((Data!$F182/Data!$D182)*60)*1,AND(Data!$F182&gt;=600,Data!$F182&lt;=625),((Data!$F182/Data!$D182)*60)*1.2,AND(Data!$F182&gt;=626,Data!$F182&lt;=650),((Data!$F182/Data!$D182)*60)*1.5,Data!$F182&gt;=651,((Data!$F182/Data!$D182)*60)*1.8)</f>
        <v>588.62068965517233</v>
      </c>
      <c r="AU182" s="29">
        <f>(Data!$I182*-1.2)+(Data!$J182*-1.1)+(Data!$K182*1.2)+(Data!$L182*1.3)+(Data!$M182*1.5)</f>
        <v>-10.7</v>
      </c>
      <c r="AV182" s="29">
        <f>(Data!$AS182*0.4)+(Data!$AT182*0.4)+(Data!$AU182*0.2)</f>
        <v>244.48068965517243</v>
      </c>
      <c r="AW182" s="29">
        <f>PERCENTRANK(AV:AV,Data!$AV182)*100</f>
        <v>14.6</v>
      </c>
      <c r="AX182" s="29" t="str">
        <f>_xlfn.CONCAT(TEXT(C182,"mmm"),"-",Data!$AE182)</f>
        <v>Jul-2021</v>
      </c>
    </row>
    <row r="183" spans="1:50" ht="17" thickTop="1" thickBot="1" x14ac:dyDescent="0.25">
      <c r="A183" s="22">
        <v>182</v>
      </c>
      <c r="B183" s="23">
        <f t="shared" si="18"/>
        <v>18</v>
      </c>
      <c r="C183" s="41">
        <v>44409</v>
      </c>
      <c r="D183" s="24">
        <f>SUM(Data!$I183:$M183)</f>
        <v>56</v>
      </c>
      <c r="E183" s="23">
        <v>15</v>
      </c>
      <c r="F183" s="23">
        <v>616</v>
      </c>
      <c r="G183" s="23">
        <v>128</v>
      </c>
      <c r="H183" s="23">
        <v>169</v>
      </c>
      <c r="I183" s="23">
        <v>9</v>
      </c>
      <c r="J183" s="23">
        <v>14</v>
      </c>
      <c r="K183" s="23">
        <v>18</v>
      </c>
      <c r="L183" s="23">
        <v>12</v>
      </c>
      <c r="M183" s="23">
        <v>3</v>
      </c>
      <c r="N183" s="23" t="s">
        <v>91</v>
      </c>
      <c r="O183" s="23" t="s">
        <v>45</v>
      </c>
      <c r="P183" s="23" t="s">
        <v>100</v>
      </c>
      <c r="Q183" s="23">
        <f t="shared" si="24"/>
        <v>2</v>
      </c>
      <c r="R183" s="23" t="str">
        <f t="shared" si="19"/>
        <v>8-2021</v>
      </c>
      <c r="S183" s="23" t="s">
        <v>104</v>
      </c>
      <c r="T183" s="23" t="str">
        <f t="shared" si="20"/>
        <v>Sunday</v>
      </c>
      <c r="U183" s="23">
        <f t="shared" si="21"/>
        <v>1</v>
      </c>
      <c r="V183" s="25">
        <f>IFERROR(Data!$I183/Data!$D183,"")</f>
        <v>0.16071428571428573</v>
      </c>
      <c r="W183" s="25">
        <f>IFERROR(Data!$J183/Data!$D183,"")</f>
        <v>0.25</v>
      </c>
      <c r="X183" s="25">
        <f>IFERROR(Data!$K183/Data!$D183,"")</f>
        <v>0.32142857142857145</v>
      </c>
      <c r="Y183" s="25">
        <f>IFERROR(Data!$L183/Data!$D183,"")</f>
        <v>0.21428571428571427</v>
      </c>
      <c r="Z183" s="25">
        <f>IFERROR(Data!$M183/Data!$D183,"")</f>
        <v>5.3571428571428568E-2</v>
      </c>
      <c r="AA183" s="26">
        <v>232.14</v>
      </c>
      <c r="AB183" s="26">
        <f t="shared" si="25"/>
        <v>12.896666666666667</v>
      </c>
      <c r="AC183" s="23">
        <f t="shared" si="22"/>
        <v>654.38888888888891</v>
      </c>
      <c r="AD183" s="23">
        <f t="shared" si="23"/>
        <v>14.166666666666666</v>
      </c>
      <c r="AE183" s="23">
        <f>YEAR(Data!$C183)</f>
        <v>2021</v>
      </c>
      <c r="AF183" s="23"/>
      <c r="AG183" s="23">
        <v>12</v>
      </c>
      <c r="AH183" s="27">
        <f>Data!$F183/Data!$D183</f>
        <v>11</v>
      </c>
      <c r="AI183" s="17" t="str">
        <f>RIGHT(Data!$O183,2)</f>
        <v>AM</v>
      </c>
      <c r="AJ183" s="23" t="str">
        <f>Data!$R183&amp;"-"&amp;WEEKNUM(Data!$C183,1)-WEEKNUM(DATE(YEAR(Data!$C183),MONTH(Data!$C183),1),1)+1</f>
        <v>8-2021-1</v>
      </c>
      <c r="AK183" s="23">
        <f>MONTH(Data!$C183)</f>
        <v>8</v>
      </c>
      <c r="AL183" s="23">
        <f>IFERROR(Data!$F183/Data!$E183,0)</f>
        <v>41.06666666666667</v>
      </c>
      <c r="AM183" s="23">
        <f>COUNTIF(Data!$N$2:$N$825,Data!$N183)</f>
        <v>218</v>
      </c>
      <c r="AN183" s="23" t="str">
        <f>VLOOKUP(Data!$N183,'Helpful Tables'!A:D,4,FALSE)</f>
        <v>Washington, DC</v>
      </c>
      <c r="AO183" s="23">
        <f>COUNTIF(AN:AN,Data!$AN183)/COUNTA(AN:AN)</f>
        <v>0.62424242424242427</v>
      </c>
      <c r="AP183" s="23">
        <v>38.934710000000003</v>
      </c>
      <c r="AQ183" s="23">
        <v>-77.058222999999998</v>
      </c>
      <c r="AR183" s="23">
        <f>COUNTIF(Data!$P$2:$P$825,Data!$P183)</f>
        <v>35</v>
      </c>
      <c r="AS183" s="23" cm="1">
        <f t="array" ref="AS183">_xlfn.IFS(Data!$E183&lt;12,((Data!$E183/Data!$D183)*60)*1,AND(Data!$E183&gt;=12,Data!$E183&lt;=15),((Data!$E183/Data!$D183)*60)*1.2,AND(Data!$E183&gt;=16,Data!$E183&lt;=19),((Data!$E183/Data!$D183)*60)*1.5,Data!$E183&gt;=20,((Data!$E183/Data!$D183)*60)*1.8)</f>
        <v>19.285714285714281</v>
      </c>
      <c r="AT183" s="23" cm="1">
        <f t="array" ref="AT183">_xlfn.IFS(Data!$F183&lt;600,((Data!$F183/Data!$D183)*60)*1,AND(Data!$F183&gt;=600,Data!$F183&lt;=625),((Data!$F183/Data!$D183)*60)*1.2,AND(Data!$F183&gt;=626,Data!$F183&lt;=650),((Data!$F183/Data!$D183)*60)*1.5,Data!$F183&gt;=651,((Data!$F183/Data!$D183)*60)*1.8)</f>
        <v>792</v>
      </c>
      <c r="AU183" s="23">
        <f>(Data!$I183*-1.2)+(Data!$J183*-1.1)+(Data!$K183*1.2)+(Data!$L183*1.3)+(Data!$M183*1.5)</f>
        <v>15.499999999999996</v>
      </c>
      <c r="AV183" s="23">
        <f>(Data!$AS183*0.4)+(Data!$AT183*0.4)+(Data!$AU183*0.2)</f>
        <v>327.61428571428576</v>
      </c>
      <c r="AW183" s="23">
        <f>PERCENTRANK(AV:AV,Data!$AV183)*100</f>
        <v>40.5</v>
      </c>
      <c r="AX183" s="23" t="str">
        <f>_xlfn.CONCAT(TEXT(C183,"mmm"),"-",Data!$AE183)</f>
        <v>Aug-2021</v>
      </c>
    </row>
    <row r="184" spans="1:50" ht="17" thickTop="1" thickBot="1" x14ac:dyDescent="0.25">
      <c r="A184" s="28">
        <v>183</v>
      </c>
      <c r="B184" s="29">
        <f t="shared" si="18"/>
        <v>18</v>
      </c>
      <c r="C184" s="41">
        <v>44410</v>
      </c>
      <c r="D184" s="30">
        <f>SUM(Data!$I184:$M184)</f>
        <v>60</v>
      </c>
      <c r="E184" s="29">
        <v>13</v>
      </c>
      <c r="F184" s="29">
        <v>635</v>
      </c>
      <c r="G184" s="29">
        <v>124</v>
      </c>
      <c r="H184" s="29">
        <v>167</v>
      </c>
      <c r="I184" s="29">
        <v>16</v>
      </c>
      <c r="J184" s="29">
        <v>14</v>
      </c>
      <c r="K184" s="29">
        <v>17</v>
      </c>
      <c r="L184" s="29">
        <v>12</v>
      </c>
      <c r="M184" s="29">
        <v>1</v>
      </c>
      <c r="N184" s="29" t="s">
        <v>91</v>
      </c>
      <c r="O184" s="29" t="s">
        <v>39</v>
      </c>
      <c r="P184" s="29" t="s">
        <v>94</v>
      </c>
      <c r="Q184" s="29">
        <f t="shared" si="24"/>
        <v>1</v>
      </c>
      <c r="R184" s="29" t="str">
        <f t="shared" si="19"/>
        <v>8-2021</v>
      </c>
      <c r="S184" s="29" t="s">
        <v>117</v>
      </c>
      <c r="T184" s="29" t="str">
        <f t="shared" si="20"/>
        <v>Monday</v>
      </c>
      <c r="U184" s="29">
        <f t="shared" si="21"/>
        <v>1</v>
      </c>
      <c r="V184" s="31">
        <f>IFERROR(Data!$I184/Data!$D184,"")</f>
        <v>0.26666666666666666</v>
      </c>
      <c r="W184" s="31">
        <f>IFERROR(Data!$J184/Data!$D184,"")</f>
        <v>0.23333333333333334</v>
      </c>
      <c r="X184" s="31">
        <f>IFERROR(Data!$K184/Data!$D184,"")</f>
        <v>0.28333333333333333</v>
      </c>
      <c r="Y184" s="31">
        <f>IFERROR(Data!$L184/Data!$D184,"")</f>
        <v>0.2</v>
      </c>
      <c r="Z184" s="31">
        <f>IFERROR(Data!$M184/Data!$D184,"")</f>
        <v>1.6666666666666666E-2</v>
      </c>
      <c r="AA184" s="32">
        <v>232.14</v>
      </c>
      <c r="AB184" s="32">
        <f t="shared" si="25"/>
        <v>12.896666666666667</v>
      </c>
      <c r="AC184" s="29">
        <f t="shared" si="22"/>
        <v>654.38888888888891</v>
      </c>
      <c r="AD184" s="29">
        <f t="shared" si="23"/>
        <v>14.166666666666666</v>
      </c>
      <c r="AE184" s="29">
        <f>YEAR(Data!$C184)</f>
        <v>2021</v>
      </c>
      <c r="AF184" s="29"/>
      <c r="AG184" s="29">
        <v>12</v>
      </c>
      <c r="AH184" s="33">
        <f>Data!$F184/Data!$D184</f>
        <v>10.583333333333334</v>
      </c>
      <c r="AI184" s="17" t="str">
        <f>RIGHT(Data!$O184,2)</f>
        <v>PM</v>
      </c>
      <c r="AJ184" s="29" t="str">
        <f>Data!$R184&amp;"-"&amp;WEEKNUM(Data!$C184,1)-WEEKNUM(DATE(YEAR(Data!$C184),MONTH(Data!$C184),1),1)+1</f>
        <v>8-2021-1</v>
      </c>
      <c r="AK184" s="29">
        <f>MONTH(Data!$C184)</f>
        <v>8</v>
      </c>
      <c r="AL184" s="29">
        <f>IFERROR(Data!$F184/Data!$E184,0)</f>
        <v>48.846153846153847</v>
      </c>
      <c r="AM184" s="29">
        <f>COUNTIF(Data!$N$2:$N$825,Data!$N184)</f>
        <v>218</v>
      </c>
      <c r="AN184" s="29" t="str">
        <f>VLOOKUP(Data!$N184,'Helpful Tables'!A:D,4,FALSE)</f>
        <v>Washington, DC</v>
      </c>
      <c r="AO184" s="29">
        <f>COUNTIF(AN:AN,Data!$AN184)/COUNTA(AN:AN)</f>
        <v>0.62424242424242427</v>
      </c>
      <c r="AP184" s="29">
        <v>38.934710000000003</v>
      </c>
      <c r="AQ184" s="29">
        <v>-77.058222999999998</v>
      </c>
      <c r="AR184" s="29">
        <f>COUNTIF(Data!$P$2:$P$825,Data!$P184)</f>
        <v>15</v>
      </c>
      <c r="AS184" s="29" cm="1">
        <f t="array" ref="AS184">_xlfn.IFS(Data!$E184&lt;12,((Data!$E184/Data!$D184)*60)*1,AND(Data!$E184&gt;=12,Data!$E184&lt;=15),((Data!$E184/Data!$D184)*60)*1.2,AND(Data!$E184&gt;=16,Data!$E184&lt;=19),((Data!$E184/Data!$D184)*60)*1.5,Data!$E184&gt;=20,((Data!$E184/Data!$D184)*60)*1.8)</f>
        <v>15.6</v>
      </c>
      <c r="AT184" s="29" cm="1">
        <f t="array" ref="AT184">_xlfn.IFS(Data!$F184&lt;600,((Data!$F184/Data!$D184)*60)*1,AND(Data!$F184&gt;=600,Data!$F184&lt;=625),((Data!$F184/Data!$D184)*60)*1.2,AND(Data!$F184&gt;=626,Data!$F184&lt;=650),((Data!$F184/Data!$D184)*60)*1.5,Data!$F184&gt;=651,((Data!$F184/Data!$D184)*60)*1.8)</f>
        <v>952.5</v>
      </c>
      <c r="AU184" s="29">
        <f>(Data!$I184*-1.2)+(Data!$J184*-1.1)+(Data!$K184*1.2)+(Data!$L184*1.3)+(Data!$M184*1.5)</f>
        <v>2.8999999999999986</v>
      </c>
      <c r="AV184" s="29">
        <f>(Data!$AS184*0.4)+(Data!$AT184*0.4)+(Data!$AU184*0.2)</f>
        <v>387.82</v>
      </c>
      <c r="AW184" s="29">
        <f>PERCENTRANK(AV:AV,Data!$AV184)*100</f>
        <v>47</v>
      </c>
      <c r="AX184" s="29" t="str">
        <f>_xlfn.CONCAT(TEXT(C184,"mmm"),"-",Data!$AE184)</f>
        <v>Aug-2021</v>
      </c>
    </row>
    <row r="185" spans="1:50" ht="17" thickTop="1" thickBot="1" x14ac:dyDescent="0.25">
      <c r="A185" s="22">
        <v>184</v>
      </c>
      <c r="B185" s="23">
        <f t="shared" si="18"/>
        <v>18</v>
      </c>
      <c r="C185" s="41">
        <v>44412</v>
      </c>
      <c r="D185" s="24">
        <f>SUM(Data!$I185:$M185)</f>
        <v>60</v>
      </c>
      <c r="E185" s="23">
        <v>13</v>
      </c>
      <c r="F185" s="23">
        <v>623</v>
      </c>
      <c r="G185" s="23">
        <v>123</v>
      </c>
      <c r="H185" s="23">
        <v>173</v>
      </c>
      <c r="I185" s="23">
        <v>16</v>
      </c>
      <c r="J185" s="23">
        <v>19</v>
      </c>
      <c r="K185" s="23">
        <v>12</v>
      </c>
      <c r="L185" s="23">
        <v>8</v>
      </c>
      <c r="M185" s="23">
        <v>5</v>
      </c>
      <c r="N185" s="23" t="s">
        <v>91</v>
      </c>
      <c r="O185" s="23" t="s">
        <v>39</v>
      </c>
      <c r="P185" s="23" t="s">
        <v>96</v>
      </c>
      <c r="Q185" s="23">
        <f t="shared" si="24"/>
        <v>2</v>
      </c>
      <c r="R185" s="23" t="str">
        <f t="shared" si="19"/>
        <v>8-2021</v>
      </c>
      <c r="S185" s="23" t="s">
        <v>117</v>
      </c>
      <c r="T185" s="23" t="str">
        <f t="shared" si="20"/>
        <v>Wednesday</v>
      </c>
      <c r="U185" s="23">
        <f t="shared" si="21"/>
        <v>1</v>
      </c>
      <c r="V185" s="25">
        <f>IFERROR(Data!$I185/Data!$D185,"")</f>
        <v>0.26666666666666666</v>
      </c>
      <c r="W185" s="25">
        <f>IFERROR(Data!$J185/Data!$D185,"")</f>
        <v>0.31666666666666665</v>
      </c>
      <c r="X185" s="25">
        <f>IFERROR(Data!$K185/Data!$D185,"")</f>
        <v>0.2</v>
      </c>
      <c r="Y185" s="25">
        <f>IFERROR(Data!$L185/Data!$D185,"")</f>
        <v>0.13333333333333333</v>
      </c>
      <c r="Z185" s="25">
        <f>IFERROR(Data!$M185/Data!$D185,"")</f>
        <v>8.3333333333333329E-2</v>
      </c>
      <c r="AA185" s="26">
        <v>232.14</v>
      </c>
      <c r="AB185" s="26">
        <f t="shared" si="25"/>
        <v>12.896666666666667</v>
      </c>
      <c r="AC185" s="23">
        <f t="shared" si="22"/>
        <v>654.38888888888891</v>
      </c>
      <c r="AD185" s="23">
        <f t="shared" si="23"/>
        <v>14.166666666666666</v>
      </c>
      <c r="AE185" s="23">
        <f>YEAR(Data!$C185)</f>
        <v>2021</v>
      </c>
      <c r="AF185" s="23"/>
      <c r="AG185" s="23">
        <v>12</v>
      </c>
      <c r="AH185" s="27">
        <f>Data!$F185/Data!$D185</f>
        <v>10.383333333333333</v>
      </c>
      <c r="AI185" s="17" t="str">
        <f>RIGHT(Data!$O185,2)</f>
        <v>PM</v>
      </c>
      <c r="AJ185" s="23" t="str">
        <f>Data!$R185&amp;"-"&amp;WEEKNUM(Data!$C185,1)-WEEKNUM(DATE(YEAR(Data!$C185),MONTH(Data!$C185),1),1)+1</f>
        <v>8-2021-1</v>
      </c>
      <c r="AK185" s="23">
        <f>MONTH(Data!$C185)</f>
        <v>8</v>
      </c>
      <c r="AL185" s="23">
        <f>IFERROR(Data!$F185/Data!$E185,0)</f>
        <v>47.92307692307692</v>
      </c>
      <c r="AM185" s="23">
        <f>COUNTIF(Data!$N$2:$N$825,Data!$N185)</f>
        <v>218</v>
      </c>
      <c r="AN185" s="23" t="str">
        <f>VLOOKUP(Data!$N185,'Helpful Tables'!A:D,4,FALSE)</f>
        <v>Washington, DC</v>
      </c>
      <c r="AO185" s="23">
        <f>COUNTIF(AN:AN,Data!$AN185)/COUNTA(AN:AN)</f>
        <v>0.62424242424242427</v>
      </c>
      <c r="AP185" s="23">
        <v>38.934710000000003</v>
      </c>
      <c r="AQ185" s="23">
        <v>-77.058222999999998</v>
      </c>
      <c r="AR185" s="23">
        <f>COUNTIF(Data!$P$2:$P$825,Data!$P185)</f>
        <v>71</v>
      </c>
      <c r="AS185" s="23" cm="1">
        <f t="array" ref="AS185">_xlfn.IFS(Data!$E185&lt;12,((Data!$E185/Data!$D185)*60)*1,AND(Data!$E185&gt;=12,Data!$E185&lt;=15),((Data!$E185/Data!$D185)*60)*1.2,AND(Data!$E185&gt;=16,Data!$E185&lt;=19),((Data!$E185/Data!$D185)*60)*1.5,Data!$E185&gt;=20,((Data!$E185/Data!$D185)*60)*1.8)</f>
        <v>15.6</v>
      </c>
      <c r="AT185" s="23" cm="1">
        <f t="array" ref="AT185">_xlfn.IFS(Data!$F185&lt;600,((Data!$F185/Data!$D185)*60)*1,AND(Data!$F185&gt;=600,Data!$F185&lt;=625),((Data!$F185/Data!$D185)*60)*1.2,AND(Data!$F185&gt;=626,Data!$F185&lt;=650),((Data!$F185/Data!$D185)*60)*1.5,Data!$F185&gt;=651,((Data!$F185/Data!$D185)*60)*1.8)</f>
        <v>747.6</v>
      </c>
      <c r="AU185" s="23">
        <f>(Data!$I185*-1.2)+(Data!$J185*-1.1)+(Data!$K185*1.2)+(Data!$L185*1.3)+(Data!$M185*1.5)</f>
        <v>-7.8000000000000025</v>
      </c>
      <c r="AV185" s="23">
        <f>(Data!$AS185*0.4)+(Data!$AT185*0.4)+(Data!$AU185*0.2)</f>
        <v>303.72000000000003</v>
      </c>
      <c r="AW185" s="23">
        <f>PERCENTRANK(AV:AV,Data!$AV185)*100</f>
        <v>28.1</v>
      </c>
      <c r="AX185" s="23" t="str">
        <f>_xlfn.CONCAT(TEXT(C185,"mmm"),"-",Data!$AE185)</f>
        <v>Aug-2021</v>
      </c>
    </row>
    <row r="186" spans="1:50" ht="17" thickTop="1" thickBot="1" x14ac:dyDescent="0.25">
      <c r="A186" s="28">
        <v>185</v>
      </c>
      <c r="B186" s="29">
        <f t="shared" si="18"/>
        <v>18</v>
      </c>
      <c r="C186" s="41">
        <v>44413</v>
      </c>
      <c r="D186" s="30">
        <f>SUM(Data!$I186:$M186)</f>
        <v>54</v>
      </c>
      <c r="E186" s="29">
        <v>10</v>
      </c>
      <c r="F186" s="29">
        <v>599</v>
      </c>
      <c r="G186" s="29">
        <v>127</v>
      </c>
      <c r="H186" s="29">
        <v>167</v>
      </c>
      <c r="I186" s="29">
        <v>10</v>
      </c>
      <c r="J186" s="29">
        <v>14</v>
      </c>
      <c r="K186" s="29">
        <v>20</v>
      </c>
      <c r="L186" s="29">
        <v>9</v>
      </c>
      <c r="M186" s="29">
        <v>1</v>
      </c>
      <c r="N186" s="29" t="s">
        <v>91</v>
      </c>
      <c r="O186" s="29" t="s">
        <v>39</v>
      </c>
      <c r="P186" s="29" t="s">
        <v>120</v>
      </c>
      <c r="Q186" s="29">
        <f t="shared" si="24"/>
        <v>1</v>
      </c>
      <c r="R186" s="29" t="str">
        <f t="shared" si="19"/>
        <v>8-2021</v>
      </c>
      <c r="S186" s="29" t="s">
        <v>117</v>
      </c>
      <c r="T186" s="29" t="str">
        <f t="shared" si="20"/>
        <v>Thursday</v>
      </c>
      <c r="U186" s="29">
        <f t="shared" si="21"/>
        <v>0</v>
      </c>
      <c r="V186" s="31">
        <f>IFERROR(Data!$I186/Data!$D186,"")</f>
        <v>0.18518518518518517</v>
      </c>
      <c r="W186" s="31">
        <f>IFERROR(Data!$J186/Data!$D186,"")</f>
        <v>0.25925925925925924</v>
      </c>
      <c r="X186" s="31">
        <f>IFERROR(Data!$K186/Data!$D186,"")</f>
        <v>0.37037037037037035</v>
      </c>
      <c r="Y186" s="31">
        <f>IFERROR(Data!$L186/Data!$D186,"")</f>
        <v>0.16666666666666666</v>
      </c>
      <c r="Z186" s="31">
        <f>IFERROR(Data!$M186/Data!$D186,"")</f>
        <v>1.8518518518518517E-2</v>
      </c>
      <c r="AA186" s="32">
        <v>232.14</v>
      </c>
      <c r="AB186" s="32">
        <f t="shared" si="25"/>
        <v>12.896666666666667</v>
      </c>
      <c r="AC186" s="29">
        <f t="shared" si="22"/>
        <v>654.38888888888891</v>
      </c>
      <c r="AD186" s="29">
        <f t="shared" si="23"/>
        <v>14.166666666666666</v>
      </c>
      <c r="AE186" s="29">
        <f>YEAR(Data!$C186)</f>
        <v>2021</v>
      </c>
      <c r="AF186" s="29"/>
      <c r="AG186" s="29">
        <v>12</v>
      </c>
      <c r="AH186" s="33">
        <f>Data!$F186/Data!$D186</f>
        <v>11.092592592592593</v>
      </c>
      <c r="AI186" s="17" t="str">
        <f>RIGHT(Data!$O186,2)</f>
        <v>PM</v>
      </c>
      <c r="AJ186" s="29" t="str">
        <f>Data!$R186&amp;"-"&amp;WEEKNUM(Data!$C186,1)-WEEKNUM(DATE(YEAR(Data!$C186),MONTH(Data!$C186),1),1)+1</f>
        <v>8-2021-1</v>
      </c>
      <c r="AK186" s="29">
        <f>MONTH(Data!$C186)</f>
        <v>8</v>
      </c>
      <c r="AL186" s="29">
        <f>IFERROR(Data!$F186/Data!$E186,0)</f>
        <v>59.9</v>
      </c>
      <c r="AM186" s="29">
        <f>COUNTIF(Data!$N$2:$N$825,Data!$N186)</f>
        <v>218</v>
      </c>
      <c r="AN186" s="29" t="str">
        <f>VLOOKUP(Data!$N186,'Helpful Tables'!A:D,4,FALSE)</f>
        <v>Washington, DC</v>
      </c>
      <c r="AO186" s="29">
        <f>COUNTIF(AN:AN,Data!$AN186)/COUNTA(AN:AN)</f>
        <v>0.62424242424242427</v>
      </c>
      <c r="AP186" s="29">
        <v>38.934710000000003</v>
      </c>
      <c r="AQ186" s="29">
        <v>-77.058222999999998</v>
      </c>
      <c r="AR186" s="29">
        <f>COUNTIF(Data!$P$2:$P$825,Data!$P186)</f>
        <v>4</v>
      </c>
      <c r="AS186" s="29" cm="1">
        <f t="array" ref="AS186">_xlfn.IFS(Data!$E186&lt;12,((Data!$E186/Data!$D186)*60)*1,AND(Data!$E186&gt;=12,Data!$E186&lt;=15),((Data!$E186/Data!$D186)*60)*1.2,AND(Data!$E186&gt;=16,Data!$E186&lt;=19),((Data!$E186/Data!$D186)*60)*1.5,Data!$E186&gt;=20,((Data!$E186/Data!$D186)*60)*1.8)</f>
        <v>11.111111111111111</v>
      </c>
      <c r="AT186" s="29" cm="1">
        <f t="array" ref="AT186">_xlfn.IFS(Data!$F186&lt;600,((Data!$F186/Data!$D186)*60)*1,AND(Data!$F186&gt;=600,Data!$F186&lt;=625),((Data!$F186/Data!$D186)*60)*1.2,AND(Data!$F186&gt;=626,Data!$F186&lt;=650),((Data!$F186/Data!$D186)*60)*1.5,Data!$F186&gt;=651,((Data!$F186/Data!$D186)*60)*1.8)</f>
        <v>665.55555555555566</v>
      </c>
      <c r="AU186" s="29">
        <f>(Data!$I186*-1.2)+(Data!$J186*-1.1)+(Data!$K186*1.2)+(Data!$L186*1.3)+(Data!$M186*1.5)</f>
        <v>9.7999999999999989</v>
      </c>
      <c r="AV186" s="29">
        <f>(Data!$AS186*0.4)+(Data!$AT186*0.4)+(Data!$AU186*0.2)</f>
        <v>272.62666666666672</v>
      </c>
      <c r="AW186" s="29">
        <f>PERCENTRANK(AV:AV,Data!$AV186)*100</f>
        <v>22.900000000000002</v>
      </c>
      <c r="AX186" s="29" t="str">
        <f>_xlfn.CONCAT(TEXT(C186,"mmm"),"-",Data!$AE186)</f>
        <v>Aug-2021</v>
      </c>
    </row>
    <row r="187" spans="1:50" ht="17" thickTop="1" thickBot="1" x14ac:dyDescent="0.25">
      <c r="A187" s="22">
        <v>186</v>
      </c>
      <c r="B187" s="23">
        <f t="shared" si="18"/>
        <v>18</v>
      </c>
      <c r="C187" s="41">
        <v>44416</v>
      </c>
      <c r="D187" s="24">
        <f>SUM(Data!$I187:$M187)</f>
        <v>56</v>
      </c>
      <c r="E187" s="23">
        <v>20</v>
      </c>
      <c r="F187" s="23">
        <v>700</v>
      </c>
      <c r="G187" s="23">
        <v>136</v>
      </c>
      <c r="H187" s="23">
        <v>174</v>
      </c>
      <c r="I187" s="23">
        <v>4</v>
      </c>
      <c r="J187" s="23">
        <v>11</v>
      </c>
      <c r="K187" s="23">
        <v>21</v>
      </c>
      <c r="L187" s="23">
        <v>13</v>
      </c>
      <c r="M187" s="23">
        <v>7</v>
      </c>
      <c r="N187" s="23" t="s">
        <v>121</v>
      </c>
      <c r="O187" s="23" t="s">
        <v>45</v>
      </c>
      <c r="P187" s="23" t="s">
        <v>122</v>
      </c>
      <c r="Q187" s="23">
        <f t="shared" si="24"/>
        <v>3</v>
      </c>
      <c r="R187" s="23" t="str">
        <f t="shared" si="19"/>
        <v>8-2021</v>
      </c>
      <c r="S187" s="23" t="s">
        <v>99</v>
      </c>
      <c r="T187" s="23" t="str">
        <f t="shared" si="20"/>
        <v>Sunday</v>
      </c>
      <c r="U187" s="23">
        <f t="shared" si="21"/>
        <v>1</v>
      </c>
      <c r="V187" s="25">
        <f>IFERROR(Data!$I187/Data!$D187,"")</f>
        <v>7.1428571428571425E-2</v>
      </c>
      <c r="W187" s="25">
        <f>IFERROR(Data!$J187/Data!$D187,"")</f>
        <v>0.19642857142857142</v>
      </c>
      <c r="X187" s="25">
        <f>IFERROR(Data!$K187/Data!$D187,"")</f>
        <v>0.375</v>
      </c>
      <c r="Y187" s="25">
        <f>IFERROR(Data!$L187/Data!$D187,"")</f>
        <v>0.23214285714285715</v>
      </c>
      <c r="Z187" s="25">
        <f>IFERROR(Data!$M187/Data!$D187,"")</f>
        <v>0.125</v>
      </c>
      <c r="AA187" s="26">
        <v>232.14</v>
      </c>
      <c r="AB187" s="26">
        <f t="shared" si="25"/>
        <v>12.896666666666667</v>
      </c>
      <c r="AC187" s="23">
        <f t="shared" si="22"/>
        <v>654.38888888888891</v>
      </c>
      <c r="AD187" s="23">
        <f t="shared" si="23"/>
        <v>14.166666666666666</v>
      </c>
      <c r="AE187" s="23">
        <f>YEAR(Data!$C187)</f>
        <v>2021</v>
      </c>
      <c r="AF187" s="23"/>
      <c r="AG187" s="23">
        <v>12</v>
      </c>
      <c r="AH187" s="27">
        <f>Data!$F187/Data!$D187</f>
        <v>12.5</v>
      </c>
      <c r="AI187" s="17" t="str">
        <f>RIGHT(Data!$O187,2)</f>
        <v>AM</v>
      </c>
      <c r="AJ187" s="23" t="str">
        <f>Data!$R187&amp;"-"&amp;WEEKNUM(Data!$C187,1)-WEEKNUM(DATE(YEAR(Data!$C187),MONTH(Data!$C187),1),1)+1</f>
        <v>8-2021-2</v>
      </c>
      <c r="AK187" s="23">
        <f>MONTH(Data!$C187)</f>
        <v>8</v>
      </c>
      <c r="AL187" s="23">
        <f>IFERROR(Data!$F187/Data!$E187,0)</f>
        <v>35</v>
      </c>
      <c r="AM187" s="23">
        <f>COUNTIF(Data!$N$2:$N$825,Data!$N187)</f>
        <v>2</v>
      </c>
      <c r="AN187" s="23" t="str">
        <f>VLOOKUP(Data!$N187,'Helpful Tables'!A:D,4,FALSE)</f>
        <v>Connecticut</v>
      </c>
      <c r="AO187" s="23">
        <f>COUNTIF(AN:AN,Data!$AN187)/COUNTA(AN:AN)</f>
        <v>2.4242424242424242E-3</v>
      </c>
      <c r="AP187" s="23">
        <v>41.370860999999998</v>
      </c>
      <c r="AQ187" s="23">
        <v>-72.915813999999997</v>
      </c>
      <c r="AR187" s="23">
        <f>COUNTIF(Data!$P$2:$P$825,Data!$P187)</f>
        <v>1</v>
      </c>
      <c r="AS187" s="23" cm="1">
        <f t="array" ref="AS187">_xlfn.IFS(Data!$E187&lt;12,((Data!$E187/Data!$D187)*60)*1,AND(Data!$E187&gt;=12,Data!$E187&lt;=15),((Data!$E187/Data!$D187)*60)*1.2,AND(Data!$E187&gt;=16,Data!$E187&lt;=19),((Data!$E187/Data!$D187)*60)*1.5,Data!$E187&gt;=20,((Data!$E187/Data!$D187)*60)*1.8)</f>
        <v>38.571428571428577</v>
      </c>
      <c r="AT187" s="23" cm="1">
        <f t="array" ref="AT187">_xlfn.IFS(Data!$F187&lt;600,((Data!$F187/Data!$D187)*60)*1,AND(Data!$F187&gt;=600,Data!$F187&lt;=625),((Data!$F187/Data!$D187)*60)*1.2,AND(Data!$F187&gt;=626,Data!$F187&lt;=650),((Data!$F187/Data!$D187)*60)*1.5,Data!$F187&gt;=651,((Data!$F187/Data!$D187)*60)*1.8)</f>
        <v>1350</v>
      </c>
      <c r="AU187" s="23">
        <f>(Data!$I187*-1.2)+(Data!$J187*-1.1)+(Data!$K187*1.2)+(Data!$L187*1.3)+(Data!$M187*1.5)</f>
        <v>35.700000000000003</v>
      </c>
      <c r="AV187" s="23">
        <f>(Data!$AS187*0.4)+(Data!$AT187*0.4)+(Data!$AU187*0.2)</f>
        <v>562.56857142857143</v>
      </c>
      <c r="AW187" s="23">
        <f>PERCENTRANK(AV:AV,Data!$AV187)*100</f>
        <v>99</v>
      </c>
      <c r="AX187" s="23" t="str">
        <f>_xlfn.CONCAT(TEXT(C187,"mmm"),"-",Data!$AE187)</f>
        <v>Aug-2021</v>
      </c>
    </row>
    <row r="188" spans="1:50" ht="17" thickTop="1" thickBot="1" x14ac:dyDescent="0.25">
      <c r="A188" s="28">
        <v>187</v>
      </c>
      <c r="B188" s="29">
        <f t="shared" si="18"/>
        <v>18</v>
      </c>
      <c r="C188" s="41">
        <v>44418</v>
      </c>
      <c r="D188" s="30">
        <f>SUM(Data!$I188:$M188)</f>
        <v>57</v>
      </c>
      <c r="E188" s="29">
        <v>17</v>
      </c>
      <c r="F188" s="29">
        <v>694</v>
      </c>
      <c r="G188" s="29">
        <v>133</v>
      </c>
      <c r="H188" s="29">
        <v>173</v>
      </c>
      <c r="I188" s="29">
        <v>5</v>
      </c>
      <c r="J188" s="29">
        <v>16</v>
      </c>
      <c r="K188" s="29">
        <v>19</v>
      </c>
      <c r="L188" s="29">
        <v>15</v>
      </c>
      <c r="M188" s="29">
        <v>2</v>
      </c>
      <c r="N188" s="29" t="s">
        <v>101</v>
      </c>
      <c r="O188" s="29" t="s">
        <v>39</v>
      </c>
      <c r="P188" s="29" t="s">
        <v>109</v>
      </c>
      <c r="Q188" s="29">
        <f t="shared" si="24"/>
        <v>2</v>
      </c>
      <c r="R188" s="29" t="str">
        <f t="shared" si="19"/>
        <v>8-2021</v>
      </c>
      <c r="S188" s="29" t="s">
        <v>104</v>
      </c>
      <c r="T188" s="29" t="str">
        <f t="shared" si="20"/>
        <v>Tuesday</v>
      </c>
      <c r="U188" s="29">
        <f t="shared" si="21"/>
        <v>1</v>
      </c>
      <c r="V188" s="31">
        <f>IFERROR(Data!$I188/Data!$D188,"")</f>
        <v>8.771929824561403E-2</v>
      </c>
      <c r="W188" s="31">
        <f>IFERROR(Data!$J188/Data!$D188,"")</f>
        <v>0.2807017543859649</v>
      </c>
      <c r="X188" s="31">
        <f>IFERROR(Data!$K188/Data!$D188,"")</f>
        <v>0.33333333333333331</v>
      </c>
      <c r="Y188" s="31">
        <f>IFERROR(Data!$L188/Data!$D188,"")</f>
        <v>0.26315789473684209</v>
      </c>
      <c r="Z188" s="31">
        <f>IFERROR(Data!$M188/Data!$D188,"")</f>
        <v>3.5087719298245612E-2</v>
      </c>
      <c r="AA188" s="32">
        <v>232.14</v>
      </c>
      <c r="AB188" s="32">
        <f t="shared" si="25"/>
        <v>12.896666666666667</v>
      </c>
      <c r="AC188" s="29">
        <f t="shared" si="22"/>
        <v>654.38888888888891</v>
      </c>
      <c r="AD188" s="29">
        <f t="shared" si="23"/>
        <v>14.166666666666666</v>
      </c>
      <c r="AE188" s="29">
        <f>YEAR(Data!$C188)</f>
        <v>2021</v>
      </c>
      <c r="AF188" s="29"/>
      <c r="AG188" s="29">
        <v>12</v>
      </c>
      <c r="AH188" s="33">
        <f>Data!$F188/Data!$D188</f>
        <v>12.175438596491228</v>
      </c>
      <c r="AI188" s="17" t="str">
        <f>RIGHT(Data!$O188,2)</f>
        <v>PM</v>
      </c>
      <c r="AJ188" s="29" t="str">
        <f>Data!$R188&amp;"-"&amp;WEEKNUM(Data!$C188,1)-WEEKNUM(DATE(YEAR(Data!$C188),MONTH(Data!$C188),1),1)+1</f>
        <v>8-2021-2</v>
      </c>
      <c r="AK188" s="29">
        <f>MONTH(Data!$C188)</f>
        <v>8</v>
      </c>
      <c r="AL188" s="29">
        <f>IFERROR(Data!$F188/Data!$E188,0)</f>
        <v>40.823529411764703</v>
      </c>
      <c r="AM188" s="29">
        <f>COUNTIF(Data!$N$2:$N$825,Data!$N188)</f>
        <v>191</v>
      </c>
      <c r="AN188" s="29" t="str">
        <f>VLOOKUP(Data!$N188,'Helpful Tables'!A:D,4,FALSE)</f>
        <v>Washington, DC</v>
      </c>
      <c r="AO188" s="29">
        <f>COUNTIF(AN:AN,Data!$AN188)/COUNTA(AN:AN)</f>
        <v>0.62424242424242427</v>
      </c>
      <c r="AP188" s="29">
        <v>38.949649000000001</v>
      </c>
      <c r="AQ188" s="29">
        <v>-77.080878999999996</v>
      </c>
      <c r="AR188" s="29">
        <f>COUNTIF(Data!$P$2:$P$825,Data!$P188)</f>
        <v>66</v>
      </c>
      <c r="AS188" s="29" cm="1">
        <f t="array" ref="AS188">_xlfn.IFS(Data!$E188&lt;12,((Data!$E188/Data!$D188)*60)*1,AND(Data!$E188&gt;=12,Data!$E188&lt;=15),((Data!$E188/Data!$D188)*60)*1.2,AND(Data!$E188&gt;=16,Data!$E188&lt;=19),((Data!$E188/Data!$D188)*60)*1.5,Data!$E188&gt;=20,((Data!$E188/Data!$D188)*60)*1.8)</f>
        <v>26.842105263157897</v>
      </c>
      <c r="AT188" s="29" cm="1">
        <f t="array" ref="AT188">_xlfn.IFS(Data!$F188&lt;600,((Data!$F188/Data!$D188)*60)*1,AND(Data!$F188&gt;=600,Data!$F188&lt;=625),((Data!$F188/Data!$D188)*60)*1.2,AND(Data!$F188&gt;=626,Data!$F188&lt;=650),((Data!$F188/Data!$D188)*60)*1.5,Data!$F188&gt;=651,((Data!$F188/Data!$D188)*60)*1.8)</f>
        <v>1314.9473684210525</v>
      </c>
      <c r="AU188" s="29">
        <f>(Data!$I188*-1.2)+(Data!$J188*-1.1)+(Data!$K188*1.2)+(Data!$L188*1.3)+(Data!$M188*1.5)</f>
        <v>21.7</v>
      </c>
      <c r="AV188" s="29">
        <f>(Data!$AS188*0.4)+(Data!$AT188*0.4)+(Data!$AU188*0.2)</f>
        <v>541.05578947368417</v>
      </c>
      <c r="AW188" s="29">
        <f>PERCENTRANK(AV:AV,Data!$AV188)*100</f>
        <v>96.5</v>
      </c>
      <c r="AX188" s="29" t="str">
        <f>_xlfn.CONCAT(TEXT(C188,"mmm"),"-",Data!$AE188)</f>
        <v>Aug-2021</v>
      </c>
    </row>
    <row r="189" spans="1:50" ht="17" thickTop="1" thickBot="1" x14ac:dyDescent="0.25">
      <c r="A189" s="22">
        <v>188</v>
      </c>
      <c r="B189" s="23">
        <f t="shared" si="18"/>
        <v>18</v>
      </c>
      <c r="C189" s="41">
        <v>44419</v>
      </c>
      <c r="D189" s="24">
        <f>SUM(Data!$I189:$M189)</f>
        <v>56</v>
      </c>
      <c r="E189" s="23">
        <v>21</v>
      </c>
      <c r="F189" s="23">
        <v>694</v>
      </c>
      <c r="G189" s="23">
        <v>136</v>
      </c>
      <c r="H189" s="23">
        <v>166</v>
      </c>
      <c r="I189" s="23">
        <v>6</v>
      </c>
      <c r="J189" s="23">
        <v>11</v>
      </c>
      <c r="K189" s="23">
        <v>18</v>
      </c>
      <c r="L189" s="23">
        <v>17</v>
      </c>
      <c r="M189" s="23">
        <v>4</v>
      </c>
      <c r="N189" s="23" t="s">
        <v>91</v>
      </c>
      <c r="O189" s="23" t="s">
        <v>39</v>
      </c>
      <c r="P189" s="23" t="s">
        <v>96</v>
      </c>
      <c r="Q189" s="23">
        <f t="shared" si="24"/>
        <v>1</v>
      </c>
      <c r="R189" s="23" t="str">
        <f t="shared" si="19"/>
        <v>8-2021</v>
      </c>
      <c r="S189" s="23" t="s">
        <v>117</v>
      </c>
      <c r="T189" s="23" t="str">
        <f t="shared" si="20"/>
        <v>Wednesday</v>
      </c>
      <c r="U189" s="23">
        <f t="shared" si="21"/>
        <v>1</v>
      </c>
      <c r="V189" s="25">
        <f>IFERROR(Data!$I189/Data!$D189,"")</f>
        <v>0.10714285714285714</v>
      </c>
      <c r="W189" s="25">
        <f>IFERROR(Data!$J189/Data!$D189,"")</f>
        <v>0.19642857142857142</v>
      </c>
      <c r="X189" s="25">
        <f>IFERROR(Data!$K189/Data!$D189,"")</f>
        <v>0.32142857142857145</v>
      </c>
      <c r="Y189" s="25">
        <f>IFERROR(Data!$L189/Data!$D189,"")</f>
        <v>0.30357142857142855</v>
      </c>
      <c r="Z189" s="25">
        <f>IFERROR(Data!$M189/Data!$D189,"")</f>
        <v>7.1428571428571425E-2</v>
      </c>
      <c r="AA189" s="26">
        <v>232.14</v>
      </c>
      <c r="AB189" s="26">
        <f t="shared" si="25"/>
        <v>12.896666666666667</v>
      </c>
      <c r="AC189" s="23">
        <f t="shared" si="22"/>
        <v>654.38888888888891</v>
      </c>
      <c r="AD189" s="23">
        <f t="shared" si="23"/>
        <v>14.166666666666666</v>
      </c>
      <c r="AE189" s="23">
        <f>YEAR(Data!$C189)</f>
        <v>2021</v>
      </c>
      <c r="AF189" s="23"/>
      <c r="AG189" s="23">
        <v>12</v>
      </c>
      <c r="AH189" s="27">
        <f>Data!$F189/Data!$D189</f>
        <v>12.392857142857142</v>
      </c>
      <c r="AI189" s="17" t="str">
        <f>RIGHT(Data!$O189,2)</f>
        <v>PM</v>
      </c>
      <c r="AJ189" s="23" t="str">
        <f>Data!$R189&amp;"-"&amp;WEEKNUM(Data!$C189,1)-WEEKNUM(DATE(YEAR(Data!$C189),MONTH(Data!$C189),1),1)+1</f>
        <v>8-2021-2</v>
      </c>
      <c r="AK189" s="23">
        <f>MONTH(Data!$C189)</f>
        <v>8</v>
      </c>
      <c r="AL189" s="23">
        <f>IFERROR(Data!$F189/Data!$E189,0)</f>
        <v>33.047619047619051</v>
      </c>
      <c r="AM189" s="23">
        <f>COUNTIF(Data!$N$2:$N$825,Data!$N189)</f>
        <v>218</v>
      </c>
      <c r="AN189" s="23" t="str">
        <f>VLOOKUP(Data!$N189,'Helpful Tables'!A:D,4,FALSE)</f>
        <v>Washington, DC</v>
      </c>
      <c r="AO189" s="23">
        <f>COUNTIF(AN:AN,Data!$AN189)/COUNTA(AN:AN)</f>
        <v>0.62424242424242427</v>
      </c>
      <c r="AP189" s="23">
        <v>38.934710000000003</v>
      </c>
      <c r="AQ189" s="23">
        <v>-77.058222999999998</v>
      </c>
      <c r="AR189" s="23">
        <f>COUNTIF(Data!$P$2:$P$825,Data!$P189)</f>
        <v>71</v>
      </c>
      <c r="AS189" s="23" cm="1">
        <f t="array" ref="AS189">_xlfn.IFS(Data!$E189&lt;12,((Data!$E189/Data!$D189)*60)*1,AND(Data!$E189&gt;=12,Data!$E189&lt;=15),((Data!$E189/Data!$D189)*60)*1.2,AND(Data!$E189&gt;=16,Data!$E189&lt;=19),((Data!$E189/Data!$D189)*60)*1.5,Data!$E189&gt;=20,((Data!$E189/Data!$D189)*60)*1.8)</f>
        <v>40.5</v>
      </c>
      <c r="AT189" s="23" cm="1">
        <f t="array" ref="AT189">_xlfn.IFS(Data!$F189&lt;600,((Data!$F189/Data!$D189)*60)*1,AND(Data!$F189&gt;=600,Data!$F189&lt;=625),((Data!$F189/Data!$D189)*60)*1.2,AND(Data!$F189&gt;=626,Data!$F189&lt;=650),((Data!$F189/Data!$D189)*60)*1.5,Data!$F189&gt;=651,((Data!$F189/Data!$D189)*60)*1.8)</f>
        <v>1338.4285714285713</v>
      </c>
      <c r="AU189" s="23">
        <f>(Data!$I189*-1.2)+(Data!$J189*-1.1)+(Data!$K189*1.2)+(Data!$L189*1.3)+(Data!$M189*1.5)</f>
        <v>30.4</v>
      </c>
      <c r="AV189" s="23">
        <f>(Data!$AS189*0.4)+(Data!$AT189*0.4)+(Data!$AU189*0.2)</f>
        <v>557.6514285714286</v>
      </c>
      <c r="AW189" s="23">
        <f>PERCENTRANK(AV:AV,Data!$AV189)*100</f>
        <v>98.2</v>
      </c>
      <c r="AX189" s="23" t="str">
        <f>_xlfn.CONCAT(TEXT(C189,"mmm"),"-",Data!$AE189)</f>
        <v>Aug-2021</v>
      </c>
    </row>
    <row r="190" spans="1:50" ht="17" thickTop="1" thickBot="1" x14ac:dyDescent="0.25">
      <c r="A190" s="28">
        <v>189</v>
      </c>
      <c r="B190" s="29">
        <f t="shared" si="18"/>
        <v>18</v>
      </c>
      <c r="C190" s="41">
        <v>44421</v>
      </c>
      <c r="D190" s="30">
        <f>SUM(Data!$I190:$M190)</f>
        <v>61</v>
      </c>
      <c r="E190" s="29">
        <v>13</v>
      </c>
      <c r="F190" s="29">
        <v>713</v>
      </c>
      <c r="G190" s="29">
        <v>130</v>
      </c>
      <c r="H190" s="29">
        <v>166</v>
      </c>
      <c r="I190" s="29">
        <v>7</v>
      </c>
      <c r="J190" s="29">
        <v>16</v>
      </c>
      <c r="K190" s="29">
        <v>25</v>
      </c>
      <c r="L190" s="29">
        <v>11</v>
      </c>
      <c r="M190" s="29">
        <v>2</v>
      </c>
      <c r="N190" s="29" t="s">
        <v>101</v>
      </c>
      <c r="O190" s="29" t="s">
        <v>107</v>
      </c>
      <c r="P190" s="29" t="s">
        <v>102</v>
      </c>
      <c r="Q190" s="29">
        <f t="shared" si="24"/>
        <v>2</v>
      </c>
      <c r="R190" s="29" t="str">
        <f t="shared" si="19"/>
        <v>8-2021</v>
      </c>
      <c r="S190" s="29" t="s">
        <v>104</v>
      </c>
      <c r="T190" s="29" t="str">
        <f t="shared" si="20"/>
        <v>Friday</v>
      </c>
      <c r="U190" s="29">
        <f t="shared" si="21"/>
        <v>1</v>
      </c>
      <c r="V190" s="31">
        <f>IFERROR(Data!$I190/Data!$D190,"")</f>
        <v>0.11475409836065574</v>
      </c>
      <c r="W190" s="31">
        <f>IFERROR(Data!$J190/Data!$D190,"")</f>
        <v>0.26229508196721313</v>
      </c>
      <c r="X190" s="31">
        <f>IFERROR(Data!$K190/Data!$D190,"")</f>
        <v>0.4098360655737705</v>
      </c>
      <c r="Y190" s="31">
        <f>IFERROR(Data!$L190/Data!$D190,"")</f>
        <v>0.18032786885245902</v>
      </c>
      <c r="Z190" s="31">
        <f>IFERROR(Data!$M190/Data!$D190,"")</f>
        <v>3.2786885245901641E-2</v>
      </c>
      <c r="AA190" s="32">
        <v>232.14</v>
      </c>
      <c r="AB190" s="32">
        <f t="shared" si="25"/>
        <v>12.896666666666667</v>
      </c>
      <c r="AC190" s="29">
        <f t="shared" si="22"/>
        <v>654.38888888888891</v>
      </c>
      <c r="AD190" s="29">
        <f t="shared" si="23"/>
        <v>14.166666666666666</v>
      </c>
      <c r="AE190" s="29">
        <f>YEAR(Data!$C190)</f>
        <v>2021</v>
      </c>
      <c r="AF190" s="29"/>
      <c r="AG190" s="29">
        <v>12</v>
      </c>
      <c r="AH190" s="33">
        <f>Data!$F190/Data!$D190</f>
        <v>11.688524590163935</v>
      </c>
      <c r="AI190" s="17" t="str">
        <f>RIGHT(Data!$O190,2)</f>
        <v>AM</v>
      </c>
      <c r="AJ190" s="29" t="str">
        <f>Data!$R190&amp;"-"&amp;WEEKNUM(Data!$C190,1)-WEEKNUM(DATE(YEAR(Data!$C190),MONTH(Data!$C190),1),1)+1</f>
        <v>8-2021-2</v>
      </c>
      <c r="AK190" s="29">
        <f>MONTH(Data!$C190)</f>
        <v>8</v>
      </c>
      <c r="AL190" s="29">
        <f>IFERROR(Data!$F190/Data!$E190,0)</f>
        <v>54.846153846153847</v>
      </c>
      <c r="AM190" s="29">
        <f>COUNTIF(Data!$N$2:$N$825,Data!$N190)</f>
        <v>191</v>
      </c>
      <c r="AN190" s="29" t="str">
        <f>VLOOKUP(Data!$N190,'Helpful Tables'!A:D,4,FALSE)</f>
        <v>Washington, DC</v>
      </c>
      <c r="AO190" s="29">
        <f>COUNTIF(AN:AN,Data!$AN190)/COUNTA(AN:AN)</f>
        <v>0.62424242424242427</v>
      </c>
      <c r="AP190" s="29">
        <v>38.949649000000001</v>
      </c>
      <c r="AQ190" s="29">
        <v>-77.080878999999996</v>
      </c>
      <c r="AR190" s="29">
        <f>COUNTIF(Data!$P$2:$P$825,Data!$P190)</f>
        <v>20</v>
      </c>
      <c r="AS190" s="29" cm="1">
        <f t="array" ref="AS190">_xlfn.IFS(Data!$E190&lt;12,((Data!$E190/Data!$D190)*60)*1,AND(Data!$E190&gt;=12,Data!$E190&lt;=15),((Data!$E190/Data!$D190)*60)*1.2,AND(Data!$E190&gt;=16,Data!$E190&lt;=19),((Data!$E190/Data!$D190)*60)*1.5,Data!$E190&gt;=20,((Data!$E190/Data!$D190)*60)*1.8)</f>
        <v>15.344262295081965</v>
      </c>
      <c r="AT190" s="29" cm="1">
        <f t="array" ref="AT190">_xlfn.IFS(Data!$F190&lt;600,((Data!$F190/Data!$D190)*60)*1,AND(Data!$F190&gt;=600,Data!$F190&lt;=625),((Data!$F190/Data!$D190)*60)*1.2,AND(Data!$F190&gt;=626,Data!$F190&lt;=650),((Data!$F190/Data!$D190)*60)*1.5,Data!$F190&gt;=651,((Data!$F190/Data!$D190)*60)*1.8)</f>
        <v>1262.360655737705</v>
      </c>
      <c r="AU190" s="29">
        <f>(Data!$I190*-1.2)+(Data!$J190*-1.1)+(Data!$K190*1.2)+(Data!$L190*1.3)+(Data!$M190*1.5)</f>
        <v>21.3</v>
      </c>
      <c r="AV190" s="29">
        <f>(Data!$AS190*0.4)+(Data!$AT190*0.4)+(Data!$AU190*0.2)</f>
        <v>515.3419672131148</v>
      </c>
      <c r="AW190" s="29">
        <f>PERCENTRANK(AV:AV,Data!$AV190)*100</f>
        <v>87.1</v>
      </c>
      <c r="AX190" s="29" t="str">
        <f>_xlfn.CONCAT(TEXT(C190,"mmm"),"-",Data!$AE190)</f>
        <v>Aug-2021</v>
      </c>
    </row>
    <row r="191" spans="1:50" ht="17" thickTop="1" thickBot="1" x14ac:dyDescent="0.25">
      <c r="A191" s="22">
        <v>190</v>
      </c>
      <c r="B191" s="23">
        <f t="shared" si="18"/>
        <v>18</v>
      </c>
      <c r="C191" s="41">
        <v>44423</v>
      </c>
      <c r="D191" s="24">
        <f>SUM(Data!$I191:$M191)</f>
        <v>59</v>
      </c>
      <c r="E191" s="23">
        <v>17</v>
      </c>
      <c r="F191" s="23">
        <v>653</v>
      </c>
      <c r="G191" s="23">
        <v>127</v>
      </c>
      <c r="H191" s="23">
        <v>161</v>
      </c>
      <c r="I191" s="23">
        <v>13</v>
      </c>
      <c r="J191" s="23">
        <v>17</v>
      </c>
      <c r="K191" s="23">
        <v>12</v>
      </c>
      <c r="L191" s="23">
        <v>17</v>
      </c>
      <c r="M191" s="23">
        <v>0</v>
      </c>
      <c r="N191" s="23" t="s">
        <v>101</v>
      </c>
      <c r="O191" s="23" t="s">
        <v>45</v>
      </c>
      <c r="P191" s="23" t="s">
        <v>118</v>
      </c>
      <c r="Q191" s="23">
        <f t="shared" si="24"/>
        <v>2</v>
      </c>
      <c r="R191" s="23" t="str">
        <f t="shared" si="19"/>
        <v>8-2021</v>
      </c>
      <c r="S191" s="23" t="s">
        <v>104</v>
      </c>
      <c r="T191" s="23" t="str">
        <f t="shared" si="20"/>
        <v>Sunday</v>
      </c>
      <c r="U191" s="23">
        <f t="shared" si="21"/>
        <v>1</v>
      </c>
      <c r="V191" s="25">
        <f>IFERROR(Data!$I191/Data!$D191,"")</f>
        <v>0.22033898305084745</v>
      </c>
      <c r="W191" s="25">
        <f>IFERROR(Data!$J191/Data!$D191,"")</f>
        <v>0.28813559322033899</v>
      </c>
      <c r="X191" s="25">
        <f>IFERROR(Data!$K191/Data!$D191,"")</f>
        <v>0.20338983050847459</v>
      </c>
      <c r="Y191" s="25">
        <f>IFERROR(Data!$L191/Data!$D191,"")</f>
        <v>0.28813559322033899</v>
      </c>
      <c r="Z191" s="25">
        <f>IFERROR(Data!$M191/Data!$D191,"")</f>
        <v>0</v>
      </c>
      <c r="AA191" s="26">
        <v>232.14</v>
      </c>
      <c r="AB191" s="26">
        <f t="shared" si="25"/>
        <v>12.896666666666667</v>
      </c>
      <c r="AC191" s="23">
        <f t="shared" si="22"/>
        <v>654.38888888888891</v>
      </c>
      <c r="AD191" s="23">
        <f t="shared" si="23"/>
        <v>14.166666666666666</v>
      </c>
      <c r="AE191" s="23">
        <f>YEAR(Data!$C191)</f>
        <v>2021</v>
      </c>
      <c r="AF191" s="23"/>
      <c r="AG191" s="23">
        <v>12</v>
      </c>
      <c r="AH191" s="27">
        <f>Data!$F191/Data!$D191</f>
        <v>11.067796610169491</v>
      </c>
      <c r="AI191" s="17" t="str">
        <f>RIGHT(Data!$O191,2)</f>
        <v>AM</v>
      </c>
      <c r="AJ191" s="23" t="str">
        <f>Data!$R191&amp;"-"&amp;WEEKNUM(Data!$C191,1)-WEEKNUM(DATE(YEAR(Data!$C191),MONTH(Data!$C191),1),1)+1</f>
        <v>8-2021-3</v>
      </c>
      <c r="AK191" s="23">
        <f>MONTH(Data!$C191)</f>
        <v>8</v>
      </c>
      <c r="AL191" s="23">
        <f>IFERROR(Data!$F191/Data!$E191,0)</f>
        <v>38.411764705882355</v>
      </c>
      <c r="AM191" s="23">
        <f>COUNTIF(Data!$N$2:$N$825,Data!$N191)</f>
        <v>191</v>
      </c>
      <c r="AN191" s="23" t="str">
        <f>VLOOKUP(Data!$N191,'Helpful Tables'!A:D,4,FALSE)</f>
        <v>Washington, DC</v>
      </c>
      <c r="AO191" s="23">
        <f>COUNTIF(AN:AN,Data!$AN191)/COUNTA(AN:AN)</f>
        <v>0.62424242424242427</v>
      </c>
      <c r="AP191" s="23">
        <v>38.949649000000001</v>
      </c>
      <c r="AQ191" s="23">
        <v>-77.080878999999996</v>
      </c>
      <c r="AR191" s="23">
        <f>COUNTIF(Data!$P$2:$P$825,Data!$P191)</f>
        <v>16</v>
      </c>
      <c r="AS191" s="23" cm="1">
        <f t="array" ref="AS191">_xlfn.IFS(Data!$E191&lt;12,((Data!$E191/Data!$D191)*60)*1,AND(Data!$E191&gt;=12,Data!$E191&lt;=15),((Data!$E191/Data!$D191)*60)*1.2,AND(Data!$E191&gt;=16,Data!$E191&lt;=19),((Data!$E191/Data!$D191)*60)*1.5,Data!$E191&gt;=20,((Data!$E191/Data!$D191)*60)*1.8)</f>
        <v>25.932203389830509</v>
      </c>
      <c r="AT191" s="23" cm="1">
        <f t="array" ref="AT191">_xlfn.IFS(Data!$F191&lt;600,((Data!$F191/Data!$D191)*60)*1,AND(Data!$F191&gt;=600,Data!$F191&lt;=625),((Data!$F191/Data!$D191)*60)*1.2,AND(Data!$F191&gt;=626,Data!$F191&lt;=650),((Data!$F191/Data!$D191)*60)*1.5,Data!$F191&gt;=651,((Data!$F191/Data!$D191)*60)*1.8)</f>
        <v>1195.3220338983051</v>
      </c>
      <c r="AU191" s="23">
        <f>(Data!$I191*-1.2)+(Data!$J191*-1.1)+(Data!$K191*1.2)+(Data!$L191*1.3)+(Data!$M191*1.5)</f>
        <v>2.1999999999999957</v>
      </c>
      <c r="AV191" s="23">
        <f>(Data!$AS191*0.4)+(Data!$AT191*0.4)+(Data!$AU191*0.2)</f>
        <v>488.94169491525423</v>
      </c>
      <c r="AW191" s="23">
        <f>PERCENTRANK(AV:AV,Data!$AV191)*100</f>
        <v>72.2</v>
      </c>
      <c r="AX191" s="23" t="str">
        <f>_xlfn.CONCAT(TEXT(C191,"mmm"),"-",Data!$AE191)</f>
        <v>Aug-2021</v>
      </c>
    </row>
    <row r="192" spans="1:50" ht="17" thickTop="1" thickBot="1" x14ac:dyDescent="0.25">
      <c r="A192" s="28">
        <v>191</v>
      </c>
      <c r="B192" s="29">
        <f t="shared" si="18"/>
        <v>18</v>
      </c>
      <c r="C192" s="41">
        <v>44426</v>
      </c>
      <c r="D192" s="30">
        <f>SUM(Data!$I192:$M192)</f>
        <v>56</v>
      </c>
      <c r="E192" s="29">
        <v>13</v>
      </c>
      <c r="F192" s="29">
        <v>623</v>
      </c>
      <c r="G192" s="29">
        <v>127</v>
      </c>
      <c r="H192" s="29">
        <v>166</v>
      </c>
      <c r="I192" s="29">
        <v>8</v>
      </c>
      <c r="J192" s="29">
        <v>16</v>
      </c>
      <c r="K192" s="29">
        <v>19</v>
      </c>
      <c r="L192" s="29">
        <v>11</v>
      </c>
      <c r="M192" s="29">
        <v>2</v>
      </c>
      <c r="N192" s="29" t="s">
        <v>91</v>
      </c>
      <c r="O192" s="29" t="s">
        <v>110</v>
      </c>
      <c r="P192" s="29" t="s">
        <v>100</v>
      </c>
      <c r="Q192" s="29">
        <f t="shared" si="24"/>
        <v>3</v>
      </c>
      <c r="R192" s="29" t="str">
        <f t="shared" si="19"/>
        <v>8-2021</v>
      </c>
      <c r="S192" s="29" t="s">
        <v>117</v>
      </c>
      <c r="T192" s="29" t="str">
        <f t="shared" si="20"/>
        <v>Wednesday</v>
      </c>
      <c r="U192" s="29">
        <f t="shared" si="21"/>
        <v>1</v>
      </c>
      <c r="V192" s="31">
        <f>IFERROR(Data!$I192/Data!$D192,"")</f>
        <v>0.14285714285714285</v>
      </c>
      <c r="W192" s="31">
        <f>IFERROR(Data!$J192/Data!$D192,"")</f>
        <v>0.2857142857142857</v>
      </c>
      <c r="X192" s="31">
        <f>IFERROR(Data!$K192/Data!$D192,"")</f>
        <v>0.3392857142857143</v>
      </c>
      <c r="Y192" s="31">
        <f>IFERROR(Data!$L192/Data!$D192,"")</f>
        <v>0.19642857142857142</v>
      </c>
      <c r="Z192" s="31">
        <f>IFERROR(Data!$M192/Data!$D192,"")</f>
        <v>3.5714285714285712E-2</v>
      </c>
      <c r="AA192" s="32">
        <v>232.14</v>
      </c>
      <c r="AB192" s="32">
        <f t="shared" si="25"/>
        <v>12.896666666666667</v>
      </c>
      <c r="AC192" s="29">
        <f t="shared" si="22"/>
        <v>654.38888888888891</v>
      </c>
      <c r="AD192" s="29">
        <f t="shared" si="23"/>
        <v>14.166666666666666</v>
      </c>
      <c r="AE192" s="29">
        <f>YEAR(Data!$C192)</f>
        <v>2021</v>
      </c>
      <c r="AF192" s="29"/>
      <c r="AG192" s="29">
        <v>12</v>
      </c>
      <c r="AH192" s="33">
        <f>Data!$F192/Data!$D192</f>
        <v>11.125</v>
      </c>
      <c r="AI192" s="17" t="str">
        <f>RIGHT(Data!$O192,2)</f>
        <v>AM</v>
      </c>
      <c r="AJ192" s="29" t="str">
        <f>Data!$R192&amp;"-"&amp;WEEKNUM(Data!$C192,1)-WEEKNUM(DATE(YEAR(Data!$C192),MONTH(Data!$C192),1),1)+1</f>
        <v>8-2021-3</v>
      </c>
      <c r="AK192" s="29">
        <f>MONTH(Data!$C192)</f>
        <v>8</v>
      </c>
      <c r="AL192" s="29">
        <f>IFERROR(Data!$F192/Data!$E192,0)</f>
        <v>47.92307692307692</v>
      </c>
      <c r="AM192" s="29">
        <f>COUNTIF(Data!$N$2:$N$825,Data!$N192)</f>
        <v>218</v>
      </c>
      <c r="AN192" s="29" t="str">
        <f>VLOOKUP(Data!$N192,'Helpful Tables'!A:D,4,FALSE)</f>
        <v>Washington, DC</v>
      </c>
      <c r="AO192" s="29">
        <f>COUNTIF(AN:AN,Data!$AN192)/COUNTA(AN:AN)</f>
        <v>0.62424242424242427</v>
      </c>
      <c r="AP192" s="29">
        <v>38.934710000000003</v>
      </c>
      <c r="AQ192" s="29">
        <v>-77.058222999999998</v>
      </c>
      <c r="AR192" s="29">
        <f>COUNTIF(Data!$P$2:$P$825,Data!$P192)</f>
        <v>35</v>
      </c>
      <c r="AS192" s="29" cm="1">
        <f t="array" ref="AS192">_xlfn.IFS(Data!$E192&lt;12,((Data!$E192/Data!$D192)*60)*1,AND(Data!$E192&gt;=12,Data!$E192&lt;=15),((Data!$E192/Data!$D192)*60)*1.2,AND(Data!$E192&gt;=16,Data!$E192&lt;=19),((Data!$E192/Data!$D192)*60)*1.5,Data!$E192&gt;=20,((Data!$E192/Data!$D192)*60)*1.8)</f>
        <v>16.714285714285715</v>
      </c>
      <c r="AT192" s="29" cm="1">
        <f t="array" ref="AT192">_xlfn.IFS(Data!$F192&lt;600,((Data!$F192/Data!$D192)*60)*1,AND(Data!$F192&gt;=600,Data!$F192&lt;=625),((Data!$F192/Data!$D192)*60)*1.2,AND(Data!$F192&gt;=626,Data!$F192&lt;=650),((Data!$F192/Data!$D192)*60)*1.5,Data!$F192&gt;=651,((Data!$F192/Data!$D192)*60)*1.8)</f>
        <v>801</v>
      </c>
      <c r="AU192" s="29">
        <f>(Data!$I192*-1.2)+(Data!$J192*-1.1)+(Data!$K192*1.2)+(Data!$L192*1.3)+(Data!$M192*1.5)</f>
        <v>12.899999999999999</v>
      </c>
      <c r="AV192" s="29">
        <f>(Data!$AS192*0.4)+(Data!$AT192*0.4)+(Data!$AU192*0.2)</f>
        <v>329.66571428571433</v>
      </c>
      <c r="AW192" s="29">
        <f>PERCENTRANK(AV:AV,Data!$AV192)*100</f>
        <v>40.9</v>
      </c>
      <c r="AX192" s="29" t="str">
        <f>_xlfn.CONCAT(TEXT(C192,"mmm"),"-",Data!$AE192)</f>
        <v>Aug-2021</v>
      </c>
    </row>
    <row r="193" spans="1:50" ht="17" thickTop="1" thickBot="1" x14ac:dyDescent="0.25">
      <c r="A193" s="22">
        <v>192</v>
      </c>
      <c r="B193" s="23">
        <f t="shared" si="18"/>
        <v>18</v>
      </c>
      <c r="C193" s="41">
        <v>44427</v>
      </c>
      <c r="D193" s="24">
        <f>SUM(Data!$I193:$M193)</f>
        <v>56</v>
      </c>
      <c r="E193" s="23">
        <v>15</v>
      </c>
      <c r="F193" s="23">
        <v>650</v>
      </c>
      <c r="G193" s="23">
        <v>132</v>
      </c>
      <c r="H193" s="23">
        <v>173</v>
      </c>
      <c r="I193" s="23">
        <v>7</v>
      </c>
      <c r="J193" s="23">
        <v>12</v>
      </c>
      <c r="K193" s="23">
        <v>22</v>
      </c>
      <c r="L193" s="23">
        <v>13</v>
      </c>
      <c r="M193" s="23">
        <v>2</v>
      </c>
      <c r="N193" s="23" t="s">
        <v>30</v>
      </c>
      <c r="O193" s="23" t="s">
        <v>39</v>
      </c>
      <c r="P193" s="23" t="s">
        <v>124</v>
      </c>
      <c r="Q193" s="23">
        <f t="shared" si="24"/>
        <v>1</v>
      </c>
      <c r="R193" s="23" t="str">
        <f t="shared" si="19"/>
        <v>8-2021</v>
      </c>
      <c r="S193" s="23" t="s">
        <v>117</v>
      </c>
      <c r="T193" s="23" t="str">
        <f t="shared" si="20"/>
        <v>Thursday</v>
      </c>
      <c r="U193" s="23">
        <f t="shared" si="21"/>
        <v>1</v>
      </c>
      <c r="V193" s="25">
        <f>IFERROR(Data!$I193/Data!$D193,"")</f>
        <v>0.125</v>
      </c>
      <c r="W193" s="25">
        <f>IFERROR(Data!$J193/Data!$D193,"")</f>
        <v>0.21428571428571427</v>
      </c>
      <c r="X193" s="25">
        <f>IFERROR(Data!$K193/Data!$D193,"")</f>
        <v>0.39285714285714285</v>
      </c>
      <c r="Y193" s="25">
        <f>IFERROR(Data!$L193/Data!$D193,"")</f>
        <v>0.23214285714285715</v>
      </c>
      <c r="Z193" s="25">
        <f>IFERROR(Data!$M193/Data!$D193,"")</f>
        <v>3.5714285714285712E-2</v>
      </c>
      <c r="AA193" s="26">
        <v>237.14</v>
      </c>
      <c r="AB193" s="26">
        <f t="shared" si="25"/>
        <v>13.174444444444443</v>
      </c>
      <c r="AC193" s="23">
        <f t="shared" si="22"/>
        <v>654.38888888888891</v>
      </c>
      <c r="AD193" s="23">
        <f t="shared" si="23"/>
        <v>14.166666666666666</v>
      </c>
      <c r="AE193" s="23">
        <f>YEAR(Data!$C193)</f>
        <v>2021</v>
      </c>
      <c r="AF193" s="23">
        <v>5</v>
      </c>
      <c r="AG193" s="23">
        <v>12</v>
      </c>
      <c r="AH193" s="27">
        <f>Data!$F193/Data!$D193</f>
        <v>11.607142857142858</v>
      </c>
      <c r="AI193" s="17" t="str">
        <f>RIGHT(Data!$O193,2)</f>
        <v>PM</v>
      </c>
      <c r="AJ193" s="23" t="str">
        <f>Data!$R193&amp;"-"&amp;WEEKNUM(Data!$C193,1)-WEEKNUM(DATE(YEAR(Data!$C193),MONTH(Data!$C193),1),1)+1</f>
        <v>8-2021-3</v>
      </c>
      <c r="AK193" s="23">
        <f>MONTH(Data!$C193)</f>
        <v>8</v>
      </c>
      <c r="AL193" s="23">
        <f>IFERROR(Data!$F193/Data!$E193,0)</f>
        <v>43.333333333333336</v>
      </c>
      <c r="AM193" s="23">
        <f>COUNTIF(Data!$N$2:$N$825,Data!$N193)</f>
        <v>9</v>
      </c>
      <c r="AN193" s="23" t="str">
        <f>VLOOKUP(Data!$N193,'Helpful Tables'!A:D,4,FALSE)</f>
        <v>Virginia</v>
      </c>
      <c r="AO193" s="23">
        <f>COUNTIF(AN:AN,Data!$AN193)/COUNTA(AN:AN)</f>
        <v>6.424242424242424E-2</v>
      </c>
      <c r="AP193" s="23">
        <v>38.894024999999999</v>
      </c>
      <c r="AQ193" s="23">
        <v>-77.078213000000005</v>
      </c>
      <c r="AR193" s="23">
        <f>COUNTIF(Data!$P$2:$P$825,Data!$P193)</f>
        <v>2</v>
      </c>
      <c r="AS193" s="23" cm="1">
        <f t="array" ref="AS193">_xlfn.IFS(Data!$E193&lt;12,((Data!$E193/Data!$D193)*60)*1,AND(Data!$E193&gt;=12,Data!$E193&lt;=15),((Data!$E193/Data!$D193)*60)*1.2,AND(Data!$E193&gt;=16,Data!$E193&lt;=19),((Data!$E193/Data!$D193)*60)*1.5,Data!$E193&gt;=20,((Data!$E193/Data!$D193)*60)*1.8)</f>
        <v>19.285714285714281</v>
      </c>
      <c r="AT193" s="23" cm="1">
        <f t="array" ref="AT193">_xlfn.IFS(Data!$F193&lt;600,((Data!$F193/Data!$D193)*60)*1,AND(Data!$F193&gt;=600,Data!$F193&lt;=625),((Data!$F193/Data!$D193)*60)*1.2,AND(Data!$F193&gt;=626,Data!$F193&lt;=650),((Data!$F193/Data!$D193)*60)*1.5,Data!$F193&gt;=651,((Data!$F193/Data!$D193)*60)*1.8)</f>
        <v>1044.6428571428571</v>
      </c>
      <c r="AU193" s="23">
        <f>(Data!$I193*-1.2)+(Data!$J193*-1.1)+(Data!$K193*1.2)+(Data!$L193*1.3)+(Data!$M193*1.5)</f>
        <v>24.7</v>
      </c>
      <c r="AV193" s="23">
        <f>(Data!$AS193*0.4)+(Data!$AT193*0.4)+(Data!$AU193*0.2)</f>
        <v>430.51142857142861</v>
      </c>
      <c r="AW193" s="23">
        <f>PERCENTRANK(AV:AV,Data!$AV193)*100</f>
        <v>64.600000000000009</v>
      </c>
      <c r="AX193" s="23" t="str">
        <f>_xlfn.CONCAT(TEXT(C193,"mmm"),"-",Data!$AE193)</f>
        <v>Aug-2021</v>
      </c>
    </row>
    <row r="194" spans="1:50" ht="17" thickTop="1" thickBot="1" x14ac:dyDescent="0.25">
      <c r="A194" s="28">
        <v>193</v>
      </c>
      <c r="B194" s="29">
        <f t="shared" ref="B194:B257" si="26">COUNTIF(R:R,R194)</f>
        <v>18</v>
      </c>
      <c r="C194" s="41">
        <v>44428</v>
      </c>
      <c r="D194" s="30">
        <f>SUM(Data!$I194:$M194)</f>
        <v>60</v>
      </c>
      <c r="E194" s="29">
        <v>13</v>
      </c>
      <c r="F194" s="29">
        <v>622</v>
      </c>
      <c r="G194" s="29">
        <v>122</v>
      </c>
      <c r="H194" s="29">
        <v>167</v>
      </c>
      <c r="I194" s="29">
        <v>16</v>
      </c>
      <c r="J194" s="29">
        <v>16</v>
      </c>
      <c r="K194" s="29">
        <v>15</v>
      </c>
      <c r="L194" s="29">
        <v>11</v>
      </c>
      <c r="M194" s="29">
        <v>2</v>
      </c>
      <c r="N194" s="29" t="s">
        <v>91</v>
      </c>
      <c r="O194" s="29" t="s">
        <v>39</v>
      </c>
      <c r="P194" s="29" t="s">
        <v>94</v>
      </c>
      <c r="Q194" s="29">
        <f t="shared" si="24"/>
        <v>1</v>
      </c>
      <c r="R194" s="29" t="str">
        <f t="shared" ref="R194:R257" si="27">MONTH(C194)&amp;"-"&amp;YEAR(C194)</f>
        <v>8-2021</v>
      </c>
      <c r="S194" s="29" t="s">
        <v>117</v>
      </c>
      <c r="T194" s="29" t="str">
        <f t="shared" ref="T194:T257" si="28">IF(WEEKDAY(C194)=1,"Sunday",IF(WEEKDAY(C194)=2,"Monday",IF(WEEKDAY(C194)=3,"Tuesday",IF(WEEKDAY(C194)=4,"Wednesday",IF(WEEKDAY(C194)=5,"Thursday",IF(WEEKDAY(C194)=6,"Friday","Saturday"))))))</f>
        <v>Friday</v>
      </c>
      <c r="U194" s="29">
        <f t="shared" ref="U194:U257" si="29">IF(E194&gt;=12,1,0)</f>
        <v>1</v>
      </c>
      <c r="V194" s="31">
        <f>IFERROR(Data!$I194/Data!$D194,"")</f>
        <v>0.26666666666666666</v>
      </c>
      <c r="W194" s="31">
        <f>IFERROR(Data!$J194/Data!$D194,"")</f>
        <v>0.26666666666666666</v>
      </c>
      <c r="X194" s="31">
        <f>IFERROR(Data!$K194/Data!$D194,"")</f>
        <v>0.25</v>
      </c>
      <c r="Y194" s="31">
        <f>IFERROR(Data!$L194/Data!$D194,"")</f>
        <v>0.18333333333333332</v>
      </c>
      <c r="Z194" s="31">
        <f>IFERROR(Data!$M194/Data!$D194,"")</f>
        <v>3.3333333333333333E-2</v>
      </c>
      <c r="AA194" s="32">
        <v>232.14</v>
      </c>
      <c r="AB194" s="32">
        <f t="shared" si="25"/>
        <v>12.896666666666667</v>
      </c>
      <c r="AC194" s="29">
        <f t="shared" ref="AC194:AC257" si="30">AVERAGEIF(R:R,R194,F:F)</f>
        <v>654.38888888888891</v>
      </c>
      <c r="AD194" s="29">
        <f t="shared" ref="AD194:AD257" si="31">AVERAGEIF(R:R,R194,E:E)</f>
        <v>14.166666666666666</v>
      </c>
      <c r="AE194" s="29">
        <f>YEAR(Data!$C194)</f>
        <v>2021</v>
      </c>
      <c r="AF194" s="29"/>
      <c r="AG194" s="29">
        <v>12</v>
      </c>
      <c r="AH194" s="33">
        <f>Data!$F194/Data!$D194</f>
        <v>10.366666666666667</v>
      </c>
      <c r="AI194" s="17" t="str">
        <f>RIGHT(Data!$O194,2)</f>
        <v>PM</v>
      </c>
      <c r="AJ194" s="29" t="str">
        <f>Data!$R194&amp;"-"&amp;WEEKNUM(Data!$C194,1)-WEEKNUM(DATE(YEAR(Data!$C194),MONTH(Data!$C194),1),1)+1</f>
        <v>8-2021-3</v>
      </c>
      <c r="AK194" s="29">
        <f>MONTH(Data!$C194)</f>
        <v>8</v>
      </c>
      <c r="AL194" s="29">
        <f>IFERROR(Data!$F194/Data!$E194,0)</f>
        <v>47.846153846153847</v>
      </c>
      <c r="AM194" s="29">
        <f>COUNTIF(Data!$N$2:$N$825,Data!$N194)</f>
        <v>218</v>
      </c>
      <c r="AN194" s="29" t="str">
        <f>VLOOKUP(Data!$N194,'Helpful Tables'!A:D,4,FALSE)</f>
        <v>Washington, DC</v>
      </c>
      <c r="AO194" s="29">
        <f>COUNTIF(AN:AN,Data!$AN194)/COUNTA(AN:AN)</f>
        <v>0.62424242424242427</v>
      </c>
      <c r="AP194" s="29">
        <v>38.934710000000003</v>
      </c>
      <c r="AQ194" s="29">
        <v>-77.058222999999998</v>
      </c>
      <c r="AR194" s="29">
        <f>COUNTIF(Data!$P$2:$P$825,Data!$P194)</f>
        <v>15</v>
      </c>
      <c r="AS194" s="29" cm="1">
        <f t="array" ref="AS194">_xlfn.IFS(Data!$E194&lt;12,((Data!$E194/Data!$D194)*60)*1,AND(Data!$E194&gt;=12,Data!$E194&lt;=15),((Data!$E194/Data!$D194)*60)*1.2,AND(Data!$E194&gt;=16,Data!$E194&lt;=19),((Data!$E194/Data!$D194)*60)*1.5,Data!$E194&gt;=20,((Data!$E194/Data!$D194)*60)*1.8)</f>
        <v>15.6</v>
      </c>
      <c r="AT194" s="29" cm="1">
        <f t="array" ref="AT194">_xlfn.IFS(Data!$F194&lt;600,((Data!$F194/Data!$D194)*60)*1,AND(Data!$F194&gt;=600,Data!$F194&lt;=625),((Data!$F194/Data!$D194)*60)*1.2,AND(Data!$F194&gt;=626,Data!$F194&lt;=650),((Data!$F194/Data!$D194)*60)*1.5,Data!$F194&gt;=651,((Data!$F194/Data!$D194)*60)*1.8)</f>
        <v>746.4</v>
      </c>
      <c r="AU194" s="29">
        <f>(Data!$I194*-1.2)+(Data!$J194*-1.1)+(Data!$K194*1.2)+(Data!$L194*1.3)+(Data!$M194*1.5)</f>
        <v>-1.4999999999999964</v>
      </c>
      <c r="AV194" s="29">
        <f>(Data!$AS194*0.4)+(Data!$AT194*0.4)+(Data!$AU194*0.2)</f>
        <v>304.5</v>
      </c>
      <c r="AW194" s="29">
        <f>PERCENTRANK(AV:AV,Data!$AV194)*100</f>
        <v>28.299999999999997</v>
      </c>
      <c r="AX194" s="29" t="str">
        <f>_xlfn.CONCAT(TEXT(C194,"mmm"),"-",Data!$AE194)</f>
        <v>Aug-2021</v>
      </c>
    </row>
    <row r="195" spans="1:50" ht="17" thickTop="1" thickBot="1" x14ac:dyDescent="0.25">
      <c r="A195" s="22">
        <v>194</v>
      </c>
      <c r="B195" s="23">
        <f t="shared" si="26"/>
        <v>18</v>
      </c>
      <c r="C195" s="41">
        <v>44430</v>
      </c>
      <c r="D195" s="24">
        <f>SUM(Data!$I195:$M195)</f>
        <v>66</v>
      </c>
      <c r="E195" s="23">
        <v>12</v>
      </c>
      <c r="F195" s="23">
        <v>714</v>
      </c>
      <c r="G195" s="23">
        <v>125</v>
      </c>
      <c r="H195" s="23">
        <v>161</v>
      </c>
      <c r="I195" s="23">
        <v>13</v>
      </c>
      <c r="J195" s="23">
        <v>20</v>
      </c>
      <c r="K195" s="23">
        <v>21</v>
      </c>
      <c r="L195" s="23">
        <v>12</v>
      </c>
      <c r="M195" s="23">
        <v>0</v>
      </c>
      <c r="N195" s="23" t="s">
        <v>101</v>
      </c>
      <c r="O195" s="23" t="s">
        <v>45</v>
      </c>
      <c r="P195" s="23" t="s">
        <v>102</v>
      </c>
      <c r="Q195" s="23">
        <f t="shared" ref="Q195:Q258" si="32">C195-C194</f>
        <v>2</v>
      </c>
      <c r="R195" s="23" t="str">
        <f t="shared" si="27"/>
        <v>8-2021</v>
      </c>
      <c r="S195" s="23" t="s">
        <v>104</v>
      </c>
      <c r="T195" s="23" t="str">
        <f t="shared" si="28"/>
        <v>Sunday</v>
      </c>
      <c r="U195" s="23">
        <f t="shared" si="29"/>
        <v>1</v>
      </c>
      <c r="V195" s="25">
        <f>IFERROR(Data!$I195/Data!$D195,"")</f>
        <v>0.19696969696969696</v>
      </c>
      <c r="W195" s="25">
        <f>IFERROR(Data!$J195/Data!$D195,"")</f>
        <v>0.30303030303030304</v>
      </c>
      <c r="X195" s="25">
        <f>IFERROR(Data!$K195/Data!$D195,"")</f>
        <v>0.31818181818181818</v>
      </c>
      <c r="Y195" s="25">
        <f>IFERROR(Data!$L195/Data!$D195,"")</f>
        <v>0.18181818181818182</v>
      </c>
      <c r="Z195" s="25">
        <f>IFERROR(Data!$M195/Data!$D195,"")</f>
        <v>0</v>
      </c>
      <c r="AA195" s="26">
        <v>232.14</v>
      </c>
      <c r="AB195" s="26">
        <f t="shared" si="25"/>
        <v>12.896666666666667</v>
      </c>
      <c r="AC195" s="23">
        <f t="shared" si="30"/>
        <v>654.38888888888891</v>
      </c>
      <c r="AD195" s="23">
        <f t="shared" si="31"/>
        <v>14.166666666666666</v>
      </c>
      <c r="AE195" s="23">
        <f>YEAR(Data!$C195)</f>
        <v>2021</v>
      </c>
      <c r="AF195" s="23"/>
      <c r="AG195" s="23">
        <v>12</v>
      </c>
      <c r="AH195" s="27">
        <f>Data!$F195/Data!$D195</f>
        <v>10.818181818181818</v>
      </c>
      <c r="AI195" s="17" t="str">
        <f>RIGHT(Data!$O195,2)</f>
        <v>AM</v>
      </c>
      <c r="AJ195" s="23" t="str">
        <f>Data!$R195&amp;"-"&amp;WEEKNUM(Data!$C195,1)-WEEKNUM(DATE(YEAR(Data!$C195),MONTH(Data!$C195),1),1)+1</f>
        <v>8-2021-4</v>
      </c>
      <c r="AK195" s="23">
        <f>MONTH(Data!$C195)</f>
        <v>8</v>
      </c>
      <c r="AL195" s="23">
        <f>IFERROR(Data!$F195/Data!$E195,0)</f>
        <v>59.5</v>
      </c>
      <c r="AM195" s="23">
        <f>COUNTIF(Data!$N$2:$N$825,Data!$N195)</f>
        <v>191</v>
      </c>
      <c r="AN195" s="23" t="str">
        <f>VLOOKUP(Data!$N195,'Helpful Tables'!A:D,4,FALSE)</f>
        <v>Washington, DC</v>
      </c>
      <c r="AO195" s="23">
        <f>COUNTIF(AN:AN,Data!$AN195)/COUNTA(AN:AN)</f>
        <v>0.62424242424242427</v>
      </c>
      <c r="AP195" s="23">
        <v>38.949649000000001</v>
      </c>
      <c r="AQ195" s="23">
        <v>-77.080878999999996</v>
      </c>
      <c r="AR195" s="23">
        <f>COUNTIF(Data!$P$2:$P$825,Data!$P195)</f>
        <v>20</v>
      </c>
      <c r="AS195" s="23" cm="1">
        <f t="array" ref="AS195">_xlfn.IFS(Data!$E195&lt;12,((Data!$E195/Data!$D195)*60)*1,AND(Data!$E195&gt;=12,Data!$E195&lt;=15),((Data!$E195/Data!$D195)*60)*1.2,AND(Data!$E195&gt;=16,Data!$E195&lt;=19),((Data!$E195/Data!$D195)*60)*1.5,Data!$E195&gt;=20,((Data!$E195/Data!$D195)*60)*1.8)</f>
        <v>13.090909090909092</v>
      </c>
      <c r="AT195" s="23" cm="1">
        <f t="array" ref="AT195">_xlfn.IFS(Data!$F195&lt;600,((Data!$F195/Data!$D195)*60)*1,AND(Data!$F195&gt;=600,Data!$F195&lt;=625),((Data!$F195/Data!$D195)*60)*1.2,AND(Data!$F195&gt;=626,Data!$F195&lt;=650),((Data!$F195/Data!$D195)*60)*1.5,Data!$F195&gt;=651,((Data!$F195/Data!$D195)*60)*1.8)</f>
        <v>1168.3636363636365</v>
      </c>
      <c r="AU195" s="23">
        <f>(Data!$I195*-1.2)+(Data!$J195*-1.1)+(Data!$K195*1.2)+(Data!$L195*1.3)+(Data!$M195*1.5)</f>
        <v>3.1999999999999993</v>
      </c>
      <c r="AV195" s="23">
        <f>(Data!$AS195*0.4)+(Data!$AT195*0.4)+(Data!$AU195*0.2)</f>
        <v>473.22181818181826</v>
      </c>
      <c r="AW195" s="23">
        <f>PERCENTRANK(AV:AV,Data!$AV195)*100</f>
        <v>67.300000000000011</v>
      </c>
      <c r="AX195" s="23" t="str">
        <f>_xlfn.CONCAT(TEXT(C195,"mmm"),"-",Data!$AE195)</f>
        <v>Aug-2021</v>
      </c>
    </row>
    <row r="196" spans="1:50" ht="17" thickTop="1" thickBot="1" x14ac:dyDescent="0.25">
      <c r="A196" s="28">
        <v>195</v>
      </c>
      <c r="B196" s="29">
        <f t="shared" si="26"/>
        <v>18</v>
      </c>
      <c r="C196" s="41">
        <v>44431</v>
      </c>
      <c r="D196" s="30">
        <f>SUM(Data!$I196:$M196)</f>
        <v>57</v>
      </c>
      <c r="E196" s="29">
        <v>15</v>
      </c>
      <c r="F196" s="29">
        <v>676</v>
      </c>
      <c r="G196" s="29">
        <v>131</v>
      </c>
      <c r="H196" s="29">
        <v>167</v>
      </c>
      <c r="I196" s="29">
        <v>7</v>
      </c>
      <c r="J196" s="29">
        <v>14</v>
      </c>
      <c r="K196" s="29">
        <v>21</v>
      </c>
      <c r="L196" s="29">
        <v>14</v>
      </c>
      <c r="M196" s="29">
        <v>1</v>
      </c>
      <c r="N196" s="29" t="s">
        <v>91</v>
      </c>
      <c r="O196" s="29" t="s">
        <v>39</v>
      </c>
      <c r="P196" s="29" t="s">
        <v>94</v>
      </c>
      <c r="Q196" s="29">
        <f t="shared" si="32"/>
        <v>1</v>
      </c>
      <c r="R196" s="29" t="str">
        <f t="shared" si="27"/>
        <v>8-2021</v>
      </c>
      <c r="S196" s="29" t="s">
        <v>117</v>
      </c>
      <c r="T196" s="29" t="str">
        <f t="shared" si="28"/>
        <v>Monday</v>
      </c>
      <c r="U196" s="29">
        <f t="shared" si="29"/>
        <v>1</v>
      </c>
      <c r="V196" s="31">
        <f>IFERROR(Data!$I196/Data!$D196,"")</f>
        <v>0.12280701754385964</v>
      </c>
      <c r="W196" s="31">
        <f>IFERROR(Data!$J196/Data!$D196,"")</f>
        <v>0.24561403508771928</v>
      </c>
      <c r="X196" s="31">
        <f>IFERROR(Data!$K196/Data!$D196,"")</f>
        <v>0.36842105263157893</v>
      </c>
      <c r="Y196" s="31">
        <f>IFERROR(Data!$L196/Data!$D196,"")</f>
        <v>0.24561403508771928</v>
      </c>
      <c r="Z196" s="31">
        <f>IFERROR(Data!$M196/Data!$D196,"")</f>
        <v>1.7543859649122806E-2</v>
      </c>
      <c r="AA196" s="32">
        <v>232.14</v>
      </c>
      <c r="AB196" s="32">
        <f t="shared" si="25"/>
        <v>12.896666666666667</v>
      </c>
      <c r="AC196" s="29">
        <f t="shared" si="30"/>
        <v>654.38888888888891</v>
      </c>
      <c r="AD196" s="29">
        <f t="shared" si="31"/>
        <v>14.166666666666666</v>
      </c>
      <c r="AE196" s="29">
        <f>YEAR(Data!$C196)</f>
        <v>2021</v>
      </c>
      <c r="AF196" s="29"/>
      <c r="AG196" s="29">
        <v>12</v>
      </c>
      <c r="AH196" s="33">
        <f>Data!$F196/Data!$D196</f>
        <v>11.859649122807017</v>
      </c>
      <c r="AI196" s="17" t="str">
        <f>RIGHT(Data!$O196,2)</f>
        <v>PM</v>
      </c>
      <c r="AJ196" s="29" t="str">
        <f>Data!$R196&amp;"-"&amp;WEEKNUM(Data!$C196,1)-WEEKNUM(DATE(YEAR(Data!$C196),MONTH(Data!$C196),1),1)+1</f>
        <v>8-2021-4</v>
      </c>
      <c r="AK196" s="29">
        <f>MONTH(Data!$C196)</f>
        <v>8</v>
      </c>
      <c r="AL196" s="29">
        <f>IFERROR(Data!$F196/Data!$E196,0)</f>
        <v>45.06666666666667</v>
      </c>
      <c r="AM196" s="29">
        <f>COUNTIF(Data!$N$2:$N$825,Data!$N196)</f>
        <v>218</v>
      </c>
      <c r="AN196" s="29" t="str">
        <f>VLOOKUP(Data!$N196,'Helpful Tables'!A:D,4,FALSE)</f>
        <v>Washington, DC</v>
      </c>
      <c r="AO196" s="29">
        <f>COUNTIF(AN:AN,Data!$AN196)/COUNTA(AN:AN)</f>
        <v>0.62424242424242427</v>
      </c>
      <c r="AP196" s="29">
        <v>38.934710000000003</v>
      </c>
      <c r="AQ196" s="29">
        <v>-77.058222999999998</v>
      </c>
      <c r="AR196" s="29">
        <f>COUNTIF(Data!$P$2:$P$825,Data!$P196)</f>
        <v>15</v>
      </c>
      <c r="AS196" s="29" cm="1">
        <f t="array" ref="AS196">_xlfn.IFS(Data!$E196&lt;12,((Data!$E196/Data!$D196)*60)*1,AND(Data!$E196&gt;=12,Data!$E196&lt;=15),((Data!$E196/Data!$D196)*60)*1.2,AND(Data!$E196&gt;=16,Data!$E196&lt;=19),((Data!$E196/Data!$D196)*60)*1.5,Data!$E196&gt;=20,((Data!$E196/Data!$D196)*60)*1.8)</f>
        <v>18.94736842105263</v>
      </c>
      <c r="AT196" s="29" cm="1">
        <f t="array" ref="AT196">_xlfn.IFS(Data!$F196&lt;600,((Data!$F196/Data!$D196)*60)*1,AND(Data!$F196&gt;=600,Data!$F196&lt;=625),((Data!$F196/Data!$D196)*60)*1.2,AND(Data!$F196&gt;=626,Data!$F196&lt;=650),((Data!$F196/Data!$D196)*60)*1.5,Data!$F196&gt;=651,((Data!$F196/Data!$D196)*60)*1.8)</f>
        <v>1280.8421052631579</v>
      </c>
      <c r="AU196" s="29">
        <f>(Data!$I196*-1.2)+(Data!$J196*-1.1)+(Data!$K196*1.2)+(Data!$L196*1.3)+(Data!$M196*1.5)</f>
        <v>21.099999999999994</v>
      </c>
      <c r="AV196" s="29">
        <f>(Data!$AS196*0.4)+(Data!$AT196*0.4)+(Data!$AU196*0.2)</f>
        <v>524.13578947368421</v>
      </c>
      <c r="AW196" s="29">
        <f>PERCENTRANK(AV:AV,Data!$AV196)*100</f>
        <v>91.8</v>
      </c>
      <c r="AX196" s="29" t="str">
        <f>_xlfn.CONCAT(TEXT(C196,"mmm"),"-",Data!$AE196)</f>
        <v>Aug-2021</v>
      </c>
    </row>
    <row r="197" spans="1:50" ht="17" thickTop="1" thickBot="1" x14ac:dyDescent="0.25">
      <c r="A197" s="22">
        <v>196</v>
      </c>
      <c r="B197" s="23">
        <f t="shared" si="26"/>
        <v>18</v>
      </c>
      <c r="C197" s="41">
        <v>44433</v>
      </c>
      <c r="D197" s="24">
        <f>SUM(Data!$I197:$M197)</f>
        <v>58</v>
      </c>
      <c r="E197" s="23">
        <v>14</v>
      </c>
      <c r="F197" s="23">
        <v>699</v>
      </c>
      <c r="G197" s="23">
        <v>133</v>
      </c>
      <c r="H197" s="23">
        <v>170</v>
      </c>
      <c r="I197" s="23">
        <v>5</v>
      </c>
      <c r="J197" s="23">
        <v>10</v>
      </c>
      <c r="K197" s="23">
        <v>29</v>
      </c>
      <c r="L197" s="23">
        <v>12</v>
      </c>
      <c r="M197" s="23">
        <v>2</v>
      </c>
      <c r="N197" s="23" t="s">
        <v>91</v>
      </c>
      <c r="O197" s="23" t="s">
        <v>39</v>
      </c>
      <c r="P197" s="23" t="s">
        <v>96</v>
      </c>
      <c r="Q197" s="23">
        <f t="shared" si="32"/>
        <v>2</v>
      </c>
      <c r="R197" s="23" t="str">
        <f t="shared" si="27"/>
        <v>8-2021</v>
      </c>
      <c r="S197" s="23" t="s">
        <v>117</v>
      </c>
      <c r="T197" s="23" t="str">
        <f t="shared" si="28"/>
        <v>Wednesday</v>
      </c>
      <c r="U197" s="23">
        <f t="shared" si="29"/>
        <v>1</v>
      </c>
      <c r="V197" s="25">
        <f>IFERROR(Data!$I197/Data!$D197,"")</f>
        <v>8.6206896551724144E-2</v>
      </c>
      <c r="W197" s="25">
        <f>IFERROR(Data!$J197/Data!$D197,"")</f>
        <v>0.17241379310344829</v>
      </c>
      <c r="X197" s="25">
        <f>IFERROR(Data!$K197/Data!$D197,"")</f>
        <v>0.5</v>
      </c>
      <c r="Y197" s="25">
        <f>IFERROR(Data!$L197/Data!$D197,"")</f>
        <v>0.20689655172413793</v>
      </c>
      <c r="Z197" s="25">
        <f>IFERROR(Data!$M197/Data!$D197,"")</f>
        <v>3.4482758620689655E-2</v>
      </c>
      <c r="AA197" s="26">
        <v>232.14</v>
      </c>
      <c r="AB197" s="26">
        <f t="shared" si="25"/>
        <v>12.896666666666667</v>
      </c>
      <c r="AC197" s="23">
        <f t="shared" si="30"/>
        <v>654.38888888888891</v>
      </c>
      <c r="AD197" s="23">
        <f t="shared" si="31"/>
        <v>14.166666666666666</v>
      </c>
      <c r="AE197" s="23">
        <f>YEAR(Data!$C197)</f>
        <v>2021</v>
      </c>
      <c r="AF197" s="23"/>
      <c r="AG197" s="23">
        <v>12</v>
      </c>
      <c r="AH197" s="27">
        <f>Data!$F197/Data!$D197</f>
        <v>12.051724137931034</v>
      </c>
      <c r="AI197" s="17" t="str">
        <f>RIGHT(Data!$O197,2)</f>
        <v>PM</v>
      </c>
      <c r="AJ197" s="23" t="str">
        <f>Data!$R197&amp;"-"&amp;WEEKNUM(Data!$C197,1)-WEEKNUM(DATE(YEAR(Data!$C197),MONTH(Data!$C197),1),1)+1</f>
        <v>8-2021-4</v>
      </c>
      <c r="AK197" s="23">
        <f>MONTH(Data!$C197)</f>
        <v>8</v>
      </c>
      <c r="AL197" s="23">
        <f>IFERROR(Data!$F197/Data!$E197,0)</f>
        <v>49.928571428571431</v>
      </c>
      <c r="AM197" s="23">
        <f>COUNTIF(Data!$N$2:$N$825,Data!$N197)</f>
        <v>218</v>
      </c>
      <c r="AN197" s="23" t="str">
        <f>VLOOKUP(Data!$N197,'Helpful Tables'!A:D,4,FALSE)</f>
        <v>Washington, DC</v>
      </c>
      <c r="AO197" s="23">
        <f>COUNTIF(AN:AN,Data!$AN197)/COUNTA(AN:AN)</f>
        <v>0.62424242424242427</v>
      </c>
      <c r="AP197" s="23">
        <v>38.934710000000003</v>
      </c>
      <c r="AQ197" s="23">
        <v>-77.058222999999998</v>
      </c>
      <c r="AR197" s="23">
        <f>COUNTIF(Data!$P$2:$P$825,Data!$P197)</f>
        <v>71</v>
      </c>
      <c r="AS197" s="23" cm="1">
        <f t="array" ref="AS197">_xlfn.IFS(Data!$E197&lt;12,((Data!$E197/Data!$D197)*60)*1,AND(Data!$E197&gt;=12,Data!$E197&lt;=15),((Data!$E197/Data!$D197)*60)*1.2,AND(Data!$E197&gt;=16,Data!$E197&lt;=19),((Data!$E197/Data!$D197)*60)*1.5,Data!$E197&gt;=20,((Data!$E197/Data!$D197)*60)*1.8)</f>
        <v>17.379310344827587</v>
      </c>
      <c r="AT197" s="23" cm="1">
        <f t="array" ref="AT197">_xlfn.IFS(Data!$F197&lt;600,((Data!$F197/Data!$D197)*60)*1,AND(Data!$F197&gt;=600,Data!$F197&lt;=625),((Data!$F197/Data!$D197)*60)*1.2,AND(Data!$F197&gt;=626,Data!$F197&lt;=650),((Data!$F197/Data!$D197)*60)*1.5,Data!$F197&gt;=651,((Data!$F197/Data!$D197)*60)*1.8)</f>
        <v>1301.5862068965516</v>
      </c>
      <c r="AU197" s="23">
        <f>(Data!$I197*-1.2)+(Data!$J197*-1.1)+(Data!$K197*1.2)+(Data!$L197*1.3)+(Data!$M197*1.5)</f>
        <v>36.4</v>
      </c>
      <c r="AV197" s="23">
        <f>(Data!$AS197*0.4)+(Data!$AT197*0.4)+(Data!$AU197*0.2)</f>
        <v>534.86620689655172</v>
      </c>
      <c r="AW197" s="23">
        <f>PERCENTRANK(AV:AV,Data!$AV197)*100</f>
        <v>94.899999999999991</v>
      </c>
      <c r="AX197" s="23" t="str">
        <f>_xlfn.CONCAT(TEXT(C197,"mmm"),"-",Data!$AE197)</f>
        <v>Aug-2021</v>
      </c>
    </row>
    <row r="198" spans="1:50" ht="17" thickTop="1" thickBot="1" x14ac:dyDescent="0.25">
      <c r="A198" s="28">
        <v>197</v>
      </c>
      <c r="B198" s="29">
        <f t="shared" si="26"/>
        <v>18</v>
      </c>
      <c r="C198" s="41">
        <v>44434</v>
      </c>
      <c r="D198" s="30">
        <f>SUM(Data!$I198:$M198)</f>
        <v>57</v>
      </c>
      <c r="E198" s="29">
        <v>18</v>
      </c>
      <c r="F198" s="29">
        <v>629</v>
      </c>
      <c r="G198" s="29">
        <v>129</v>
      </c>
      <c r="H198" s="29">
        <v>165</v>
      </c>
      <c r="I198" s="29">
        <v>8</v>
      </c>
      <c r="J198" s="29">
        <v>18</v>
      </c>
      <c r="K198" s="29">
        <v>13</v>
      </c>
      <c r="L198" s="29">
        <v>15</v>
      </c>
      <c r="M198" s="29">
        <v>3</v>
      </c>
      <c r="N198" s="29" t="s">
        <v>91</v>
      </c>
      <c r="O198" s="29" t="s">
        <v>39</v>
      </c>
      <c r="P198" s="29" t="s">
        <v>108</v>
      </c>
      <c r="Q198" s="29">
        <f t="shared" si="32"/>
        <v>1</v>
      </c>
      <c r="R198" s="29" t="str">
        <f t="shared" si="27"/>
        <v>8-2021</v>
      </c>
      <c r="S198" s="29" t="s">
        <v>117</v>
      </c>
      <c r="T198" s="29" t="str">
        <f t="shared" si="28"/>
        <v>Thursday</v>
      </c>
      <c r="U198" s="29">
        <f t="shared" si="29"/>
        <v>1</v>
      </c>
      <c r="V198" s="31">
        <f>IFERROR(Data!$I198/Data!$D198,"")</f>
        <v>0.14035087719298245</v>
      </c>
      <c r="W198" s="31">
        <f>IFERROR(Data!$J198/Data!$D198,"")</f>
        <v>0.31578947368421051</v>
      </c>
      <c r="X198" s="31">
        <f>IFERROR(Data!$K198/Data!$D198,"")</f>
        <v>0.22807017543859648</v>
      </c>
      <c r="Y198" s="31">
        <f>IFERROR(Data!$L198/Data!$D198,"")</f>
        <v>0.26315789473684209</v>
      </c>
      <c r="Z198" s="31">
        <f>IFERROR(Data!$M198/Data!$D198,"")</f>
        <v>5.2631578947368418E-2</v>
      </c>
      <c r="AA198" s="32">
        <v>232.14</v>
      </c>
      <c r="AB198" s="32">
        <f t="shared" si="25"/>
        <v>12.896666666666667</v>
      </c>
      <c r="AC198" s="29">
        <f t="shared" si="30"/>
        <v>654.38888888888891</v>
      </c>
      <c r="AD198" s="29">
        <f t="shared" si="31"/>
        <v>14.166666666666666</v>
      </c>
      <c r="AE198" s="29">
        <f>YEAR(Data!$C198)</f>
        <v>2021</v>
      </c>
      <c r="AF198" s="29"/>
      <c r="AG198" s="29">
        <v>12</v>
      </c>
      <c r="AH198" s="33">
        <f>Data!$F198/Data!$D198</f>
        <v>11.035087719298245</v>
      </c>
      <c r="AI198" s="17" t="str">
        <f>RIGHT(Data!$O198,2)</f>
        <v>PM</v>
      </c>
      <c r="AJ198" s="29" t="str">
        <f>Data!$R198&amp;"-"&amp;WEEKNUM(Data!$C198,1)-WEEKNUM(DATE(YEAR(Data!$C198),MONTH(Data!$C198),1),1)+1</f>
        <v>8-2021-4</v>
      </c>
      <c r="AK198" s="29">
        <f>MONTH(Data!$C198)</f>
        <v>8</v>
      </c>
      <c r="AL198" s="29">
        <f>IFERROR(Data!$F198/Data!$E198,0)</f>
        <v>34.944444444444443</v>
      </c>
      <c r="AM198" s="29">
        <f>COUNTIF(Data!$N$2:$N$825,Data!$N198)</f>
        <v>218</v>
      </c>
      <c r="AN198" s="29" t="str">
        <f>VLOOKUP(Data!$N198,'Helpful Tables'!A:D,4,FALSE)</f>
        <v>Washington, DC</v>
      </c>
      <c r="AO198" s="29">
        <f>COUNTIF(AN:AN,Data!$AN198)/COUNTA(AN:AN)</f>
        <v>0.62424242424242427</v>
      </c>
      <c r="AP198" s="29">
        <v>38.934710000000003</v>
      </c>
      <c r="AQ198" s="29">
        <v>-77.058222999999998</v>
      </c>
      <c r="AR198" s="29">
        <f>COUNTIF(Data!$P$2:$P$825,Data!$P198)</f>
        <v>3</v>
      </c>
      <c r="AS198" s="29" cm="1">
        <f t="array" ref="AS198">_xlfn.IFS(Data!$E198&lt;12,((Data!$E198/Data!$D198)*60)*1,AND(Data!$E198&gt;=12,Data!$E198&lt;=15),((Data!$E198/Data!$D198)*60)*1.2,AND(Data!$E198&gt;=16,Data!$E198&lt;=19),((Data!$E198/Data!$D198)*60)*1.5,Data!$E198&gt;=20,((Data!$E198/Data!$D198)*60)*1.8)</f>
        <v>28.421052631578945</v>
      </c>
      <c r="AT198" s="29" cm="1">
        <f t="array" ref="AT198">_xlfn.IFS(Data!$F198&lt;600,((Data!$F198/Data!$D198)*60)*1,AND(Data!$F198&gt;=600,Data!$F198&lt;=625),((Data!$F198/Data!$D198)*60)*1.2,AND(Data!$F198&gt;=626,Data!$F198&lt;=650),((Data!$F198/Data!$D198)*60)*1.5,Data!$F198&gt;=651,((Data!$F198/Data!$D198)*60)*1.8)</f>
        <v>993.15789473684208</v>
      </c>
      <c r="AU198" s="29">
        <f>(Data!$I198*-1.2)+(Data!$J198*-1.1)+(Data!$K198*1.2)+(Data!$L198*1.3)+(Data!$M198*1.5)</f>
        <v>10.200000000000001</v>
      </c>
      <c r="AV198" s="29">
        <f>(Data!$AS198*0.4)+(Data!$AT198*0.4)+(Data!$AU198*0.2)</f>
        <v>410.67157894736846</v>
      </c>
      <c r="AW198" s="29">
        <f>PERCENTRANK(AV:AV,Data!$AV198)*100</f>
        <v>57.4</v>
      </c>
      <c r="AX198" s="29" t="str">
        <f>_xlfn.CONCAT(TEXT(C198,"mmm"),"-",Data!$AE198)</f>
        <v>Aug-2021</v>
      </c>
    </row>
    <row r="199" spans="1:50" ht="17" thickTop="1" thickBot="1" x14ac:dyDescent="0.25">
      <c r="A199" s="22">
        <v>198</v>
      </c>
      <c r="B199" s="23">
        <f t="shared" si="26"/>
        <v>18</v>
      </c>
      <c r="C199" s="41">
        <v>44437</v>
      </c>
      <c r="D199" s="24">
        <f>SUM(Data!$I199:$M199)</f>
        <v>59</v>
      </c>
      <c r="E199" s="23">
        <v>9</v>
      </c>
      <c r="F199" s="23">
        <v>659</v>
      </c>
      <c r="G199" s="23">
        <v>128</v>
      </c>
      <c r="H199" s="23">
        <v>159</v>
      </c>
      <c r="I199" s="23">
        <v>10</v>
      </c>
      <c r="J199" s="23">
        <v>11</v>
      </c>
      <c r="K199" s="23">
        <v>29</v>
      </c>
      <c r="L199" s="23">
        <v>9</v>
      </c>
      <c r="M199" s="23">
        <v>0</v>
      </c>
      <c r="N199" s="23" t="s">
        <v>101</v>
      </c>
      <c r="O199" s="23" t="s">
        <v>45</v>
      </c>
      <c r="P199" s="23" t="s">
        <v>102</v>
      </c>
      <c r="Q199" s="23">
        <f t="shared" si="32"/>
        <v>3</v>
      </c>
      <c r="R199" s="23" t="str">
        <f t="shared" si="27"/>
        <v>8-2021</v>
      </c>
      <c r="S199" s="23" t="s">
        <v>104</v>
      </c>
      <c r="T199" s="23" t="str">
        <f t="shared" si="28"/>
        <v>Sunday</v>
      </c>
      <c r="U199" s="23">
        <f t="shared" si="29"/>
        <v>0</v>
      </c>
      <c r="V199" s="25">
        <f>IFERROR(Data!$I199/Data!$D199,"")</f>
        <v>0.16949152542372881</v>
      </c>
      <c r="W199" s="25">
        <f>IFERROR(Data!$J199/Data!$D199,"")</f>
        <v>0.1864406779661017</v>
      </c>
      <c r="X199" s="25">
        <f>IFERROR(Data!$K199/Data!$D199,"")</f>
        <v>0.49152542372881358</v>
      </c>
      <c r="Y199" s="25">
        <f>IFERROR(Data!$L199/Data!$D199,"")</f>
        <v>0.15254237288135594</v>
      </c>
      <c r="Z199" s="25">
        <f>IFERROR(Data!$M199/Data!$D199,"")</f>
        <v>0</v>
      </c>
      <c r="AA199" s="26">
        <v>232.14</v>
      </c>
      <c r="AB199" s="26">
        <f t="shared" si="25"/>
        <v>12.896666666666667</v>
      </c>
      <c r="AC199" s="23">
        <f t="shared" si="30"/>
        <v>654.38888888888891</v>
      </c>
      <c r="AD199" s="23">
        <f t="shared" si="31"/>
        <v>14.166666666666666</v>
      </c>
      <c r="AE199" s="23">
        <f>YEAR(Data!$C199)</f>
        <v>2021</v>
      </c>
      <c r="AF199" s="23"/>
      <c r="AG199" s="23">
        <v>12</v>
      </c>
      <c r="AH199" s="27">
        <f>Data!$F199/Data!$D199</f>
        <v>11.169491525423728</v>
      </c>
      <c r="AI199" s="17" t="str">
        <f>RIGHT(Data!$O199,2)</f>
        <v>AM</v>
      </c>
      <c r="AJ199" s="23" t="str">
        <f>Data!$R199&amp;"-"&amp;WEEKNUM(Data!$C199,1)-WEEKNUM(DATE(YEAR(Data!$C199),MONTH(Data!$C199),1),1)+1</f>
        <v>8-2021-5</v>
      </c>
      <c r="AK199" s="23">
        <f>MONTH(Data!$C199)</f>
        <v>8</v>
      </c>
      <c r="AL199" s="23">
        <f>IFERROR(Data!$F199/Data!$E199,0)</f>
        <v>73.222222222222229</v>
      </c>
      <c r="AM199" s="23">
        <f>COUNTIF(Data!$N$2:$N$825,Data!$N199)</f>
        <v>191</v>
      </c>
      <c r="AN199" s="23" t="str">
        <f>VLOOKUP(Data!$N199,'Helpful Tables'!A:D,4,FALSE)</f>
        <v>Washington, DC</v>
      </c>
      <c r="AO199" s="23">
        <f>COUNTIF(AN:AN,Data!$AN199)/COUNTA(AN:AN)</f>
        <v>0.62424242424242427</v>
      </c>
      <c r="AP199" s="23">
        <v>38.949649000000001</v>
      </c>
      <c r="AQ199" s="23">
        <v>-77.080878999999996</v>
      </c>
      <c r="AR199" s="23">
        <f>COUNTIF(Data!$P$2:$P$825,Data!$P199)</f>
        <v>20</v>
      </c>
      <c r="AS199" s="23" cm="1">
        <f t="array" ref="AS199">_xlfn.IFS(Data!$E199&lt;12,((Data!$E199/Data!$D199)*60)*1,AND(Data!$E199&gt;=12,Data!$E199&lt;=15),((Data!$E199/Data!$D199)*60)*1.2,AND(Data!$E199&gt;=16,Data!$E199&lt;=19),((Data!$E199/Data!$D199)*60)*1.5,Data!$E199&gt;=20,((Data!$E199/Data!$D199)*60)*1.8)</f>
        <v>9.1525423728813564</v>
      </c>
      <c r="AT199" s="23" cm="1">
        <f t="array" ref="AT199">_xlfn.IFS(Data!$F199&lt;600,((Data!$F199/Data!$D199)*60)*1,AND(Data!$F199&gt;=600,Data!$F199&lt;=625),((Data!$F199/Data!$D199)*60)*1.2,AND(Data!$F199&gt;=626,Data!$F199&lt;=650),((Data!$F199/Data!$D199)*60)*1.5,Data!$F199&gt;=651,((Data!$F199/Data!$D199)*60)*1.8)</f>
        <v>1206.3050847457628</v>
      </c>
      <c r="AU199" s="23">
        <f>(Data!$I199*-1.2)+(Data!$J199*-1.1)+(Data!$K199*1.2)+(Data!$L199*1.3)+(Data!$M199*1.5)</f>
        <v>22.4</v>
      </c>
      <c r="AV199" s="23">
        <f>(Data!$AS199*0.4)+(Data!$AT199*0.4)+(Data!$AU199*0.2)</f>
        <v>490.66305084745773</v>
      </c>
      <c r="AW199" s="23">
        <f>PERCENTRANK(AV:AV,Data!$AV199)*100</f>
        <v>73.3</v>
      </c>
      <c r="AX199" s="23" t="str">
        <f>_xlfn.CONCAT(TEXT(C199,"mmm"),"-",Data!$AE199)</f>
        <v>Aug-2021</v>
      </c>
    </row>
    <row r="200" spans="1:50" ht="17" thickTop="1" thickBot="1" x14ac:dyDescent="0.25">
      <c r="A200" s="28">
        <v>199</v>
      </c>
      <c r="B200" s="29">
        <f t="shared" si="26"/>
        <v>18</v>
      </c>
      <c r="C200" s="41">
        <v>44438</v>
      </c>
      <c r="D200" s="30">
        <f>SUM(Data!$I200:$M200)</f>
        <v>56</v>
      </c>
      <c r="E200" s="29">
        <v>7</v>
      </c>
      <c r="F200" s="29">
        <v>580</v>
      </c>
      <c r="G200" s="29">
        <v>122</v>
      </c>
      <c r="H200" s="29">
        <v>168</v>
      </c>
      <c r="I200" s="29">
        <v>13</v>
      </c>
      <c r="J200" s="29">
        <v>17</v>
      </c>
      <c r="K200" s="29">
        <v>19</v>
      </c>
      <c r="L200" s="29">
        <v>6</v>
      </c>
      <c r="M200" s="29">
        <v>1</v>
      </c>
      <c r="N200" s="29" t="s">
        <v>101</v>
      </c>
      <c r="O200" s="29" t="s">
        <v>39</v>
      </c>
      <c r="P200" s="29" t="s">
        <v>109</v>
      </c>
      <c r="Q200" s="29">
        <f t="shared" si="32"/>
        <v>1</v>
      </c>
      <c r="R200" s="29" t="str">
        <f t="shared" si="27"/>
        <v>8-2021</v>
      </c>
      <c r="S200" s="29" t="s">
        <v>104</v>
      </c>
      <c r="T200" s="29" t="str">
        <f t="shared" si="28"/>
        <v>Monday</v>
      </c>
      <c r="U200" s="29">
        <f t="shared" si="29"/>
        <v>0</v>
      </c>
      <c r="V200" s="31">
        <f>IFERROR(Data!$I200/Data!$D200,"")</f>
        <v>0.23214285714285715</v>
      </c>
      <c r="W200" s="31">
        <f>IFERROR(Data!$J200/Data!$D200,"")</f>
        <v>0.30357142857142855</v>
      </c>
      <c r="X200" s="31">
        <f>IFERROR(Data!$K200/Data!$D200,"")</f>
        <v>0.3392857142857143</v>
      </c>
      <c r="Y200" s="31">
        <f>IFERROR(Data!$L200/Data!$D200,"")</f>
        <v>0.10714285714285714</v>
      </c>
      <c r="Z200" s="31">
        <f>IFERROR(Data!$M200/Data!$D200,"")</f>
        <v>1.7857142857142856E-2</v>
      </c>
      <c r="AA200" s="32">
        <v>232.14</v>
      </c>
      <c r="AB200" s="32">
        <f t="shared" si="25"/>
        <v>12.896666666666667</v>
      </c>
      <c r="AC200" s="29">
        <f t="shared" si="30"/>
        <v>654.38888888888891</v>
      </c>
      <c r="AD200" s="29">
        <f t="shared" si="31"/>
        <v>14.166666666666666</v>
      </c>
      <c r="AE200" s="29">
        <f>YEAR(Data!$C200)</f>
        <v>2021</v>
      </c>
      <c r="AF200" s="29"/>
      <c r="AG200" s="29">
        <v>12</v>
      </c>
      <c r="AH200" s="33">
        <f>Data!$F200/Data!$D200</f>
        <v>10.357142857142858</v>
      </c>
      <c r="AI200" s="17" t="str">
        <f>RIGHT(Data!$O200,2)</f>
        <v>PM</v>
      </c>
      <c r="AJ200" s="29" t="str">
        <f>Data!$R200&amp;"-"&amp;WEEKNUM(Data!$C200,1)-WEEKNUM(DATE(YEAR(Data!$C200),MONTH(Data!$C200),1),1)+1</f>
        <v>8-2021-5</v>
      </c>
      <c r="AK200" s="29">
        <f>MONTH(Data!$C200)</f>
        <v>8</v>
      </c>
      <c r="AL200" s="29">
        <f>IFERROR(Data!$F200/Data!$E200,0)</f>
        <v>82.857142857142861</v>
      </c>
      <c r="AM200" s="29">
        <f>COUNTIF(Data!$N$2:$N$825,Data!$N200)</f>
        <v>191</v>
      </c>
      <c r="AN200" s="29" t="str">
        <f>VLOOKUP(Data!$N200,'Helpful Tables'!A:D,4,FALSE)</f>
        <v>Washington, DC</v>
      </c>
      <c r="AO200" s="29">
        <f>COUNTIF(AN:AN,Data!$AN200)/COUNTA(AN:AN)</f>
        <v>0.62424242424242427</v>
      </c>
      <c r="AP200" s="29">
        <v>38.949649000000001</v>
      </c>
      <c r="AQ200" s="29">
        <v>-77.080878999999996</v>
      </c>
      <c r="AR200" s="29">
        <f>COUNTIF(Data!$P$2:$P$825,Data!$P200)</f>
        <v>66</v>
      </c>
      <c r="AS200" s="29" cm="1">
        <f t="array" ref="AS200">_xlfn.IFS(Data!$E200&lt;12,((Data!$E200/Data!$D200)*60)*1,AND(Data!$E200&gt;=12,Data!$E200&lt;=15),((Data!$E200/Data!$D200)*60)*1.2,AND(Data!$E200&gt;=16,Data!$E200&lt;=19),((Data!$E200/Data!$D200)*60)*1.5,Data!$E200&gt;=20,((Data!$E200/Data!$D200)*60)*1.8)</f>
        <v>7.5</v>
      </c>
      <c r="AT200" s="29" cm="1">
        <f t="array" ref="AT200">_xlfn.IFS(Data!$F200&lt;600,((Data!$F200/Data!$D200)*60)*1,AND(Data!$F200&gt;=600,Data!$F200&lt;=625),((Data!$F200/Data!$D200)*60)*1.2,AND(Data!$F200&gt;=626,Data!$F200&lt;=650),((Data!$F200/Data!$D200)*60)*1.5,Data!$F200&gt;=651,((Data!$F200/Data!$D200)*60)*1.8)</f>
        <v>621.42857142857144</v>
      </c>
      <c r="AU200" s="29">
        <f>(Data!$I200*-1.2)+(Data!$J200*-1.1)+(Data!$K200*1.2)+(Data!$L200*1.3)+(Data!$M200*1.5)</f>
        <v>-2.2000000000000028</v>
      </c>
      <c r="AV200" s="29">
        <f>(Data!$AS200*0.4)+(Data!$AT200*0.4)+(Data!$AU200*0.2)</f>
        <v>251.13142857142859</v>
      </c>
      <c r="AW200" s="29">
        <f>PERCENTRANK(AV:AV,Data!$AV200)*100</f>
        <v>17.399999999999999</v>
      </c>
      <c r="AX200" s="29" t="str">
        <f>_xlfn.CONCAT(TEXT(C200,"mmm"),"-",Data!$AE200)</f>
        <v>Aug-2021</v>
      </c>
    </row>
    <row r="201" spans="1:50" ht="17" thickTop="1" thickBot="1" x14ac:dyDescent="0.25">
      <c r="A201" s="22">
        <v>200</v>
      </c>
      <c r="B201" s="23">
        <f t="shared" si="26"/>
        <v>15</v>
      </c>
      <c r="C201" s="41">
        <v>44440</v>
      </c>
      <c r="D201" s="24">
        <f>SUM(Data!$I201:$M201)</f>
        <v>56</v>
      </c>
      <c r="E201" s="23">
        <v>13</v>
      </c>
      <c r="F201" s="23">
        <v>646</v>
      </c>
      <c r="G201" s="23">
        <v>129</v>
      </c>
      <c r="H201" s="23">
        <v>165</v>
      </c>
      <c r="I201" s="23">
        <v>6</v>
      </c>
      <c r="J201" s="23">
        <v>22</v>
      </c>
      <c r="K201" s="23">
        <v>15</v>
      </c>
      <c r="L201" s="23">
        <v>11</v>
      </c>
      <c r="M201" s="23">
        <v>2</v>
      </c>
      <c r="N201" s="23" t="s">
        <v>91</v>
      </c>
      <c r="O201" s="23" t="s">
        <v>39</v>
      </c>
      <c r="P201" s="23" t="s">
        <v>96</v>
      </c>
      <c r="Q201" s="23">
        <f t="shared" si="32"/>
        <v>2</v>
      </c>
      <c r="R201" s="23" t="str">
        <f t="shared" si="27"/>
        <v>9-2021</v>
      </c>
      <c r="S201" s="23" t="s">
        <v>117</v>
      </c>
      <c r="T201" s="23" t="str">
        <f t="shared" si="28"/>
        <v>Wednesday</v>
      </c>
      <c r="U201" s="23">
        <f t="shared" si="29"/>
        <v>1</v>
      </c>
      <c r="V201" s="25">
        <f>IFERROR(Data!$I201/Data!$D201,"")</f>
        <v>0.10714285714285714</v>
      </c>
      <c r="W201" s="25">
        <f>IFERROR(Data!$J201/Data!$D201,"")</f>
        <v>0.39285714285714285</v>
      </c>
      <c r="X201" s="25">
        <f>IFERROR(Data!$K201/Data!$D201,"")</f>
        <v>0.26785714285714285</v>
      </c>
      <c r="Y201" s="25">
        <f>IFERROR(Data!$L201/Data!$D201,"")</f>
        <v>0.19642857142857142</v>
      </c>
      <c r="Z201" s="25">
        <f>IFERROR(Data!$M201/Data!$D201,"")</f>
        <v>3.5714285714285712E-2</v>
      </c>
      <c r="AA201" s="26">
        <v>232.14</v>
      </c>
      <c r="AB201" s="26">
        <f t="shared" si="25"/>
        <v>15.475999999999999</v>
      </c>
      <c r="AC201" s="23">
        <f t="shared" si="30"/>
        <v>651.46153846153845</v>
      </c>
      <c r="AD201" s="23">
        <f t="shared" si="31"/>
        <v>14.307692307692308</v>
      </c>
      <c r="AE201" s="23">
        <f>YEAR(Data!$C201)</f>
        <v>2021</v>
      </c>
      <c r="AF201" s="23"/>
      <c r="AG201" s="23">
        <v>12</v>
      </c>
      <c r="AH201" s="27">
        <f>Data!$F201/Data!$D201</f>
        <v>11.535714285714286</v>
      </c>
      <c r="AI201" s="17" t="str">
        <f>RIGHT(Data!$O201,2)</f>
        <v>PM</v>
      </c>
      <c r="AJ201" s="23" t="str">
        <f>Data!$R201&amp;"-"&amp;WEEKNUM(Data!$C201,1)-WEEKNUM(DATE(YEAR(Data!$C201),MONTH(Data!$C201),1),1)+1</f>
        <v>9-2021-1</v>
      </c>
      <c r="AK201" s="23">
        <f>MONTH(Data!$C201)</f>
        <v>9</v>
      </c>
      <c r="AL201" s="23">
        <f>IFERROR(Data!$F201/Data!$E201,0)</f>
        <v>49.692307692307693</v>
      </c>
      <c r="AM201" s="23">
        <f>COUNTIF(Data!$N$2:$N$825,Data!$N201)</f>
        <v>218</v>
      </c>
      <c r="AN201" s="23" t="str">
        <f>VLOOKUP(Data!$N201,'Helpful Tables'!A:D,4,FALSE)</f>
        <v>Washington, DC</v>
      </c>
      <c r="AO201" s="23">
        <f>COUNTIF(AN:AN,Data!$AN201)/COUNTA(AN:AN)</f>
        <v>0.62424242424242427</v>
      </c>
      <c r="AP201" s="23">
        <v>38.934710000000003</v>
      </c>
      <c r="AQ201" s="23">
        <v>-77.058222999999998</v>
      </c>
      <c r="AR201" s="23">
        <f>COUNTIF(Data!$P$2:$P$825,Data!$P201)</f>
        <v>71</v>
      </c>
      <c r="AS201" s="23" cm="1">
        <f t="array" ref="AS201">_xlfn.IFS(Data!$E201&lt;12,((Data!$E201/Data!$D201)*60)*1,AND(Data!$E201&gt;=12,Data!$E201&lt;=15),((Data!$E201/Data!$D201)*60)*1.2,AND(Data!$E201&gt;=16,Data!$E201&lt;=19),((Data!$E201/Data!$D201)*60)*1.5,Data!$E201&gt;=20,((Data!$E201/Data!$D201)*60)*1.8)</f>
        <v>16.714285714285715</v>
      </c>
      <c r="AT201" s="23" cm="1">
        <f t="array" ref="AT201">_xlfn.IFS(Data!$F201&lt;600,((Data!$F201/Data!$D201)*60)*1,AND(Data!$F201&gt;=600,Data!$F201&lt;=625),((Data!$F201/Data!$D201)*60)*1.2,AND(Data!$F201&gt;=626,Data!$F201&lt;=650),((Data!$F201/Data!$D201)*60)*1.5,Data!$F201&gt;=651,((Data!$F201/Data!$D201)*60)*1.8)</f>
        <v>1038.2142857142858</v>
      </c>
      <c r="AU201" s="23">
        <f>(Data!$I201*-1.2)+(Data!$J201*-1.1)+(Data!$K201*1.2)+(Data!$L201*1.3)+(Data!$M201*1.5)</f>
        <v>3.8999999999999986</v>
      </c>
      <c r="AV201" s="23">
        <f>(Data!$AS201*0.4)+(Data!$AT201*0.4)+(Data!$AU201*0.2)</f>
        <v>422.75142857142862</v>
      </c>
      <c r="AW201" s="23">
        <f>PERCENTRANK(AV:AV,Data!$AV201)*100</f>
        <v>62.3</v>
      </c>
      <c r="AX201" s="23" t="str">
        <f>_xlfn.CONCAT(TEXT(C201,"mmm"),"-",Data!$AE201)</f>
        <v>Sep-2021</v>
      </c>
    </row>
    <row r="202" spans="1:50" ht="17" thickTop="1" thickBot="1" x14ac:dyDescent="0.25">
      <c r="A202" s="28">
        <v>201</v>
      </c>
      <c r="B202" s="29">
        <f t="shared" si="26"/>
        <v>15</v>
      </c>
      <c r="C202" s="41">
        <v>44441</v>
      </c>
      <c r="D202" s="30">
        <f>SUM(Data!$I202:$M202)</f>
        <v>56</v>
      </c>
      <c r="E202" s="29">
        <v>16</v>
      </c>
      <c r="F202" s="29">
        <v>682</v>
      </c>
      <c r="G202" s="29">
        <v>134</v>
      </c>
      <c r="H202" s="29">
        <v>168</v>
      </c>
      <c r="I202" s="29">
        <v>3</v>
      </c>
      <c r="J202" s="29">
        <v>14</v>
      </c>
      <c r="K202" s="29">
        <v>23</v>
      </c>
      <c r="L202" s="29">
        <v>14</v>
      </c>
      <c r="M202" s="29">
        <v>2</v>
      </c>
      <c r="N202" s="29" t="s">
        <v>91</v>
      </c>
      <c r="O202" s="29" t="s">
        <v>39</v>
      </c>
      <c r="P202" s="29" t="s">
        <v>97</v>
      </c>
      <c r="Q202" s="29">
        <f t="shared" si="32"/>
        <v>1</v>
      </c>
      <c r="R202" s="29" t="str">
        <f t="shared" si="27"/>
        <v>9-2021</v>
      </c>
      <c r="S202" s="29" t="s">
        <v>117</v>
      </c>
      <c r="T202" s="29" t="str">
        <f t="shared" si="28"/>
        <v>Thursday</v>
      </c>
      <c r="U202" s="29">
        <f t="shared" si="29"/>
        <v>1</v>
      </c>
      <c r="V202" s="31">
        <f>IFERROR(Data!$I202/Data!$D202,"")</f>
        <v>5.3571428571428568E-2</v>
      </c>
      <c r="W202" s="31">
        <f>IFERROR(Data!$J202/Data!$D202,"")</f>
        <v>0.25</v>
      </c>
      <c r="X202" s="31">
        <f>IFERROR(Data!$K202/Data!$D202,"")</f>
        <v>0.4107142857142857</v>
      </c>
      <c r="Y202" s="31">
        <f>IFERROR(Data!$L202/Data!$D202,"")</f>
        <v>0.25</v>
      </c>
      <c r="Z202" s="31">
        <f>IFERROR(Data!$M202/Data!$D202,"")</f>
        <v>3.5714285714285712E-2</v>
      </c>
      <c r="AA202" s="32">
        <v>232.14</v>
      </c>
      <c r="AB202" s="32">
        <f t="shared" si="25"/>
        <v>15.475999999999999</v>
      </c>
      <c r="AC202" s="29">
        <f t="shared" si="30"/>
        <v>651.46153846153845</v>
      </c>
      <c r="AD202" s="29">
        <f t="shared" si="31"/>
        <v>14.307692307692308</v>
      </c>
      <c r="AE202" s="29">
        <f>YEAR(Data!$C202)</f>
        <v>2021</v>
      </c>
      <c r="AF202" s="29"/>
      <c r="AG202" s="29">
        <v>12</v>
      </c>
      <c r="AH202" s="33">
        <f>Data!$F202/Data!$D202</f>
        <v>12.178571428571429</v>
      </c>
      <c r="AI202" s="17" t="str">
        <f>RIGHT(Data!$O202,2)</f>
        <v>PM</v>
      </c>
      <c r="AJ202" s="29" t="str">
        <f>Data!$R202&amp;"-"&amp;WEEKNUM(Data!$C202,1)-WEEKNUM(DATE(YEAR(Data!$C202),MONTH(Data!$C202),1),1)+1</f>
        <v>9-2021-1</v>
      </c>
      <c r="AK202" s="29">
        <f>MONTH(Data!$C202)</f>
        <v>9</v>
      </c>
      <c r="AL202" s="29">
        <f>IFERROR(Data!$F202/Data!$E202,0)</f>
        <v>42.625</v>
      </c>
      <c r="AM202" s="29">
        <f>COUNTIF(Data!$N$2:$N$825,Data!$N202)</f>
        <v>218</v>
      </c>
      <c r="AN202" s="29" t="str">
        <f>VLOOKUP(Data!$N202,'Helpful Tables'!A:D,4,FALSE)</f>
        <v>Washington, DC</v>
      </c>
      <c r="AO202" s="29">
        <f>COUNTIF(AN:AN,Data!$AN202)/COUNTA(AN:AN)</f>
        <v>0.62424242424242427</v>
      </c>
      <c r="AP202" s="29">
        <v>38.934710000000003</v>
      </c>
      <c r="AQ202" s="29">
        <v>-77.058222999999998</v>
      </c>
      <c r="AR202" s="29">
        <f>COUNTIF(Data!$P$2:$P$825,Data!$P202)</f>
        <v>14</v>
      </c>
      <c r="AS202" s="29" cm="1">
        <f t="array" ref="AS202">_xlfn.IFS(Data!$E202&lt;12,((Data!$E202/Data!$D202)*60)*1,AND(Data!$E202&gt;=12,Data!$E202&lt;=15),((Data!$E202/Data!$D202)*60)*1.2,AND(Data!$E202&gt;=16,Data!$E202&lt;=19),((Data!$E202/Data!$D202)*60)*1.5,Data!$E202&gt;=20,((Data!$E202/Data!$D202)*60)*1.8)</f>
        <v>25.714285714285715</v>
      </c>
      <c r="AT202" s="29" cm="1">
        <f t="array" ref="AT202">_xlfn.IFS(Data!$F202&lt;600,((Data!$F202/Data!$D202)*60)*1,AND(Data!$F202&gt;=600,Data!$F202&lt;=625),((Data!$F202/Data!$D202)*60)*1.2,AND(Data!$F202&gt;=626,Data!$F202&lt;=650),((Data!$F202/Data!$D202)*60)*1.5,Data!$F202&gt;=651,((Data!$F202/Data!$D202)*60)*1.8)</f>
        <v>1315.2857142857144</v>
      </c>
      <c r="AU202" s="29">
        <f>(Data!$I202*-1.2)+(Data!$J202*-1.1)+(Data!$K202*1.2)+(Data!$L202*1.3)+(Data!$M202*1.5)</f>
        <v>29.799999999999997</v>
      </c>
      <c r="AV202" s="29">
        <f>(Data!$AS202*0.4)+(Data!$AT202*0.4)+(Data!$AU202*0.2)</f>
        <v>542.36000000000013</v>
      </c>
      <c r="AW202" s="29">
        <f>PERCENTRANK(AV:AV,Data!$AV202)*100</f>
        <v>96.6</v>
      </c>
      <c r="AX202" s="29" t="str">
        <f>_xlfn.CONCAT(TEXT(C202,"mmm"),"-",Data!$AE202)</f>
        <v>Sep-2021</v>
      </c>
    </row>
    <row r="203" spans="1:50" ht="17" thickTop="1" thickBot="1" x14ac:dyDescent="0.25">
      <c r="A203" s="22">
        <v>202</v>
      </c>
      <c r="B203" s="23">
        <f t="shared" si="26"/>
        <v>15</v>
      </c>
      <c r="C203" s="41">
        <v>44446</v>
      </c>
      <c r="D203" s="24">
        <f>SUM(Data!$I203:$M203)</f>
        <v>56</v>
      </c>
      <c r="E203" s="23">
        <v>19</v>
      </c>
      <c r="F203" s="23">
        <v>670</v>
      </c>
      <c r="G203" s="23">
        <v>134</v>
      </c>
      <c r="H203" s="23">
        <v>165</v>
      </c>
      <c r="I203" s="23">
        <v>6</v>
      </c>
      <c r="J203" s="23">
        <v>14</v>
      </c>
      <c r="K203" s="23">
        <v>17</v>
      </c>
      <c r="L203" s="23">
        <v>17</v>
      </c>
      <c r="M203" s="23">
        <v>2</v>
      </c>
      <c r="N203" s="23" t="s">
        <v>125</v>
      </c>
      <c r="O203" s="23" t="s">
        <v>127</v>
      </c>
      <c r="P203" s="23" t="s">
        <v>126</v>
      </c>
      <c r="Q203" s="23">
        <f t="shared" si="32"/>
        <v>5</v>
      </c>
      <c r="R203" s="23" t="str">
        <f t="shared" si="27"/>
        <v>9-2021</v>
      </c>
      <c r="S203" s="23" t="s">
        <v>128</v>
      </c>
      <c r="T203" s="23" t="str">
        <f t="shared" si="28"/>
        <v>Tuesday</v>
      </c>
      <c r="U203" s="23">
        <f t="shared" si="29"/>
        <v>1</v>
      </c>
      <c r="V203" s="25">
        <f>IFERROR(Data!$I203/Data!$D203,"")</f>
        <v>0.10714285714285714</v>
      </c>
      <c r="W203" s="25">
        <f>IFERROR(Data!$J203/Data!$D203,"")</f>
        <v>0.25</v>
      </c>
      <c r="X203" s="25">
        <f>IFERROR(Data!$K203/Data!$D203,"")</f>
        <v>0.30357142857142855</v>
      </c>
      <c r="Y203" s="25">
        <f>IFERROR(Data!$L203/Data!$D203,"")</f>
        <v>0.30357142857142855</v>
      </c>
      <c r="Z203" s="25">
        <f>IFERROR(Data!$M203/Data!$D203,"")</f>
        <v>3.5714285714285712E-2</v>
      </c>
      <c r="AA203" s="26">
        <v>232.14</v>
      </c>
      <c r="AB203" s="26">
        <f t="shared" si="25"/>
        <v>15.475999999999999</v>
      </c>
      <c r="AC203" s="23">
        <f t="shared" si="30"/>
        <v>651.46153846153845</v>
      </c>
      <c r="AD203" s="23">
        <f t="shared" si="31"/>
        <v>14.307692307692308</v>
      </c>
      <c r="AE203" s="23">
        <f>YEAR(Data!$C203)</f>
        <v>2021</v>
      </c>
      <c r="AF203" s="23"/>
      <c r="AG203" s="23">
        <v>12</v>
      </c>
      <c r="AH203" s="27">
        <f>Data!$F203/Data!$D203</f>
        <v>11.964285714285714</v>
      </c>
      <c r="AI203" s="17" t="str">
        <f>RIGHT(Data!$O203,2)</f>
        <v>PM</v>
      </c>
      <c r="AJ203" s="23" t="str">
        <f>Data!$R203&amp;"-"&amp;WEEKNUM(Data!$C203,1)-WEEKNUM(DATE(YEAR(Data!$C203),MONTH(Data!$C203),1),1)+1</f>
        <v>9-2021-2</v>
      </c>
      <c r="AK203" s="23">
        <f>MONTH(Data!$C203)</f>
        <v>9</v>
      </c>
      <c r="AL203" s="23">
        <f>IFERROR(Data!$F203/Data!$E203,0)</f>
        <v>35.263157894736842</v>
      </c>
      <c r="AM203" s="23">
        <f>COUNTIF(Data!$N$2:$N$825,Data!$N203)</f>
        <v>182</v>
      </c>
      <c r="AN203" s="23" t="str">
        <f>VLOOKUP(Data!$N203,'Helpful Tables'!A:D,4,FALSE)</f>
        <v>Oregon</v>
      </c>
      <c r="AO203" s="23">
        <f>COUNTIF(AN:AN,Data!$AN203)/COUNTA(AN:AN)</f>
        <v>0.27393939393939393</v>
      </c>
      <c r="AP203" s="23">
        <v>45.534162000000002</v>
      </c>
      <c r="AQ203" s="23">
        <v>-122.69670000000001</v>
      </c>
      <c r="AR203" s="23">
        <f>COUNTIF(Data!$P$2:$P$825,Data!$P203)</f>
        <v>10</v>
      </c>
      <c r="AS203" s="23" cm="1">
        <f t="array" ref="AS203">_xlfn.IFS(Data!$E203&lt;12,((Data!$E203/Data!$D203)*60)*1,AND(Data!$E203&gt;=12,Data!$E203&lt;=15),((Data!$E203/Data!$D203)*60)*1.2,AND(Data!$E203&gt;=16,Data!$E203&lt;=19),((Data!$E203/Data!$D203)*60)*1.5,Data!$E203&gt;=20,((Data!$E203/Data!$D203)*60)*1.8)</f>
        <v>30.535714285714285</v>
      </c>
      <c r="AT203" s="23" cm="1">
        <f t="array" ref="AT203">_xlfn.IFS(Data!$F203&lt;600,((Data!$F203/Data!$D203)*60)*1,AND(Data!$F203&gt;=600,Data!$F203&lt;=625),((Data!$F203/Data!$D203)*60)*1.2,AND(Data!$F203&gt;=626,Data!$F203&lt;=650),((Data!$F203/Data!$D203)*60)*1.5,Data!$F203&gt;=651,((Data!$F203/Data!$D203)*60)*1.8)</f>
        <v>1292.1428571428571</v>
      </c>
      <c r="AU203" s="23">
        <f>(Data!$I203*-1.2)+(Data!$J203*-1.1)+(Data!$K203*1.2)+(Data!$L203*1.3)+(Data!$M203*1.5)</f>
        <v>22.9</v>
      </c>
      <c r="AV203" s="23">
        <f>(Data!$AS203*0.4)+(Data!$AT203*0.4)+(Data!$AU203*0.2)</f>
        <v>533.6514285714286</v>
      </c>
      <c r="AW203" s="23">
        <f>PERCENTRANK(AV:AV,Data!$AV203)*100</f>
        <v>94.699999999999989</v>
      </c>
      <c r="AX203" s="23" t="str">
        <f>_xlfn.CONCAT(TEXT(C203,"mmm"),"-",Data!$AE203)</f>
        <v>Sep-2021</v>
      </c>
    </row>
    <row r="204" spans="1:50" ht="17" thickTop="1" thickBot="1" x14ac:dyDescent="0.25">
      <c r="A204" s="28">
        <v>203</v>
      </c>
      <c r="B204" s="29">
        <f t="shared" si="26"/>
        <v>15</v>
      </c>
      <c r="C204" s="41">
        <v>44448</v>
      </c>
      <c r="D204" s="30">
        <f>SUM(Data!$I204:$M204)</f>
        <v>59</v>
      </c>
      <c r="E204" s="29">
        <v>15</v>
      </c>
      <c r="F204" s="29">
        <v>688</v>
      </c>
      <c r="G204" s="29">
        <v>131</v>
      </c>
      <c r="H204" s="29">
        <v>165</v>
      </c>
      <c r="I204" s="29">
        <v>7</v>
      </c>
      <c r="J204" s="29">
        <v>15</v>
      </c>
      <c r="K204" s="29">
        <v>22</v>
      </c>
      <c r="L204" s="29">
        <v>13</v>
      </c>
      <c r="M204" s="29">
        <v>2</v>
      </c>
      <c r="N204" s="29" t="s">
        <v>125</v>
      </c>
      <c r="O204" s="29" t="s">
        <v>131</v>
      </c>
      <c r="P204" s="29" t="s">
        <v>130</v>
      </c>
      <c r="Q204" s="29">
        <f t="shared" si="32"/>
        <v>2</v>
      </c>
      <c r="R204" s="29" t="str">
        <f t="shared" si="27"/>
        <v>9-2021</v>
      </c>
      <c r="S204" s="29" t="s">
        <v>132</v>
      </c>
      <c r="T204" s="29" t="str">
        <f t="shared" si="28"/>
        <v>Thursday</v>
      </c>
      <c r="U204" s="29">
        <f t="shared" si="29"/>
        <v>1</v>
      </c>
      <c r="V204" s="31">
        <f>IFERROR(Data!$I204/Data!$D204,"")</f>
        <v>0.11864406779661017</v>
      </c>
      <c r="W204" s="31">
        <f>IFERROR(Data!$J204/Data!$D204,"")</f>
        <v>0.25423728813559321</v>
      </c>
      <c r="X204" s="31">
        <f>IFERROR(Data!$K204/Data!$D204,"")</f>
        <v>0.3728813559322034</v>
      </c>
      <c r="Y204" s="31">
        <f>IFERROR(Data!$L204/Data!$D204,"")</f>
        <v>0.22033898305084745</v>
      </c>
      <c r="Z204" s="31">
        <f>IFERROR(Data!$M204/Data!$D204,"")</f>
        <v>3.3898305084745763E-2</v>
      </c>
      <c r="AA204" s="32">
        <v>232.14</v>
      </c>
      <c r="AB204" s="32">
        <f t="shared" si="25"/>
        <v>15.475999999999999</v>
      </c>
      <c r="AC204" s="29">
        <f t="shared" si="30"/>
        <v>651.46153846153845</v>
      </c>
      <c r="AD204" s="29">
        <f t="shared" si="31"/>
        <v>14.307692307692308</v>
      </c>
      <c r="AE204" s="29">
        <f>YEAR(Data!$C204)</f>
        <v>2021</v>
      </c>
      <c r="AF204" s="29"/>
      <c r="AG204" s="29">
        <v>12</v>
      </c>
      <c r="AH204" s="33">
        <f>Data!$F204/Data!$D204</f>
        <v>11.661016949152541</v>
      </c>
      <c r="AI204" s="17" t="str">
        <f>RIGHT(Data!$O204,2)</f>
        <v>PM</v>
      </c>
      <c r="AJ204" s="29" t="str">
        <f>Data!$R204&amp;"-"&amp;WEEKNUM(Data!$C204,1)-WEEKNUM(DATE(YEAR(Data!$C204),MONTH(Data!$C204),1),1)+1</f>
        <v>9-2021-2</v>
      </c>
      <c r="AK204" s="29">
        <f>MONTH(Data!$C204)</f>
        <v>9</v>
      </c>
      <c r="AL204" s="29">
        <f>IFERROR(Data!$F204/Data!$E204,0)</f>
        <v>45.866666666666667</v>
      </c>
      <c r="AM204" s="29">
        <f>COUNTIF(Data!$N$2:$N$825,Data!$N204)</f>
        <v>182</v>
      </c>
      <c r="AN204" s="29" t="str">
        <f>VLOOKUP(Data!$N204,'Helpful Tables'!A:D,4,FALSE)</f>
        <v>Oregon</v>
      </c>
      <c r="AO204" s="29">
        <f>COUNTIF(AN:AN,Data!$AN204)/COUNTA(AN:AN)</f>
        <v>0.27393939393939393</v>
      </c>
      <c r="AP204" s="29">
        <v>45.534162000000002</v>
      </c>
      <c r="AQ204" s="29">
        <v>-122.69670000000001</v>
      </c>
      <c r="AR204" s="29">
        <f>COUNTIF(Data!$P$2:$P$825,Data!$P204)</f>
        <v>1</v>
      </c>
      <c r="AS204" s="29" cm="1">
        <f t="array" ref="AS204">_xlfn.IFS(Data!$E204&lt;12,((Data!$E204/Data!$D204)*60)*1,AND(Data!$E204&gt;=12,Data!$E204&lt;=15),((Data!$E204/Data!$D204)*60)*1.2,AND(Data!$E204&gt;=16,Data!$E204&lt;=19),((Data!$E204/Data!$D204)*60)*1.5,Data!$E204&gt;=20,((Data!$E204/Data!$D204)*60)*1.8)</f>
        <v>18.305084745762709</v>
      </c>
      <c r="AT204" s="29" cm="1">
        <f t="array" ref="AT204">_xlfn.IFS(Data!$F204&lt;600,((Data!$F204/Data!$D204)*60)*1,AND(Data!$F204&gt;=600,Data!$F204&lt;=625),((Data!$F204/Data!$D204)*60)*1.2,AND(Data!$F204&gt;=626,Data!$F204&lt;=650),((Data!$F204/Data!$D204)*60)*1.5,Data!$F204&gt;=651,((Data!$F204/Data!$D204)*60)*1.8)</f>
        <v>1259.3898305084745</v>
      </c>
      <c r="AU204" s="29">
        <f>(Data!$I204*-1.2)+(Data!$J204*-1.1)+(Data!$K204*1.2)+(Data!$L204*1.3)+(Data!$M204*1.5)</f>
        <v>21.400000000000002</v>
      </c>
      <c r="AV204" s="29">
        <f>(Data!$AS204*0.4)+(Data!$AT204*0.4)+(Data!$AU204*0.2)</f>
        <v>515.35796610169496</v>
      </c>
      <c r="AW204" s="29">
        <f>PERCENTRANK(AV:AV,Data!$AV204)*100</f>
        <v>87.4</v>
      </c>
      <c r="AX204" s="29" t="str">
        <f>_xlfn.CONCAT(TEXT(C204,"mmm"),"-",Data!$AE204)</f>
        <v>Sep-2021</v>
      </c>
    </row>
    <row r="205" spans="1:50" ht="17" thickTop="1" thickBot="1" x14ac:dyDescent="0.25">
      <c r="A205" s="22">
        <v>204</v>
      </c>
      <c r="B205" s="23">
        <f t="shared" si="26"/>
        <v>15</v>
      </c>
      <c r="C205" s="41">
        <v>44452</v>
      </c>
      <c r="D205" s="24">
        <f>SUM(Data!$I205:$M205)</f>
        <v>57</v>
      </c>
      <c r="E205" s="23">
        <v>12</v>
      </c>
      <c r="F205" s="23">
        <v>620</v>
      </c>
      <c r="G205" s="23">
        <v>126</v>
      </c>
      <c r="H205" s="23">
        <v>167</v>
      </c>
      <c r="I205" s="23">
        <v>10</v>
      </c>
      <c r="J205" s="23">
        <v>20</v>
      </c>
      <c r="K205" s="23">
        <v>15</v>
      </c>
      <c r="L205" s="23">
        <v>10</v>
      </c>
      <c r="M205" s="23">
        <v>2</v>
      </c>
      <c r="N205" s="23" t="s">
        <v>91</v>
      </c>
      <c r="O205" s="23" t="s">
        <v>39</v>
      </c>
      <c r="P205" s="23" t="s">
        <v>94</v>
      </c>
      <c r="Q205" s="23">
        <f t="shared" si="32"/>
        <v>4</v>
      </c>
      <c r="R205" s="23" t="str">
        <f t="shared" si="27"/>
        <v>9-2021</v>
      </c>
      <c r="S205" s="23" t="s">
        <v>117</v>
      </c>
      <c r="T205" s="23" t="str">
        <f t="shared" si="28"/>
        <v>Monday</v>
      </c>
      <c r="U205" s="23">
        <f t="shared" si="29"/>
        <v>1</v>
      </c>
      <c r="V205" s="25">
        <f>IFERROR(Data!$I205/Data!$D205,"")</f>
        <v>0.17543859649122806</v>
      </c>
      <c r="W205" s="25">
        <f>IFERROR(Data!$J205/Data!$D205,"")</f>
        <v>0.35087719298245612</v>
      </c>
      <c r="X205" s="25">
        <f>IFERROR(Data!$K205/Data!$D205,"")</f>
        <v>0.26315789473684209</v>
      </c>
      <c r="Y205" s="25">
        <f>IFERROR(Data!$L205/Data!$D205,"")</f>
        <v>0.17543859649122806</v>
      </c>
      <c r="Z205" s="25">
        <f>IFERROR(Data!$M205/Data!$D205,"")</f>
        <v>3.5087719298245612E-2</v>
      </c>
      <c r="AA205" s="26">
        <v>232.14</v>
      </c>
      <c r="AB205" s="26">
        <f t="shared" si="25"/>
        <v>15.475999999999999</v>
      </c>
      <c r="AC205" s="23">
        <f t="shared" si="30"/>
        <v>651.46153846153845</v>
      </c>
      <c r="AD205" s="23">
        <f t="shared" si="31"/>
        <v>14.307692307692308</v>
      </c>
      <c r="AE205" s="23">
        <f>YEAR(Data!$C205)</f>
        <v>2021</v>
      </c>
      <c r="AF205" s="23"/>
      <c r="AG205" s="23">
        <v>12</v>
      </c>
      <c r="AH205" s="27">
        <f>Data!$F205/Data!$D205</f>
        <v>10.87719298245614</v>
      </c>
      <c r="AI205" s="17" t="str">
        <f>RIGHT(Data!$O205,2)</f>
        <v>PM</v>
      </c>
      <c r="AJ205" s="23" t="str">
        <f>Data!$R205&amp;"-"&amp;WEEKNUM(Data!$C205,1)-WEEKNUM(DATE(YEAR(Data!$C205),MONTH(Data!$C205),1),1)+1</f>
        <v>9-2021-3</v>
      </c>
      <c r="AK205" s="23">
        <f>MONTH(Data!$C205)</f>
        <v>9</v>
      </c>
      <c r="AL205" s="23">
        <f>IFERROR(Data!$F205/Data!$E205,0)</f>
        <v>51.666666666666664</v>
      </c>
      <c r="AM205" s="23">
        <f>COUNTIF(Data!$N$2:$N$825,Data!$N205)</f>
        <v>218</v>
      </c>
      <c r="AN205" s="23" t="str">
        <f>VLOOKUP(Data!$N205,'Helpful Tables'!A:D,4,FALSE)</f>
        <v>Washington, DC</v>
      </c>
      <c r="AO205" s="23">
        <f>COUNTIF(AN:AN,Data!$AN205)/COUNTA(AN:AN)</f>
        <v>0.62424242424242427</v>
      </c>
      <c r="AP205" s="23">
        <v>38.934710000000003</v>
      </c>
      <c r="AQ205" s="23">
        <v>-77.058222999999998</v>
      </c>
      <c r="AR205" s="23">
        <f>COUNTIF(Data!$P$2:$P$825,Data!$P205)</f>
        <v>15</v>
      </c>
      <c r="AS205" s="23" cm="1">
        <f t="array" ref="AS205">_xlfn.IFS(Data!$E205&lt;12,((Data!$E205/Data!$D205)*60)*1,AND(Data!$E205&gt;=12,Data!$E205&lt;=15),((Data!$E205/Data!$D205)*60)*1.2,AND(Data!$E205&gt;=16,Data!$E205&lt;=19),((Data!$E205/Data!$D205)*60)*1.5,Data!$E205&gt;=20,((Data!$E205/Data!$D205)*60)*1.8)</f>
        <v>15.157894736842104</v>
      </c>
      <c r="AT205" s="23" cm="1">
        <f t="array" ref="AT205">_xlfn.IFS(Data!$F205&lt;600,((Data!$F205/Data!$D205)*60)*1,AND(Data!$F205&gt;=600,Data!$F205&lt;=625),((Data!$F205/Data!$D205)*60)*1.2,AND(Data!$F205&gt;=626,Data!$F205&lt;=650),((Data!$F205/Data!$D205)*60)*1.5,Data!$F205&gt;=651,((Data!$F205/Data!$D205)*60)*1.8)</f>
        <v>783.15789473684208</v>
      </c>
      <c r="AU205" s="23">
        <f>(Data!$I205*-1.2)+(Data!$J205*-1.1)+(Data!$K205*1.2)+(Data!$L205*1.3)+(Data!$M205*1.5)</f>
        <v>0</v>
      </c>
      <c r="AV205" s="23">
        <f>(Data!$AS205*0.4)+(Data!$AT205*0.4)+(Data!$AU205*0.2)</f>
        <v>319.32631578947371</v>
      </c>
      <c r="AW205" s="23">
        <f>PERCENTRANK(AV:AV,Data!$AV205)*100</f>
        <v>37</v>
      </c>
      <c r="AX205" s="23" t="str">
        <f>_xlfn.CONCAT(TEXT(C205,"mmm"),"-",Data!$AE205)</f>
        <v>Sep-2021</v>
      </c>
    </row>
    <row r="206" spans="1:50" ht="17" thickTop="1" thickBot="1" x14ac:dyDescent="0.25">
      <c r="A206" s="28">
        <v>205</v>
      </c>
      <c r="B206" s="29">
        <f t="shared" si="26"/>
        <v>15</v>
      </c>
      <c r="C206" s="41">
        <v>44453</v>
      </c>
      <c r="D206" s="30">
        <f>SUM(Data!$I206:$M206)</f>
        <v>0</v>
      </c>
      <c r="E206" s="29"/>
      <c r="F206" s="29"/>
      <c r="G206" s="29"/>
      <c r="H206" s="29"/>
      <c r="I206" s="29"/>
      <c r="J206" s="29"/>
      <c r="K206" s="29"/>
      <c r="L206" s="29"/>
      <c r="M206" s="29"/>
      <c r="N206" s="29" t="s">
        <v>101</v>
      </c>
      <c r="O206" s="29" t="s">
        <v>39</v>
      </c>
      <c r="P206" s="29" t="s">
        <v>133</v>
      </c>
      <c r="Q206" s="29">
        <f t="shared" si="32"/>
        <v>1</v>
      </c>
      <c r="R206" s="29" t="str">
        <f t="shared" si="27"/>
        <v>9-2021</v>
      </c>
      <c r="S206" s="29" t="s">
        <v>104</v>
      </c>
      <c r="T206" s="29" t="str">
        <f t="shared" si="28"/>
        <v>Tuesday</v>
      </c>
      <c r="U206" s="29">
        <f t="shared" si="29"/>
        <v>0</v>
      </c>
      <c r="V206" s="31" t="str">
        <f>IFERROR(Data!$I206/Data!$D206,"")</f>
        <v/>
      </c>
      <c r="W206" s="31" t="str">
        <f>IFERROR(Data!$J206/Data!$D206,"")</f>
        <v/>
      </c>
      <c r="X206" s="31" t="str">
        <f>IFERROR(Data!$K206/Data!$D206,"")</f>
        <v/>
      </c>
      <c r="Y206" s="31" t="str">
        <f>IFERROR(Data!$L206/Data!$D206,"")</f>
        <v/>
      </c>
      <c r="Z206" s="31" t="str">
        <f>IFERROR(Data!$M206/Data!$D206,"")</f>
        <v/>
      </c>
      <c r="AA206" s="32">
        <v>232.14</v>
      </c>
      <c r="AB206" s="32">
        <f t="shared" si="25"/>
        <v>15.475999999999999</v>
      </c>
      <c r="AC206" s="29">
        <f t="shared" si="30"/>
        <v>651.46153846153845</v>
      </c>
      <c r="AD206" s="29">
        <f t="shared" si="31"/>
        <v>14.307692307692308</v>
      </c>
      <c r="AE206" s="29">
        <f>YEAR(Data!$C206)</f>
        <v>2021</v>
      </c>
      <c r="AF206" s="29"/>
      <c r="AG206" s="29">
        <v>12</v>
      </c>
      <c r="AH206" s="33" t="e">
        <f>Data!$F206/Data!$D206</f>
        <v>#DIV/0!</v>
      </c>
      <c r="AI206" s="17" t="str">
        <f>RIGHT(Data!$O206,2)</f>
        <v>PM</v>
      </c>
      <c r="AJ206" s="29" t="str">
        <f>Data!$R206&amp;"-"&amp;WEEKNUM(Data!$C206,1)-WEEKNUM(DATE(YEAR(Data!$C206),MONTH(Data!$C206),1),1)+1</f>
        <v>9-2021-3</v>
      </c>
      <c r="AK206" s="29">
        <f>MONTH(Data!$C206)</f>
        <v>9</v>
      </c>
      <c r="AL206" s="29">
        <f>IFERROR(Data!$F206/Data!$E206,0)</f>
        <v>0</v>
      </c>
      <c r="AM206" s="29">
        <f>COUNTIF(Data!$N$2:$N$825,Data!$N206)</f>
        <v>191</v>
      </c>
      <c r="AN206" s="29" t="str">
        <f>VLOOKUP(Data!$N206,'Helpful Tables'!A:D,4,FALSE)</f>
        <v>Washington, DC</v>
      </c>
      <c r="AO206" s="29">
        <f>COUNTIF(AN:AN,Data!$AN206)/COUNTA(AN:AN)</f>
        <v>0.62424242424242427</v>
      </c>
      <c r="AP206" s="29">
        <v>38.949649000000001</v>
      </c>
      <c r="AQ206" s="29">
        <v>-77.080878999999996</v>
      </c>
      <c r="AR206" s="29">
        <f>COUNTIF(Data!$P$2:$P$825,Data!$P206)</f>
        <v>25</v>
      </c>
      <c r="AS206" s="29"/>
      <c r="AT206" s="29"/>
      <c r="AU206" s="29"/>
      <c r="AV206" s="29"/>
      <c r="AW206" s="29"/>
      <c r="AX206" s="29" t="str">
        <f>_xlfn.CONCAT(TEXT(C206,"mmm"),"-",Data!$AE206)</f>
        <v>Sep-2021</v>
      </c>
    </row>
    <row r="207" spans="1:50" ht="17" thickTop="1" thickBot="1" x14ac:dyDescent="0.25">
      <c r="A207" s="22">
        <v>206</v>
      </c>
      <c r="B207" s="23">
        <f t="shared" si="26"/>
        <v>15</v>
      </c>
      <c r="C207" s="41">
        <v>44454</v>
      </c>
      <c r="D207" s="24">
        <f>SUM(Data!$I207:$M207)</f>
        <v>0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 t="s">
        <v>101</v>
      </c>
      <c r="O207" s="23" t="s">
        <v>107</v>
      </c>
      <c r="P207" s="23" t="s">
        <v>134</v>
      </c>
      <c r="Q207" s="23">
        <f t="shared" si="32"/>
        <v>1</v>
      </c>
      <c r="R207" s="23" t="str">
        <f t="shared" si="27"/>
        <v>9-2021</v>
      </c>
      <c r="S207" s="23" t="s">
        <v>104</v>
      </c>
      <c r="T207" s="23" t="str">
        <f t="shared" si="28"/>
        <v>Wednesday</v>
      </c>
      <c r="U207" s="23">
        <f t="shared" si="29"/>
        <v>0</v>
      </c>
      <c r="V207" s="25" t="str">
        <f>IFERROR(Data!$I207/Data!$D207,"")</f>
        <v/>
      </c>
      <c r="W207" s="25" t="str">
        <f>IFERROR(Data!$J207/Data!$D207,"")</f>
        <v/>
      </c>
      <c r="X207" s="25" t="str">
        <f>IFERROR(Data!$K207/Data!$D207,"")</f>
        <v/>
      </c>
      <c r="Y207" s="25" t="str">
        <f>IFERROR(Data!$L207/Data!$D207,"")</f>
        <v/>
      </c>
      <c r="Z207" s="25" t="str">
        <f>IFERROR(Data!$M207/Data!$D207,"")</f>
        <v/>
      </c>
      <c r="AA207" s="26">
        <v>232.14</v>
      </c>
      <c r="AB207" s="26">
        <f t="shared" si="25"/>
        <v>15.475999999999999</v>
      </c>
      <c r="AC207" s="23">
        <f t="shared" si="30"/>
        <v>651.46153846153845</v>
      </c>
      <c r="AD207" s="23">
        <f t="shared" si="31"/>
        <v>14.307692307692308</v>
      </c>
      <c r="AE207" s="23">
        <f>YEAR(Data!$C207)</f>
        <v>2021</v>
      </c>
      <c r="AF207" s="23"/>
      <c r="AG207" s="23">
        <v>12</v>
      </c>
      <c r="AH207" s="27" t="e">
        <f>Data!$F207/Data!$D207</f>
        <v>#DIV/0!</v>
      </c>
      <c r="AI207" s="17" t="str">
        <f>RIGHT(Data!$O207,2)</f>
        <v>AM</v>
      </c>
      <c r="AJ207" s="23" t="str">
        <f>Data!$R207&amp;"-"&amp;WEEKNUM(Data!$C207,1)-WEEKNUM(DATE(YEAR(Data!$C207),MONTH(Data!$C207),1),1)+1</f>
        <v>9-2021-3</v>
      </c>
      <c r="AK207" s="23">
        <f>MONTH(Data!$C207)</f>
        <v>9</v>
      </c>
      <c r="AL207" s="23">
        <f>IFERROR(Data!$F207/Data!$E207,0)</f>
        <v>0</v>
      </c>
      <c r="AM207" s="23">
        <f>COUNTIF(Data!$N$2:$N$825,Data!$N207)</f>
        <v>191</v>
      </c>
      <c r="AN207" s="23" t="str">
        <f>VLOOKUP(Data!$N207,'Helpful Tables'!A:D,4,FALSE)</f>
        <v>Washington, DC</v>
      </c>
      <c r="AO207" s="23">
        <f>COUNTIF(AN:AN,Data!$AN207)/COUNTA(AN:AN)</f>
        <v>0.62424242424242427</v>
      </c>
      <c r="AP207" s="23">
        <v>38.949649000000001</v>
      </c>
      <c r="AQ207" s="23">
        <v>-77.080878999999996</v>
      </c>
      <c r="AR207" s="23">
        <f>COUNTIF(Data!$P$2:$P$825,Data!$P207)</f>
        <v>9</v>
      </c>
      <c r="AS207" s="23"/>
      <c r="AT207" s="23"/>
      <c r="AU207" s="23"/>
      <c r="AV207" s="23"/>
      <c r="AW207" s="23"/>
      <c r="AX207" s="23" t="str">
        <f>_xlfn.CONCAT(TEXT(C207,"mmm"),"-",Data!$AE207)</f>
        <v>Sep-2021</v>
      </c>
    </row>
    <row r="208" spans="1:50" ht="17" thickTop="1" thickBot="1" x14ac:dyDescent="0.25">
      <c r="A208" s="28">
        <v>207</v>
      </c>
      <c r="B208" s="29">
        <f t="shared" si="26"/>
        <v>15</v>
      </c>
      <c r="C208" s="41">
        <v>44457</v>
      </c>
      <c r="D208" s="30">
        <f>SUM(Data!$I208:$M208)</f>
        <v>56</v>
      </c>
      <c r="E208" s="29">
        <v>12</v>
      </c>
      <c r="F208" s="29">
        <v>674</v>
      </c>
      <c r="G208" s="29">
        <v>163</v>
      </c>
      <c r="H208" s="29">
        <v>132</v>
      </c>
      <c r="I208" s="29">
        <v>5</v>
      </c>
      <c r="J208" s="29">
        <v>11</v>
      </c>
      <c r="K208" s="29">
        <v>28</v>
      </c>
      <c r="L208" s="29">
        <v>11</v>
      </c>
      <c r="M208" s="29">
        <v>1</v>
      </c>
      <c r="N208" s="29" t="s">
        <v>91</v>
      </c>
      <c r="O208" s="29" t="s">
        <v>81</v>
      </c>
      <c r="P208" s="29" t="s">
        <v>120</v>
      </c>
      <c r="Q208" s="29">
        <f t="shared" si="32"/>
        <v>3</v>
      </c>
      <c r="R208" s="29" t="str">
        <f t="shared" si="27"/>
        <v>9-2021</v>
      </c>
      <c r="S208" s="29" t="s">
        <v>104</v>
      </c>
      <c r="T208" s="29" t="str">
        <f t="shared" si="28"/>
        <v>Saturday</v>
      </c>
      <c r="U208" s="29">
        <f t="shared" si="29"/>
        <v>1</v>
      </c>
      <c r="V208" s="31">
        <f>IFERROR(Data!$I208/Data!$D208,"")</f>
        <v>8.9285714285714288E-2</v>
      </c>
      <c r="W208" s="31">
        <f>IFERROR(Data!$J208/Data!$D208,"")</f>
        <v>0.19642857142857142</v>
      </c>
      <c r="X208" s="31">
        <f>IFERROR(Data!$K208/Data!$D208,"")</f>
        <v>0.5</v>
      </c>
      <c r="Y208" s="31">
        <f>IFERROR(Data!$L208/Data!$D208,"")</f>
        <v>0.19642857142857142</v>
      </c>
      <c r="Z208" s="31">
        <f>IFERROR(Data!$M208/Data!$D208,"")</f>
        <v>1.7857142857142856E-2</v>
      </c>
      <c r="AA208" s="32">
        <v>232.14</v>
      </c>
      <c r="AB208" s="32">
        <f t="shared" ref="AB208:AB271" si="33">AA208/B208</f>
        <v>15.475999999999999</v>
      </c>
      <c r="AC208" s="29">
        <f t="shared" si="30"/>
        <v>651.46153846153845</v>
      </c>
      <c r="AD208" s="29">
        <f t="shared" si="31"/>
        <v>14.307692307692308</v>
      </c>
      <c r="AE208" s="29">
        <f>YEAR(Data!$C208)</f>
        <v>2021</v>
      </c>
      <c r="AF208" s="29"/>
      <c r="AG208" s="29">
        <v>12</v>
      </c>
      <c r="AH208" s="33">
        <f>Data!$F208/Data!$D208</f>
        <v>12.035714285714286</v>
      </c>
      <c r="AI208" s="17" t="str">
        <f>RIGHT(Data!$O208,2)</f>
        <v>AM</v>
      </c>
      <c r="AJ208" s="29" t="str">
        <f>Data!$R208&amp;"-"&amp;WEEKNUM(Data!$C208,1)-WEEKNUM(DATE(YEAR(Data!$C208),MONTH(Data!$C208),1),1)+1</f>
        <v>9-2021-3</v>
      </c>
      <c r="AK208" s="29">
        <f>MONTH(Data!$C208)</f>
        <v>9</v>
      </c>
      <c r="AL208" s="29">
        <f>IFERROR(Data!$F208/Data!$E208,0)</f>
        <v>56.166666666666664</v>
      </c>
      <c r="AM208" s="29">
        <f>COUNTIF(Data!$N$2:$N$825,Data!$N208)</f>
        <v>218</v>
      </c>
      <c r="AN208" s="29" t="str">
        <f>VLOOKUP(Data!$N208,'Helpful Tables'!A:D,4,FALSE)</f>
        <v>Washington, DC</v>
      </c>
      <c r="AO208" s="29">
        <f>COUNTIF(AN:AN,Data!$AN208)/COUNTA(AN:AN)</f>
        <v>0.62424242424242427</v>
      </c>
      <c r="AP208" s="29">
        <v>38.934710000000003</v>
      </c>
      <c r="AQ208" s="29">
        <v>-77.058222999999998</v>
      </c>
      <c r="AR208" s="29">
        <f>COUNTIF(Data!$P$2:$P$825,Data!$P208)</f>
        <v>4</v>
      </c>
      <c r="AS208" s="29" cm="1">
        <f t="array" ref="AS208">_xlfn.IFS(Data!$E208&lt;12,((Data!$E208/Data!$D208)*60)*1,AND(Data!$E208&gt;=12,Data!$E208&lt;=15),((Data!$E208/Data!$D208)*60)*1.2,AND(Data!$E208&gt;=16,Data!$E208&lt;=19),((Data!$E208/Data!$D208)*60)*1.5,Data!$E208&gt;=20,((Data!$E208/Data!$D208)*60)*1.8)</f>
        <v>15.428571428571427</v>
      </c>
      <c r="AT208" s="29" cm="1">
        <f t="array" ref="AT208">_xlfn.IFS(Data!$F208&lt;600,((Data!$F208/Data!$D208)*60)*1,AND(Data!$F208&gt;=600,Data!$F208&lt;=625),((Data!$F208/Data!$D208)*60)*1.2,AND(Data!$F208&gt;=626,Data!$F208&lt;=650),((Data!$F208/Data!$D208)*60)*1.5,Data!$F208&gt;=651,((Data!$F208/Data!$D208)*60)*1.8)</f>
        <v>1299.8571428571431</v>
      </c>
      <c r="AU208" s="29">
        <f>(Data!$I208*-1.2)+(Data!$J208*-1.1)+(Data!$K208*1.2)+(Data!$L208*1.3)+(Data!$M208*1.5)</f>
        <v>31.3</v>
      </c>
      <c r="AV208" s="29">
        <f>(Data!$AS208*0.4)+(Data!$AT208*0.4)+(Data!$AU208*0.2)</f>
        <v>532.37428571428586</v>
      </c>
      <c r="AW208" s="29">
        <f>PERCENTRANK(AV:AV,Data!$AV208)*100</f>
        <v>94.199999999999989</v>
      </c>
      <c r="AX208" s="29" t="str">
        <f>_xlfn.CONCAT(TEXT(C208,"mmm"),"-",Data!$AE208)</f>
        <v>Sep-2021</v>
      </c>
    </row>
    <row r="209" spans="1:50" ht="17" thickTop="1" thickBot="1" x14ac:dyDescent="0.25">
      <c r="A209" s="22">
        <v>208</v>
      </c>
      <c r="B209" s="23">
        <f t="shared" si="26"/>
        <v>15</v>
      </c>
      <c r="C209" s="41">
        <v>44459</v>
      </c>
      <c r="D209" s="24">
        <f>SUM(Data!$I209:$M209)</f>
        <v>61</v>
      </c>
      <c r="E209" s="23">
        <v>17</v>
      </c>
      <c r="F209" s="23">
        <v>683</v>
      </c>
      <c r="G209" s="23">
        <v>168</v>
      </c>
      <c r="H209" s="23">
        <v>128</v>
      </c>
      <c r="I209" s="23">
        <v>11</v>
      </c>
      <c r="J209" s="23">
        <v>18</v>
      </c>
      <c r="K209" s="23">
        <v>15</v>
      </c>
      <c r="L209" s="23">
        <v>15</v>
      </c>
      <c r="M209" s="23">
        <v>2</v>
      </c>
      <c r="N209" s="23" t="s">
        <v>101</v>
      </c>
      <c r="O209" s="23" t="s">
        <v>107</v>
      </c>
      <c r="P209" s="23" t="s">
        <v>102</v>
      </c>
      <c r="Q209" s="23">
        <f t="shared" si="32"/>
        <v>2</v>
      </c>
      <c r="R209" s="23" t="str">
        <f t="shared" si="27"/>
        <v>9-2021</v>
      </c>
      <c r="S209" s="23" t="s">
        <v>104</v>
      </c>
      <c r="T209" s="23" t="str">
        <f t="shared" si="28"/>
        <v>Monday</v>
      </c>
      <c r="U209" s="23">
        <f t="shared" si="29"/>
        <v>1</v>
      </c>
      <c r="V209" s="25">
        <f>IFERROR(Data!$I209/Data!$D209,"")</f>
        <v>0.18032786885245902</v>
      </c>
      <c r="W209" s="25">
        <f>IFERROR(Data!$J209/Data!$D209,"")</f>
        <v>0.29508196721311475</v>
      </c>
      <c r="X209" s="25">
        <f>IFERROR(Data!$K209/Data!$D209,"")</f>
        <v>0.24590163934426229</v>
      </c>
      <c r="Y209" s="25">
        <f>IFERROR(Data!$L209/Data!$D209,"")</f>
        <v>0.24590163934426229</v>
      </c>
      <c r="Z209" s="25">
        <f>IFERROR(Data!$M209/Data!$D209,"")</f>
        <v>3.2786885245901641E-2</v>
      </c>
      <c r="AA209" s="26">
        <v>232.14</v>
      </c>
      <c r="AB209" s="26">
        <f t="shared" si="33"/>
        <v>15.475999999999999</v>
      </c>
      <c r="AC209" s="23">
        <f t="shared" si="30"/>
        <v>651.46153846153845</v>
      </c>
      <c r="AD209" s="23">
        <f t="shared" si="31"/>
        <v>14.307692307692308</v>
      </c>
      <c r="AE209" s="23">
        <f>YEAR(Data!$C209)</f>
        <v>2021</v>
      </c>
      <c r="AF209" s="23"/>
      <c r="AG209" s="23">
        <v>12</v>
      </c>
      <c r="AH209" s="27">
        <f>Data!$F209/Data!$D209</f>
        <v>11.196721311475409</v>
      </c>
      <c r="AI209" s="17" t="str">
        <f>RIGHT(Data!$O209,2)</f>
        <v>AM</v>
      </c>
      <c r="AJ209" s="23" t="str">
        <f>Data!$R209&amp;"-"&amp;WEEKNUM(Data!$C209,1)-WEEKNUM(DATE(YEAR(Data!$C209),MONTH(Data!$C209),1),1)+1</f>
        <v>9-2021-4</v>
      </c>
      <c r="AK209" s="23">
        <f>MONTH(Data!$C209)</f>
        <v>9</v>
      </c>
      <c r="AL209" s="23">
        <f>IFERROR(Data!$F209/Data!$E209,0)</f>
        <v>40.176470588235297</v>
      </c>
      <c r="AM209" s="23">
        <f>COUNTIF(Data!$N$2:$N$825,Data!$N209)</f>
        <v>191</v>
      </c>
      <c r="AN209" s="23" t="str">
        <f>VLOOKUP(Data!$N209,'Helpful Tables'!A:D,4,FALSE)</f>
        <v>Washington, DC</v>
      </c>
      <c r="AO209" s="23">
        <f>COUNTIF(AN:AN,Data!$AN209)/COUNTA(AN:AN)</f>
        <v>0.62424242424242427</v>
      </c>
      <c r="AP209" s="23">
        <v>38.949649000000001</v>
      </c>
      <c r="AQ209" s="23">
        <v>-77.080878999999996</v>
      </c>
      <c r="AR209" s="23">
        <f>COUNTIF(Data!$P$2:$P$825,Data!$P209)</f>
        <v>20</v>
      </c>
      <c r="AS209" s="23" cm="1">
        <f t="array" ref="AS209">_xlfn.IFS(Data!$E209&lt;12,((Data!$E209/Data!$D209)*60)*1,AND(Data!$E209&gt;=12,Data!$E209&lt;=15),((Data!$E209/Data!$D209)*60)*1.2,AND(Data!$E209&gt;=16,Data!$E209&lt;=19),((Data!$E209/Data!$D209)*60)*1.5,Data!$E209&gt;=20,((Data!$E209/Data!$D209)*60)*1.8)</f>
        <v>25.081967213114751</v>
      </c>
      <c r="AT209" s="23" cm="1">
        <f t="array" ref="AT209">_xlfn.IFS(Data!$F209&lt;600,((Data!$F209/Data!$D209)*60)*1,AND(Data!$F209&gt;=600,Data!$F209&lt;=625),((Data!$F209/Data!$D209)*60)*1.2,AND(Data!$F209&gt;=626,Data!$F209&lt;=650),((Data!$F209/Data!$D209)*60)*1.5,Data!$F209&gt;=651,((Data!$F209/Data!$D209)*60)*1.8)</f>
        <v>1209.2459016393441</v>
      </c>
      <c r="AU209" s="23">
        <f>(Data!$I209*-1.2)+(Data!$J209*-1.1)+(Data!$K209*1.2)+(Data!$L209*1.3)+(Data!$M209*1.5)</f>
        <v>7.5</v>
      </c>
      <c r="AV209" s="23">
        <f>(Data!$AS209*0.4)+(Data!$AT209*0.4)+(Data!$AU209*0.2)</f>
        <v>495.23114754098356</v>
      </c>
      <c r="AW209" s="23">
        <f>PERCENTRANK(AV:AV,Data!$AV209)*100</f>
        <v>74.8</v>
      </c>
      <c r="AX209" s="23" t="str">
        <f>_xlfn.CONCAT(TEXT(C209,"mmm"),"-",Data!$AE209)</f>
        <v>Sep-2021</v>
      </c>
    </row>
    <row r="210" spans="1:50" ht="17" thickTop="1" thickBot="1" x14ac:dyDescent="0.25">
      <c r="A210" s="28">
        <v>209</v>
      </c>
      <c r="B210" s="29">
        <f t="shared" si="26"/>
        <v>15</v>
      </c>
      <c r="C210" s="41">
        <v>44460</v>
      </c>
      <c r="D210" s="30">
        <f>SUM(Data!$I210:$M210)</f>
        <v>59</v>
      </c>
      <c r="E210" s="29">
        <v>18</v>
      </c>
      <c r="F210" s="29">
        <v>708</v>
      </c>
      <c r="G210" s="29">
        <v>169</v>
      </c>
      <c r="H210" s="29">
        <v>134</v>
      </c>
      <c r="I210" s="29">
        <v>4</v>
      </c>
      <c r="J210" s="29">
        <v>15</v>
      </c>
      <c r="K210" s="29">
        <v>22</v>
      </c>
      <c r="L210" s="29">
        <v>15</v>
      </c>
      <c r="M210" s="29">
        <v>3</v>
      </c>
      <c r="N210" s="29" t="s">
        <v>101</v>
      </c>
      <c r="O210" s="29" t="s">
        <v>39</v>
      </c>
      <c r="P210" s="29" t="s">
        <v>133</v>
      </c>
      <c r="Q210" s="29">
        <f t="shared" si="32"/>
        <v>1</v>
      </c>
      <c r="R210" s="29" t="str">
        <f t="shared" si="27"/>
        <v>9-2021</v>
      </c>
      <c r="S210" s="29" t="s">
        <v>104</v>
      </c>
      <c r="T210" s="29" t="str">
        <f t="shared" si="28"/>
        <v>Tuesday</v>
      </c>
      <c r="U210" s="29">
        <f t="shared" si="29"/>
        <v>1</v>
      </c>
      <c r="V210" s="31">
        <f>IFERROR(Data!$I210/Data!$D210,"")</f>
        <v>6.7796610169491525E-2</v>
      </c>
      <c r="W210" s="31">
        <f>IFERROR(Data!$J210/Data!$D210,"")</f>
        <v>0.25423728813559321</v>
      </c>
      <c r="X210" s="31">
        <f>IFERROR(Data!$K210/Data!$D210,"")</f>
        <v>0.3728813559322034</v>
      </c>
      <c r="Y210" s="31">
        <f>IFERROR(Data!$L210/Data!$D210,"")</f>
        <v>0.25423728813559321</v>
      </c>
      <c r="Z210" s="31">
        <f>IFERROR(Data!$M210/Data!$D210,"")</f>
        <v>5.0847457627118647E-2</v>
      </c>
      <c r="AA210" s="32">
        <v>232.14</v>
      </c>
      <c r="AB210" s="32">
        <f t="shared" si="33"/>
        <v>15.475999999999999</v>
      </c>
      <c r="AC210" s="29">
        <f t="shared" si="30"/>
        <v>651.46153846153845</v>
      </c>
      <c r="AD210" s="29">
        <f t="shared" si="31"/>
        <v>14.307692307692308</v>
      </c>
      <c r="AE210" s="29">
        <f>YEAR(Data!$C210)</f>
        <v>2021</v>
      </c>
      <c r="AF210" s="29"/>
      <c r="AG210" s="29">
        <v>12</v>
      </c>
      <c r="AH210" s="33">
        <f>Data!$F210/Data!$D210</f>
        <v>12</v>
      </c>
      <c r="AI210" s="17" t="str">
        <f>RIGHT(Data!$O210,2)</f>
        <v>PM</v>
      </c>
      <c r="AJ210" s="29" t="str">
        <f>Data!$R210&amp;"-"&amp;WEEKNUM(Data!$C210,1)-WEEKNUM(DATE(YEAR(Data!$C210),MONTH(Data!$C210),1),1)+1</f>
        <v>9-2021-4</v>
      </c>
      <c r="AK210" s="29">
        <f>MONTH(Data!$C210)</f>
        <v>9</v>
      </c>
      <c r="AL210" s="29">
        <f>IFERROR(Data!$F210/Data!$E210,0)</f>
        <v>39.333333333333336</v>
      </c>
      <c r="AM210" s="29">
        <f>COUNTIF(Data!$N$2:$N$825,Data!$N210)</f>
        <v>191</v>
      </c>
      <c r="AN210" s="29" t="str">
        <f>VLOOKUP(Data!$N210,'Helpful Tables'!A:D,4,FALSE)</f>
        <v>Washington, DC</v>
      </c>
      <c r="AO210" s="29">
        <f>COUNTIF(AN:AN,Data!$AN210)/COUNTA(AN:AN)</f>
        <v>0.62424242424242427</v>
      </c>
      <c r="AP210" s="29">
        <v>38.949649000000001</v>
      </c>
      <c r="AQ210" s="29">
        <v>-77.080878999999996</v>
      </c>
      <c r="AR210" s="29">
        <f>COUNTIF(Data!$P$2:$P$825,Data!$P210)</f>
        <v>25</v>
      </c>
      <c r="AS210" s="29" cm="1">
        <f t="array" ref="AS210">_xlfn.IFS(Data!$E210&lt;12,((Data!$E210/Data!$D210)*60)*1,AND(Data!$E210&gt;=12,Data!$E210&lt;=15),((Data!$E210/Data!$D210)*60)*1.2,AND(Data!$E210&gt;=16,Data!$E210&lt;=19),((Data!$E210/Data!$D210)*60)*1.5,Data!$E210&gt;=20,((Data!$E210/Data!$D210)*60)*1.8)</f>
        <v>27.457627118644069</v>
      </c>
      <c r="AT210" s="29" cm="1">
        <f t="array" ref="AT210">_xlfn.IFS(Data!$F210&lt;600,((Data!$F210/Data!$D210)*60)*1,AND(Data!$F210&gt;=600,Data!$F210&lt;=625),((Data!$F210/Data!$D210)*60)*1.2,AND(Data!$F210&gt;=626,Data!$F210&lt;=650),((Data!$F210/Data!$D210)*60)*1.5,Data!$F210&gt;=651,((Data!$F210/Data!$D210)*60)*1.8)</f>
        <v>1296</v>
      </c>
      <c r="AU210" s="29">
        <f>(Data!$I210*-1.2)+(Data!$J210*-1.1)+(Data!$K210*1.2)+(Data!$L210*1.3)+(Data!$M210*1.5)</f>
        <v>29.099999999999998</v>
      </c>
      <c r="AV210" s="29">
        <f>(Data!$AS210*0.4)+(Data!$AT210*0.4)+(Data!$AU210*0.2)</f>
        <v>535.20305084745769</v>
      </c>
      <c r="AW210" s="29">
        <f>PERCENTRANK(AV:AV,Data!$AV210)*100</f>
        <v>95.1</v>
      </c>
      <c r="AX210" s="29" t="str">
        <f>_xlfn.CONCAT(TEXT(C210,"mmm"),"-",Data!$AE210)</f>
        <v>Sep-2021</v>
      </c>
    </row>
    <row r="211" spans="1:50" ht="17" thickTop="1" thickBot="1" x14ac:dyDescent="0.25">
      <c r="A211" s="22">
        <v>210</v>
      </c>
      <c r="B211" s="23">
        <f t="shared" si="26"/>
        <v>15</v>
      </c>
      <c r="C211" s="41">
        <v>44462</v>
      </c>
      <c r="D211" s="24">
        <f>SUM(Data!$I211:$M211)</f>
        <v>57</v>
      </c>
      <c r="E211" s="23">
        <v>14</v>
      </c>
      <c r="F211" s="23">
        <v>644</v>
      </c>
      <c r="G211" s="23">
        <v>163</v>
      </c>
      <c r="H211" s="23">
        <v>129</v>
      </c>
      <c r="I211" s="23">
        <v>11</v>
      </c>
      <c r="J211" s="23">
        <v>14</v>
      </c>
      <c r="K211" s="23">
        <v>18</v>
      </c>
      <c r="L211" s="23">
        <v>14</v>
      </c>
      <c r="M211" s="23">
        <v>0</v>
      </c>
      <c r="N211" s="23" t="s">
        <v>91</v>
      </c>
      <c r="O211" s="23" t="s">
        <v>39</v>
      </c>
      <c r="P211" s="23" t="s">
        <v>96</v>
      </c>
      <c r="Q211" s="23">
        <f t="shared" si="32"/>
        <v>2</v>
      </c>
      <c r="R211" s="23" t="str">
        <f t="shared" si="27"/>
        <v>9-2021</v>
      </c>
      <c r="S211" s="23" t="s">
        <v>117</v>
      </c>
      <c r="T211" s="23" t="str">
        <f t="shared" si="28"/>
        <v>Thursday</v>
      </c>
      <c r="U211" s="23">
        <f t="shared" si="29"/>
        <v>1</v>
      </c>
      <c r="V211" s="25">
        <f>IFERROR(Data!$I211/Data!$D211,"")</f>
        <v>0.19298245614035087</v>
      </c>
      <c r="W211" s="25">
        <f>IFERROR(Data!$J211/Data!$D211,"")</f>
        <v>0.24561403508771928</v>
      </c>
      <c r="X211" s="25">
        <f>IFERROR(Data!$K211/Data!$D211,"")</f>
        <v>0.31578947368421051</v>
      </c>
      <c r="Y211" s="25">
        <f>IFERROR(Data!$L211/Data!$D211,"")</f>
        <v>0.24561403508771928</v>
      </c>
      <c r="Z211" s="25">
        <f>IFERROR(Data!$M211/Data!$D211,"")</f>
        <v>0</v>
      </c>
      <c r="AA211" s="26">
        <v>232.14</v>
      </c>
      <c r="AB211" s="26">
        <f t="shared" si="33"/>
        <v>15.475999999999999</v>
      </c>
      <c r="AC211" s="23">
        <f t="shared" si="30"/>
        <v>651.46153846153845</v>
      </c>
      <c r="AD211" s="23">
        <f t="shared" si="31"/>
        <v>14.307692307692308</v>
      </c>
      <c r="AE211" s="23">
        <f>YEAR(Data!$C211)</f>
        <v>2021</v>
      </c>
      <c r="AF211" s="23"/>
      <c r="AG211" s="23">
        <v>12</v>
      </c>
      <c r="AH211" s="27">
        <f>Data!$F211/Data!$D211</f>
        <v>11.298245614035087</v>
      </c>
      <c r="AI211" s="17" t="str">
        <f>RIGHT(Data!$O211,2)</f>
        <v>PM</v>
      </c>
      <c r="AJ211" s="23" t="str">
        <f>Data!$R211&amp;"-"&amp;WEEKNUM(Data!$C211,1)-WEEKNUM(DATE(YEAR(Data!$C211),MONTH(Data!$C211),1),1)+1</f>
        <v>9-2021-4</v>
      </c>
      <c r="AK211" s="23">
        <f>MONTH(Data!$C211)</f>
        <v>9</v>
      </c>
      <c r="AL211" s="23">
        <f>IFERROR(Data!$F211/Data!$E211,0)</f>
        <v>46</v>
      </c>
      <c r="AM211" s="23">
        <f>COUNTIF(Data!$N$2:$N$825,Data!$N211)</f>
        <v>218</v>
      </c>
      <c r="AN211" s="23" t="str">
        <f>VLOOKUP(Data!$N211,'Helpful Tables'!A:D,4,FALSE)</f>
        <v>Washington, DC</v>
      </c>
      <c r="AO211" s="23">
        <f>COUNTIF(AN:AN,Data!$AN211)/COUNTA(AN:AN)</f>
        <v>0.62424242424242427</v>
      </c>
      <c r="AP211" s="23">
        <v>38.934710000000003</v>
      </c>
      <c r="AQ211" s="23">
        <v>-77.058222999999998</v>
      </c>
      <c r="AR211" s="23">
        <f>COUNTIF(Data!$P$2:$P$825,Data!$P211)</f>
        <v>71</v>
      </c>
      <c r="AS211" s="23" cm="1">
        <f t="array" ref="AS211">_xlfn.IFS(Data!$E211&lt;12,((Data!$E211/Data!$D211)*60)*1,AND(Data!$E211&gt;=12,Data!$E211&lt;=15),((Data!$E211/Data!$D211)*60)*1.2,AND(Data!$E211&gt;=16,Data!$E211&lt;=19),((Data!$E211/Data!$D211)*60)*1.5,Data!$E211&gt;=20,((Data!$E211/Data!$D211)*60)*1.8)</f>
        <v>17.684210526315788</v>
      </c>
      <c r="AT211" s="23" cm="1">
        <f t="array" ref="AT211">_xlfn.IFS(Data!$F211&lt;600,((Data!$F211/Data!$D211)*60)*1,AND(Data!$F211&gt;=600,Data!$F211&lt;=625),((Data!$F211/Data!$D211)*60)*1.2,AND(Data!$F211&gt;=626,Data!$F211&lt;=650),((Data!$F211/Data!$D211)*60)*1.5,Data!$F211&gt;=651,((Data!$F211/Data!$D211)*60)*1.8)</f>
        <v>1016.8421052631578</v>
      </c>
      <c r="AU211" s="23">
        <f>(Data!$I211*-1.2)+(Data!$J211*-1.1)+(Data!$K211*1.2)+(Data!$L211*1.3)+(Data!$M211*1.5)</f>
        <v>11.199999999999996</v>
      </c>
      <c r="AV211" s="23">
        <f>(Data!$AS211*0.4)+(Data!$AT211*0.4)+(Data!$AU211*0.2)</f>
        <v>416.05052631578945</v>
      </c>
      <c r="AW211" s="23">
        <f>PERCENTRANK(AV:AV,Data!$AV211)*100</f>
        <v>59.599999999999994</v>
      </c>
      <c r="AX211" s="23" t="str">
        <f>_xlfn.CONCAT(TEXT(C211,"mmm"),"-",Data!$AE211)</f>
        <v>Sep-2021</v>
      </c>
    </row>
    <row r="212" spans="1:50" ht="17" thickTop="1" thickBot="1" x14ac:dyDescent="0.25">
      <c r="A212" s="28">
        <v>211</v>
      </c>
      <c r="B212" s="29">
        <f t="shared" si="26"/>
        <v>15</v>
      </c>
      <c r="C212" s="41">
        <v>44464</v>
      </c>
      <c r="D212" s="30">
        <f>SUM(Data!$I212:$M212)</f>
        <v>55</v>
      </c>
      <c r="E212" s="29">
        <v>16</v>
      </c>
      <c r="F212" s="29">
        <v>614</v>
      </c>
      <c r="G212" s="29">
        <v>169</v>
      </c>
      <c r="H212" s="29">
        <v>126</v>
      </c>
      <c r="I212" s="29">
        <v>15</v>
      </c>
      <c r="J212" s="29">
        <v>12</v>
      </c>
      <c r="K212" s="29">
        <v>12</v>
      </c>
      <c r="L212" s="29">
        <v>15</v>
      </c>
      <c r="M212" s="29">
        <v>1</v>
      </c>
      <c r="N212" s="29" t="s">
        <v>91</v>
      </c>
      <c r="O212" s="29" t="s">
        <v>45</v>
      </c>
      <c r="P212" s="29" t="s">
        <v>108</v>
      </c>
      <c r="Q212" s="29">
        <f t="shared" si="32"/>
        <v>2</v>
      </c>
      <c r="R212" s="29" t="str">
        <f t="shared" si="27"/>
        <v>9-2021</v>
      </c>
      <c r="S212" s="29" t="s">
        <v>104</v>
      </c>
      <c r="T212" s="29" t="str">
        <f t="shared" si="28"/>
        <v>Saturday</v>
      </c>
      <c r="U212" s="29">
        <f t="shared" si="29"/>
        <v>1</v>
      </c>
      <c r="V212" s="31">
        <f>IFERROR(Data!$I212/Data!$D212,"")</f>
        <v>0.27272727272727271</v>
      </c>
      <c r="W212" s="31">
        <f>IFERROR(Data!$J212/Data!$D212,"")</f>
        <v>0.21818181818181817</v>
      </c>
      <c r="X212" s="31">
        <f>IFERROR(Data!$K212/Data!$D212,"")</f>
        <v>0.21818181818181817</v>
      </c>
      <c r="Y212" s="31">
        <f>IFERROR(Data!$L212/Data!$D212,"")</f>
        <v>0.27272727272727271</v>
      </c>
      <c r="Z212" s="31">
        <f>IFERROR(Data!$M212/Data!$D212,"")</f>
        <v>1.8181818181818181E-2</v>
      </c>
      <c r="AA212" s="32">
        <v>232.14</v>
      </c>
      <c r="AB212" s="32">
        <f t="shared" si="33"/>
        <v>15.475999999999999</v>
      </c>
      <c r="AC212" s="29">
        <f t="shared" si="30"/>
        <v>651.46153846153845</v>
      </c>
      <c r="AD212" s="29">
        <f t="shared" si="31"/>
        <v>14.307692307692308</v>
      </c>
      <c r="AE212" s="29">
        <f>YEAR(Data!$C212)</f>
        <v>2021</v>
      </c>
      <c r="AF212" s="29"/>
      <c r="AG212" s="29">
        <v>12</v>
      </c>
      <c r="AH212" s="33">
        <f>Data!$F212/Data!$D212</f>
        <v>11.163636363636364</v>
      </c>
      <c r="AI212" s="17" t="str">
        <f>RIGHT(Data!$O212,2)</f>
        <v>AM</v>
      </c>
      <c r="AJ212" s="29" t="str">
        <f>Data!$R212&amp;"-"&amp;WEEKNUM(Data!$C212,1)-WEEKNUM(DATE(YEAR(Data!$C212),MONTH(Data!$C212),1),1)+1</f>
        <v>9-2021-4</v>
      </c>
      <c r="AK212" s="29">
        <f>MONTH(Data!$C212)</f>
        <v>9</v>
      </c>
      <c r="AL212" s="29">
        <f>IFERROR(Data!$F212/Data!$E212,0)</f>
        <v>38.375</v>
      </c>
      <c r="AM212" s="29">
        <f>COUNTIF(Data!$N$2:$N$825,Data!$N212)</f>
        <v>218</v>
      </c>
      <c r="AN212" s="29" t="str">
        <f>VLOOKUP(Data!$N212,'Helpful Tables'!A:D,4,FALSE)</f>
        <v>Washington, DC</v>
      </c>
      <c r="AO212" s="29">
        <f>COUNTIF(AN:AN,Data!$AN212)/COUNTA(AN:AN)</f>
        <v>0.62424242424242427</v>
      </c>
      <c r="AP212" s="29">
        <v>38.934710000000003</v>
      </c>
      <c r="AQ212" s="29">
        <v>-77.058222999999998</v>
      </c>
      <c r="AR212" s="29">
        <f>COUNTIF(Data!$P$2:$P$825,Data!$P212)</f>
        <v>3</v>
      </c>
      <c r="AS212" s="29" cm="1">
        <f t="array" ref="AS212">_xlfn.IFS(Data!$E212&lt;12,((Data!$E212/Data!$D212)*60)*1,AND(Data!$E212&gt;=12,Data!$E212&lt;=15),((Data!$E212/Data!$D212)*60)*1.2,AND(Data!$E212&gt;=16,Data!$E212&lt;=19),((Data!$E212/Data!$D212)*60)*1.5,Data!$E212&gt;=20,((Data!$E212/Data!$D212)*60)*1.8)</f>
        <v>26.18181818181818</v>
      </c>
      <c r="AT212" s="29" cm="1">
        <f t="array" ref="AT212">_xlfn.IFS(Data!$F212&lt;600,((Data!$F212/Data!$D212)*60)*1,AND(Data!$F212&gt;=600,Data!$F212&lt;=625),((Data!$F212/Data!$D212)*60)*1.2,AND(Data!$F212&gt;=626,Data!$F212&lt;=650),((Data!$F212/Data!$D212)*60)*1.5,Data!$F212&gt;=651,((Data!$F212/Data!$D212)*60)*1.8)</f>
        <v>803.78181818181827</v>
      </c>
      <c r="AU212" s="29">
        <f>(Data!$I212*-1.2)+(Data!$J212*-1.1)+(Data!$K212*1.2)+(Data!$L212*1.3)+(Data!$M212*1.5)</f>
        <v>4.1999999999999957</v>
      </c>
      <c r="AV212" s="29">
        <f>(Data!$AS212*0.4)+(Data!$AT212*0.4)+(Data!$AU212*0.2)</f>
        <v>332.82545454545459</v>
      </c>
      <c r="AW212" s="29">
        <f>PERCENTRANK(AV:AV,Data!$AV212)*100</f>
        <v>42.199999999999996</v>
      </c>
      <c r="AX212" s="29" t="str">
        <f>_xlfn.CONCAT(TEXT(C212,"mmm"),"-",Data!$AE212)</f>
        <v>Sep-2021</v>
      </c>
    </row>
    <row r="213" spans="1:50" ht="17" thickTop="1" thickBot="1" x14ac:dyDescent="0.25">
      <c r="A213" s="22">
        <v>212</v>
      </c>
      <c r="B213" s="23">
        <f t="shared" si="26"/>
        <v>15</v>
      </c>
      <c r="C213" s="41">
        <v>44466</v>
      </c>
      <c r="D213" s="24">
        <f>SUM(Data!$I213:$M213)</f>
        <v>61</v>
      </c>
      <c r="E213" s="23">
        <v>9</v>
      </c>
      <c r="F213" s="23">
        <v>590</v>
      </c>
      <c r="G213" s="23">
        <v>167</v>
      </c>
      <c r="H213" s="23">
        <v>118</v>
      </c>
      <c r="I213" s="23">
        <v>23</v>
      </c>
      <c r="J213" s="23">
        <v>17</v>
      </c>
      <c r="K213" s="23">
        <v>12</v>
      </c>
      <c r="L213" s="23">
        <v>9</v>
      </c>
      <c r="M213" s="23">
        <v>0</v>
      </c>
      <c r="N213" s="23" t="s">
        <v>101</v>
      </c>
      <c r="O213" s="23" t="s">
        <v>39</v>
      </c>
      <c r="P213" s="23" t="s">
        <v>133</v>
      </c>
      <c r="Q213" s="23">
        <f t="shared" si="32"/>
        <v>2</v>
      </c>
      <c r="R213" s="23" t="str">
        <f t="shared" si="27"/>
        <v>9-2021</v>
      </c>
      <c r="S213" s="23" t="s">
        <v>104</v>
      </c>
      <c r="T213" s="23" t="str">
        <f t="shared" si="28"/>
        <v>Monday</v>
      </c>
      <c r="U213" s="23">
        <f t="shared" si="29"/>
        <v>0</v>
      </c>
      <c r="V213" s="25">
        <f>IFERROR(Data!$I213/Data!$D213,"")</f>
        <v>0.37704918032786883</v>
      </c>
      <c r="W213" s="25">
        <f>IFERROR(Data!$J213/Data!$D213,"")</f>
        <v>0.27868852459016391</v>
      </c>
      <c r="X213" s="25">
        <f>IFERROR(Data!$K213/Data!$D213,"")</f>
        <v>0.19672131147540983</v>
      </c>
      <c r="Y213" s="25">
        <f>IFERROR(Data!$L213/Data!$D213,"")</f>
        <v>0.14754098360655737</v>
      </c>
      <c r="Z213" s="25">
        <f>IFERROR(Data!$M213/Data!$D213,"")</f>
        <v>0</v>
      </c>
      <c r="AA213" s="26">
        <v>232.14</v>
      </c>
      <c r="AB213" s="26">
        <f t="shared" si="33"/>
        <v>15.475999999999999</v>
      </c>
      <c r="AC213" s="23">
        <f t="shared" si="30"/>
        <v>651.46153846153845</v>
      </c>
      <c r="AD213" s="23">
        <f t="shared" si="31"/>
        <v>14.307692307692308</v>
      </c>
      <c r="AE213" s="23">
        <f>YEAR(Data!$C213)</f>
        <v>2021</v>
      </c>
      <c r="AF213" s="23"/>
      <c r="AG213" s="23">
        <v>12</v>
      </c>
      <c r="AH213" s="27">
        <f>Data!$F213/Data!$D213</f>
        <v>9.6721311475409841</v>
      </c>
      <c r="AI213" s="17" t="str">
        <f>RIGHT(Data!$O213,2)</f>
        <v>PM</v>
      </c>
      <c r="AJ213" s="23" t="str">
        <f>Data!$R213&amp;"-"&amp;WEEKNUM(Data!$C213,1)-WEEKNUM(DATE(YEAR(Data!$C213),MONTH(Data!$C213),1),1)+1</f>
        <v>9-2021-5</v>
      </c>
      <c r="AK213" s="23">
        <f>MONTH(Data!$C213)</f>
        <v>9</v>
      </c>
      <c r="AL213" s="23">
        <f>IFERROR(Data!$F213/Data!$E213,0)</f>
        <v>65.555555555555557</v>
      </c>
      <c r="AM213" s="23">
        <f>COUNTIF(Data!$N$2:$N$825,Data!$N213)</f>
        <v>191</v>
      </c>
      <c r="AN213" s="23" t="str">
        <f>VLOOKUP(Data!$N213,'Helpful Tables'!A:D,4,FALSE)</f>
        <v>Washington, DC</v>
      </c>
      <c r="AO213" s="23">
        <f>COUNTIF(AN:AN,Data!$AN213)/COUNTA(AN:AN)</f>
        <v>0.62424242424242427</v>
      </c>
      <c r="AP213" s="23">
        <v>38.949649000000001</v>
      </c>
      <c r="AQ213" s="23">
        <v>-77.080878999999996</v>
      </c>
      <c r="AR213" s="23">
        <f>COUNTIF(Data!$P$2:$P$825,Data!$P213)</f>
        <v>25</v>
      </c>
      <c r="AS213" s="23" cm="1">
        <f t="array" ref="AS213">_xlfn.IFS(Data!$E213&lt;12,((Data!$E213/Data!$D213)*60)*1,AND(Data!$E213&gt;=12,Data!$E213&lt;=15),((Data!$E213/Data!$D213)*60)*1.2,AND(Data!$E213&gt;=16,Data!$E213&lt;=19),((Data!$E213/Data!$D213)*60)*1.5,Data!$E213&gt;=20,((Data!$E213/Data!$D213)*60)*1.8)</f>
        <v>8.8524590163934427</v>
      </c>
      <c r="AT213" s="23" cm="1">
        <f t="array" ref="AT213">_xlfn.IFS(Data!$F213&lt;600,((Data!$F213/Data!$D213)*60)*1,AND(Data!$F213&gt;=600,Data!$F213&lt;=625),((Data!$F213/Data!$D213)*60)*1.2,AND(Data!$F213&gt;=626,Data!$F213&lt;=650),((Data!$F213/Data!$D213)*60)*1.5,Data!$F213&gt;=651,((Data!$F213/Data!$D213)*60)*1.8)</f>
        <v>580.32786885245901</v>
      </c>
      <c r="AU213" s="23">
        <f>(Data!$I213*-1.2)+(Data!$J213*-1.1)+(Data!$K213*1.2)+(Data!$L213*1.3)+(Data!$M213*1.5)</f>
        <v>-20.199999999999996</v>
      </c>
      <c r="AV213" s="23">
        <f>(Data!$AS213*0.4)+(Data!$AT213*0.4)+(Data!$AU213*0.2)</f>
        <v>231.632131147541</v>
      </c>
      <c r="AW213" s="23">
        <f>PERCENTRANK(AV:AV,Data!$AV213)*100</f>
        <v>7.7</v>
      </c>
      <c r="AX213" s="23" t="str">
        <f>_xlfn.CONCAT(TEXT(C213,"mmm"),"-",Data!$AE213)</f>
        <v>Sep-2021</v>
      </c>
    </row>
    <row r="214" spans="1:50" ht="17" thickTop="1" thickBot="1" x14ac:dyDescent="0.25">
      <c r="A214" s="28">
        <v>213</v>
      </c>
      <c r="B214" s="29">
        <f t="shared" si="26"/>
        <v>15</v>
      </c>
      <c r="C214" s="41">
        <v>44468</v>
      </c>
      <c r="D214" s="30">
        <f>SUM(Data!$I214:$M214)</f>
        <v>58</v>
      </c>
      <c r="E214" s="29">
        <v>13</v>
      </c>
      <c r="F214" s="29">
        <v>602</v>
      </c>
      <c r="G214" s="29">
        <v>168</v>
      </c>
      <c r="H214" s="29">
        <v>121</v>
      </c>
      <c r="I214" s="29">
        <v>19</v>
      </c>
      <c r="J214" s="29">
        <v>18</v>
      </c>
      <c r="K214" s="29">
        <v>8</v>
      </c>
      <c r="L214" s="29">
        <v>11</v>
      </c>
      <c r="M214" s="29">
        <v>2</v>
      </c>
      <c r="N214" s="29" t="s">
        <v>91</v>
      </c>
      <c r="O214" s="29" t="s">
        <v>39</v>
      </c>
      <c r="P214" s="29" t="s">
        <v>96</v>
      </c>
      <c r="Q214" s="29">
        <f t="shared" si="32"/>
        <v>2</v>
      </c>
      <c r="R214" s="29" t="str">
        <f t="shared" si="27"/>
        <v>9-2021</v>
      </c>
      <c r="S214" s="29" t="s">
        <v>135</v>
      </c>
      <c r="T214" s="29" t="str">
        <f t="shared" si="28"/>
        <v>Wednesday</v>
      </c>
      <c r="U214" s="29">
        <f t="shared" si="29"/>
        <v>1</v>
      </c>
      <c r="V214" s="31">
        <f>IFERROR(Data!$I214/Data!$D214,"")</f>
        <v>0.32758620689655171</v>
      </c>
      <c r="W214" s="31">
        <f>IFERROR(Data!$J214/Data!$D214,"")</f>
        <v>0.31034482758620691</v>
      </c>
      <c r="X214" s="31">
        <f>IFERROR(Data!$K214/Data!$D214,"")</f>
        <v>0.13793103448275862</v>
      </c>
      <c r="Y214" s="31">
        <f>IFERROR(Data!$L214/Data!$D214,"")</f>
        <v>0.18965517241379309</v>
      </c>
      <c r="Z214" s="31">
        <f>IFERROR(Data!$M214/Data!$D214,"")</f>
        <v>3.4482758620689655E-2</v>
      </c>
      <c r="AA214" s="32">
        <v>232.14</v>
      </c>
      <c r="AB214" s="32">
        <f t="shared" si="33"/>
        <v>15.475999999999999</v>
      </c>
      <c r="AC214" s="29">
        <f t="shared" si="30"/>
        <v>651.46153846153845</v>
      </c>
      <c r="AD214" s="29">
        <f t="shared" si="31"/>
        <v>14.307692307692308</v>
      </c>
      <c r="AE214" s="29">
        <f>YEAR(Data!$C214)</f>
        <v>2021</v>
      </c>
      <c r="AF214" s="29"/>
      <c r="AG214" s="29">
        <v>12</v>
      </c>
      <c r="AH214" s="33">
        <f>Data!$F214/Data!$D214</f>
        <v>10.379310344827585</v>
      </c>
      <c r="AI214" s="17" t="str">
        <f>RIGHT(Data!$O214,2)</f>
        <v>PM</v>
      </c>
      <c r="AJ214" s="29" t="str">
        <f>Data!$R214&amp;"-"&amp;WEEKNUM(Data!$C214,1)-WEEKNUM(DATE(YEAR(Data!$C214),MONTH(Data!$C214),1),1)+1</f>
        <v>9-2021-5</v>
      </c>
      <c r="AK214" s="29">
        <f>MONTH(Data!$C214)</f>
        <v>9</v>
      </c>
      <c r="AL214" s="29">
        <f>IFERROR(Data!$F214/Data!$E214,0)</f>
        <v>46.307692307692307</v>
      </c>
      <c r="AM214" s="29">
        <f>COUNTIF(Data!$N$2:$N$825,Data!$N214)</f>
        <v>218</v>
      </c>
      <c r="AN214" s="29" t="str">
        <f>VLOOKUP(Data!$N214,'Helpful Tables'!A:D,4,FALSE)</f>
        <v>Washington, DC</v>
      </c>
      <c r="AO214" s="29">
        <f>COUNTIF(AN:AN,Data!$AN214)/COUNTA(AN:AN)</f>
        <v>0.62424242424242427</v>
      </c>
      <c r="AP214" s="29">
        <v>38.934710000000003</v>
      </c>
      <c r="AQ214" s="29">
        <v>-77.058222999999998</v>
      </c>
      <c r="AR214" s="29">
        <f>COUNTIF(Data!$P$2:$P$825,Data!$P214)</f>
        <v>71</v>
      </c>
      <c r="AS214" s="29" cm="1">
        <f t="array" ref="AS214">_xlfn.IFS(Data!$E214&lt;12,((Data!$E214/Data!$D214)*60)*1,AND(Data!$E214&gt;=12,Data!$E214&lt;=15),((Data!$E214/Data!$D214)*60)*1.2,AND(Data!$E214&gt;=16,Data!$E214&lt;=19),((Data!$E214/Data!$D214)*60)*1.5,Data!$E214&gt;=20,((Data!$E214/Data!$D214)*60)*1.8)</f>
        <v>16.137931034482758</v>
      </c>
      <c r="AT214" s="29" cm="1">
        <f t="array" ref="AT214">_xlfn.IFS(Data!$F214&lt;600,((Data!$F214/Data!$D214)*60)*1,AND(Data!$F214&gt;=600,Data!$F214&lt;=625),((Data!$F214/Data!$D214)*60)*1.2,AND(Data!$F214&gt;=626,Data!$F214&lt;=650),((Data!$F214/Data!$D214)*60)*1.5,Data!$F214&gt;=651,((Data!$F214/Data!$D214)*60)*1.8)</f>
        <v>747.31034482758616</v>
      </c>
      <c r="AU214" s="29">
        <f>(Data!$I214*-1.2)+(Data!$J214*-1.1)+(Data!$K214*1.2)+(Data!$L214*1.3)+(Data!$M214*1.5)</f>
        <v>-15.7</v>
      </c>
      <c r="AV214" s="29">
        <f>(Data!$AS214*0.4)+(Data!$AT214*0.4)+(Data!$AU214*0.2)</f>
        <v>302.23931034482757</v>
      </c>
      <c r="AW214" s="29">
        <f>PERCENTRANK(AV:AV,Data!$AV214)*100</f>
        <v>27.200000000000003</v>
      </c>
      <c r="AX214" s="29" t="str">
        <f>_xlfn.CONCAT(TEXT(C214,"mmm"),"-",Data!$AE214)</f>
        <v>Sep-2021</v>
      </c>
    </row>
    <row r="215" spans="1:50" ht="17" thickTop="1" thickBot="1" x14ac:dyDescent="0.25">
      <c r="A215" s="22">
        <v>214</v>
      </c>
      <c r="B215" s="23">
        <f t="shared" si="26"/>
        <v>15</v>
      </c>
      <c r="C215" s="41">
        <v>44469</v>
      </c>
      <c r="D215" s="24">
        <f>SUM(Data!$I215:$M215)</f>
        <v>56</v>
      </c>
      <c r="E215" s="23">
        <v>12</v>
      </c>
      <c r="F215" s="23">
        <v>648</v>
      </c>
      <c r="G215" s="23">
        <v>165</v>
      </c>
      <c r="H215" s="23">
        <v>130</v>
      </c>
      <c r="I215" s="23">
        <v>6</v>
      </c>
      <c r="J215" s="23">
        <v>15</v>
      </c>
      <c r="K215" s="23">
        <v>23</v>
      </c>
      <c r="L215" s="23">
        <v>11</v>
      </c>
      <c r="M215" s="23">
        <v>1</v>
      </c>
      <c r="N215" s="23" t="s">
        <v>91</v>
      </c>
      <c r="O215" s="23" t="s">
        <v>39</v>
      </c>
      <c r="P215" s="23" t="s">
        <v>97</v>
      </c>
      <c r="Q215" s="23">
        <f t="shared" si="32"/>
        <v>1</v>
      </c>
      <c r="R215" s="23" t="str">
        <f t="shared" si="27"/>
        <v>9-2021</v>
      </c>
      <c r="S215" s="23" t="s">
        <v>135</v>
      </c>
      <c r="T215" s="23" t="str">
        <f t="shared" si="28"/>
        <v>Thursday</v>
      </c>
      <c r="U215" s="23">
        <f t="shared" si="29"/>
        <v>1</v>
      </c>
      <c r="V215" s="25">
        <f>IFERROR(Data!$I215/Data!$D215,"")</f>
        <v>0.10714285714285714</v>
      </c>
      <c r="W215" s="25">
        <f>IFERROR(Data!$J215/Data!$D215,"")</f>
        <v>0.26785714285714285</v>
      </c>
      <c r="X215" s="25">
        <f>IFERROR(Data!$K215/Data!$D215,"")</f>
        <v>0.4107142857142857</v>
      </c>
      <c r="Y215" s="25">
        <f>IFERROR(Data!$L215/Data!$D215,"")</f>
        <v>0.19642857142857142</v>
      </c>
      <c r="Z215" s="25">
        <f>IFERROR(Data!$M215/Data!$D215,"")</f>
        <v>1.7857142857142856E-2</v>
      </c>
      <c r="AA215" s="26">
        <v>232.14</v>
      </c>
      <c r="AB215" s="26">
        <f t="shared" si="33"/>
        <v>15.475999999999999</v>
      </c>
      <c r="AC215" s="23">
        <f t="shared" si="30"/>
        <v>651.46153846153845</v>
      </c>
      <c r="AD215" s="23">
        <f t="shared" si="31"/>
        <v>14.307692307692308</v>
      </c>
      <c r="AE215" s="23">
        <f>YEAR(Data!$C215)</f>
        <v>2021</v>
      </c>
      <c r="AF215" s="23"/>
      <c r="AG215" s="23">
        <v>12</v>
      </c>
      <c r="AH215" s="27">
        <f>Data!$F215/Data!$D215</f>
        <v>11.571428571428571</v>
      </c>
      <c r="AI215" s="17" t="str">
        <f>RIGHT(Data!$O215,2)</f>
        <v>PM</v>
      </c>
      <c r="AJ215" s="23" t="str">
        <f>Data!$R215&amp;"-"&amp;WEEKNUM(Data!$C215,1)-WEEKNUM(DATE(YEAR(Data!$C215),MONTH(Data!$C215),1),1)+1</f>
        <v>9-2021-5</v>
      </c>
      <c r="AK215" s="23">
        <f>MONTH(Data!$C215)</f>
        <v>9</v>
      </c>
      <c r="AL215" s="23">
        <f>IFERROR(Data!$F215/Data!$E215,0)</f>
        <v>54</v>
      </c>
      <c r="AM215" s="23">
        <f>COUNTIF(Data!$N$2:$N$825,Data!$N215)</f>
        <v>218</v>
      </c>
      <c r="AN215" s="23" t="str">
        <f>VLOOKUP(Data!$N215,'Helpful Tables'!A:D,4,FALSE)</f>
        <v>Washington, DC</v>
      </c>
      <c r="AO215" s="23">
        <f>COUNTIF(AN:AN,Data!$AN215)/COUNTA(AN:AN)</f>
        <v>0.62424242424242427</v>
      </c>
      <c r="AP215" s="23">
        <v>38.934710000000003</v>
      </c>
      <c r="AQ215" s="23">
        <v>-77.058222999999998</v>
      </c>
      <c r="AR215" s="23">
        <f>COUNTIF(Data!$P$2:$P$825,Data!$P215)</f>
        <v>14</v>
      </c>
      <c r="AS215" s="23" cm="1">
        <f t="array" ref="AS215">_xlfn.IFS(Data!$E215&lt;12,((Data!$E215/Data!$D215)*60)*1,AND(Data!$E215&gt;=12,Data!$E215&lt;=15),((Data!$E215/Data!$D215)*60)*1.2,AND(Data!$E215&gt;=16,Data!$E215&lt;=19),((Data!$E215/Data!$D215)*60)*1.5,Data!$E215&gt;=20,((Data!$E215/Data!$D215)*60)*1.8)</f>
        <v>15.428571428571427</v>
      </c>
      <c r="AT215" s="23" cm="1">
        <f t="array" ref="AT215">_xlfn.IFS(Data!$F215&lt;600,((Data!$F215/Data!$D215)*60)*1,AND(Data!$F215&gt;=600,Data!$F215&lt;=625),((Data!$F215/Data!$D215)*60)*1.2,AND(Data!$F215&gt;=626,Data!$F215&lt;=650),((Data!$F215/Data!$D215)*60)*1.5,Data!$F215&gt;=651,((Data!$F215/Data!$D215)*60)*1.8)</f>
        <v>1041.4285714285713</v>
      </c>
      <c r="AU215" s="23">
        <f>(Data!$I215*-1.2)+(Data!$J215*-1.1)+(Data!$K215*1.2)+(Data!$L215*1.3)+(Data!$M215*1.5)</f>
        <v>19.7</v>
      </c>
      <c r="AV215" s="23">
        <f>(Data!$AS215*0.4)+(Data!$AT215*0.4)+(Data!$AU215*0.2)</f>
        <v>426.68285714285713</v>
      </c>
      <c r="AW215" s="23">
        <f>PERCENTRANK(AV:AV,Data!$AV215)*100</f>
        <v>63.5</v>
      </c>
      <c r="AX215" s="23" t="str">
        <f>_xlfn.CONCAT(TEXT(C215,"mmm"),"-",Data!$AE215)</f>
        <v>Sep-2021</v>
      </c>
    </row>
    <row r="216" spans="1:50" ht="17" thickTop="1" thickBot="1" x14ac:dyDescent="0.25">
      <c r="A216" s="28">
        <v>215</v>
      </c>
      <c r="B216" s="29">
        <f t="shared" si="26"/>
        <v>15</v>
      </c>
      <c r="C216" s="41">
        <v>44471</v>
      </c>
      <c r="D216" s="30">
        <f>SUM(Data!$I216:$M216)</f>
        <v>56</v>
      </c>
      <c r="E216" s="29">
        <v>17</v>
      </c>
      <c r="F216" s="29">
        <v>634</v>
      </c>
      <c r="G216" s="29">
        <v>167</v>
      </c>
      <c r="H216" s="29">
        <v>129</v>
      </c>
      <c r="I216" s="29">
        <v>11</v>
      </c>
      <c r="J216" s="29">
        <v>13</v>
      </c>
      <c r="K216" s="29">
        <v>15</v>
      </c>
      <c r="L216" s="29">
        <v>15</v>
      </c>
      <c r="M216" s="29">
        <v>2</v>
      </c>
      <c r="N216" s="29" t="s">
        <v>91</v>
      </c>
      <c r="O216" s="29" t="s">
        <v>81</v>
      </c>
      <c r="P216" s="29" t="s">
        <v>136</v>
      </c>
      <c r="Q216" s="29">
        <f t="shared" si="32"/>
        <v>2</v>
      </c>
      <c r="R216" s="29" t="str">
        <f t="shared" si="27"/>
        <v>10-2021</v>
      </c>
      <c r="S216" s="29" t="s">
        <v>135</v>
      </c>
      <c r="T216" s="29" t="str">
        <f t="shared" si="28"/>
        <v>Saturday</v>
      </c>
      <c r="U216" s="29">
        <f t="shared" si="29"/>
        <v>1</v>
      </c>
      <c r="V216" s="31">
        <f>IFERROR(Data!$I216/Data!$D216,"")</f>
        <v>0.19642857142857142</v>
      </c>
      <c r="W216" s="31">
        <f>IFERROR(Data!$J216/Data!$D216,"")</f>
        <v>0.23214285714285715</v>
      </c>
      <c r="X216" s="31">
        <f>IFERROR(Data!$K216/Data!$D216,"")</f>
        <v>0.26785714285714285</v>
      </c>
      <c r="Y216" s="31">
        <f>IFERROR(Data!$L216/Data!$D216,"")</f>
        <v>0.26785714285714285</v>
      </c>
      <c r="Z216" s="31">
        <f>IFERROR(Data!$M216/Data!$D216,"")</f>
        <v>3.5714285714285712E-2</v>
      </c>
      <c r="AA216" s="32">
        <v>232.14</v>
      </c>
      <c r="AB216" s="32">
        <f t="shared" si="33"/>
        <v>15.475999999999999</v>
      </c>
      <c r="AC216" s="29">
        <f t="shared" si="30"/>
        <v>648.06666666666672</v>
      </c>
      <c r="AD216" s="29">
        <f t="shared" si="31"/>
        <v>16.133333333333333</v>
      </c>
      <c r="AE216" s="29">
        <f>YEAR(Data!$C216)</f>
        <v>2021</v>
      </c>
      <c r="AF216" s="29"/>
      <c r="AG216" s="29">
        <v>12</v>
      </c>
      <c r="AH216" s="33">
        <f>Data!$F216/Data!$D216</f>
        <v>11.321428571428571</v>
      </c>
      <c r="AI216" s="17" t="str">
        <f>RIGHT(Data!$O216,2)</f>
        <v>AM</v>
      </c>
      <c r="AJ216" s="29" t="str">
        <f>Data!$R216&amp;"-"&amp;WEEKNUM(Data!$C216,1)-WEEKNUM(DATE(YEAR(Data!$C216),MONTH(Data!$C216),1),1)+1</f>
        <v>10-2021-1</v>
      </c>
      <c r="AK216" s="29">
        <f>MONTH(Data!$C216)</f>
        <v>10</v>
      </c>
      <c r="AL216" s="29">
        <f>IFERROR(Data!$F216/Data!$E216,0)</f>
        <v>37.294117647058826</v>
      </c>
      <c r="AM216" s="29">
        <f>COUNTIF(Data!$N$2:$N$825,Data!$N216)</f>
        <v>218</v>
      </c>
      <c r="AN216" s="29" t="str">
        <f>VLOOKUP(Data!$N216,'Helpful Tables'!A:D,4,FALSE)</f>
        <v>Washington, DC</v>
      </c>
      <c r="AO216" s="29">
        <f>COUNTIF(AN:AN,Data!$AN216)/COUNTA(AN:AN)</f>
        <v>0.62424242424242427</v>
      </c>
      <c r="AP216" s="29">
        <v>38.934710000000003</v>
      </c>
      <c r="AQ216" s="29">
        <v>-77.058222999999998</v>
      </c>
      <c r="AR216" s="29">
        <f>COUNTIF(Data!$P$2:$P$825,Data!$P216)</f>
        <v>2</v>
      </c>
      <c r="AS216" s="29" cm="1">
        <f t="array" ref="AS216">_xlfn.IFS(Data!$E216&lt;12,((Data!$E216/Data!$D216)*60)*1,AND(Data!$E216&gt;=12,Data!$E216&lt;=15),((Data!$E216/Data!$D216)*60)*1.2,AND(Data!$E216&gt;=16,Data!$E216&lt;=19),((Data!$E216/Data!$D216)*60)*1.5,Data!$E216&gt;=20,((Data!$E216/Data!$D216)*60)*1.8)</f>
        <v>27.321428571428569</v>
      </c>
      <c r="AT216" s="29" cm="1">
        <f t="array" ref="AT216">_xlfn.IFS(Data!$F216&lt;600,((Data!$F216/Data!$D216)*60)*1,AND(Data!$F216&gt;=600,Data!$F216&lt;=625),((Data!$F216/Data!$D216)*60)*1.2,AND(Data!$F216&gt;=626,Data!$F216&lt;=650),((Data!$F216/Data!$D216)*60)*1.5,Data!$F216&gt;=651,((Data!$F216/Data!$D216)*60)*1.8)</f>
        <v>1018.9285714285713</v>
      </c>
      <c r="AU216" s="29">
        <f>(Data!$I216*-1.2)+(Data!$J216*-1.1)+(Data!$K216*1.2)+(Data!$L216*1.3)+(Data!$M216*1.5)</f>
        <v>13</v>
      </c>
      <c r="AV216" s="29">
        <f>(Data!$AS216*0.4)+(Data!$AT216*0.4)+(Data!$AU216*0.2)</f>
        <v>421.1</v>
      </c>
      <c r="AW216" s="29">
        <f>PERCENTRANK(AV:AV,Data!$AV216)*100</f>
        <v>61.4</v>
      </c>
      <c r="AX216" s="29" t="str">
        <f>_xlfn.CONCAT(TEXT(C216,"mmm"),"-",Data!$AE216)</f>
        <v>Oct-2021</v>
      </c>
    </row>
    <row r="217" spans="1:50" ht="17" thickTop="1" thickBot="1" x14ac:dyDescent="0.25">
      <c r="A217" s="22">
        <v>216</v>
      </c>
      <c r="B217" s="23">
        <f t="shared" si="26"/>
        <v>15</v>
      </c>
      <c r="C217" s="41">
        <v>44474</v>
      </c>
      <c r="D217" s="24">
        <f>SUM(Data!$I217:$M217)</f>
        <v>60</v>
      </c>
      <c r="E217" s="23">
        <v>15</v>
      </c>
      <c r="F217" s="23">
        <v>629</v>
      </c>
      <c r="G217" s="23">
        <v>166</v>
      </c>
      <c r="H217" s="23">
        <v>123</v>
      </c>
      <c r="I217" s="23">
        <v>16</v>
      </c>
      <c r="J217" s="23">
        <v>16</v>
      </c>
      <c r="K217" s="23">
        <v>13</v>
      </c>
      <c r="L217" s="23">
        <v>13</v>
      </c>
      <c r="M217" s="23">
        <v>2</v>
      </c>
      <c r="N217" s="23" t="s">
        <v>101</v>
      </c>
      <c r="O217" s="23" t="s">
        <v>39</v>
      </c>
      <c r="P217" s="23" t="s">
        <v>133</v>
      </c>
      <c r="Q217" s="23">
        <f t="shared" si="32"/>
        <v>3</v>
      </c>
      <c r="R217" s="23" t="str">
        <f t="shared" si="27"/>
        <v>10-2021</v>
      </c>
      <c r="S217" s="23" t="s">
        <v>104</v>
      </c>
      <c r="T217" s="23" t="str">
        <f t="shared" si="28"/>
        <v>Tuesday</v>
      </c>
      <c r="U217" s="23">
        <f t="shared" si="29"/>
        <v>1</v>
      </c>
      <c r="V217" s="25">
        <f>IFERROR(Data!$I217/Data!$D217,"")</f>
        <v>0.26666666666666666</v>
      </c>
      <c r="W217" s="25">
        <f>IFERROR(Data!$J217/Data!$D217,"")</f>
        <v>0.26666666666666666</v>
      </c>
      <c r="X217" s="25">
        <f>IFERROR(Data!$K217/Data!$D217,"")</f>
        <v>0.21666666666666667</v>
      </c>
      <c r="Y217" s="25">
        <f>IFERROR(Data!$L217/Data!$D217,"")</f>
        <v>0.21666666666666667</v>
      </c>
      <c r="Z217" s="25">
        <f>IFERROR(Data!$M217/Data!$D217,"")</f>
        <v>3.3333333333333333E-2</v>
      </c>
      <c r="AA217" s="26">
        <v>232.14</v>
      </c>
      <c r="AB217" s="26">
        <f t="shared" si="33"/>
        <v>15.475999999999999</v>
      </c>
      <c r="AC217" s="23">
        <f t="shared" si="30"/>
        <v>648.06666666666672</v>
      </c>
      <c r="AD217" s="23">
        <f t="shared" si="31"/>
        <v>16.133333333333333</v>
      </c>
      <c r="AE217" s="23">
        <f>YEAR(Data!$C217)</f>
        <v>2021</v>
      </c>
      <c r="AF217" s="23"/>
      <c r="AG217" s="23">
        <v>12</v>
      </c>
      <c r="AH217" s="27">
        <f>Data!$F217/Data!$D217</f>
        <v>10.483333333333333</v>
      </c>
      <c r="AI217" s="17" t="str">
        <f>RIGHT(Data!$O217,2)</f>
        <v>PM</v>
      </c>
      <c r="AJ217" s="23" t="str">
        <f>Data!$R217&amp;"-"&amp;WEEKNUM(Data!$C217,1)-WEEKNUM(DATE(YEAR(Data!$C217),MONTH(Data!$C217),1),1)+1</f>
        <v>10-2021-2</v>
      </c>
      <c r="AK217" s="23">
        <f>MONTH(Data!$C217)</f>
        <v>10</v>
      </c>
      <c r="AL217" s="23">
        <f>IFERROR(Data!$F217/Data!$E217,0)</f>
        <v>41.93333333333333</v>
      </c>
      <c r="AM217" s="23">
        <f>COUNTIF(Data!$N$2:$N$825,Data!$N217)</f>
        <v>191</v>
      </c>
      <c r="AN217" s="23" t="str">
        <f>VLOOKUP(Data!$N217,'Helpful Tables'!A:D,4,FALSE)</f>
        <v>Washington, DC</v>
      </c>
      <c r="AO217" s="23">
        <f>COUNTIF(AN:AN,Data!$AN217)/COUNTA(AN:AN)</f>
        <v>0.62424242424242427</v>
      </c>
      <c r="AP217" s="23">
        <v>38.949649000000001</v>
      </c>
      <c r="AQ217" s="23">
        <v>-77.080878999999996</v>
      </c>
      <c r="AR217" s="23">
        <f>COUNTIF(Data!$P$2:$P$825,Data!$P217)</f>
        <v>25</v>
      </c>
      <c r="AS217" s="23" cm="1">
        <f t="array" ref="AS217">_xlfn.IFS(Data!$E217&lt;12,((Data!$E217/Data!$D217)*60)*1,AND(Data!$E217&gt;=12,Data!$E217&lt;=15),((Data!$E217/Data!$D217)*60)*1.2,AND(Data!$E217&gt;=16,Data!$E217&lt;=19),((Data!$E217/Data!$D217)*60)*1.5,Data!$E217&gt;=20,((Data!$E217/Data!$D217)*60)*1.8)</f>
        <v>18</v>
      </c>
      <c r="AT217" s="23" cm="1">
        <f t="array" ref="AT217">_xlfn.IFS(Data!$F217&lt;600,((Data!$F217/Data!$D217)*60)*1,AND(Data!$F217&gt;=600,Data!$F217&lt;=625),((Data!$F217/Data!$D217)*60)*1.2,AND(Data!$F217&gt;=626,Data!$F217&lt;=650),((Data!$F217/Data!$D217)*60)*1.5,Data!$F217&gt;=651,((Data!$F217/Data!$D217)*60)*1.8)</f>
        <v>943.5</v>
      </c>
      <c r="AU217" s="23">
        <f>(Data!$I217*-1.2)+(Data!$J217*-1.1)+(Data!$K217*1.2)+(Data!$L217*1.3)+(Data!$M217*1.5)</f>
        <v>-1.2999999999999936</v>
      </c>
      <c r="AV217" s="23">
        <f>(Data!$AS217*0.4)+(Data!$AT217*0.4)+(Data!$AU217*0.2)</f>
        <v>384.34000000000003</v>
      </c>
      <c r="AW217" s="23">
        <f>PERCENTRANK(AV:AV,Data!$AV217)*100</f>
        <v>46.5</v>
      </c>
      <c r="AX217" s="23" t="str">
        <f>_xlfn.CONCAT(TEXT(C217,"mmm"),"-",Data!$AE217)</f>
        <v>Oct-2021</v>
      </c>
    </row>
    <row r="218" spans="1:50" ht="17" thickTop="1" thickBot="1" x14ac:dyDescent="0.25">
      <c r="A218" s="28">
        <v>217</v>
      </c>
      <c r="B218" s="29">
        <f t="shared" si="26"/>
        <v>15</v>
      </c>
      <c r="C218" s="41">
        <v>44475</v>
      </c>
      <c r="D218" s="30">
        <f>SUM(Data!$I218:$M218)</f>
        <v>56</v>
      </c>
      <c r="E218" s="29">
        <v>15</v>
      </c>
      <c r="F218" s="29">
        <v>648</v>
      </c>
      <c r="G218" s="29">
        <v>166</v>
      </c>
      <c r="H218" s="29">
        <v>129</v>
      </c>
      <c r="I218" s="29">
        <v>8</v>
      </c>
      <c r="J218" s="29">
        <v>19</v>
      </c>
      <c r="K218" s="29">
        <v>14</v>
      </c>
      <c r="L218" s="29">
        <v>14</v>
      </c>
      <c r="M218" s="29">
        <v>1</v>
      </c>
      <c r="N218" s="29" t="s">
        <v>91</v>
      </c>
      <c r="O218" s="29" t="s">
        <v>39</v>
      </c>
      <c r="P218" s="29" t="s">
        <v>97</v>
      </c>
      <c r="Q218" s="29">
        <f t="shared" si="32"/>
        <v>1</v>
      </c>
      <c r="R218" s="29" t="str">
        <f t="shared" si="27"/>
        <v>10-2021</v>
      </c>
      <c r="S218" s="29" t="s">
        <v>104</v>
      </c>
      <c r="T218" s="29" t="str">
        <f t="shared" si="28"/>
        <v>Wednesday</v>
      </c>
      <c r="U218" s="29">
        <f t="shared" si="29"/>
        <v>1</v>
      </c>
      <c r="V218" s="31">
        <f>IFERROR(Data!$I218/Data!$D218,"")</f>
        <v>0.14285714285714285</v>
      </c>
      <c r="W218" s="31">
        <f>IFERROR(Data!$J218/Data!$D218,"")</f>
        <v>0.3392857142857143</v>
      </c>
      <c r="X218" s="31">
        <f>IFERROR(Data!$K218/Data!$D218,"")</f>
        <v>0.25</v>
      </c>
      <c r="Y218" s="31">
        <f>IFERROR(Data!$L218/Data!$D218,"")</f>
        <v>0.25</v>
      </c>
      <c r="Z218" s="31">
        <f>IFERROR(Data!$M218/Data!$D218,"")</f>
        <v>1.7857142857142856E-2</v>
      </c>
      <c r="AA218" s="32">
        <v>232.14</v>
      </c>
      <c r="AB218" s="32">
        <f t="shared" si="33"/>
        <v>15.475999999999999</v>
      </c>
      <c r="AC218" s="29">
        <f t="shared" si="30"/>
        <v>648.06666666666672</v>
      </c>
      <c r="AD218" s="29">
        <f t="shared" si="31"/>
        <v>16.133333333333333</v>
      </c>
      <c r="AE218" s="29">
        <f>YEAR(Data!$C218)</f>
        <v>2021</v>
      </c>
      <c r="AF218" s="29"/>
      <c r="AG218" s="29">
        <v>12</v>
      </c>
      <c r="AH218" s="33">
        <f>Data!$F218/Data!$D218</f>
        <v>11.571428571428571</v>
      </c>
      <c r="AI218" s="17" t="str">
        <f>RIGHT(Data!$O218,2)</f>
        <v>PM</v>
      </c>
      <c r="AJ218" s="29" t="str">
        <f>Data!$R218&amp;"-"&amp;WEEKNUM(Data!$C218,1)-WEEKNUM(DATE(YEAR(Data!$C218),MONTH(Data!$C218),1),1)+1</f>
        <v>10-2021-2</v>
      </c>
      <c r="AK218" s="29">
        <f>MONTH(Data!$C218)</f>
        <v>10</v>
      </c>
      <c r="AL218" s="29">
        <f>IFERROR(Data!$F218/Data!$E218,0)</f>
        <v>43.2</v>
      </c>
      <c r="AM218" s="29">
        <f>COUNTIF(Data!$N$2:$N$825,Data!$N218)</f>
        <v>218</v>
      </c>
      <c r="AN218" s="29" t="str">
        <f>VLOOKUP(Data!$N218,'Helpful Tables'!A:D,4,FALSE)</f>
        <v>Washington, DC</v>
      </c>
      <c r="AO218" s="29">
        <f>COUNTIF(AN:AN,Data!$AN218)/COUNTA(AN:AN)</f>
        <v>0.62424242424242427</v>
      </c>
      <c r="AP218" s="29">
        <v>38.934710000000003</v>
      </c>
      <c r="AQ218" s="29">
        <v>-77.058222999999998</v>
      </c>
      <c r="AR218" s="29">
        <f>COUNTIF(Data!$P$2:$P$825,Data!$P218)</f>
        <v>14</v>
      </c>
      <c r="AS218" s="29" cm="1">
        <f t="array" ref="AS218">_xlfn.IFS(Data!$E218&lt;12,((Data!$E218/Data!$D218)*60)*1,AND(Data!$E218&gt;=12,Data!$E218&lt;=15),((Data!$E218/Data!$D218)*60)*1.2,AND(Data!$E218&gt;=16,Data!$E218&lt;=19),((Data!$E218/Data!$D218)*60)*1.5,Data!$E218&gt;=20,((Data!$E218/Data!$D218)*60)*1.8)</f>
        <v>19.285714285714281</v>
      </c>
      <c r="AT218" s="29" cm="1">
        <f t="array" ref="AT218">_xlfn.IFS(Data!$F218&lt;600,((Data!$F218/Data!$D218)*60)*1,AND(Data!$F218&gt;=600,Data!$F218&lt;=625),((Data!$F218/Data!$D218)*60)*1.2,AND(Data!$F218&gt;=626,Data!$F218&lt;=650),((Data!$F218/Data!$D218)*60)*1.5,Data!$F218&gt;=651,((Data!$F218/Data!$D218)*60)*1.8)</f>
        <v>1041.4285714285713</v>
      </c>
      <c r="AU218" s="29">
        <f>(Data!$I218*-1.2)+(Data!$J218*-1.1)+(Data!$K218*1.2)+(Data!$L218*1.3)+(Data!$M218*1.5)</f>
        <v>6</v>
      </c>
      <c r="AV218" s="29">
        <f>(Data!$AS218*0.4)+(Data!$AT218*0.4)+(Data!$AU218*0.2)</f>
        <v>425.48571428571427</v>
      </c>
      <c r="AW218" s="29">
        <f>PERCENTRANK(AV:AV,Data!$AV218)*100</f>
        <v>63.2</v>
      </c>
      <c r="AX218" s="29" t="str">
        <f>_xlfn.CONCAT(TEXT(C218,"mmm"),"-",Data!$AE218)</f>
        <v>Oct-2021</v>
      </c>
    </row>
    <row r="219" spans="1:50" ht="17" thickTop="1" thickBot="1" x14ac:dyDescent="0.25">
      <c r="A219" s="22">
        <v>218</v>
      </c>
      <c r="B219" s="23">
        <f t="shared" si="26"/>
        <v>15</v>
      </c>
      <c r="C219" s="41">
        <v>44477</v>
      </c>
      <c r="D219" s="24">
        <f>SUM(Data!$I219:$M219)</f>
        <v>55</v>
      </c>
      <c r="E219" s="23">
        <v>8</v>
      </c>
      <c r="F219" s="23">
        <v>617</v>
      </c>
      <c r="G219" s="23">
        <v>162</v>
      </c>
      <c r="H219" s="23">
        <v>127</v>
      </c>
      <c r="I219" s="23">
        <v>8</v>
      </c>
      <c r="J219" s="23">
        <v>12</v>
      </c>
      <c r="K219" s="23">
        <v>27</v>
      </c>
      <c r="L219" s="23">
        <v>8</v>
      </c>
      <c r="M219" s="23">
        <v>0</v>
      </c>
      <c r="N219" s="23" t="s">
        <v>101</v>
      </c>
      <c r="O219" s="23" t="s">
        <v>107</v>
      </c>
      <c r="P219" s="23" t="s">
        <v>118</v>
      </c>
      <c r="Q219" s="23">
        <f t="shared" si="32"/>
        <v>2</v>
      </c>
      <c r="R219" s="23" t="str">
        <f t="shared" si="27"/>
        <v>10-2021</v>
      </c>
      <c r="S219" s="23" t="s">
        <v>104</v>
      </c>
      <c r="T219" s="23" t="str">
        <f t="shared" si="28"/>
        <v>Friday</v>
      </c>
      <c r="U219" s="23">
        <f t="shared" si="29"/>
        <v>0</v>
      </c>
      <c r="V219" s="25">
        <f>IFERROR(Data!$I219/Data!$D219,"")</f>
        <v>0.14545454545454545</v>
      </c>
      <c r="W219" s="25">
        <f>IFERROR(Data!$J219/Data!$D219,"")</f>
        <v>0.21818181818181817</v>
      </c>
      <c r="X219" s="25">
        <f>IFERROR(Data!$K219/Data!$D219,"")</f>
        <v>0.49090909090909091</v>
      </c>
      <c r="Y219" s="25">
        <f>IFERROR(Data!$L219/Data!$D219,"")</f>
        <v>0.14545454545454545</v>
      </c>
      <c r="Z219" s="25">
        <f>IFERROR(Data!$M219/Data!$D219,"")</f>
        <v>0</v>
      </c>
      <c r="AA219" s="26">
        <v>232.14</v>
      </c>
      <c r="AB219" s="26">
        <f t="shared" si="33"/>
        <v>15.475999999999999</v>
      </c>
      <c r="AC219" s="23">
        <f t="shared" si="30"/>
        <v>648.06666666666672</v>
      </c>
      <c r="AD219" s="23">
        <f t="shared" si="31"/>
        <v>16.133333333333333</v>
      </c>
      <c r="AE219" s="23">
        <f>YEAR(Data!$C219)</f>
        <v>2021</v>
      </c>
      <c r="AF219" s="23"/>
      <c r="AG219" s="23">
        <v>12</v>
      </c>
      <c r="AH219" s="27">
        <f>Data!$F219/Data!$D219</f>
        <v>11.218181818181819</v>
      </c>
      <c r="AI219" s="17" t="str">
        <f>RIGHT(Data!$O219,2)</f>
        <v>AM</v>
      </c>
      <c r="AJ219" s="23" t="str">
        <f>Data!$R219&amp;"-"&amp;WEEKNUM(Data!$C219,1)-WEEKNUM(DATE(YEAR(Data!$C219),MONTH(Data!$C219),1),1)+1</f>
        <v>10-2021-2</v>
      </c>
      <c r="AK219" s="23">
        <f>MONTH(Data!$C219)</f>
        <v>10</v>
      </c>
      <c r="AL219" s="23">
        <f>IFERROR(Data!$F219/Data!$E219,0)</f>
        <v>77.125</v>
      </c>
      <c r="AM219" s="23">
        <f>COUNTIF(Data!$N$2:$N$825,Data!$N219)</f>
        <v>191</v>
      </c>
      <c r="AN219" s="23" t="str">
        <f>VLOOKUP(Data!$N219,'Helpful Tables'!A:D,4,FALSE)</f>
        <v>Washington, DC</v>
      </c>
      <c r="AO219" s="23">
        <f>COUNTIF(AN:AN,Data!$AN219)/COUNTA(AN:AN)</f>
        <v>0.62424242424242427</v>
      </c>
      <c r="AP219" s="23">
        <v>38.949649000000001</v>
      </c>
      <c r="AQ219" s="23">
        <v>-77.080878999999996</v>
      </c>
      <c r="AR219" s="23">
        <f>COUNTIF(Data!$P$2:$P$825,Data!$P219)</f>
        <v>16</v>
      </c>
      <c r="AS219" s="23" cm="1">
        <f t="array" ref="AS219">_xlfn.IFS(Data!$E219&lt;12,((Data!$E219/Data!$D219)*60)*1,AND(Data!$E219&gt;=12,Data!$E219&lt;=15),((Data!$E219/Data!$D219)*60)*1.2,AND(Data!$E219&gt;=16,Data!$E219&lt;=19),((Data!$E219/Data!$D219)*60)*1.5,Data!$E219&gt;=20,((Data!$E219/Data!$D219)*60)*1.8)</f>
        <v>8.7272727272727266</v>
      </c>
      <c r="AT219" s="23" cm="1">
        <f t="array" ref="AT219">_xlfn.IFS(Data!$F219&lt;600,((Data!$F219/Data!$D219)*60)*1,AND(Data!$F219&gt;=600,Data!$F219&lt;=625),((Data!$F219/Data!$D219)*60)*1.2,AND(Data!$F219&gt;=626,Data!$F219&lt;=650),((Data!$F219/Data!$D219)*60)*1.5,Data!$F219&gt;=651,((Data!$F219/Data!$D219)*60)*1.8)</f>
        <v>807.70909090909095</v>
      </c>
      <c r="AU219" s="23">
        <f>(Data!$I219*-1.2)+(Data!$J219*-1.1)+(Data!$K219*1.2)+(Data!$L219*1.3)+(Data!$M219*1.5)</f>
        <v>20</v>
      </c>
      <c r="AV219" s="23">
        <f>(Data!$AS219*0.4)+(Data!$AT219*0.4)+(Data!$AU219*0.2)</f>
        <v>330.5745454545455</v>
      </c>
      <c r="AW219" s="23">
        <f>PERCENTRANK(AV:AV,Data!$AV219)*100</f>
        <v>41.5</v>
      </c>
      <c r="AX219" s="23" t="str">
        <f>_xlfn.CONCAT(TEXT(C219,"mmm"),"-",Data!$AE219)</f>
        <v>Oct-2021</v>
      </c>
    </row>
    <row r="220" spans="1:50" ht="17" thickTop="1" thickBot="1" x14ac:dyDescent="0.25">
      <c r="A220" s="28">
        <v>219</v>
      </c>
      <c r="B220" s="29">
        <f t="shared" si="26"/>
        <v>15</v>
      </c>
      <c r="C220" s="41">
        <v>44479</v>
      </c>
      <c r="D220" s="30">
        <f>SUM(Data!$I220:$M220)</f>
        <v>58</v>
      </c>
      <c r="E220" s="29">
        <v>28</v>
      </c>
      <c r="F220" s="29">
        <v>732</v>
      </c>
      <c r="G220" s="29">
        <v>168</v>
      </c>
      <c r="H220" s="29">
        <v>136</v>
      </c>
      <c r="I220" s="29">
        <v>7</v>
      </c>
      <c r="J220" s="29">
        <v>13</v>
      </c>
      <c r="K220" s="29">
        <v>10</v>
      </c>
      <c r="L220" s="29">
        <v>23</v>
      </c>
      <c r="M220" s="29">
        <v>5</v>
      </c>
      <c r="N220" s="29" t="s">
        <v>91</v>
      </c>
      <c r="O220" s="29" t="s">
        <v>81</v>
      </c>
      <c r="P220" s="29" t="s">
        <v>100</v>
      </c>
      <c r="Q220" s="29">
        <f t="shared" si="32"/>
        <v>2</v>
      </c>
      <c r="R220" s="29" t="str">
        <f t="shared" si="27"/>
        <v>10-2021</v>
      </c>
      <c r="S220" s="29" t="s">
        <v>104</v>
      </c>
      <c r="T220" s="29" t="str">
        <f t="shared" si="28"/>
        <v>Sunday</v>
      </c>
      <c r="U220" s="29">
        <f t="shared" si="29"/>
        <v>1</v>
      </c>
      <c r="V220" s="31">
        <f>IFERROR(Data!$I220/Data!$D220,"")</f>
        <v>0.1206896551724138</v>
      </c>
      <c r="W220" s="31">
        <f>IFERROR(Data!$J220/Data!$D220,"")</f>
        <v>0.22413793103448276</v>
      </c>
      <c r="X220" s="31">
        <f>IFERROR(Data!$K220/Data!$D220,"")</f>
        <v>0.17241379310344829</v>
      </c>
      <c r="Y220" s="31">
        <f>IFERROR(Data!$L220/Data!$D220,"")</f>
        <v>0.39655172413793105</v>
      </c>
      <c r="Z220" s="31">
        <f>IFERROR(Data!$M220/Data!$D220,"")</f>
        <v>8.6206896551724144E-2</v>
      </c>
      <c r="AA220" s="32">
        <v>232.14</v>
      </c>
      <c r="AB220" s="32">
        <f t="shared" si="33"/>
        <v>15.475999999999999</v>
      </c>
      <c r="AC220" s="29">
        <f t="shared" si="30"/>
        <v>648.06666666666672</v>
      </c>
      <c r="AD220" s="29">
        <f t="shared" si="31"/>
        <v>16.133333333333333</v>
      </c>
      <c r="AE220" s="29">
        <f>YEAR(Data!$C220)</f>
        <v>2021</v>
      </c>
      <c r="AF220" s="29"/>
      <c r="AG220" s="29">
        <v>12</v>
      </c>
      <c r="AH220" s="33">
        <f>Data!$F220/Data!$D220</f>
        <v>12.620689655172415</v>
      </c>
      <c r="AI220" s="17" t="str">
        <f>RIGHT(Data!$O220,2)</f>
        <v>AM</v>
      </c>
      <c r="AJ220" s="29" t="str">
        <f>Data!$R220&amp;"-"&amp;WEEKNUM(Data!$C220,1)-WEEKNUM(DATE(YEAR(Data!$C220),MONTH(Data!$C220),1),1)+1</f>
        <v>10-2021-3</v>
      </c>
      <c r="AK220" s="29">
        <f>MONTH(Data!$C220)</f>
        <v>10</v>
      </c>
      <c r="AL220" s="29">
        <f>IFERROR(Data!$F220/Data!$E220,0)</f>
        <v>26.142857142857142</v>
      </c>
      <c r="AM220" s="29">
        <f>COUNTIF(Data!$N$2:$N$825,Data!$N220)</f>
        <v>218</v>
      </c>
      <c r="AN220" s="29" t="str">
        <f>VLOOKUP(Data!$N220,'Helpful Tables'!A:D,4,FALSE)</f>
        <v>Washington, DC</v>
      </c>
      <c r="AO220" s="29">
        <f>COUNTIF(AN:AN,Data!$AN220)/COUNTA(AN:AN)</f>
        <v>0.62424242424242427</v>
      </c>
      <c r="AP220" s="29">
        <v>38.934710000000003</v>
      </c>
      <c r="AQ220" s="29">
        <v>-77.058222999999998</v>
      </c>
      <c r="AR220" s="29">
        <f>COUNTIF(Data!$P$2:$P$825,Data!$P220)</f>
        <v>35</v>
      </c>
      <c r="AS220" s="29" cm="1">
        <f t="array" ref="AS220">_xlfn.IFS(Data!$E220&lt;12,((Data!$E220/Data!$D220)*60)*1,AND(Data!$E220&gt;=12,Data!$E220&lt;=15),((Data!$E220/Data!$D220)*60)*1.2,AND(Data!$E220&gt;=16,Data!$E220&lt;=19),((Data!$E220/Data!$D220)*60)*1.5,Data!$E220&gt;=20,((Data!$E220/Data!$D220)*60)*1.8)</f>
        <v>52.137931034482762</v>
      </c>
      <c r="AT220" s="29" cm="1">
        <f t="array" ref="AT220">_xlfn.IFS(Data!$F220&lt;600,((Data!$F220/Data!$D220)*60)*1,AND(Data!$F220&gt;=600,Data!$F220&lt;=625),((Data!$F220/Data!$D220)*60)*1.2,AND(Data!$F220&gt;=626,Data!$F220&lt;=650),((Data!$F220/Data!$D220)*60)*1.5,Data!$F220&gt;=651,((Data!$F220/Data!$D220)*60)*1.8)</f>
        <v>1363.0344827586209</v>
      </c>
      <c r="AU220" s="29">
        <f>(Data!$I220*-1.2)+(Data!$J220*-1.1)+(Data!$K220*1.2)+(Data!$L220*1.3)+(Data!$M220*1.5)</f>
        <v>26.7</v>
      </c>
      <c r="AV220" s="29">
        <f>(Data!$AS220*0.4)+(Data!$AT220*0.4)+(Data!$AU220*0.2)</f>
        <v>571.40896551724154</v>
      </c>
      <c r="AW220" s="29">
        <f>PERCENTRANK(AV:AV,Data!$AV220)*100</f>
        <v>99.5</v>
      </c>
      <c r="AX220" s="29" t="str">
        <f>_xlfn.CONCAT(TEXT(C220,"mmm"),"-",Data!$AE220)</f>
        <v>Oct-2021</v>
      </c>
    </row>
    <row r="221" spans="1:50" ht="17" thickTop="1" thickBot="1" x14ac:dyDescent="0.25">
      <c r="A221" s="22">
        <v>220</v>
      </c>
      <c r="B221" s="23">
        <f t="shared" si="26"/>
        <v>15</v>
      </c>
      <c r="C221" s="41">
        <v>44481</v>
      </c>
      <c r="D221" s="24">
        <f>SUM(Data!$I221:$M221)</f>
        <v>59</v>
      </c>
      <c r="E221" s="23">
        <v>15</v>
      </c>
      <c r="F221" s="23">
        <v>695</v>
      </c>
      <c r="G221" s="23">
        <v>167</v>
      </c>
      <c r="H221" s="23">
        <v>130</v>
      </c>
      <c r="I221" s="23">
        <v>5</v>
      </c>
      <c r="J221" s="23">
        <v>22</v>
      </c>
      <c r="K221" s="23">
        <v>17</v>
      </c>
      <c r="L221" s="23">
        <v>12</v>
      </c>
      <c r="M221" s="23">
        <v>3</v>
      </c>
      <c r="N221" s="23" t="s">
        <v>101</v>
      </c>
      <c r="O221" s="23" t="s">
        <v>39</v>
      </c>
      <c r="P221" s="23" t="s">
        <v>133</v>
      </c>
      <c r="Q221" s="23">
        <f t="shared" si="32"/>
        <v>2</v>
      </c>
      <c r="R221" s="23" t="str">
        <f t="shared" si="27"/>
        <v>10-2021</v>
      </c>
      <c r="S221" s="23" t="s">
        <v>104</v>
      </c>
      <c r="T221" s="23" t="str">
        <f t="shared" si="28"/>
        <v>Tuesday</v>
      </c>
      <c r="U221" s="23">
        <f t="shared" si="29"/>
        <v>1</v>
      </c>
      <c r="V221" s="25">
        <f>IFERROR(Data!$I221/Data!$D221,"")</f>
        <v>8.4745762711864403E-2</v>
      </c>
      <c r="W221" s="25">
        <f>IFERROR(Data!$J221/Data!$D221,"")</f>
        <v>0.3728813559322034</v>
      </c>
      <c r="X221" s="25">
        <f>IFERROR(Data!$K221/Data!$D221,"")</f>
        <v>0.28813559322033899</v>
      </c>
      <c r="Y221" s="25">
        <f>IFERROR(Data!$L221/Data!$D221,"")</f>
        <v>0.20338983050847459</v>
      </c>
      <c r="Z221" s="25">
        <f>IFERROR(Data!$M221/Data!$D221,"")</f>
        <v>5.0847457627118647E-2</v>
      </c>
      <c r="AA221" s="26">
        <v>232.14</v>
      </c>
      <c r="AB221" s="26">
        <f t="shared" si="33"/>
        <v>15.475999999999999</v>
      </c>
      <c r="AC221" s="23">
        <f t="shared" si="30"/>
        <v>648.06666666666672</v>
      </c>
      <c r="AD221" s="23">
        <f t="shared" si="31"/>
        <v>16.133333333333333</v>
      </c>
      <c r="AE221" s="23">
        <f>YEAR(Data!$C221)</f>
        <v>2021</v>
      </c>
      <c r="AF221" s="23"/>
      <c r="AG221" s="23">
        <v>12</v>
      </c>
      <c r="AH221" s="27">
        <f>Data!$F221/Data!$D221</f>
        <v>11.779661016949152</v>
      </c>
      <c r="AI221" s="17" t="str">
        <f>RIGHT(Data!$O221,2)</f>
        <v>PM</v>
      </c>
      <c r="AJ221" s="23" t="str">
        <f>Data!$R221&amp;"-"&amp;WEEKNUM(Data!$C221,1)-WEEKNUM(DATE(YEAR(Data!$C221),MONTH(Data!$C221),1),1)+1</f>
        <v>10-2021-3</v>
      </c>
      <c r="AK221" s="23">
        <f>MONTH(Data!$C221)</f>
        <v>10</v>
      </c>
      <c r="AL221" s="23">
        <f>IFERROR(Data!$F221/Data!$E221,0)</f>
        <v>46.333333333333336</v>
      </c>
      <c r="AM221" s="23">
        <f>COUNTIF(Data!$N$2:$N$825,Data!$N221)</f>
        <v>191</v>
      </c>
      <c r="AN221" s="23" t="str">
        <f>VLOOKUP(Data!$N221,'Helpful Tables'!A:D,4,FALSE)</f>
        <v>Washington, DC</v>
      </c>
      <c r="AO221" s="23">
        <f>COUNTIF(AN:AN,Data!$AN221)/COUNTA(AN:AN)</f>
        <v>0.62424242424242427</v>
      </c>
      <c r="AP221" s="23">
        <v>38.949649000000001</v>
      </c>
      <c r="AQ221" s="23">
        <v>-77.080878999999996</v>
      </c>
      <c r="AR221" s="23">
        <f>COUNTIF(Data!$P$2:$P$825,Data!$P221)</f>
        <v>25</v>
      </c>
      <c r="AS221" s="23" cm="1">
        <f t="array" ref="AS221">_xlfn.IFS(Data!$E221&lt;12,((Data!$E221/Data!$D221)*60)*1,AND(Data!$E221&gt;=12,Data!$E221&lt;=15),((Data!$E221/Data!$D221)*60)*1.2,AND(Data!$E221&gt;=16,Data!$E221&lt;=19),((Data!$E221/Data!$D221)*60)*1.5,Data!$E221&gt;=20,((Data!$E221/Data!$D221)*60)*1.8)</f>
        <v>18.305084745762709</v>
      </c>
      <c r="AT221" s="23" cm="1">
        <f t="array" ref="AT221">_xlfn.IFS(Data!$F221&lt;600,((Data!$F221/Data!$D221)*60)*1,AND(Data!$F221&gt;=600,Data!$F221&lt;=625),((Data!$F221/Data!$D221)*60)*1.2,AND(Data!$F221&gt;=626,Data!$F221&lt;=650),((Data!$F221/Data!$D221)*60)*1.5,Data!$F221&gt;=651,((Data!$F221/Data!$D221)*60)*1.8)</f>
        <v>1272.2033898305085</v>
      </c>
      <c r="AU221" s="23">
        <f>(Data!$I221*-1.2)+(Data!$J221*-1.1)+(Data!$K221*1.2)+(Data!$L221*1.3)+(Data!$M221*1.5)</f>
        <v>10.299999999999997</v>
      </c>
      <c r="AV221" s="23">
        <f>(Data!$AS221*0.4)+(Data!$AT221*0.4)+(Data!$AU221*0.2)</f>
        <v>518.26338983050846</v>
      </c>
      <c r="AW221" s="23">
        <f>PERCENTRANK(AV:AV,Data!$AV221)*100</f>
        <v>88.3</v>
      </c>
      <c r="AX221" s="23" t="str">
        <f>_xlfn.CONCAT(TEXT(C221,"mmm"),"-",Data!$AE221)</f>
        <v>Oct-2021</v>
      </c>
    </row>
    <row r="222" spans="1:50" ht="17" thickTop="1" thickBot="1" x14ac:dyDescent="0.25">
      <c r="A222" s="28">
        <v>221</v>
      </c>
      <c r="B222" s="29">
        <f t="shared" si="26"/>
        <v>15</v>
      </c>
      <c r="C222" s="41">
        <v>44482</v>
      </c>
      <c r="D222" s="30">
        <f>SUM(Data!$I222:$M222)</f>
        <v>56</v>
      </c>
      <c r="E222" s="29">
        <v>17</v>
      </c>
      <c r="F222" s="29">
        <v>629</v>
      </c>
      <c r="G222" s="29">
        <v>165</v>
      </c>
      <c r="H222" s="29">
        <v>126</v>
      </c>
      <c r="I222" s="29">
        <v>14</v>
      </c>
      <c r="J222" s="29">
        <v>18</v>
      </c>
      <c r="K222" s="29">
        <v>7</v>
      </c>
      <c r="L222" s="29">
        <v>16</v>
      </c>
      <c r="M222" s="29">
        <v>1</v>
      </c>
      <c r="N222" s="29" t="s">
        <v>91</v>
      </c>
      <c r="O222" s="29" t="s">
        <v>39</v>
      </c>
      <c r="P222" s="29" t="s">
        <v>96</v>
      </c>
      <c r="Q222" s="29">
        <f t="shared" si="32"/>
        <v>1</v>
      </c>
      <c r="R222" s="29" t="str">
        <f t="shared" si="27"/>
        <v>10-2021</v>
      </c>
      <c r="S222" s="29" t="s">
        <v>104</v>
      </c>
      <c r="T222" s="29" t="str">
        <f t="shared" si="28"/>
        <v>Wednesday</v>
      </c>
      <c r="U222" s="29">
        <f t="shared" si="29"/>
        <v>1</v>
      </c>
      <c r="V222" s="31">
        <f>IFERROR(Data!$I222/Data!$D222,"")</f>
        <v>0.25</v>
      </c>
      <c r="W222" s="31">
        <f>IFERROR(Data!$J222/Data!$D222,"")</f>
        <v>0.32142857142857145</v>
      </c>
      <c r="X222" s="31">
        <f>IFERROR(Data!$K222/Data!$D222,"")</f>
        <v>0.125</v>
      </c>
      <c r="Y222" s="31">
        <f>IFERROR(Data!$L222/Data!$D222,"")</f>
        <v>0.2857142857142857</v>
      </c>
      <c r="Z222" s="31">
        <f>IFERROR(Data!$M222/Data!$D222,"")</f>
        <v>1.7857142857142856E-2</v>
      </c>
      <c r="AA222" s="32">
        <v>232.14</v>
      </c>
      <c r="AB222" s="32">
        <f t="shared" si="33"/>
        <v>15.475999999999999</v>
      </c>
      <c r="AC222" s="29">
        <f t="shared" si="30"/>
        <v>648.06666666666672</v>
      </c>
      <c r="AD222" s="29">
        <f t="shared" si="31"/>
        <v>16.133333333333333</v>
      </c>
      <c r="AE222" s="29">
        <f>YEAR(Data!$C222)</f>
        <v>2021</v>
      </c>
      <c r="AF222" s="29"/>
      <c r="AG222" s="29">
        <v>12</v>
      </c>
      <c r="AH222" s="33">
        <f>Data!$F222/Data!$D222</f>
        <v>11.232142857142858</v>
      </c>
      <c r="AI222" s="17" t="str">
        <f>RIGHT(Data!$O222,2)</f>
        <v>PM</v>
      </c>
      <c r="AJ222" s="29" t="str">
        <f>Data!$R222&amp;"-"&amp;WEEKNUM(Data!$C222,1)-WEEKNUM(DATE(YEAR(Data!$C222),MONTH(Data!$C222),1),1)+1</f>
        <v>10-2021-3</v>
      </c>
      <c r="AK222" s="29">
        <f>MONTH(Data!$C222)</f>
        <v>10</v>
      </c>
      <c r="AL222" s="29">
        <f>IFERROR(Data!$F222/Data!$E222,0)</f>
        <v>37</v>
      </c>
      <c r="AM222" s="29">
        <f>COUNTIF(Data!$N$2:$N$825,Data!$N222)</f>
        <v>218</v>
      </c>
      <c r="AN222" s="29" t="str">
        <f>VLOOKUP(Data!$N222,'Helpful Tables'!A:D,4,FALSE)</f>
        <v>Washington, DC</v>
      </c>
      <c r="AO222" s="29">
        <f>COUNTIF(AN:AN,Data!$AN222)/COUNTA(AN:AN)</f>
        <v>0.62424242424242427</v>
      </c>
      <c r="AP222" s="29">
        <v>38.934710000000003</v>
      </c>
      <c r="AQ222" s="29">
        <v>-77.058222999999998</v>
      </c>
      <c r="AR222" s="29">
        <f>COUNTIF(Data!$P$2:$P$825,Data!$P222)</f>
        <v>71</v>
      </c>
      <c r="AS222" s="29" cm="1">
        <f t="array" ref="AS222">_xlfn.IFS(Data!$E222&lt;12,((Data!$E222/Data!$D222)*60)*1,AND(Data!$E222&gt;=12,Data!$E222&lt;=15),((Data!$E222/Data!$D222)*60)*1.2,AND(Data!$E222&gt;=16,Data!$E222&lt;=19),((Data!$E222/Data!$D222)*60)*1.5,Data!$E222&gt;=20,((Data!$E222/Data!$D222)*60)*1.8)</f>
        <v>27.321428571428569</v>
      </c>
      <c r="AT222" s="29" cm="1">
        <f t="array" ref="AT222">_xlfn.IFS(Data!$F222&lt;600,((Data!$F222/Data!$D222)*60)*1,AND(Data!$F222&gt;=600,Data!$F222&lt;=625),((Data!$F222/Data!$D222)*60)*1.2,AND(Data!$F222&gt;=626,Data!$F222&lt;=650),((Data!$F222/Data!$D222)*60)*1.5,Data!$F222&gt;=651,((Data!$F222/Data!$D222)*60)*1.8)</f>
        <v>1010.8928571428571</v>
      </c>
      <c r="AU222" s="29">
        <f>(Data!$I222*-1.2)+(Data!$J222*-1.1)+(Data!$K222*1.2)+(Data!$L222*1.3)+(Data!$M222*1.5)</f>
        <v>-5.9000000000000021</v>
      </c>
      <c r="AV222" s="29">
        <f>(Data!$AS222*0.4)+(Data!$AT222*0.4)+(Data!$AU222*0.2)</f>
        <v>414.10571428571433</v>
      </c>
      <c r="AW222" s="29">
        <f>PERCENTRANK(AV:AV,Data!$AV222)*100</f>
        <v>59.099999999999994</v>
      </c>
      <c r="AX222" s="29" t="str">
        <f>_xlfn.CONCAT(TEXT(C222,"mmm"),"-",Data!$AE222)</f>
        <v>Oct-2021</v>
      </c>
    </row>
    <row r="223" spans="1:50" ht="17" thickTop="1" thickBot="1" x14ac:dyDescent="0.25">
      <c r="A223" s="22">
        <v>222</v>
      </c>
      <c r="B223" s="23">
        <f t="shared" si="26"/>
        <v>15</v>
      </c>
      <c r="C223" s="41">
        <v>44488</v>
      </c>
      <c r="D223" s="24">
        <f>SUM(Data!$I223:$M223)</f>
        <v>57</v>
      </c>
      <c r="E223" s="23">
        <v>15</v>
      </c>
      <c r="F223" s="23">
        <v>611</v>
      </c>
      <c r="G223" s="23">
        <v>170</v>
      </c>
      <c r="H223" s="23">
        <v>125</v>
      </c>
      <c r="I223" s="23">
        <v>17</v>
      </c>
      <c r="J223" s="23">
        <v>13</v>
      </c>
      <c r="K223" s="23">
        <v>12</v>
      </c>
      <c r="L223" s="23">
        <v>11</v>
      </c>
      <c r="M223" s="23">
        <v>4</v>
      </c>
      <c r="N223" s="23" t="s">
        <v>91</v>
      </c>
      <c r="O223" s="23" t="s">
        <v>39</v>
      </c>
      <c r="P223" s="23" t="s">
        <v>94</v>
      </c>
      <c r="Q223" s="23">
        <f t="shared" si="32"/>
        <v>6</v>
      </c>
      <c r="R223" s="23" t="str">
        <f t="shared" si="27"/>
        <v>10-2021</v>
      </c>
      <c r="S223" s="23" t="s">
        <v>104</v>
      </c>
      <c r="T223" s="23" t="str">
        <f t="shared" si="28"/>
        <v>Tuesday</v>
      </c>
      <c r="U223" s="23">
        <f t="shared" si="29"/>
        <v>1</v>
      </c>
      <c r="V223" s="25">
        <f>IFERROR(Data!$I223/Data!$D223,"")</f>
        <v>0.2982456140350877</v>
      </c>
      <c r="W223" s="25">
        <f>IFERROR(Data!$J223/Data!$D223,"")</f>
        <v>0.22807017543859648</v>
      </c>
      <c r="X223" s="25">
        <f>IFERROR(Data!$K223/Data!$D223,"")</f>
        <v>0.21052631578947367</v>
      </c>
      <c r="Y223" s="25">
        <f>IFERROR(Data!$L223/Data!$D223,"")</f>
        <v>0.19298245614035087</v>
      </c>
      <c r="Z223" s="25">
        <f>IFERROR(Data!$M223/Data!$D223,"")</f>
        <v>7.0175438596491224E-2</v>
      </c>
      <c r="AA223" s="26">
        <v>232.14</v>
      </c>
      <c r="AB223" s="26">
        <f t="shared" si="33"/>
        <v>15.475999999999999</v>
      </c>
      <c r="AC223" s="23">
        <f t="shared" si="30"/>
        <v>648.06666666666672</v>
      </c>
      <c r="AD223" s="23">
        <f t="shared" si="31"/>
        <v>16.133333333333333</v>
      </c>
      <c r="AE223" s="23">
        <f>YEAR(Data!$C223)</f>
        <v>2021</v>
      </c>
      <c r="AF223" s="23"/>
      <c r="AG223" s="23">
        <v>12</v>
      </c>
      <c r="AH223" s="27">
        <f>Data!$F223/Data!$D223</f>
        <v>10.719298245614034</v>
      </c>
      <c r="AI223" s="17" t="str">
        <f>RIGHT(Data!$O223,2)</f>
        <v>PM</v>
      </c>
      <c r="AJ223" s="23" t="str">
        <f>Data!$R223&amp;"-"&amp;WEEKNUM(Data!$C223,1)-WEEKNUM(DATE(YEAR(Data!$C223),MONTH(Data!$C223),1),1)+1</f>
        <v>10-2021-4</v>
      </c>
      <c r="AK223" s="23">
        <f>MONTH(Data!$C223)</f>
        <v>10</v>
      </c>
      <c r="AL223" s="23">
        <f>IFERROR(Data!$F223/Data!$E223,0)</f>
        <v>40.733333333333334</v>
      </c>
      <c r="AM223" s="23">
        <f>COUNTIF(Data!$N$2:$N$825,Data!$N223)</f>
        <v>218</v>
      </c>
      <c r="AN223" s="23" t="str">
        <f>VLOOKUP(Data!$N223,'Helpful Tables'!A:D,4,FALSE)</f>
        <v>Washington, DC</v>
      </c>
      <c r="AO223" s="23">
        <f>COUNTIF(AN:AN,Data!$AN223)/COUNTA(AN:AN)</f>
        <v>0.62424242424242427</v>
      </c>
      <c r="AP223" s="23">
        <v>38.934710000000003</v>
      </c>
      <c r="AQ223" s="23">
        <v>-77.058222999999998</v>
      </c>
      <c r="AR223" s="23">
        <f>COUNTIF(Data!$P$2:$P$825,Data!$P223)</f>
        <v>15</v>
      </c>
      <c r="AS223" s="23" cm="1">
        <f t="array" ref="AS223">_xlfn.IFS(Data!$E223&lt;12,((Data!$E223/Data!$D223)*60)*1,AND(Data!$E223&gt;=12,Data!$E223&lt;=15),((Data!$E223/Data!$D223)*60)*1.2,AND(Data!$E223&gt;=16,Data!$E223&lt;=19),((Data!$E223/Data!$D223)*60)*1.5,Data!$E223&gt;=20,((Data!$E223/Data!$D223)*60)*1.8)</f>
        <v>18.94736842105263</v>
      </c>
      <c r="AT223" s="23" cm="1">
        <f t="array" ref="AT223">_xlfn.IFS(Data!$F223&lt;600,((Data!$F223/Data!$D223)*60)*1,AND(Data!$F223&gt;=600,Data!$F223&lt;=625),((Data!$F223/Data!$D223)*60)*1.2,AND(Data!$F223&gt;=626,Data!$F223&lt;=650),((Data!$F223/Data!$D223)*60)*1.5,Data!$F223&gt;=651,((Data!$F223/Data!$D223)*60)*1.8)</f>
        <v>771.78947368421052</v>
      </c>
      <c r="AU223" s="23">
        <f>(Data!$I223*-1.2)+(Data!$J223*-1.1)+(Data!$K223*1.2)+(Data!$L223*1.3)+(Data!$M223*1.5)</f>
        <v>0</v>
      </c>
      <c r="AV223" s="23">
        <f>(Data!$AS223*0.4)+(Data!$AT223*0.4)+(Data!$AU223*0.2)</f>
        <v>316.29473684210529</v>
      </c>
      <c r="AW223" s="23">
        <f>PERCENTRANK(AV:AV,Data!$AV223)*100</f>
        <v>35.199999999999996</v>
      </c>
      <c r="AX223" s="23" t="str">
        <f>_xlfn.CONCAT(TEXT(C223,"mmm"),"-",Data!$AE223)</f>
        <v>Oct-2021</v>
      </c>
    </row>
    <row r="224" spans="1:50" ht="17" thickTop="1" thickBot="1" x14ac:dyDescent="0.25">
      <c r="A224" s="28">
        <v>223</v>
      </c>
      <c r="B224" s="29">
        <f t="shared" si="26"/>
        <v>15</v>
      </c>
      <c r="C224" s="41">
        <v>44489</v>
      </c>
      <c r="D224" s="30">
        <f>SUM(Data!$I224:$M224)</f>
        <v>56</v>
      </c>
      <c r="E224" s="29">
        <v>13</v>
      </c>
      <c r="F224" s="29">
        <v>643</v>
      </c>
      <c r="G224" s="29">
        <v>166</v>
      </c>
      <c r="H224" s="29">
        <v>129</v>
      </c>
      <c r="I224" s="29">
        <v>9</v>
      </c>
      <c r="J224" s="29">
        <v>15</v>
      </c>
      <c r="K224" s="29">
        <v>19</v>
      </c>
      <c r="L224" s="29">
        <v>11</v>
      </c>
      <c r="M224" s="29">
        <v>2</v>
      </c>
      <c r="N224" s="29" t="s">
        <v>101</v>
      </c>
      <c r="O224" s="29" t="s">
        <v>39</v>
      </c>
      <c r="P224" s="29" t="s">
        <v>109</v>
      </c>
      <c r="Q224" s="29">
        <f t="shared" si="32"/>
        <v>1</v>
      </c>
      <c r="R224" s="29" t="str">
        <f t="shared" si="27"/>
        <v>10-2021</v>
      </c>
      <c r="S224" s="29" t="s">
        <v>104</v>
      </c>
      <c r="T224" s="29" t="str">
        <f t="shared" si="28"/>
        <v>Wednesday</v>
      </c>
      <c r="U224" s="29">
        <f t="shared" si="29"/>
        <v>1</v>
      </c>
      <c r="V224" s="31">
        <f>IFERROR(Data!$I224/Data!$D224,"")</f>
        <v>0.16071428571428573</v>
      </c>
      <c r="W224" s="31">
        <f>IFERROR(Data!$J224/Data!$D224,"")</f>
        <v>0.26785714285714285</v>
      </c>
      <c r="X224" s="31">
        <f>IFERROR(Data!$K224/Data!$D224,"")</f>
        <v>0.3392857142857143</v>
      </c>
      <c r="Y224" s="31">
        <f>IFERROR(Data!$L224/Data!$D224,"")</f>
        <v>0.19642857142857142</v>
      </c>
      <c r="Z224" s="31">
        <f>IFERROR(Data!$M224/Data!$D224,"")</f>
        <v>3.5714285714285712E-2</v>
      </c>
      <c r="AA224" s="32">
        <v>232.14</v>
      </c>
      <c r="AB224" s="32">
        <f t="shared" si="33"/>
        <v>15.475999999999999</v>
      </c>
      <c r="AC224" s="29">
        <f t="shared" si="30"/>
        <v>648.06666666666672</v>
      </c>
      <c r="AD224" s="29">
        <f t="shared" si="31"/>
        <v>16.133333333333333</v>
      </c>
      <c r="AE224" s="29">
        <f>YEAR(Data!$C224)</f>
        <v>2021</v>
      </c>
      <c r="AF224" s="29"/>
      <c r="AG224" s="29">
        <v>12</v>
      </c>
      <c r="AH224" s="33">
        <f>Data!$F224/Data!$D224</f>
        <v>11.482142857142858</v>
      </c>
      <c r="AI224" s="17" t="str">
        <f>RIGHT(Data!$O224,2)</f>
        <v>PM</v>
      </c>
      <c r="AJ224" s="29" t="str">
        <f>Data!$R224&amp;"-"&amp;WEEKNUM(Data!$C224,1)-WEEKNUM(DATE(YEAR(Data!$C224),MONTH(Data!$C224),1),1)+1</f>
        <v>10-2021-4</v>
      </c>
      <c r="AK224" s="29">
        <f>MONTH(Data!$C224)</f>
        <v>10</v>
      </c>
      <c r="AL224" s="29">
        <f>IFERROR(Data!$F224/Data!$E224,0)</f>
        <v>49.46153846153846</v>
      </c>
      <c r="AM224" s="29">
        <f>COUNTIF(Data!$N$2:$N$825,Data!$N224)</f>
        <v>191</v>
      </c>
      <c r="AN224" s="29" t="str">
        <f>VLOOKUP(Data!$N224,'Helpful Tables'!A:D,4,FALSE)</f>
        <v>Washington, DC</v>
      </c>
      <c r="AO224" s="29">
        <f>COUNTIF(AN:AN,Data!$AN224)/COUNTA(AN:AN)</f>
        <v>0.62424242424242427</v>
      </c>
      <c r="AP224" s="29">
        <v>38.949649000000001</v>
      </c>
      <c r="AQ224" s="29">
        <v>-77.080878999999996</v>
      </c>
      <c r="AR224" s="29">
        <f>COUNTIF(Data!$P$2:$P$825,Data!$P224)</f>
        <v>66</v>
      </c>
      <c r="AS224" s="29" cm="1">
        <f t="array" ref="AS224">_xlfn.IFS(Data!$E224&lt;12,((Data!$E224/Data!$D224)*60)*1,AND(Data!$E224&gt;=12,Data!$E224&lt;=15),((Data!$E224/Data!$D224)*60)*1.2,AND(Data!$E224&gt;=16,Data!$E224&lt;=19),((Data!$E224/Data!$D224)*60)*1.5,Data!$E224&gt;=20,((Data!$E224/Data!$D224)*60)*1.8)</f>
        <v>16.714285714285715</v>
      </c>
      <c r="AT224" s="29" cm="1">
        <f t="array" ref="AT224">_xlfn.IFS(Data!$F224&lt;600,((Data!$F224/Data!$D224)*60)*1,AND(Data!$F224&gt;=600,Data!$F224&lt;=625),((Data!$F224/Data!$D224)*60)*1.2,AND(Data!$F224&gt;=626,Data!$F224&lt;=650),((Data!$F224/Data!$D224)*60)*1.5,Data!$F224&gt;=651,((Data!$F224/Data!$D224)*60)*1.8)</f>
        <v>1033.3928571428571</v>
      </c>
      <c r="AU224" s="29">
        <f>(Data!$I224*-1.2)+(Data!$J224*-1.1)+(Data!$K224*1.2)+(Data!$L224*1.3)+(Data!$M224*1.5)</f>
        <v>12.800000000000004</v>
      </c>
      <c r="AV224" s="29">
        <f>(Data!$AS224*0.4)+(Data!$AT224*0.4)+(Data!$AU224*0.2)</f>
        <v>422.6028571428572</v>
      </c>
      <c r="AW224" s="29">
        <f>PERCENTRANK(AV:AV,Data!$AV224)*100</f>
        <v>62.2</v>
      </c>
      <c r="AX224" s="29" t="str">
        <f>_xlfn.CONCAT(TEXT(C224,"mmm"),"-",Data!$AE224)</f>
        <v>Oct-2021</v>
      </c>
    </row>
    <row r="225" spans="1:50" ht="17" thickTop="1" thickBot="1" x14ac:dyDescent="0.25">
      <c r="A225" s="22">
        <v>224</v>
      </c>
      <c r="B225" s="23">
        <f t="shared" si="26"/>
        <v>15</v>
      </c>
      <c r="C225" s="41">
        <v>44491</v>
      </c>
      <c r="D225" s="24">
        <f>SUM(Data!$I225:$M225)</f>
        <v>60</v>
      </c>
      <c r="E225" s="23">
        <v>21</v>
      </c>
      <c r="F225" s="23">
        <v>703</v>
      </c>
      <c r="G225" s="23">
        <v>179</v>
      </c>
      <c r="H225" s="23">
        <v>132</v>
      </c>
      <c r="I225" s="23">
        <v>9</v>
      </c>
      <c r="J225" s="23">
        <v>18</v>
      </c>
      <c r="K225" s="23">
        <v>12</v>
      </c>
      <c r="L225" s="23">
        <v>7</v>
      </c>
      <c r="M225" s="23">
        <v>14</v>
      </c>
      <c r="N225" s="23" t="s">
        <v>101</v>
      </c>
      <c r="O225" s="23" t="s">
        <v>39</v>
      </c>
      <c r="P225" s="23" t="s">
        <v>118</v>
      </c>
      <c r="Q225" s="23">
        <f t="shared" si="32"/>
        <v>2</v>
      </c>
      <c r="R225" s="23" t="str">
        <f t="shared" si="27"/>
        <v>10-2021</v>
      </c>
      <c r="S225" s="23" t="s">
        <v>104</v>
      </c>
      <c r="T225" s="23" t="str">
        <f t="shared" si="28"/>
        <v>Friday</v>
      </c>
      <c r="U225" s="23">
        <f t="shared" si="29"/>
        <v>1</v>
      </c>
      <c r="V225" s="25">
        <f>IFERROR(Data!$I225/Data!$D225,"")</f>
        <v>0.15</v>
      </c>
      <c r="W225" s="25">
        <f>IFERROR(Data!$J225/Data!$D225,"")</f>
        <v>0.3</v>
      </c>
      <c r="X225" s="25">
        <f>IFERROR(Data!$K225/Data!$D225,"")</f>
        <v>0.2</v>
      </c>
      <c r="Y225" s="25">
        <f>IFERROR(Data!$L225/Data!$D225,"")</f>
        <v>0.11666666666666667</v>
      </c>
      <c r="Z225" s="25">
        <f>IFERROR(Data!$M225/Data!$D225,"")</f>
        <v>0.23333333333333334</v>
      </c>
      <c r="AA225" s="26">
        <v>232.14</v>
      </c>
      <c r="AB225" s="26">
        <f t="shared" si="33"/>
        <v>15.475999999999999</v>
      </c>
      <c r="AC225" s="23">
        <f t="shared" si="30"/>
        <v>648.06666666666672</v>
      </c>
      <c r="AD225" s="23">
        <f t="shared" si="31"/>
        <v>16.133333333333333</v>
      </c>
      <c r="AE225" s="23">
        <f>YEAR(Data!$C225)</f>
        <v>2021</v>
      </c>
      <c r="AF225" s="23"/>
      <c r="AG225" s="23">
        <v>12</v>
      </c>
      <c r="AH225" s="27">
        <f>Data!$F225/Data!$D225</f>
        <v>11.716666666666667</v>
      </c>
      <c r="AI225" s="17" t="str">
        <f>RIGHT(Data!$O225,2)</f>
        <v>PM</v>
      </c>
      <c r="AJ225" s="23" t="str">
        <f>Data!$R225&amp;"-"&amp;WEEKNUM(Data!$C225,1)-WEEKNUM(DATE(YEAR(Data!$C225),MONTH(Data!$C225),1),1)+1</f>
        <v>10-2021-4</v>
      </c>
      <c r="AK225" s="23">
        <f>MONTH(Data!$C225)</f>
        <v>10</v>
      </c>
      <c r="AL225" s="23">
        <f>IFERROR(Data!$F225/Data!$E225,0)</f>
        <v>33.476190476190474</v>
      </c>
      <c r="AM225" s="23">
        <f>COUNTIF(Data!$N$2:$N$825,Data!$N225)</f>
        <v>191</v>
      </c>
      <c r="AN225" s="23" t="str">
        <f>VLOOKUP(Data!$N225,'Helpful Tables'!A:D,4,FALSE)</f>
        <v>Washington, DC</v>
      </c>
      <c r="AO225" s="23">
        <f>COUNTIF(AN:AN,Data!$AN225)/COUNTA(AN:AN)</f>
        <v>0.62424242424242427</v>
      </c>
      <c r="AP225" s="23">
        <v>38.949649000000001</v>
      </c>
      <c r="AQ225" s="23">
        <v>-77.080878999999996</v>
      </c>
      <c r="AR225" s="23">
        <f>COUNTIF(Data!$P$2:$P$825,Data!$P225)</f>
        <v>16</v>
      </c>
      <c r="AS225" s="23" cm="1">
        <f t="array" ref="AS225">_xlfn.IFS(Data!$E225&lt;12,((Data!$E225/Data!$D225)*60)*1,AND(Data!$E225&gt;=12,Data!$E225&lt;=15),((Data!$E225/Data!$D225)*60)*1.2,AND(Data!$E225&gt;=16,Data!$E225&lt;=19),((Data!$E225/Data!$D225)*60)*1.5,Data!$E225&gt;=20,((Data!$E225/Data!$D225)*60)*1.8)</f>
        <v>37.800000000000004</v>
      </c>
      <c r="AT225" s="23" cm="1">
        <f t="array" ref="AT225">_xlfn.IFS(Data!$F225&lt;600,((Data!$F225/Data!$D225)*60)*1,AND(Data!$F225&gt;=600,Data!$F225&lt;=625),((Data!$F225/Data!$D225)*60)*1.2,AND(Data!$F225&gt;=626,Data!$F225&lt;=650),((Data!$F225/Data!$D225)*60)*1.5,Data!$F225&gt;=651,((Data!$F225/Data!$D225)*60)*1.8)</f>
        <v>1265.4000000000001</v>
      </c>
      <c r="AU225" s="23">
        <f>(Data!$I225*-1.2)+(Data!$J225*-1.1)+(Data!$K225*1.2)+(Data!$L225*1.3)+(Data!$M225*1.5)</f>
        <v>13.899999999999997</v>
      </c>
      <c r="AV225" s="23">
        <f>(Data!$AS225*0.4)+(Data!$AT225*0.4)+(Data!$AU225*0.2)</f>
        <v>524.06000000000006</v>
      </c>
      <c r="AW225" s="23">
        <f>PERCENTRANK(AV:AV,Data!$AV225)*100</f>
        <v>91.600000000000009</v>
      </c>
      <c r="AX225" s="23" t="str">
        <f>_xlfn.CONCAT(TEXT(C225,"mmm"),"-",Data!$AE225)</f>
        <v>Oct-2021</v>
      </c>
    </row>
    <row r="226" spans="1:50" ht="17" thickTop="1" thickBot="1" x14ac:dyDescent="0.25">
      <c r="A226" s="28">
        <v>225</v>
      </c>
      <c r="B226" s="29">
        <f t="shared" si="26"/>
        <v>15</v>
      </c>
      <c r="C226" s="41">
        <v>44493</v>
      </c>
      <c r="D226" s="30">
        <f>SUM(Data!$I226:$M226)</f>
        <v>59</v>
      </c>
      <c r="E226" s="29">
        <v>17</v>
      </c>
      <c r="F226" s="29">
        <v>718</v>
      </c>
      <c r="G226" s="29">
        <v>168</v>
      </c>
      <c r="H226" s="29">
        <v>134</v>
      </c>
      <c r="I226" s="29">
        <v>4</v>
      </c>
      <c r="J226" s="29">
        <v>12</v>
      </c>
      <c r="K226" s="29">
        <v>26</v>
      </c>
      <c r="L226" s="29">
        <v>14</v>
      </c>
      <c r="M226" s="29">
        <v>3</v>
      </c>
      <c r="N226" s="29" t="s">
        <v>91</v>
      </c>
      <c r="O226" s="29" t="s">
        <v>45</v>
      </c>
      <c r="P226" s="29" t="s">
        <v>100</v>
      </c>
      <c r="Q226" s="29">
        <f t="shared" si="32"/>
        <v>2</v>
      </c>
      <c r="R226" s="29" t="str">
        <f t="shared" si="27"/>
        <v>10-2021</v>
      </c>
      <c r="S226" s="29" t="s">
        <v>104</v>
      </c>
      <c r="T226" s="29" t="str">
        <f t="shared" si="28"/>
        <v>Sunday</v>
      </c>
      <c r="U226" s="29">
        <f t="shared" si="29"/>
        <v>1</v>
      </c>
      <c r="V226" s="31">
        <f>IFERROR(Data!$I226/Data!$D226,"")</f>
        <v>6.7796610169491525E-2</v>
      </c>
      <c r="W226" s="31">
        <f>IFERROR(Data!$J226/Data!$D226,"")</f>
        <v>0.20338983050847459</v>
      </c>
      <c r="X226" s="31">
        <f>IFERROR(Data!$K226/Data!$D226,"")</f>
        <v>0.44067796610169491</v>
      </c>
      <c r="Y226" s="31">
        <f>IFERROR(Data!$L226/Data!$D226,"")</f>
        <v>0.23728813559322035</v>
      </c>
      <c r="Z226" s="31">
        <f>IFERROR(Data!$M226/Data!$D226,"")</f>
        <v>5.0847457627118647E-2</v>
      </c>
      <c r="AA226" s="32">
        <v>232.14</v>
      </c>
      <c r="AB226" s="32">
        <f t="shared" si="33"/>
        <v>15.475999999999999</v>
      </c>
      <c r="AC226" s="29">
        <f t="shared" si="30"/>
        <v>648.06666666666672</v>
      </c>
      <c r="AD226" s="29">
        <f t="shared" si="31"/>
        <v>16.133333333333333</v>
      </c>
      <c r="AE226" s="29">
        <f>YEAR(Data!$C226)</f>
        <v>2021</v>
      </c>
      <c r="AF226" s="29"/>
      <c r="AG226" s="29">
        <v>12</v>
      </c>
      <c r="AH226" s="33">
        <f>Data!$F226/Data!$D226</f>
        <v>12.169491525423728</v>
      </c>
      <c r="AI226" s="17" t="str">
        <f>RIGHT(Data!$O226,2)</f>
        <v>AM</v>
      </c>
      <c r="AJ226" s="29" t="str">
        <f>Data!$R226&amp;"-"&amp;WEEKNUM(Data!$C226,1)-WEEKNUM(DATE(YEAR(Data!$C226),MONTH(Data!$C226),1),1)+1</f>
        <v>10-2021-5</v>
      </c>
      <c r="AK226" s="29">
        <f>MONTH(Data!$C226)</f>
        <v>10</v>
      </c>
      <c r="AL226" s="29">
        <f>IFERROR(Data!$F226/Data!$E226,0)</f>
        <v>42.235294117647058</v>
      </c>
      <c r="AM226" s="29">
        <f>COUNTIF(Data!$N$2:$N$825,Data!$N226)</f>
        <v>218</v>
      </c>
      <c r="AN226" s="29" t="str">
        <f>VLOOKUP(Data!$N226,'Helpful Tables'!A:D,4,FALSE)</f>
        <v>Washington, DC</v>
      </c>
      <c r="AO226" s="29">
        <f>COUNTIF(AN:AN,Data!$AN226)/COUNTA(AN:AN)</f>
        <v>0.62424242424242427</v>
      </c>
      <c r="AP226" s="29">
        <v>38.934710000000003</v>
      </c>
      <c r="AQ226" s="29">
        <v>-77.058222999999998</v>
      </c>
      <c r="AR226" s="29">
        <f>COUNTIF(Data!$P$2:$P$825,Data!$P226)</f>
        <v>35</v>
      </c>
      <c r="AS226" s="29" cm="1">
        <f t="array" ref="AS226">_xlfn.IFS(Data!$E226&lt;12,((Data!$E226/Data!$D226)*60)*1,AND(Data!$E226&gt;=12,Data!$E226&lt;=15),((Data!$E226/Data!$D226)*60)*1.2,AND(Data!$E226&gt;=16,Data!$E226&lt;=19),((Data!$E226/Data!$D226)*60)*1.5,Data!$E226&gt;=20,((Data!$E226/Data!$D226)*60)*1.8)</f>
        <v>25.932203389830509</v>
      </c>
      <c r="AT226" s="29" cm="1">
        <f t="array" ref="AT226">_xlfn.IFS(Data!$F226&lt;600,((Data!$F226/Data!$D226)*60)*1,AND(Data!$F226&gt;=600,Data!$F226&lt;=625),((Data!$F226/Data!$D226)*60)*1.2,AND(Data!$F226&gt;=626,Data!$F226&lt;=650),((Data!$F226/Data!$D226)*60)*1.5,Data!$F226&gt;=651,((Data!$F226/Data!$D226)*60)*1.8)</f>
        <v>1314.3050847457628</v>
      </c>
      <c r="AU226" s="29">
        <f>(Data!$I226*-1.2)+(Data!$J226*-1.1)+(Data!$K226*1.2)+(Data!$L226*1.3)+(Data!$M226*1.5)</f>
        <v>35.9</v>
      </c>
      <c r="AV226" s="29">
        <f>(Data!$AS226*0.4)+(Data!$AT226*0.4)+(Data!$AU226*0.2)</f>
        <v>543.27491525423727</v>
      </c>
      <c r="AW226" s="29">
        <f>PERCENTRANK(AV:AV,Data!$AV226)*100</f>
        <v>97</v>
      </c>
      <c r="AX226" s="29" t="str">
        <f>_xlfn.CONCAT(TEXT(C226,"mmm"),"-",Data!$AE226)</f>
        <v>Oct-2021</v>
      </c>
    </row>
    <row r="227" spans="1:50" ht="17" thickTop="1" thickBot="1" x14ac:dyDescent="0.25">
      <c r="A227" s="22">
        <v>226</v>
      </c>
      <c r="B227" s="23">
        <f t="shared" si="26"/>
        <v>15</v>
      </c>
      <c r="C227" s="41">
        <v>44494</v>
      </c>
      <c r="D227" s="24">
        <f>SUM(Data!$I227:$M227)</f>
        <v>56</v>
      </c>
      <c r="E227" s="23">
        <v>17</v>
      </c>
      <c r="F227" s="23">
        <v>586</v>
      </c>
      <c r="G227" s="23">
        <v>169</v>
      </c>
      <c r="H227" s="23">
        <v>122</v>
      </c>
      <c r="I227" s="23">
        <v>18</v>
      </c>
      <c r="J227" s="23">
        <v>9</v>
      </c>
      <c r="K227" s="23">
        <v>12</v>
      </c>
      <c r="L227" s="23">
        <v>16</v>
      </c>
      <c r="M227" s="23">
        <v>1</v>
      </c>
      <c r="N227" s="23" t="s">
        <v>91</v>
      </c>
      <c r="O227" s="23" t="s">
        <v>39</v>
      </c>
      <c r="P227" s="23" t="s">
        <v>94</v>
      </c>
      <c r="Q227" s="23">
        <f t="shared" si="32"/>
        <v>1</v>
      </c>
      <c r="R227" s="23" t="str">
        <f t="shared" si="27"/>
        <v>10-2021</v>
      </c>
      <c r="S227" s="23" t="s">
        <v>104</v>
      </c>
      <c r="T227" s="23" t="str">
        <f t="shared" si="28"/>
        <v>Monday</v>
      </c>
      <c r="U227" s="23">
        <f t="shared" si="29"/>
        <v>1</v>
      </c>
      <c r="V227" s="25">
        <f>IFERROR(Data!$I227/Data!$D227,"")</f>
        <v>0.32142857142857145</v>
      </c>
      <c r="W227" s="25">
        <f>IFERROR(Data!$J227/Data!$D227,"")</f>
        <v>0.16071428571428573</v>
      </c>
      <c r="X227" s="25">
        <f>IFERROR(Data!$K227/Data!$D227,"")</f>
        <v>0.21428571428571427</v>
      </c>
      <c r="Y227" s="25">
        <f>IFERROR(Data!$L227/Data!$D227,"")</f>
        <v>0.2857142857142857</v>
      </c>
      <c r="Z227" s="25">
        <f>IFERROR(Data!$M227/Data!$D227,"")</f>
        <v>1.7857142857142856E-2</v>
      </c>
      <c r="AA227" s="26">
        <v>232.14</v>
      </c>
      <c r="AB227" s="26">
        <f t="shared" si="33"/>
        <v>15.475999999999999</v>
      </c>
      <c r="AC227" s="23">
        <f t="shared" si="30"/>
        <v>648.06666666666672</v>
      </c>
      <c r="AD227" s="23">
        <f t="shared" si="31"/>
        <v>16.133333333333333</v>
      </c>
      <c r="AE227" s="23">
        <f>YEAR(Data!$C227)</f>
        <v>2021</v>
      </c>
      <c r="AF227" s="23"/>
      <c r="AG227" s="23">
        <v>12</v>
      </c>
      <c r="AH227" s="27">
        <f>Data!$F227/Data!$D227</f>
        <v>10.464285714285714</v>
      </c>
      <c r="AI227" s="17" t="str">
        <f>RIGHT(Data!$O227,2)</f>
        <v>PM</v>
      </c>
      <c r="AJ227" s="23" t="str">
        <f>Data!$R227&amp;"-"&amp;WEEKNUM(Data!$C227,1)-WEEKNUM(DATE(YEAR(Data!$C227),MONTH(Data!$C227),1),1)+1</f>
        <v>10-2021-5</v>
      </c>
      <c r="AK227" s="23">
        <f>MONTH(Data!$C227)</f>
        <v>10</v>
      </c>
      <c r="AL227" s="23">
        <f>IFERROR(Data!$F227/Data!$E227,0)</f>
        <v>34.470588235294116</v>
      </c>
      <c r="AM227" s="23">
        <f>COUNTIF(Data!$N$2:$N$825,Data!$N227)</f>
        <v>218</v>
      </c>
      <c r="AN227" s="23" t="str">
        <f>VLOOKUP(Data!$N227,'Helpful Tables'!A:D,4,FALSE)</f>
        <v>Washington, DC</v>
      </c>
      <c r="AO227" s="23">
        <f>COUNTIF(AN:AN,Data!$AN227)/COUNTA(AN:AN)</f>
        <v>0.62424242424242427</v>
      </c>
      <c r="AP227" s="23">
        <v>38.934710000000003</v>
      </c>
      <c r="AQ227" s="23">
        <v>-77.058222999999998</v>
      </c>
      <c r="AR227" s="23">
        <f>COUNTIF(Data!$P$2:$P$825,Data!$P227)</f>
        <v>15</v>
      </c>
      <c r="AS227" s="23" cm="1">
        <f t="array" ref="AS227">_xlfn.IFS(Data!$E227&lt;12,((Data!$E227/Data!$D227)*60)*1,AND(Data!$E227&gt;=12,Data!$E227&lt;=15),((Data!$E227/Data!$D227)*60)*1.2,AND(Data!$E227&gt;=16,Data!$E227&lt;=19),((Data!$E227/Data!$D227)*60)*1.5,Data!$E227&gt;=20,((Data!$E227/Data!$D227)*60)*1.8)</f>
        <v>27.321428571428569</v>
      </c>
      <c r="AT227" s="23" cm="1">
        <f t="array" ref="AT227">_xlfn.IFS(Data!$F227&lt;600,((Data!$F227/Data!$D227)*60)*1,AND(Data!$F227&gt;=600,Data!$F227&lt;=625),((Data!$F227/Data!$D227)*60)*1.2,AND(Data!$F227&gt;=626,Data!$F227&lt;=650),((Data!$F227/Data!$D227)*60)*1.5,Data!$F227&gt;=651,((Data!$F227/Data!$D227)*60)*1.8)</f>
        <v>627.85714285714278</v>
      </c>
      <c r="AU227" s="23">
        <f>(Data!$I227*-1.2)+(Data!$J227*-1.1)+(Data!$K227*1.2)+(Data!$L227*1.3)+(Data!$M227*1.5)</f>
        <v>5.1999999999999993</v>
      </c>
      <c r="AV227" s="23">
        <f>(Data!$AS227*0.4)+(Data!$AT227*0.4)+(Data!$AU227*0.2)</f>
        <v>263.11142857142858</v>
      </c>
      <c r="AW227" s="23">
        <f>PERCENTRANK(AV:AV,Data!$AV227)*100</f>
        <v>21.3</v>
      </c>
      <c r="AX227" s="23" t="str">
        <f>_xlfn.CONCAT(TEXT(C227,"mmm"),"-",Data!$AE227)</f>
        <v>Oct-2021</v>
      </c>
    </row>
    <row r="228" spans="1:50" ht="17" thickTop="1" thickBot="1" x14ac:dyDescent="0.25">
      <c r="A228" s="28">
        <v>227</v>
      </c>
      <c r="B228" s="29">
        <f t="shared" si="26"/>
        <v>15</v>
      </c>
      <c r="C228" s="41">
        <v>44495</v>
      </c>
      <c r="D228" s="30">
        <f>SUM(Data!$I228:$M228)</f>
        <v>57</v>
      </c>
      <c r="E228" s="29">
        <v>12</v>
      </c>
      <c r="F228" s="29">
        <v>589</v>
      </c>
      <c r="G228" s="29">
        <v>163</v>
      </c>
      <c r="H228" s="29">
        <v>122</v>
      </c>
      <c r="I228" s="29">
        <v>18</v>
      </c>
      <c r="J228" s="29">
        <v>12</v>
      </c>
      <c r="K228" s="29">
        <v>15</v>
      </c>
      <c r="L228" s="29">
        <v>12</v>
      </c>
      <c r="M228" s="29">
        <v>0</v>
      </c>
      <c r="N228" s="29" t="s">
        <v>101</v>
      </c>
      <c r="O228" s="29" t="s">
        <v>39</v>
      </c>
      <c r="P228" s="29" t="s">
        <v>133</v>
      </c>
      <c r="Q228" s="29">
        <f t="shared" si="32"/>
        <v>1</v>
      </c>
      <c r="R228" s="29" t="str">
        <f t="shared" si="27"/>
        <v>10-2021</v>
      </c>
      <c r="S228" s="29" t="s">
        <v>104</v>
      </c>
      <c r="T228" s="29" t="str">
        <f t="shared" si="28"/>
        <v>Tuesday</v>
      </c>
      <c r="U228" s="29">
        <f t="shared" si="29"/>
        <v>1</v>
      </c>
      <c r="V228" s="31">
        <f>IFERROR(Data!$I228/Data!$D228,"")</f>
        <v>0.31578947368421051</v>
      </c>
      <c r="W228" s="31">
        <f>IFERROR(Data!$J228/Data!$D228,"")</f>
        <v>0.21052631578947367</v>
      </c>
      <c r="X228" s="31">
        <f>IFERROR(Data!$K228/Data!$D228,"")</f>
        <v>0.26315789473684209</v>
      </c>
      <c r="Y228" s="31">
        <f>IFERROR(Data!$L228/Data!$D228,"")</f>
        <v>0.21052631578947367</v>
      </c>
      <c r="Z228" s="31">
        <f>IFERROR(Data!$M228/Data!$D228,"")</f>
        <v>0</v>
      </c>
      <c r="AA228" s="32">
        <v>232.14</v>
      </c>
      <c r="AB228" s="32">
        <f t="shared" si="33"/>
        <v>15.475999999999999</v>
      </c>
      <c r="AC228" s="29">
        <f t="shared" si="30"/>
        <v>648.06666666666672</v>
      </c>
      <c r="AD228" s="29">
        <f t="shared" si="31"/>
        <v>16.133333333333333</v>
      </c>
      <c r="AE228" s="29">
        <f>YEAR(Data!$C228)</f>
        <v>2021</v>
      </c>
      <c r="AF228" s="29"/>
      <c r="AG228" s="29">
        <v>12</v>
      </c>
      <c r="AH228" s="33">
        <f>Data!$F228/Data!$D228</f>
        <v>10.333333333333334</v>
      </c>
      <c r="AI228" s="17" t="str">
        <f>RIGHT(Data!$O228,2)</f>
        <v>PM</v>
      </c>
      <c r="AJ228" s="29" t="str">
        <f>Data!$R228&amp;"-"&amp;WEEKNUM(Data!$C228,1)-WEEKNUM(DATE(YEAR(Data!$C228),MONTH(Data!$C228),1),1)+1</f>
        <v>10-2021-5</v>
      </c>
      <c r="AK228" s="29">
        <f>MONTH(Data!$C228)</f>
        <v>10</v>
      </c>
      <c r="AL228" s="29">
        <f>IFERROR(Data!$F228/Data!$E228,0)</f>
        <v>49.083333333333336</v>
      </c>
      <c r="AM228" s="29">
        <f>COUNTIF(Data!$N$2:$N$825,Data!$N228)</f>
        <v>191</v>
      </c>
      <c r="AN228" s="29" t="str">
        <f>VLOOKUP(Data!$N228,'Helpful Tables'!A:D,4,FALSE)</f>
        <v>Washington, DC</v>
      </c>
      <c r="AO228" s="29">
        <f>COUNTIF(AN:AN,Data!$AN228)/COUNTA(AN:AN)</f>
        <v>0.62424242424242427</v>
      </c>
      <c r="AP228" s="29">
        <v>38.949649000000001</v>
      </c>
      <c r="AQ228" s="29">
        <v>-77.080878999999996</v>
      </c>
      <c r="AR228" s="29">
        <f>COUNTIF(Data!$P$2:$P$825,Data!$P228)</f>
        <v>25</v>
      </c>
      <c r="AS228" s="29" cm="1">
        <f t="array" ref="AS228">_xlfn.IFS(Data!$E228&lt;12,((Data!$E228/Data!$D228)*60)*1,AND(Data!$E228&gt;=12,Data!$E228&lt;=15),((Data!$E228/Data!$D228)*60)*1.2,AND(Data!$E228&gt;=16,Data!$E228&lt;=19),((Data!$E228/Data!$D228)*60)*1.5,Data!$E228&gt;=20,((Data!$E228/Data!$D228)*60)*1.8)</f>
        <v>15.157894736842104</v>
      </c>
      <c r="AT228" s="29" cm="1">
        <f t="array" ref="AT228">_xlfn.IFS(Data!$F228&lt;600,((Data!$F228/Data!$D228)*60)*1,AND(Data!$F228&gt;=600,Data!$F228&lt;=625),((Data!$F228/Data!$D228)*60)*1.2,AND(Data!$F228&gt;=626,Data!$F228&lt;=650),((Data!$F228/Data!$D228)*60)*1.5,Data!$F228&gt;=651,((Data!$F228/Data!$D228)*60)*1.8)</f>
        <v>620</v>
      </c>
      <c r="AU228" s="29">
        <f>(Data!$I228*-1.2)+(Data!$J228*-1.1)+(Data!$K228*1.2)+(Data!$L228*1.3)+(Data!$M228*1.5)</f>
        <v>-1.1999999999999957</v>
      </c>
      <c r="AV228" s="29">
        <f>(Data!$AS228*0.4)+(Data!$AT228*0.4)+(Data!$AU228*0.2)</f>
        <v>253.82315789473682</v>
      </c>
      <c r="AW228" s="29">
        <f>PERCENTRANK(AV:AV,Data!$AV228)*100</f>
        <v>18.5</v>
      </c>
      <c r="AX228" s="29" t="str">
        <f>_xlfn.CONCAT(TEXT(C228,"mmm"),"-",Data!$AE228)</f>
        <v>Oct-2021</v>
      </c>
    </row>
    <row r="229" spans="1:50" ht="17" thickTop="1" thickBot="1" x14ac:dyDescent="0.25">
      <c r="A229" s="22">
        <v>228</v>
      </c>
      <c r="B229" s="23">
        <f t="shared" si="26"/>
        <v>15</v>
      </c>
      <c r="C229" s="41">
        <v>44497</v>
      </c>
      <c r="D229" s="24">
        <f>SUM(Data!$I229:$M229)</f>
        <v>56</v>
      </c>
      <c r="E229" s="23">
        <v>14</v>
      </c>
      <c r="F229" s="23">
        <v>611</v>
      </c>
      <c r="G229" s="23">
        <v>176</v>
      </c>
      <c r="H229" s="23">
        <v>125</v>
      </c>
      <c r="I229" s="23">
        <v>13</v>
      </c>
      <c r="J229" s="23">
        <v>17</v>
      </c>
      <c r="K229" s="23">
        <v>12</v>
      </c>
      <c r="L229" s="23">
        <v>9</v>
      </c>
      <c r="M229" s="23">
        <v>5</v>
      </c>
      <c r="N229" s="23" t="s">
        <v>91</v>
      </c>
      <c r="O229" s="23" t="s">
        <v>39</v>
      </c>
      <c r="P229" s="23" t="s">
        <v>97</v>
      </c>
      <c r="Q229" s="23">
        <f t="shared" si="32"/>
        <v>2</v>
      </c>
      <c r="R229" s="23" t="str">
        <f t="shared" si="27"/>
        <v>10-2021</v>
      </c>
      <c r="S229" s="23" t="s">
        <v>104</v>
      </c>
      <c r="T229" s="23" t="str">
        <f t="shared" si="28"/>
        <v>Thursday</v>
      </c>
      <c r="U229" s="23">
        <f t="shared" si="29"/>
        <v>1</v>
      </c>
      <c r="V229" s="25">
        <f>IFERROR(Data!$I229/Data!$D229,"")</f>
        <v>0.23214285714285715</v>
      </c>
      <c r="W229" s="25">
        <f>IFERROR(Data!$J229/Data!$D229,"")</f>
        <v>0.30357142857142855</v>
      </c>
      <c r="X229" s="25">
        <f>IFERROR(Data!$K229/Data!$D229,"")</f>
        <v>0.21428571428571427</v>
      </c>
      <c r="Y229" s="25">
        <f>IFERROR(Data!$L229/Data!$D229,"")</f>
        <v>0.16071428571428573</v>
      </c>
      <c r="Z229" s="25">
        <f>IFERROR(Data!$M229/Data!$D229,"")</f>
        <v>8.9285714285714288E-2</v>
      </c>
      <c r="AA229" s="26">
        <v>232.14</v>
      </c>
      <c r="AB229" s="26">
        <f t="shared" si="33"/>
        <v>15.475999999999999</v>
      </c>
      <c r="AC229" s="23">
        <f t="shared" si="30"/>
        <v>648.06666666666672</v>
      </c>
      <c r="AD229" s="23">
        <f t="shared" si="31"/>
        <v>16.133333333333333</v>
      </c>
      <c r="AE229" s="23">
        <f>YEAR(Data!$C229)</f>
        <v>2021</v>
      </c>
      <c r="AF229" s="23"/>
      <c r="AG229" s="23">
        <v>12</v>
      </c>
      <c r="AH229" s="27">
        <f>Data!$F229/Data!$D229</f>
        <v>10.910714285714286</v>
      </c>
      <c r="AI229" s="17" t="str">
        <f>RIGHT(Data!$O229,2)</f>
        <v>PM</v>
      </c>
      <c r="AJ229" s="23" t="str">
        <f>Data!$R229&amp;"-"&amp;WEEKNUM(Data!$C229,1)-WEEKNUM(DATE(YEAR(Data!$C229),MONTH(Data!$C229),1),1)+1</f>
        <v>10-2021-5</v>
      </c>
      <c r="AK229" s="23">
        <f>MONTH(Data!$C229)</f>
        <v>10</v>
      </c>
      <c r="AL229" s="23">
        <f>IFERROR(Data!$F229/Data!$E229,0)</f>
        <v>43.642857142857146</v>
      </c>
      <c r="AM229" s="23">
        <f>COUNTIF(Data!$N$2:$N$825,Data!$N229)</f>
        <v>218</v>
      </c>
      <c r="AN229" s="23" t="str">
        <f>VLOOKUP(Data!$N229,'Helpful Tables'!A:D,4,FALSE)</f>
        <v>Washington, DC</v>
      </c>
      <c r="AO229" s="23">
        <f>COUNTIF(AN:AN,Data!$AN229)/COUNTA(AN:AN)</f>
        <v>0.62424242424242427</v>
      </c>
      <c r="AP229" s="23">
        <v>38.934710000000003</v>
      </c>
      <c r="AQ229" s="23">
        <v>-77.058222999999998</v>
      </c>
      <c r="AR229" s="23">
        <f>COUNTIF(Data!$P$2:$P$825,Data!$P229)</f>
        <v>14</v>
      </c>
      <c r="AS229" s="23" cm="1">
        <f t="array" ref="AS229">_xlfn.IFS(Data!$E229&lt;12,((Data!$E229/Data!$D229)*60)*1,AND(Data!$E229&gt;=12,Data!$E229&lt;=15),((Data!$E229/Data!$D229)*60)*1.2,AND(Data!$E229&gt;=16,Data!$E229&lt;=19),((Data!$E229/Data!$D229)*60)*1.5,Data!$E229&gt;=20,((Data!$E229/Data!$D229)*60)*1.8)</f>
        <v>18</v>
      </c>
      <c r="AT229" s="23" cm="1">
        <f t="array" ref="AT229">_xlfn.IFS(Data!$F229&lt;600,((Data!$F229/Data!$D229)*60)*1,AND(Data!$F229&gt;=600,Data!$F229&lt;=625),((Data!$F229/Data!$D229)*60)*1.2,AND(Data!$F229&gt;=626,Data!$F229&lt;=650),((Data!$F229/Data!$D229)*60)*1.5,Data!$F229&gt;=651,((Data!$F229/Data!$D229)*60)*1.8)</f>
        <v>785.57142857142867</v>
      </c>
      <c r="AU229" s="23">
        <f>(Data!$I229*-1.2)+(Data!$J229*-1.1)+(Data!$K229*1.2)+(Data!$L229*1.3)+(Data!$M229*1.5)</f>
        <v>-0.70000000000000462</v>
      </c>
      <c r="AV229" s="23">
        <f>(Data!$AS229*0.4)+(Data!$AT229*0.4)+(Data!$AU229*0.2)</f>
        <v>321.28857142857152</v>
      </c>
      <c r="AW229" s="23">
        <f>PERCENTRANK(AV:AV,Data!$AV229)*100</f>
        <v>38</v>
      </c>
      <c r="AX229" s="23" t="str">
        <f>_xlfn.CONCAT(TEXT(C229,"mmm"),"-",Data!$AE229)</f>
        <v>Oct-2021</v>
      </c>
    </row>
    <row r="230" spans="1:50" ht="17" thickTop="1" thickBot="1" x14ac:dyDescent="0.25">
      <c r="A230" s="28">
        <v>229</v>
      </c>
      <c r="B230" s="29">
        <f t="shared" si="26"/>
        <v>15</v>
      </c>
      <c r="C230" s="41">
        <v>44499</v>
      </c>
      <c r="D230" s="30">
        <f>SUM(Data!$I230:$M230)</f>
        <v>56</v>
      </c>
      <c r="E230" s="29">
        <v>18</v>
      </c>
      <c r="F230" s="29">
        <v>676</v>
      </c>
      <c r="G230" s="29">
        <v>170</v>
      </c>
      <c r="H230" s="29">
        <v>131</v>
      </c>
      <c r="I230" s="29">
        <v>9</v>
      </c>
      <c r="J230" s="29">
        <v>16</v>
      </c>
      <c r="K230" s="29">
        <v>13</v>
      </c>
      <c r="L230" s="29">
        <v>16</v>
      </c>
      <c r="M230" s="29">
        <v>2</v>
      </c>
      <c r="N230" s="29" t="s">
        <v>91</v>
      </c>
      <c r="O230" s="29" t="s">
        <v>45</v>
      </c>
      <c r="P230" s="29" t="s">
        <v>120</v>
      </c>
      <c r="Q230" s="29">
        <f t="shared" si="32"/>
        <v>2</v>
      </c>
      <c r="R230" s="29" t="str">
        <f t="shared" si="27"/>
        <v>10-2021</v>
      </c>
      <c r="S230" s="29" t="s">
        <v>104</v>
      </c>
      <c r="T230" s="29" t="str">
        <f t="shared" si="28"/>
        <v>Saturday</v>
      </c>
      <c r="U230" s="29">
        <f t="shared" si="29"/>
        <v>1</v>
      </c>
      <c r="V230" s="31">
        <f>IFERROR(Data!$I230/Data!$D230,"")</f>
        <v>0.16071428571428573</v>
      </c>
      <c r="W230" s="31">
        <f>IFERROR(Data!$J230/Data!$D230,"")</f>
        <v>0.2857142857142857</v>
      </c>
      <c r="X230" s="31">
        <f>IFERROR(Data!$K230/Data!$D230,"")</f>
        <v>0.23214285714285715</v>
      </c>
      <c r="Y230" s="31">
        <f>IFERROR(Data!$L230/Data!$D230,"")</f>
        <v>0.2857142857142857</v>
      </c>
      <c r="Z230" s="31">
        <f>IFERROR(Data!$M230/Data!$D230,"")</f>
        <v>3.5714285714285712E-2</v>
      </c>
      <c r="AA230" s="32">
        <v>232.14</v>
      </c>
      <c r="AB230" s="32">
        <f t="shared" si="33"/>
        <v>15.475999999999999</v>
      </c>
      <c r="AC230" s="29">
        <f t="shared" si="30"/>
        <v>648.06666666666672</v>
      </c>
      <c r="AD230" s="29">
        <f t="shared" si="31"/>
        <v>16.133333333333333</v>
      </c>
      <c r="AE230" s="29">
        <f>YEAR(Data!$C230)</f>
        <v>2021</v>
      </c>
      <c r="AF230" s="29"/>
      <c r="AG230" s="29">
        <v>12</v>
      </c>
      <c r="AH230" s="33">
        <f>Data!$F230/Data!$D230</f>
        <v>12.071428571428571</v>
      </c>
      <c r="AI230" s="17" t="str">
        <f>RIGHT(Data!$O230,2)</f>
        <v>AM</v>
      </c>
      <c r="AJ230" s="29" t="str">
        <f>Data!$R230&amp;"-"&amp;WEEKNUM(Data!$C230,1)-WEEKNUM(DATE(YEAR(Data!$C230),MONTH(Data!$C230),1),1)+1</f>
        <v>10-2021-5</v>
      </c>
      <c r="AK230" s="29">
        <f>MONTH(Data!$C230)</f>
        <v>10</v>
      </c>
      <c r="AL230" s="29">
        <f>IFERROR(Data!$F230/Data!$E230,0)</f>
        <v>37.555555555555557</v>
      </c>
      <c r="AM230" s="29">
        <f>COUNTIF(Data!$N$2:$N$825,Data!$N230)</f>
        <v>218</v>
      </c>
      <c r="AN230" s="29" t="str">
        <f>VLOOKUP(Data!$N230,'Helpful Tables'!A:D,4,FALSE)</f>
        <v>Washington, DC</v>
      </c>
      <c r="AO230" s="29">
        <f>COUNTIF(AN:AN,Data!$AN230)/COUNTA(AN:AN)</f>
        <v>0.62424242424242427</v>
      </c>
      <c r="AP230" s="29">
        <v>38.934710000000003</v>
      </c>
      <c r="AQ230" s="29">
        <v>-77.058222999999998</v>
      </c>
      <c r="AR230" s="29">
        <f>COUNTIF(Data!$P$2:$P$825,Data!$P230)</f>
        <v>4</v>
      </c>
      <c r="AS230" s="29" cm="1">
        <f t="array" ref="AS230">_xlfn.IFS(Data!$E230&lt;12,((Data!$E230/Data!$D230)*60)*1,AND(Data!$E230&gt;=12,Data!$E230&lt;=15),((Data!$E230/Data!$D230)*60)*1.2,AND(Data!$E230&gt;=16,Data!$E230&lt;=19),((Data!$E230/Data!$D230)*60)*1.5,Data!$E230&gt;=20,((Data!$E230/Data!$D230)*60)*1.8)</f>
        <v>28.928571428571431</v>
      </c>
      <c r="AT230" s="29" cm="1">
        <f t="array" ref="AT230">_xlfn.IFS(Data!$F230&lt;600,((Data!$F230/Data!$D230)*60)*1,AND(Data!$F230&gt;=600,Data!$F230&lt;=625),((Data!$F230/Data!$D230)*60)*1.2,AND(Data!$F230&gt;=626,Data!$F230&lt;=650),((Data!$F230/Data!$D230)*60)*1.5,Data!$F230&gt;=651,((Data!$F230/Data!$D230)*60)*1.8)</f>
        <v>1303.7142857142856</v>
      </c>
      <c r="AU230" s="29">
        <f>(Data!$I230*-1.2)+(Data!$J230*-1.1)+(Data!$K230*1.2)+(Data!$L230*1.3)+(Data!$M230*1.5)</f>
        <v>11.000000000000002</v>
      </c>
      <c r="AV230" s="29">
        <f>(Data!$AS230*0.4)+(Data!$AT230*0.4)+(Data!$AU230*0.2)</f>
        <v>535.25714285714287</v>
      </c>
      <c r="AW230" s="29">
        <f>PERCENTRANK(AV:AV,Data!$AV230)*100</f>
        <v>95.199999999999989</v>
      </c>
      <c r="AX230" s="29" t="str">
        <f>_xlfn.CONCAT(TEXT(C230,"mmm"),"-",Data!$AE230)</f>
        <v>Oct-2021</v>
      </c>
    </row>
    <row r="231" spans="1:50" ht="17" thickTop="1" thickBot="1" x14ac:dyDescent="0.25">
      <c r="A231" s="22">
        <v>230</v>
      </c>
      <c r="B231" s="23">
        <f t="shared" si="26"/>
        <v>15</v>
      </c>
      <c r="C231" s="41">
        <v>44501</v>
      </c>
      <c r="D231" s="24">
        <f>SUM(Data!$I231:$M231)</f>
        <v>57</v>
      </c>
      <c r="E231" s="23">
        <v>17</v>
      </c>
      <c r="F231" s="23">
        <v>650</v>
      </c>
      <c r="G231" s="23">
        <v>166</v>
      </c>
      <c r="H231" s="23">
        <v>129</v>
      </c>
      <c r="I231" s="23">
        <v>10</v>
      </c>
      <c r="J231" s="23">
        <v>20</v>
      </c>
      <c r="K231" s="23">
        <v>10</v>
      </c>
      <c r="L231" s="23">
        <v>15</v>
      </c>
      <c r="M231" s="23">
        <v>2</v>
      </c>
      <c r="N231" s="23" t="s">
        <v>101</v>
      </c>
      <c r="O231" s="23" t="s">
        <v>39</v>
      </c>
      <c r="P231" s="23" t="s">
        <v>133</v>
      </c>
      <c r="Q231" s="23">
        <f t="shared" si="32"/>
        <v>2</v>
      </c>
      <c r="R231" s="23" t="str">
        <f t="shared" si="27"/>
        <v>11-2021</v>
      </c>
      <c r="S231" s="23" t="s">
        <v>104</v>
      </c>
      <c r="T231" s="23" t="str">
        <f t="shared" si="28"/>
        <v>Monday</v>
      </c>
      <c r="U231" s="23">
        <f t="shared" si="29"/>
        <v>1</v>
      </c>
      <c r="V231" s="25">
        <f>IFERROR(Data!$I231/Data!$D231,"")</f>
        <v>0.17543859649122806</v>
      </c>
      <c r="W231" s="25">
        <f>IFERROR(Data!$J231/Data!$D231,"")</f>
        <v>0.35087719298245612</v>
      </c>
      <c r="X231" s="25">
        <f>IFERROR(Data!$K231/Data!$D231,"")</f>
        <v>0.17543859649122806</v>
      </c>
      <c r="Y231" s="25">
        <f>IFERROR(Data!$L231/Data!$D231,"")</f>
        <v>0.26315789473684209</v>
      </c>
      <c r="Z231" s="25">
        <f>IFERROR(Data!$M231/Data!$D231,"")</f>
        <v>3.5087719298245612E-2</v>
      </c>
      <c r="AA231" s="26">
        <v>232.14</v>
      </c>
      <c r="AB231" s="26">
        <f t="shared" si="33"/>
        <v>15.475999999999999</v>
      </c>
      <c r="AC231" s="23">
        <f t="shared" si="30"/>
        <v>651.57142857142856</v>
      </c>
      <c r="AD231" s="23">
        <f t="shared" si="31"/>
        <v>14.357142857142858</v>
      </c>
      <c r="AE231" s="23">
        <f>YEAR(Data!$C231)</f>
        <v>2021</v>
      </c>
      <c r="AF231" s="23"/>
      <c r="AG231" s="23">
        <v>12</v>
      </c>
      <c r="AH231" s="27">
        <f>Data!$F231/Data!$D231</f>
        <v>11.403508771929825</v>
      </c>
      <c r="AI231" s="17" t="str">
        <f>RIGHT(Data!$O231,2)</f>
        <v>PM</v>
      </c>
      <c r="AJ231" s="23" t="str">
        <f>Data!$R231&amp;"-"&amp;WEEKNUM(Data!$C231,1)-WEEKNUM(DATE(YEAR(Data!$C231),MONTH(Data!$C231),1),1)+1</f>
        <v>11-2021-1</v>
      </c>
      <c r="AK231" s="23">
        <f>MONTH(Data!$C231)</f>
        <v>11</v>
      </c>
      <c r="AL231" s="23">
        <f>IFERROR(Data!$F231/Data!$E231,0)</f>
        <v>38.235294117647058</v>
      </c>
      <c r="AM231" s="23">
        <f>COUNTIF(Data!$N$2:$N$825,Data!$N231)</f>
        <v>191</v>
      </c>
      <c r="AN231" s="23" t="str">
        <f>VLOOKUP(Data!$N231,'Helpful Tables'!A:D,4,FALSE)</f>
        <v>Washington, DC</v>
      </c>
      <c r="AO231" s="23">
        <f>COUNTIF(AN:AN,Data!$AN231)/COUNTA(AN:AN)</f>
        <v>0.62424242424242427</v>
      </c>
      <c r="AP231" s="23">
        <v>38.949649000000001</v>
      </c>
      <c r="AQ231" s="23">
        <v>-77.080878999999996</v>
      </c>
      <c r="AR231" s="23">
        <f>COUNTIF(Data!$P$2:$P$825,Data!$P231)</f>
        <v>25</v>
      </c>
      <c r="AS231" s="23" cm="1">
        <f t="array" ref="AS231">_xlfn.IFS(Data!$E231&lt;12,((Data!$E231/Data!$D231)*60)*1,AND(Data!$E231&gt;=12,Data!$E231&lt;=15),((Data!$E231/Data!$D231)*60)*1.2,AND(Data!$E231&gt;=16,Data!$E231&lt;=19),((Data!$E231/Data!$D231)*60)*1.5,Data!$E231&gt;=20,((Data!$E231/Data!$D231)*60)*1.8)</f>
        <v>26.842105263157897</v>
      </c>
      <c r="AT231" s="23" cm="1">
        <f t="array" ref="AT231">_xlfn.IFS(Data!$F231&lt;600,((Data!$F231/Data!$D231)*60)*1,AND(Data!$F231&gt;=600,Data!$F231&lt;=625),((Data!$F231/Data!$D231)*60)*1.2,AND(Data!$F231&gt;=626,Data!$F231&lt;=650),((Data!$F231/Data!$D231)*60)*1.5,Data!$F231&gt;=651,((Data!$F231/Data!$D231)*60)*1.8)</f>
        <v>1026.3157894736842</v>
      </c>
      <c r="AU231" s="23">
        <f>(Data!$I231*-1.2)+(Data!$J231*-1.1)+(Data!$K231*1.2)+(Data!$L231*1.3)+(Data!$M231*1.5)</f>
        <v>0.5</v>
      </c>
      <c r="AV231" s="23">
        <f>(Data!$AS231*0.4)+(Data!$AT231*0.4)+(Data!$AU231*0.2)</f>
        <v>421.3631578947369</v>
      </c>
      <c r="AW231" s="23">
        <f>PERCENTRANK(AV:AV,Data!$AV231)*100</f>
        <v>61.6</v>
      </c>
      <c r="AX231" s="23" t="str">
        <f>_xlfn.CONCAT(TEXT(C231,"mmm"),"-",Data!$AE231)</f>
        <v>Nov-2021</v>
      </c>
    </row>
    <row r="232" spans="1:50" ht="17" thickTop="1" thickBot="1" x14ac:dyDescent="0.25">
      <c r="A232" s="28">
        <v>231</v>
      </c>
      <c r="B232" s="29">
        <f t="shared" si="26"/>
        <v>15</v>
      </c>
      <c r="C232" s="41">
        <v>44503</v>
      </c>
      <c r="D232" s="30">
        <f>SUM(Data!$I232:$M232)</f>
        <v>57</v>
      </c>
      <c r="E232" s="29">
        <v>13</v>
      </c>
      <c r="F232" s="29">
        <v>680</v>
      </c>
      <c r="G232" s="29">
        <v>168</v>
      </c>
      <c r="H232" s="29">
        <v>132</v>
      </c>
      <c r="I232" s="29">
        <v>5</v>
      </c>
      <c r="J232" s="29">
        <v>15</v>
      </c>
      <c r="K232" s="29">
        <v>24</v>
      </c>
      <c r="L232" s="29">
        <v>11</v>
      </c>
      <c r="M232" s="29">
        <v>2</v>
      </c>
      <c r="N232" s="29" t="s">
        <v>91</v>
      </c>
      <c r="O232" s="29" t="s">
        <v>39</v>
      </c>
      <c r="P232" s="29" t="s">
        <v>120</v>
      </c>
      <c r="Q232" s="29">
        <f t="shared" si="32"/>
        <v>2</v>
      </c>
      <c r="R232" s="29" t="str">
        <f t="shared" si="27"/>
        <v>11-2021</v>
      </c>
      <c r="S232" s="29" t="s">
        <v>104</v>
      </c>
      <c r="T232" s="29" t="str">
        <f t="shared" si="28"/>
        <v>Wednesday</v>
      </c>
      <c r="U232" s="29">
        <f t="shared" si="29"/>
        <v>1</v>
      </c>
      <c r="V232" s="31">
        <f>IFERROR(Data!$I232/Data!$D232,"")</f>
        <v>8.771929824561403E-2</v>
      </c>
      <c r="W232" s="31">
        <f>IFERROR(Data!$J232/Data!$D232,"")</f>
        <v>0.26315789473684209</v>
      </c>
      <c r="X232" s="31">
        <f>IFERROR(Data!$K232/Data!$D232,"")</f>
        <v>0.42105263157894735</v>
      </c>
      <c r="Y232" s="31">
        <f>IFERROR(Data!$L232/Data!$D232,"")</f>
        <v>0.19298245614035087</v>
      </c>
      <c r="Z232" s="31">
        <f>IFERROR(Data!$M232/Data!$D232,"")</f>
        <v>3.5087719298245612E-2</v>
      </c>
      <c r="AA232" s="32">
        <v>232.14</v>
      </c>
      <c r="AB232" s="32">
        <f t="shared" si="33"/>
        <v>15.475999999999999</v>
      </c>
      <c r="AC232" s="29">
        <f t="shared" si="30"/>
        <v>651.57142857142856</v>
      </c>
      <c r="AD232" s="29">
        <f t="shared" si="31"/>
        <v>14.357142857142858</v>
      </c>
      <c r="AE232" s="29">
        <f>YEAR(Data!$C232)</f>
        <v>2021</v>
      </c>
      <c r="AF232" s="29"/>
      <c r="AG232" s="29">
        <v>12</v>
      </c>
      <c r="AH232" s="33">
        <f>Data!$F232/Data!$D232</f>
        <v>11.929824561403509</v>
      </c>
      <c r="AI232" s="17" t="str">
        <f>RIGHT(Data!$O232,2)</f>
        <v>PM</v>
      </c>
      <c r="AJ232" s="29" t="str">
        <f>Data!$R232&amp;"-"&amp;WEEKNUM(Data!$C232,1)-WEEKNUM(DATE(YEAR(Data!$C232),MONTH(Data!$C232),1),1)+1</f>
        <v>11-2021-1</v>
      </c>
      <c r="AK232" s="29">
        <f>MONTH(Data!$C232)</f>
        <v>11</v>
      </c>
      <c r="AL232" s="29">
        <f>IFERROR(Data!$F232/Data!$E232,0)</f>
        <v>52.307692307692307</v>
      </c>
      <c r="AM232" s="29">
        <f>COUNTIF(Data!$N$2:$N$825,Data!$N232)</f>
        <v>218</v>
      </c>
      <c r="AN232" s="29" t="str">
        <f>VLOOKUP(Data!$N232,'Helpful Tables'!A:D,4,FALSE)</f>
        <v>Washington, DC</v>
      </c>
      <c r="AO232" s="29">
        <f>COUNTIF(AN:AN,Data!$AN232)/COUNTA(AN:AN)</f>
        <v>0.62424242424242427</v>
      </c>
      <c r="AP232" s="29">
        <v>38.934710000000003</v>
      </c>
      <c r="AQ232" s="29">
        <v>-77.058222999999998</v>
      </c>
      <c r="AR232" s="29">
        <f>COUNTIF(Data!$P$2:$P$825,Data!$P232)</f>
        <v>4</v>
      </c>
      <c r="AS232" s="29" cm="1">
        <f t="array" ref="AS232">_xlfn.IFS(Data!$E232&lt;12,((Data!$E232/Data!$D232)*60)*1,AND(Data!$E232&gt;=12,Data!$E232&lt;=15),((Data!$E232/Data!$D232)*60)*1.2,AND(Data!$E232&gt;=16,Data!$E232&lt;=19),((Data!$E232/Data!$D232)*60)*1.5,Data!$E232&gt;=20,((Data!$E232/Data!$D232)*60)*1.8)</f>
        <v>16.421052631578945</v>
      </c>
      <c r="AT232" s="29" cm="1">
        <f t="array" ref="AT232">_xlfn.IFS(Data!$F232&lt;600,((Data!$F232/Data!$D232)*60)*1,AND(Data!$F232&gt;=600,Data!$F232&lt;=625),((Data!$F232/Data!$D232)*60)*1.2,AND(Data!$F232&gt;=626,Data!$F232&lt;=650),((Data!$F232/Data!$D232)*60)*1.5,Data!$F232&gt;=651,((Data!$F232/Data!$D232)*60)*1.8)</f>
        <v>1288.421052631579</v>
      </c>
      <c r="AU232" s="29">
        <f>(Data!$I232*-1.2)+(Data!$J232*-1.1)+(Data!$K232*1.2)+(Data!$L232*1.3)+(Data!$M232*1.5)</f>
        <v>23.599999999999998</v>
      </c>
      <c r="AV232" s="29">
        <f>(Data!$AS232*0.4)+(Data!$AT232*0.4)+(Data!$AU232*0.2)</f>
        <v>526.65684210526319</v>
      </c>
      <c r="AW232" s="29">
        <f>PERCENTRANK(AV:AV,Data!$AV232)*100</f>
        <v>92.5</v>
      </c>
      <c r="AX232" s="29" t="str">
        <f>_xlfn.CONCAT(TEXT(C232,"mmm"),"-",Data!$AE232)</f>
        <v>Nov-2021</v>
      </c>
    </row>
    <row r="233" spans="1:50" ht="17" thickTop="1" thickBot="1" x14ac:dyDescent="0.25">
      <c r="A233" s="22">
        <v>232</v>
      </c>
      <c r="B233" s="23">
        <f t="shared" si="26"/>
        <v>15</v>
      </c>
      <c r="C233" s="41">
        <v>44504</v>
      </c>
      <c r="D233" s="24">
        <f>SUM(Data!$I233:$M233)</f>
        <v>57</v>
      </c>
      <c r="E233" s="23">
        <v>6</v>
      </c>
      <c r="F233" s="23">
        <v>551</v>
      </c>
      <c r="G233" s="23">
        <v>162</v>
      </c>
      <c r="H233" s="23">
        <v>116</v>
      </c>
      <c r="I233" s="23">
        <v>19</v>
      </c>
      <c r="J233" s="23">
        <v>22</v>
      </c>
      <c r="K233" s="23">
        <v>10</v>
      </c>
      <c r="L233" s="23">
        <v>6</v>
      </c>
      <c r="M233" s="23">
        <v>0</v>
      </c>
      <c r="N233" s="23" t="s">
        <v>101</v>
      </c>
      <c r="O233" s="23" t="s">
        <v>39</v>
      </c>
      <c r="P233" s="23" t="s">
        <v>109</v>
      </c>
      <c r="Q233" s="23">
        <f t="shared" si="32"/>
        <v>1</v>
      </c>
      <c r="R233" s="23" t="str">
        <f t="shared" si="27"/>
        <v>11-2021</v>
      </c>
      <c r="S233" s="23" t="s">
        <v>104</v>
      </c>
      <c r="T233" s="23" t="str">
        <f t="shared" si="28"/>
        <v>Thursday</v>
      </c>
      <c r="U233" s="23">
        <f t="shared" si="29"/>
        <v>0</v>
      </c>
      <c r="V233" s="25">
        <f>IFERROR(Data!$I233/Data!$D233,"")</f>
        <v>0.33333333333333331</v>
      </c>
      <c r="W233" s="25">
        <f>IFERROR(Data!$J233/Data!$D233,"")</f>
        <v>0.38596491228070173</v>
      </c>
      <c r="X233" s="25">
        <f>IFERROR(Data!$K233/Data!$D233,"")</f>
        <v>0.17543859649122806</v>
      </c>
      <c r="Y233" s="25">
        <f>IFERROR(Data!$L233/Data!$D233,"")</f>
        <v>0.10526315789473684</v>
      </c>
      <c r="Z233" s="25">
        <f>IFERROR(Data!$M233/Data!$D233,"")</f>
        <v>0</v>
      </c>
      <c r="AA233" s="26">
        <v>232.14</v>
      </c>
      <c r="AB233" s="26">
        <f t="shared" si="33"/>
        <v>15.475999999999999</v>
      </c>
      <c r="AC233" s="23">
        <f t="shared" si="30"/>
        <v>651.57142857142856</v>
      </c>
      <c r="AD233" s="23">
        <f t="shared" si="31"/>
        <v>14.357142857142858</v>
      </c>
      <c r="AE233" s="23">
        <f>YEAR(Data!$C233)</f>
        <v>2021</v>
      </c>
      <c r="AF233" s="23"/>
      <c r="AG233" s="23">
        <v>12</v>
      </c>
      <c r="AH233" s="27">
        <f>Data!$F233/Data!$D233</f>
        <v>9.6666666666666661</v>
      </c>
      <c r="AI233" s="17" t="str">
        <f>RIGHT(Data!$O233,2)</f>
        <v>PM</v>
      </c>
      <c r="AJ233" s="23" t="str">
        <f>Data!$R233&amp;"-"&amp;WEEKNUM(Data!$C233,1)-WEEKNUM(DATE(YEAR(Data!$C233),MONTH(Data!$C233),1),1)+1</f>
        <v>11-2021-1</v>
      </c>
      <c r="AK233" s="23">
        <f>MONTH(Data!$C233)</f>
        <v>11</v>
      </c>
      <c r="AL233" s="23">
        <f>IFERROR(Data!$F233/Data!$E233,0)</f>
        <v>91.833333333333329</v>
      </c>
      <c r="AM233" s="23">
        <f>COUNTIF(Data!$N$2:$N$825,Data!$N233)</f>
        <v>191</v>
      </c>
      <c r="AN233" s="23" t="str">
        <f>VLOOKUP(Data!$N233,'Helpful Tables'!A:D,4,FALSE)</f>
        <v>Washington, DC</v>
      </c>
      <c r="AO233" s="23">
        <f>COUNTIF(AN:AN,Data!$AN233)/COUNTA(AN:AN)</f>
        <v>0.62424242424242427</v>
      </c>
      <c r="AP233" s="23">
        <v>38.949649000000001</v>
      </c>
      <c r="AQ233" s="23">
        <v>-77.080878999999996</v>
      </c>
      <c r="AR233" s="23">
        <f>COUNTIF(Data!$P$2:$P$825,Data!$P233)</f>
        <v>66</v>
      </c>
      <c r="AS233" s="23" cm="1">
        <f t="array" ref="AS233">_xlfn.IFS(Data!$E233&lt;12,((Data!$E233/Data!$D233)*60)*1,AND(Data!$E233&gt;=12,Data!$E233&lt;=15),((Data!$E233/Data!$D233)*60)*1.2,AND(Data!$E233&gt;=16,Data!$E233&lt;=19),((Data!$E233/Data!$D233)*60)*1.5,Data!$E233&gt;=20,((Data!$E233/Data!$D233)*60)*1.8)</f>
        <v>6.3157894736842106</v>
      </c>
      <c r="AT233" s="23" cm="1">
        <f t="array" ref="AT233">_xlfn.IFS(Data!$F233&lt;600,((Data!$F233/Data!$D233)*60)*1,AND(Data!$F233&gt;=600,Data!$F233&lt;=625),((Data!$F233/Data!$D233)*60)*1.2,AND(Data!$F233&gt;=626,Data!$F233&lt;=650),((Data!$F233/Data!$D233)*60)*1.5,Data!$F233&gt;=651,((Data!$F233/Data!$D233)*60)*1.8)</f>
        <v>580</v>
      </c>
      <c r="AU233" s="23">
        <f>(Data!$I233*-1.2)+(Data!$J233*-1.1)+(Data!$K233*1.2)+(Data!$L233*1.3)+(Data!$M233*1.5)</f>
        <v>-27.2</v>
      </c>
      <c r="AV233" s="23">
        <f>(Data!$AS233*0.4)+(Data!$AT233*0.4)+(Data!$AU233*0.2)</f>
        <v>229.08631578947367</v>
      </c>
      <c r="AW233" s="23">
        <f>PERCENTRANK(AV:AV,Data!$AV233)*100</f>
        <v>6.6000000000000005</v>
      </c>
      <c r="AX233" s="23" t="str">
        <f>_xlfn.CONCAT(TEXT(C233,"mmm"),"-",Data!$AE233)</f>
        <v>Nov-2021</v>
      </c>
    </row>
    <row r="234" spans="1:50" ht="17" thickTop="1" thickBot="1" x14ac:dyDescent="0.25">
      <c r="A234" s="28">
        <v>233</v>
      </c>
      <c r="B234" s="29">
        <f t="shared" si="26"/>
        <v>15</v>
      </c>
      <c r="C234" s="41">
        <v>44507</v>
      </c>
      <c r="D234" s="30">
        <f>SUM(Data!$I234:$M234)</f>
        <v>56</v>
      </c>
      <c r="E234" s="29">
        <v>13</v>
      </c>
      <c r="F234" s="29">
        <v>609</v>
      </c>
      <c r="G234" s="29">
        <v>168</v>
      </c>
      <c r="H234" s="29">
        <v>126</v>
      </c>
      <c r="I234" s="29">
        <v>12</v>
      </c>
      <c r="J234" s="29">
        <v>17</v>
      </c>
      <c r="K234" s="29">
        <v>14</v>
      </c>
      <c r="L234" s="29">
        <v>11</v>
      </c>
      <c r="M234" s="29">
        <v>2</v>
      </c>
      <c r="N234" s="29" t="s">
        <v>91</v>
      </c>
      <c r="O234" s="29" t="s">
        <v>45</v>
      </c>
      <c r="P234" s="29" t="s">
        <v>100</v>
      </c>
      <c r="Q234" s="29">
        <f t="shared" si="32"/>
        <v>3</v>
      </c>
      <c r="R234" s="29" t="str">
        <f t="shared" si="27"/>
        <v>11-2021</v>
      </c>
      <c r="S234" s="29" t="s">
        <v>104</v>
      </c>
      <c r="T234" s="29" t="str">
        <f t="shared" si="28"/>
        <v>Sunday</v>
      </c>
      <c r="U234" s="29">
        <f t="shared" si="29"/>
        <v>1</v>
      </c>
      <c r="V234" s="31">
        <f>IFERROR(Data!$I234/Data!$D234,"")</f>
        <v>0.21428571428571427</v>
      </c>
      <c r="W234" s="31">
        <f>IFERROR(Data!$J234/Data!$D234,"")</f>
        <v>0.30357142857142855</v>
      </c>
      <c r="X234" s="31">
        <f>IFERROR(Data!$K234/Data!$D234,"")</f>
        <v>0.25</v>
      </c>
      <c r="Y234" s="31">
        <f>IFERROR(Data!$L234/Data!$D234,"")</f>
        <v>0.19642857142857142</v>
      </c>
      <c r="Z234" s="31">
        <f>IFERROR(Data!$M234/Data!$D234,"")</f>
        <v>3.5714285714285712E-2</v>
      </c>
      <c r="AA234" s="32">
        <v>232.14</v>
      </c>
      <c r="AB234" s="32">
        <f t="shared" si="33"/>
        <v>15.475999999999999</v>
      </c>
      <c r="AC234" s="29">
        <f t="shared" si="30"/>
        <v>651.57142857142856</v>
      </c>
      <c r="AD234" s="29">
        <f t="shared" si="31"/>
        <v>14.357142857142858</v>
      </c>
      <c r="AE234" s="29">
        <f>YEAR(Data!$C234)</f>
        <v>2021</v>
      </c>
      <c r="AF234" s="29"/>
      <c r="AG234" s="29">
        <v>12</v>
      </c>
      <c r="AH234" s="33">
        <f>Data!$F234/Data!$D234</f>
        <v>10.875</v>
      </c>
      <c r="AI234" s="17" t="str">
        <f>RIGHT(Data!$O234,2)</f>
        <v>AM</v>
      </c>
      <c r="AJ234" s="29" t="str">
        <f>Data!$R234&amp;"-"&amp;WEEKNUM(Data!$C234,1)-WEEKNUM(DATE(YEAR(Data!$C234),MONTH(Data!$C234),1),1)+1</f>
        <v>11-2021-2</v>
      </c>
      <c r="AK234" s="29">
        <f>MONTH(Data!$C234)</f>
        <v>11</v>
      </c>
      <c r="AL234" s="29">
        <f>IFERROR(Data!$F234/Data!$E234,0)</f>
        <v>46.846153846153847</v>
      </c>
      <c r="AM234" s="29">
        <f>COUNTIF(Data!$N$2:$N$825,Data!$N234)</f>
        <v>218</v>
      </c>
      <c r="AN234" s="29" t="str">
        <f>VLOOKUP(Data!$N234,'Helpful Tables'!A:D,4,FALSE)</f>
        <v>Washington, DC</v>
      </c>
      <c r="AO234" s="29">
        <f>COUNTIF(AN:AN,Data!$AN234)/COUNTA(AN:AN)</f>
        <v>0.62424242424242427</v>
      </c>
      <c r="AP234" s="29">
        <v>38.934710000000003</v>
      </c>
      <c r="AQ234" s="29">
        <v>-77.058222999999998</v>
      </c>
      <c r="AR234" s="29">
        <f>COUNTIF(Data!$P$2:$P$825,Data!$P234)</f>
        <v>35</v>
      </c>
      <c r="AS234" s="29" cm="1">
        <f t="array" ref="AS234">_xlfn.IFS(Data!$E234&lt;12,((Data!$E234/Data!$D234)*60)*1,AND(Data!$E234&gt;=12,Data!$E234&lt;=15),((Data!$E234/Data!$D234)*60)*1.2,AND(Data!$E234&gt;=16,Data!$E234&lt;=19),((Data!$E234/Data!$D234)*60)*1.5,Data!$E234&gt;=20,((Data!$E234/Data!$D234)*60)*1.8)</f>
        <v>16.714285714285715</v>
      </c>
      <c r="AT234" s="29" cm="1">
        <f t="array" ref="AT234">_xlfn.IFS(Data!$F234&lt;600,((Data!$F234/Data!$D234)*60)*1,AND(Data!$F234&gt;=600,Data!$F234&lt;=625),((Data!$F234/Data!$D234)*60)*1.2,AND(Data!$F234&gt;=626,Data!$F234&lt;=650),((Data!$F234/Data!$D234)*60)*1.5,Data!$F234&gt;=651,((Data!$F234/Data!$D234)*60)*1.8)</f>
        <v>783</v>
      </c>
      <c r="AU234" s="29">
        <f>(Data!$I234*-1.2)+(Data!$J234*-1.1)+(Data!$K234*1.2)+(Data!$L234*1.3)+(Data!$M234*1.5)</f>
        <v>1</v>
      </c>
      <c r="AV234" s="29">
        <f>(Data!$AS234*0.4)+(Data!$AT234*0.4)+(Data!$AU234*0.2)</f>
        <v>320.08571428571435</v>
      </c>
      <c r="AW234" s="29">
        <f>PERCENTRANK(AV:AV,Data!$AV234)*100</f>
        <v>37.6</v>
      </c>
      <c r="AX234" s="29" t="str">
        <f>_xlfn.CONCAT(TEXT(C234,"mmm"),"-",Data!$AE234)</f>
        <v>Nov-2021</v>
      </c>
    </row>
    <row r="235" spans="1:50" ht="17" thickTop="1" thickBot="1" x14ac:dyDescent="0.25">
      <c r="A235" s="22">
        <v>234</v>
      </c>
      <c r="B235" s="23">
        <f t="shared" si="26"/>
        <v>15</v>
      </c>
      <c r="C235" s="41">
        <v>44508</v>
      </c>
      <c r="D235" s="24">
        <f>SUM(Data!$I235:$M235)</f>
        <v>59</v>
      </c>
      <c r="E235" s="23">
        <v>19</v>
      </c>
      <c r="F235" s="23">
        <v>649</v>
      </c>
      <c r="G235" s="23">
        <v>163</v>
      </c>
      <c r="H235" s="23">
        <v>126</v>
      </c>
      <c r="I235" s="23">
        <v>15</v>
      </c>
      <c r="J235" s="23">
        <v>18</v>
      </c>
      <c r="K235" s="23">
        <v>7</v>
      </c>
      <c r="L235" s="23">
        <v>18</v>
      </c>
      <c r="M235" s="23">
        <v>1</v>
      </c>
      <c r="N235" s="23" t="s">
        <v>101</v>
      </c>
      <c r="O235" s="23" t="s">
        <v>39</v>
      </c>
      <c r="P235" s="23" t="s">
        <v>133</v>
      </c>
      <c r="Q235" s="23">
        <f t="shared" si="32"/>
        <v>1</v>
      </c>
      <c r="R235" s="23" t="str">
        <f t="shared" si="27"/>
        <v>11-2021</v>
      </c>
      <c r="S235" s="23" t="s">
        <v>104</v>
      </c>
      <c r="T235" s="23" t="str">
        <f t="shared" si="28"/>
        <v>Monday</v>
      </c>
      <c r="U235" s="23">
        <f t="shared" si="29"/>
        <v>1</v>
      </c>
      <c r="V235" s="25">
        <f>IFERROR(Data!$I235/Data!$D235,"")</f>
        <v>0.25423728813559321</v>
      </c>
      <c r="W235" s="25">
        <f>IFERROR(Data!$J235/Data!$D235,"")</f>
        <v>0.30508474576271188</v>
      </c>
      <c r="X235" s="25">
        <f>IFERROR(Data!$K235/Data!$D235,"")</f>
        <v>0.11864406779661017</v>
      </c>
      <c r="Y235" s="25">
        <f>IFERROR(Data!$L235/Data!$D235,"")</f>
        <v>0.30508474576271188</v>
      </c>
      <c r="Z235" s="25">
        <f>IFERROR(Data!$M235/Data!$D235,"")</f>
        <v>1.6949152542372881E-2</v>
      </c>
      <c r="AA235" s="26">
        <v>232.14</v>
      </c>
      <c r="AB235" s="26">
        <f t="shared" si="33"/>
        <v>15.475999999999999</v>
      </c>
      <c r="AC235" s="23">
        <f t="shared" si="30"/>
        <v>651.57142857142856</v>
      </c>
      <c r="AD235" s="23">
        <f t="shared" si="31"/>
        <v>14.357142857142858</v>
      </c>
      <c r="AE235" s="23">
        <f>YEAR(Data!$C235)</f>
        <v>2021</v>
      </c>
      <c r="AF235" s="23"/>
      <c r="AG235" s="23">
        <v>12</v>
      </c>
      <c r="AH235" s="27">
        <f>Data!$F235/Data!$D235</f>
        <v>11</v>
      </c>
      <c r="AI235" s="17" t="str">
        <f>RIGHT(Data!$O235,2)</f>
        <v>PM</v>
      </c>
      <c r="AJ235" s="23" t="str">
        <f>Data!$R235&amp;"-"&amp;WEEKNUM(Data!$C235,1)-WEEKNUM(DATE(YEAR(Data!$C235),MONTH(Data!$C235),1),1)+1</f>
        <v>11-2021-2</v>
      </c>
      <c r="AK235" s="23">
        <f>MONTH(Data!$C235)</f>
        <v>11</v>
      </c>
      <c r="AL235" s="23">
        <f>IFERROR(Data!$F235/Data!$E235,0)</f>
        <v>34.157894736842103</v>
      </c>
      <c r="AM235" s="23">
        <f>COUNTIF(Data!$N$2:$N$825,Data!$N235)</f>
        <v>191</v>
      </c>
      <c r="AN235" s="23" t="str">
        <f>VLOOKUP(Data!$N235,'Helpful Tables'!A:D,4,FALSE)</f>
        <v>Washington, DC</v>
      </c>
      <c r="AO235" s="23">
        <f>COUNTIF(AN:AN,Data!$AN235)/COUNTA(AN:AN)</f>
        <v>0.62424242424242427</v>
      </c>
      <c r="AP235" s="23">
        <v>38.949649000000001</v>
      </c>
      <c r="AQ235" s="23">
        <v>-77.080878999999996</v>
      </c>
      <c r="AR235" s="23">
        <f>COUNTIF(Data!$P$2:$P$825,Data!$P235)</f>
        <v>25</v>
      </c>
      <c r="AS235" s="23" cm="1">
        <f t="array" ref="AS235">_xlfn.IFS(Data!$E235&lt;12,((Data!$E235/Data!$D235)*60)*1,AND(Data!$E235&gt;=12,Data!$E235&lt;=15),((Data!$E235/Data!$D235)*60)*1.2,AND(Data!$E235&gt;=16,Data!$E235&lt;=19),((Data!$E235/Data!$D235)*60)*1.5,Data!$E235&gt;=20,((Data!$E235/Data!$D235)*60)*1.8)</f>
        <v>28.983050847457626</v>
      </c>
      <c r="AT235" s="23" cm="1">
        <f t="array" ref="AT235">_xlfn.IFS(Data!$F235&lt;600,((Data!$F235/Data!$D235)*60)*1,AND(Data!$F235&gt;=600,Data!$F235&lt;=625),((Data!$F235/Data!$D235)*60)*1.2,AND(Data!$F235&gt;=626,Data!$F235&lt;=650),((Data!$F235/Data!$D235)*60)*1.5,Data!$F235&gt;=651,((Data!$F235/Data!$D235)*60)*1.8)</f>
        <v>990</v>
      </c>
      <c r="AU235" s="23">
        <f>(Data!$I235*-1.2)+(Data!$J235*-1.1)+(Data!$K235*1.2)+(Data!$L235*1.3)+(Data!$M235*1.5)</f>
        <v>-4.4999999999999964</v>
      </c>
      <c r="AV235" s="23">
        <f>(Data!$AS235*0.4)+(Data!$AT235*0.4)+(Data!$AU235*0.2)</f>
        <v>406.69322033898305</v>
      </c>
      <c r="AW235" s="23">
        <f>PERCENTRANK(AV:AV,Data!$AV235)*100</f>
        <v>55.7</v>
      </c>
      <c r="AX235" s="23" t="str">
        <f>_xlfn.CONCAT(TEXT(C235,"mmm"),"-",Data!$AE235)</f>
        <v>Nov-2021</v>
      </c>
    </row>
    <row r="236" spans="1:50" ht="17" thickTop="1" thickBot="1" x14ac:dyDescent="0.25">
      <c r="A236" s="28">
        <v>235</v>
      </c>
      <c r="B236" s="29">
        <f t="shared" si="26"/>
        <v>15</v>
      </c>
      <c r="C236" s="41">
        <v>44510</v>
      </c>
      <c r="D236" s="30">
        <f>SUM(Data!$I236:$M236)</f>
        <v>58</v>
      </c>
      <c r="E236" s="29">
        <v>15</v>
      </c>
      <c r="F236" s="29">
        <v>685</v>
      </c>
      <c r="G236" s="29">
        <v>167</v>
      </c>
      <c r="H236" s="29">
        <v>131</v>
      </c>
      <c r="I236" s="29">
        <v>5</v>
      </c>
      <c r="J236" s="29">
        <v>16</v>
      </c>
      <c r="K236" s="29">
        <v>22</v>
      </c>
      <c r="L236" s="29">
        <v>13</v>
      </c>
      <c r="M236" s="29">
        <v>2</v>
      </c>
      <c r="N236" s="29" t="s">
        <v>91</v>
      </c>
      <c r="O236" s="29" t="s">
        <v>39</v>
      </c>
      <c r="P236" s="29" t="s">
        <v>96</v>
      </c>
      <c r="Q236" s="29">
        <f t="shared" si="32"/>
        <v>2</v>
      </c>
      <c r="R236" s="29" t="str">
        <f t="shared" si="27"/>
        <v>11-2021</v>
      </c>
      <c r="S236" s="29" t="s">
        <v>104</v>
      </c>
      <c r="T236" s="29" t="str">
        <f t="shared" si="28"/>
        <v>Wednesday</v>
      </c>
      <c r="U236" s="29">
        <f t="shared" si="29"/>
        <v>1</v>
      </c>
      <c r="V236" s="31">
        <f>IFERROR(Data!$I236/Data!$D236,"")</f>
        <v>8.6206896551724144E-2</v>
      </c>
      <c r="W236" s="31">
        <f>IFERROR(Data!$J236/Data!$D236,"")</f>
        <v>0.27586206896551724</v>
      </c>
      <c r="X236" s="31">
        <f>IFERROR(Data!$K236/Data!$D236,"")</f>
        <v>0.37931034482758619</v>
      </c>
      <c r="Y236" s="31">
        <f>IFERROR(Data!$L236/Data!$D236,"")</f>
        <v>0.22413793103448276</v>
      </c>
      <c r="Z236" s="31">
        <f>IFERROR(Data!$M236/Data!$D236,"")</f>
        <v>3.4482758620689655E-2</v>
      </c>
      <c r="AA236" s="32">
        <v>232.14</v>
      </c>
      <c r="AB236" s="32">
        <f t="shared" si="33"/>
        <v>15.475999999999999</v>
      </c>
      <c r="AC236" s="29">
        <f t="shared" si="30"/>
        <v>651.57142857142856</v>
      </c>
      <c r="AD236" s="29">
        <f t="shared" si="31"/>
        <v>14.357142857142858</v>
      </c>
      <c r="AE236" s="29">
        <f>YEAR(Data!$C236)</f>
        <v>2021</v>
      </c>
      <c r="AF236" s="29"/>
      <c r="AG236" s="29">
        <v>12</v>
      </c>
      <c r="AH236" s="33">
        <f>Data!$F236/Data!$D236</f>
        <v>11.810344827586206</v>
      </c>
      <c r="AI236" s="17" t="str">
        <f>RIGHT(Data!$O236,2)</f>
        <v>PM</v>
      </c>
      <c r="AJ236" s="29" t="str">
        <f>Data!$R236&amp;"-"&amp;WEEKNUM(Data!$C236,1)-WEEKNUM(DATE(YEAR(Data!$C236),MONTH(Data!$C236),1),1)+1</f>
        <v>11-2021-2</v>
      </c>
      <c r="AK236" s="29">
        <f>MONTH(Data!$C236)</f>
        <v>11</v>
      </c>
      <c r="AL236" s="29">
        <f>IFERROR(Data!$F236/Data!$E236,0)</f>
        <v>45.666666666666664</v>
      </c>
      <c r="AM236" s="29">
        <f>COUNTIF(Data!$N$2:$N$825,Data!$N236)</f>
        <v>218</v>
      </c>
      <c r="AN236" s="29" t="str">
        <f>VLOOKUP(Data!$N236,'Helpful Tables'!A:D,4,FALSE)</f>
        <v>Washington, DC</v>
      </c>
      <c r="AO236" s="29">
        <f>COUNTIF(AN:AN,Data!$AN236)/COUNTA(AN:AN)</f>
        <v>0.62424242424242427</v>
      </c>
      <c r="AP236" s="29">
        <v>38.934710000000003</v>
      </c>
      <c r="AQ236" s="29">
        <v>-77.058222999999998</v>
      </c>
      <c r="AR236" s="29">
        <f>COUNTIF(Data!$P$2:$P$825,Data!$P236)</f>
        <v>71</v>
      </c>
      <c r="AS236" s="29" cm="1">
        <f t="array" ref="AS236">_xlfn.IFS(Data!$E236&lt;12,((Data!$E236/Data!$D236)*60)*1,AND(Data!$E236&gt;=12,Data!$E236&lt;=15),((Data!$E236/Data!$D236)*60)*1.2,AND(Data!$E236&gt;=16,Data!$E236&lt;=19),((Data!$E236/Data!$D236)*60)*1.5,Data!$E236&gt;=20,((Data!$E236/Data!$D236)*60)*1.8)</f>
        <v>18.620689655172413</v>
      </c>
      <c r="AT236" s="29" cm="1">
        <f t="array" ref="AT236">_xlfn.IFS(Data!$F236&lt;600,((Data!$F236/Data!$D236)*60)*1,AND(Data!$F236&gt;=600,Data!$F236&lt;=625),((Data!$F236/Data!$D236)*60)*1.2,AND(Data!$F236&gt;=626,Data!$F236&lt;=650),((Data!$F236/Data!$D236)*60)*1.5,Data!$F236&gt;=651,((Data!$F236/Data!$D236)*60)*1.8)</f>
        <v>1275.5172413793102</v>
      </c>
      <c r="AU236" s="29">
        <f>(Data!$I236*-1.2)+(Data!$J236*-1.1)+(Data!$K236*1.2)+(Data!$L236*1.3)+(Data!$M236*1.5)</f>
        <v>22.7</v>
      </c>
      <c r="AV236" s="29">
        <f>(Data!$AS236*0.4)+(Data!$AT236*0.4)+(Data!$AU236*0.2)</f>
        <v>522.1951724137931</v>
      </c>
      <c r="AW236" s="29">
        <f>PERCENTRANK(AV:AV,Data!$AV236)*100</f>
        <v>90.4</v>
      </c>
      <c r="AX236" s="29" t="str">
        <f>_xlfn.CONCAT(TEXT(C236,"mmm"),"-",Data!$AE236)</f>
        <v>Nov-2021</v>
      </c>
    </row>
    <row r="237" spans="1:50" ht="17" thickTop="1" thickBot="1" x14ac:dyDescent="0.25">
      <c r="A237" s="22">
        <v>236</v>
      </c>
      <c r="B237" s="23">
        <f t="shared" si="26"/>
        <v>15</v>
      </c>
      <c r="C237" s="41">
        <v>44512</v>
      </c>
      <c r="D237" s="24">
        <f>SUM(Data!$I237:$M237)</f>
        <v>0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 t="s">
        <v>101</v>
      </c>
      <c r="O237" s="23" t="s">
        <v>39</v>
      </c>
      <c r="P237" s="23" t="s">
        <v>133</v>
      </c>
      <c r="Q237" s="23">
        <f t="shared" si="32"/>
        <v>2</v>
      </c>
      <c r="R237" s="23" t="str">
        <f t="shared" si="27"/>
        <v>11-2021</v>
      </c>
      <c r="S237" s="23" t="s">
        <v>104</v>
      </c>
      <c r="T237" s="23" t="str">
        <f t="shared" si="28"/>
        <v>Friday</v>
      </c>
      <c r="U237" s="23">
        <f t="shared" si="29"/>
        <v>0</v>
      </c>
      <c r="V237" s="25" t="str">
        <f>IFERROR(Data!$I237/Data!$D237,"")</f>
        <v/>
      </c>
      <c r="W237" s="25" t="str">
        <f>IFERROR(Data!$J237/Data!$D237,"")</f>
        <v/>
      </c>
      <c r="X237" s="25" t="str">
        <f>IFERROR(Data!$K237/Data!$D237,"")</f>
        <v/>
      </c>
      <c r="Y237" s="25" t="str">
        <f>IFERROR(Data!$L237/Data!$D237,"")</f>
        <v/>
      </c>
      <c r="Z237" s="25" t="str">
        <f>IFERROR(Data!$M237/Data!$D237,"")</f>
        <v/>
      </c>
      <c r="AA237" s="26">
        <v>232.14</v>
      </c>
      <c r="AB237" s="26">
        <f t="shared" si="33"/>
        <v>15.475999999999999</v>
      </c>
      <c r="AC237" s="23">
        <f t="shared" si="30"/>
        <v>651.57142857142856</v>
      </c>
      <c r="AD237" s="23">
        <f t="shared" si="31"/>
        <v>14.357142857142858</v>
      </c>
      <c r="AE237" s="23">
        <f>YEAR(Data!$C237)</f>
        <v>2021</v>
      </c>
      <c r="AF237" s="23"/>
      <c r="AG237" s="23">
        <v>12</v>
      </c>
      <c r="AH237" s="27" t="e">
        <f>Data!$F237/Data!$D237</f>
        <v>#DIV/0!</v>
      </c>
      <c r="AI237" s="17" t="str">
        <f>RIGHT(Data!$O237,2)</f>
        <v>PM</v>
      </c>
      <c r="AJ237" s="23" t="str">
        <f>Data!$R237&amp;"-"&amp;WEEKNUM(Data!$C237,1)-WEEKNUM(DATE(YEAR(Data!$C237),MONTH(Data!$C237),1),1)+1</f>
        <v>11-2021-2</v>
      </c>
      <c r="AK237" s="23">
        <f>MONTH(Data!$C237)</f>
        <v>11</v>
      </c>
      <c r="AL237" s="23">
        <f>IFERROR(Data!$F237/Data!$E237,0)</f>
        <v>0</v>
      </c>
      <c r="AM237" s="23">
        <f>COUNTIF(Data!$N$2:$N$825,Data!$N237)</f>
        <v>191</v>
      </c>
      <c r="AN237" s="23" t="str">
        <f>VLOOKUP(Data!$N237,'Helpful Tables'!A:D,4,FALSE)</f>
        <v>Washington, DC</v>
      </c>
      <c r="AO237" s="23">
        <f>COUNTIF(AN:AN,Data!$AN237)/COUNTA(AN:AN)</f>
        <v>0.62424242424242427</v>
      </c>
      <c r="AP237" s="23">
        <v>38.949649000000001</v>
      </c>
      <c r="AQ237" s="23">
        <v>-77.080878999999996</v>
      </c>
      <c r="AR237" s="23">
        <f>COUNTIF(Data!$P$2:$P$825,Data!$P237)</f>
        <v>25</v>
      </c>
      <c r="AS237" s="23"/>
      <c r="AT237" s="23"/>
      <c r="AU237" s="23"/>
      <c r="AV237" s="23"/>
      <c r="AW237" s="23"/>
      <c r="AX237" s="23" t="str">
        <f>_xlfn.CONCAT(TEXT(C237,"mmm"),"-",Data!$AE237)</f>
        <v>Nov-2021</v>
      </c>
    </row>
    <row r="238" spans="1:50" ht="17" thickTop="1" thickBot="1" x14ac:dyDescent="0.25">
      <c r="A238" s="28">
        <v>237</v>
      </c>
      <c r="B238" s="29">
        <f t="shared" si="26"/>
        <v>15</v>
      </c>
      <c r="C238" s="41">
        <v>44513</v>
      </c>
      <c r="D238" s="30">
        <f>SUM(Data!$I238:$M238)</f>
        <v>57</v>
      </c>
      <c r="E238" s="29">
        <v>19</v>
      </c>
      <c r="F238" s="29">
        <v>704</v>
      </c>
      <c r="G238" s="29">
        <v>165</v>
      </c>
      <c r="H238" s="29">
        <v>135</v>
      </c>
      <c r="I238" s="29">
        <v>4</v>
      </c>
      <c r="J238" s="29">
        <v>14</v>
      </c>
      <c r="K238" s="29">
        <v>20</v>
      </c>
      <c r="L238" s="29">
        <v>17</v>
      </c>
      <c r="M238" s="29">
        <v>2</v>
      </c>
      <c r="N238" s="29" t="s">
        <v>91</v>
      </c>
      <c r="O238" s="29" t="s">
        <v>45</v>
      </c>
      <c r="P238" s="29" t="s">
        <v>94</v>
      </c>
      <c r="Q238" s="29">
        <f t="shared" si="32"/>
        <v>1</v>
      </c>
      <c r="R238" s="29" t="str">
        <f t="shared" si="27"/>
        <v>11-2021</v>
      </c>
      <c r="S238" s="29" t="s">
        <v>104</v>
      </c>
      <c r="T238" s="29" t="str">
        <f t="shared" si="28"/>
        <v>Saturday</v>
      </c>
      <c r="U238" s="29">
        <f t="shared" si="29"/>
        <v>1</v>
      </c>
      <c r="V238" s="31">
        <f>IFERROR(Data!$I238/Data!$D238,"")</f>
        <v>7.0175438596491224E-2</v>
      </c>
      <c r="W238" s="31">
        <f>IFERROR(Data!$J238/Data!$D238,"")</f>
        <v>0.24561403508771928</v>
      </c>
      <c r="X238" s="31">
        <f>IFERROR(Data!$K238/Data!$D238,"")</f>
        <v>0.35087719298245612</v>
      </c>
      <c r="Y238" s="31">
        <f>IFERROR(Data!$L238/Data!$D238,"")</f>
        <v>0.2982456140350877</v>
      </c>
      <c r="Z238" s="31">
        <f>IFERROR(Data!$M238/Data!$D238,"")</f>
        <v>3.5087719298245612E-2</v>
      </c>
      <c r="AA238" s="32">
        <v>232.14</v>
      </c>
      <c r="AB238" s="32">
        <f t="shared" si="33"/>
        <v>15.475999999999999</v>
      </c>
      <c r="AC238" s="29">
        <f t="shared" si="30"/>
        <v>651.57142857142856</v>
      </c>
      <c r="AD238" s="29">
        <f t="shared" si="31"/>
        <v>14.357142857142858</v>
      </c>
      <c r="AE238" s="29">
        <f>YEAR(Data!$C238)</f>
        <v>2021</v>
      </c>
      <c r="AF238" s="29"/>
      <c r="AG238" s="29">
        <v>12</v>
      </c>
      <c r="AH238" s="33">
        <f>Data!$F238/Data!$D238</f>
        <v>12.350877192982455</v>
      </c>
      <c r="AI238" s="17" t="str">
        <f>RIGHT(Data!$O238,2)</f>
        <v>AM</v>
      </c>
      <c r="AJ238" s="29" t="str">
        <f>Data!$R238&amp;"-"&amp;WEEKNUM(Data!$C238,1)-WEEKNUM(DATE(YEAR(Data!$C238),MONTH(Data!$C238),1),1)+1</f>
        <v>11-2021-2</v>
      </c>
      <c r="AK238" s="29">
        <f>MONTH(Data!$C238)</f>
        <v>11</v>
      </c>
      <c r="AL238" s="29">
        <f>IFERROR(Data!$F238/Data!$E238,0)</f>
        <v>37.05263157894737</v>
      </c>
      <c r="AM238" s="29">
        <f>COUNTIF(Data!$N$2:$N$825,Data!$N238)</f>
        <v>218</v>
      </c>
      <c r="AN238" s="29" t="str">
        <f>VLOOKUP(Data!$N238,'Helpful Tables'!A:D,4,FALSE)</f>
        <v>Washington, DC</v>
      </c>
      <c r="AO238" s="29">
        <f>COUNTIF(AN:AN,Data!$AN238)/COUNTA(AN:AN)</f>
        <v>0.62424242424242427</v>
      </c>
      <c r="AP238" s="29">
        <v>38.934710000000003</v>
      </c>
      <c r="AQ238" s="29">
        <v>-77.058222999999998</v>
      </c>
      <c r="AR238" s="29">
        <f>COUNTIF(Data!$P$2:$P$825,Data!$P238)</f>
        <v>15</v>
      </c>
      <c r="AS238" s="29" cm="1">
        <f t="array" ref="AS238">_xlfn.IFS(Data!$E238&lt;12,((Data!$E238/Data!$D238)*60)*1,AND(Data!$E238&gt;=12,Data!$E238&lt;=15),((Data!$E238/Data!$D238)*60)*1.2,AND(Data!$E238&gt;=16,Data!$E238&lt;=19),((Data!$E238/Data!$D238)*60)*1.5,Data!$E238&gt;=20,((Data!$E238/Data!$D238)*60)*1.8)</f>
        <v>30</v>
      </c>
      <c r="AT238" s="29" cm="1">
        <f t="array" ref="AT238">_xlfn.IFS(Data!$F238&lt;600,((Data!$F238/Data!$D238)*60)*1,AND(Data!$F238&gt;=600,Data!$F238&lt;=625),((Data!$F238/Data!$D238)*60)*1.2,AND(Data!$F238&gt;=626,Data!$F238&lt;=650),((Data!$F238/Data!$D238)*60)*1.5,Data!$F238&gt;=651,((Data!$F238/Data!$D238)*60)*1.8)</f>
        <v>1333.8947368421052</v>
      </c>
      <c r="AU238" s="29">
        <f>(Data!$I238*-1.2)+(Data!$J238*-1.1)+(Data!$K238*1.2)+(Data!$L238*1.3)+(Data!$M238*1.5)</f>
        <v>28.9</v>
      </c>
      <c r="AV238" s="29">
        <f>(Data!$AS238*0.4)+(Data!$AT238*0.4)+(Data!$AU238*0.2)</f>
        <v>551.33789473684203</v>
      </c>
      <c r="AW238" s="29">
        <f>PERCENTRANK(AV:AV,Data!$AV238)*100</f>
        <v>98.1</v>
      </c>
      <c r="AX238" s="29" t="str">
        <f>_xlfn.CONCAT(TEXT(C238,"mmm"),"-",Data!$AE238)</f>
        <v>Nov-2021</v>
      </c>
    </row>
    <row r="239" spans="1:50" ht="17" thickTop="1" thickBot="1" x14ac:dyDescent="0.25">
      <c r="A239" s="22">
        <v>238</v>
      </c>
      <c r="B239" s="23">
        <f t="shared" si="26"/>
        <v>15</v>
      </c>
      <c r="C239" s="41">
        <v>44515</v>
      </c>
      <c r="D239" s="24">
        <f>SUM(Data!$I239:$M239)</f>
        <v>58</v>
      </c>
      <c r="E239" s="23">
        <v>11</v>
      </c>
      <c r="F239" s="23">
        <v>608</v>
      </c>
      <c r="G239" s="23">
        <v>169</v>
      </c>
      <c r="H239" s="23">
        <v>123</v>
      </c>
      <c r="I239" s="23">
        <v>11</v>
      </c>
      <c r="J239" s="23">
        <v>22</v>
      </c>
      <c r="K239" s="23">
        <v>14</v>
      </c>
      <c r="L239" s="23">
        <v>9</v>
      </c>
      <c r="M239" s="23">
        <v>2</v>
      </c>
      <c r="N239" s="23" t="s">
        <v>101</v>
      </c>
      <c r="O239" s="23" t="s">
        <v>50</v>
      </c>
      <c r="P239" s="23" t="s">
        <v>133</v>
      </c>
      <c r="Q239" s="23">
        <f t="shared" si="32"/>
        <v>2</v>
      </c>
      <c r="R239" s="23" t="str">
        <f t="shared" si="27"/>
        <v>11-2021</v>
      </c>
      <c r="S239" s="23" t="s">
        <v>104</v>
      </c>
      <c r="T239" s="23" t="str">
        <f t="shared" si="28"/>
        <v>Monday</v>
      </c>
      <c r="U239" s="23">
        <f t="shared" si="29"/>
        <v>0</v>
      </c>
      <c r="V239" s="25">
        <f>IFERROR(Data!$I239/Data!$D239,"")</f>
        <v>0.18965517241379309</v>
      </c>
      <c r="W239" s="25">
        <f>IFERROR(Data!$J239/Data!$D239,"")</f>
        <v>0.37931034482758619</v>
      </c>
      <c r="X239" s="25">
        <f>IFERROR(Data!$K239/Data!$D239,"")</f>
        <v>0.2413793103448276</v>
      </c>
      <c r="Y239" s="25">
        <f>IFERROR(Data!$L239/Data!$D239,"")</f>
        <v>0.15517241379310345</v>
      </c>
      <c r="Z239" s="25">
        <f>IFERROR(Data!$M239/Data!$D239,"")</f>
        <v>3.4482758620689655E-2</v>
      </c>
      <c r="AA239" s="26">
        <v>232.14</v>
      </c>
      <c r="AB239" s="26">
        <f t="shared" si="33"/>
        <v>15.475999999999999</v>
      </c>
      <c r="AC239" s="23">
        <f t="shared" si="30"/>
        <v>651.57142857142856</v>
      </c>
      <c r="AD239" s="23">
        <f t="shared" si="31"/>
        <v>14.357142857142858</v>
      </c>
      <c r="AE239" s="23">
        <f>YEAR(Data!$C239)</f>
        <v>2021</v>
      </c>
      <c r="AF239" s="23"/>
      <c r="AG239" s="23">
        <v>12</v>
      </c>
      <c r="AH239" s="27">
        <f>Data!$F239/Data!$D239</f>
        <v>10.482758620689655</v>
      </c>
      <c r="AI239" s="17" t="str">
        <f>RIGHT(Data!$O239,2)</f>
        <v>PM</v>
      </c>
      <c r="AJ239" s="23" t="str">
        <f>Data!$R239&amp;"-"&amp;WEEKNUM(Data!$C239,1)-WEEKNUM(DATE(YEAR(Data!$C239),MONTH(Data!$C239),1),1)+1</f>
        <v>11-2021-3</v>
      </c>
      <c r="AK239" s="23">
        <f>MONTH(Data!$C239)</f>
        <v>11</v>
      </c>
      <c r="AL239" s="23">
        <f>IFERROR(Data!$F239/Data!$E239,0)</f>
        <v>55.272727272727273</v>
      </c>
      <c r="AM239" s="23">
        <f>COUNTIF(Data!$N$2:$N$825,Data!$N239)</f>
        <v>191</v>
      </c>
      <c r="AN239" s="23" t="str">
        <f>VLOOKUP(Data!$N239,'Helpful Tables'!A:D,4,FALSE)</f>
        <v>Washington, DC</v>
      </c>
      <c r="AO239" s="23">
        <f>COUNTIF(AN:AN,Data!$AN239)/COUNTA(AN:AN)</f>
        <v>0.62424242424242427</v>
      </c>
      <c r="AP239" s="23">
        <v>38.949649000000001</v>
      </c>
      <c r="AQ239" s="23">
        <v>-77.080878999999996</v>
      </c>
      <c r="AR239" s="23">
        <f>COUNTIF(Data!$P$2:$P$825,Data!$P239)</f>
        <v>25</v>
      </c>
      <c r="AS239" s="23" cm="1">
        <f t="array" ref="AS239">_xlfn.IFS(Data!$E239&lt;12,((Data!$E239/Data!$D239)*60)*1,AND(Data!$E239&gt;=12,Data!$E239&lt;=15),((Data!$E239/Data!$D239)*60)*1.2,AND(Data!$E239&gt;=16,Data!$E239&lt;=19),((Data!$E239/Data!$D239)*60)*1.5,Data!$E239&gt;=20,((Data!$E239/Data!$D239)*60)*1.8)</f>
        <v>11.379310344827585</v>
      </c>
      <c r="AT239" s="23" cm="1">
        <f t="array" ref="AT239">_xlfn.IFS(Data!$F239&lt;600,((Data!$F239/Data!$D239)*60)*1,AND(Data!$F239&gt;=600,Data!$F239&lt;=625),((Data!$F239/Data!$D239)*60)*1.2,AND(Data!$F239&gt;=626,Data!$F239&lt;=650),((Data!$F239/Data!$D239)*60)*1.5,Data!$F239&gt;=651,((Data!$F239/Data!$D239)*60)*1.8)</f>
        <v>754.75862068965512</v>
      </c>
      <c r="AU239" s="23">
        <f>(Data!$I239*-1.2)+(Data!$J239*-1.1)+(Data!$K239*1.2)+(Data!$L239*1.3)+(Data!$M239*1.5)</f>
        <v>-5.9000000000000039</v>
      </c>
      <c r="AV239" s="23">
        <f>(Data!$AS239*0.4)+(Data!$AT239*0.4)+(Data!$AU239*0.2)</f>
        <v>305.27517241379309</v>
      </c>
      <c r="AW239" s="23">
        <f>PERCENTRANK(AV:AV,Data!$AV239)*100</f>
        <v>28.999999999999996</v>
      </c>
      <c r="AX239" s="23" t="str">
        <f>_xlfn.CONCAT(TEXT(C239,"mmm"),"-",Data!$AE239)</f>
        <v>Nov-2021</v>
      </c>
    </row>
    <row r="240" spans="1:50" ht="17" thickTop="1" thickBot="1" x14ac:dyDescent="0.25">
      <c r="A240" s="28">
        <v>239</v>
      </c>
      <c r="B240" s="29">
        <f t="shared" si="26"/>
        <v>15</v>
      </c>
      <c r="C240" s="41">
        <v>44517</v>
      </c>
      <c r="D240" s="30">
        <f>SUM(Data!$I240:$M240)</f>
        <v>59</v>
      </c>
      <c r="E240" s="29">
        <v>14</v>
      </c>
      <c r="F240" s="29">
        <v>638</v>
      </c>
      <c r="G240" s="29">
        <v>166</v>
      </c>
      <c r="H240" s="29">
        <v>125</v>
      </c>
      <c r="I240" s="29">
        <v>13</v>
      </c>
      <c r="J240" s="29">
        <v>19</v>
      </c>
      <c r="K240" s="29">
        <v>13</v>
      </c>
      <c r="L240" s="29">
        <v>11</v>
      </c>
      <c r="M240" s="29">
        <v>3</v>
      </c>
      <c r="N240" s="29" t="s">
        <v>91</v>
      </c>
      <c r="O240" s="29" t="s">
        <v>50</v>
      </c>
      <c r="P240" s="29" t="s">
        <v>96</v>
      </c>
      <c r="Q240" s="29">
        <f t="shared" si="32"/>
        <v>2</v>
      </c>
      <c r="R240" s="29" t="str">
        <f t="shared" si="27"/>
        <v>11-2021</v>
      </c>
      <c r="S240" s="29" t="s">
        <v>104</v>
      </c>
      <c r="T240" s="29" t="str">
        <f t="shared" si="28"/>
        <v>Wednesday</v>
      </c>
      <c r="U240" s="29">
        <f t="shared" si="29"/>
        <v>1</v>
      </c>
      <c r="V240" s="31">
        <f>IFERROR(Data!$I240/Data!$D240,"")</f>
        <v>0.22033898305084745</v>
      </c>
      <c r="W240" s="31">
        <f>IFERROR(Data!$J240/Data!$D240,"")</f>
        <v>0.32203389830508472</v>
      </c>
      <c r="X240" s="31">
        <f>IFERROR(Data!$K240/Data!$D240,"")</f>
        <v>0.22033898305084745</v>
      </c>
      <c r="Y240" s="31">
        <f>IFERROR(Data!$L240/Data!$D240,"")</f>
        <v>0.1864406779661017</v>
      </c>
      <c r="Z240" s="31">
        <f>IFERROR(Data!$M240/Data!$D240,"")</f>
        <v>5.0847457627118647E-2</v>
      </c>
      <c r="AA240" s="32">
        <v>232.14</v>
      </c>
      <c r="AB240" s="32">
        <f t="shared" si="33"/>
        <v>15.475999999999999</v>
      </c>
      <c r="AC240" s="29">
        <f t="shared" si="30"/>
        <v>651.57142857142856</v>
      </c>
      <c r="AD240" s="29">
        <f t="shared" si="31"/>
        <v>14.357142857142858</v>
      </c>
      <c r="AE240" s="29">
        <f>YEAR(Data!$C240)</f>
        <v>2021</v>
      </c>
      <c r="AF240" s="29"/>
      <c r="AG240" s="29">
        <v>12</v>
      </c>
      <c r="AH240" s="33">
        <f>Data!$F240/Data!$D240</f>
        <v>10.813559322033898</v>
      </c>
      <c r="AI240" s="17" t="str">
        <f>RIGHT(Data!$O240,2)</f>
        <v>PM</v>
      </c>
      <c r="AJ240" s="29" t="str">
        <f>Data!$R240&amp;"-"&amp;WEEKNUM(Data!$C240,1)-WEEKNUM(DATE(YEAR(Data!$C240),MONTH(Data!$C240),1),1)+1</f>
        <v>11-2021-3</v>
      </c>
      <c r="AK240" s="29">
        <f>MONTH(Data!$C240)</f>
        <v>11</v>
      </c>
      <c r="AL240" s="29">
        <f>IFERROR(Data!$F240/Data!$E240,0)</f>
        <v>45.571428571428569</v>
      </c>
      <c r="AM240" s="29">
        <f>COUNTIF(Data!$N$2:$N$825,Data!$N240)</f>
        <v>218</v>
      </c>
      <c r="AN240" s="29" t="str">
        <f>VLOOKUP(Data!$N240,'Helpful Tables'!A:D,4,FALSE)</f>
        <v>Washington, DC</v>
      </c>
      <c r="AO240" s="29">
        <f>COUNTIF(AN:AN,Data!$AN240)/COUNTA(AN:AN)</f>
        <v>0.62424242424242427</v>
      </c>
      <c r="AP240" s="29">
        <v>38.934710000000003</v>
      </c>
      <c r="AQ240" s="29">
        <v>-77.058222999999998</v>
      </c>
      <c r="AR240" s="29">
        <f>COUNTIF(Data!$P$2:$P$825,Data!$P240)</f>
        <v>71</v>
      </c>
      <c r="AS240" s="29" cm="1">
        <f t="array" ref="AS240">_xlfn.IFS(Data!$E240&lt;12,((Data!$E240/Data!$D240)*60)*1,AND(Data!$E240&gt;=12,Data!$E240&lt;=15),((Data!$E240/Data!$D240)*60)*1.2,AND(Data!$E240&gt;=16,Data!$E240&lt;=19),((Data!$E240/Data!$D240)*60)*1.5,Data!$E240&gt;=20,((Data!$E240/Data!$D240)*60)*1.8)</f>
        <v>17.084745762711865</v>
      </c>
      <c r="AT240" s="29" cm="1">
        <f t="array" ref="AT240">_xlfn.IFS(Data!$F240&lt;600,((Data!$F240/Data!$D240)*60)*1,AND(Data!$F240&gt;=600,Data!$F240&lt;=625),((Data!$F240/Data!$D240)*60)*1.2,AND(Data!$F240&gt;=626,Data!$F240&lt;=650),((Data!$F240/Data!$D240)*60)*1.5,Data!$F240&gt;=651,((Data!$F240/Data!$D240)*60)*1.8)</f>
        <v>973.22033898305074</v>
      </c>
      <c r="AU240" s="29">
        <f>(Data!$I240*-1.2)+(Data!$J240*-1.1)+(Data!$K240*1.2)+(Data!$L240*1.3)+(Data!$M240*1.5)</f>
        <v>-2.0999999999999979</v>
      </c>
      <c r="AV240" s="29">
        <f>(Data!$AS240*0.4)+(Data!$AT240*0.4)+(Data!$AU240*0.2)</f>
        <v>395.70203389830505</v>
      </c>
      <c r="AW240" s="29">
        <f>PERCENTRANK(AV:AV,Data!$AV240)*100</f>
        <v>50</v>
      </c>
      <c r="AX240" s="29" t="str">
        <f>_xlfn.CONCAT(TEXT(C240,"mmm"),"-",Data!$AE240)</f>
        <v>Nov-2021</v>
      </c>
    </row>
    <row r="241" spans="1:50" ht="17" thickTop="1" thickBot="1" x14ac:dyDescent="0.25">
      <c r="A241" s="22">
        <v>240</v>
      </c>
      <c r="B241" s="23">
        <f t="shared" si="26"/>
        <v>15</v>
      </c>
      <c r="C241" s="41">
        <v>44519</v>
      </c>
      <c r="D241" s="24">
        <f>SUM(Data!$I241:$M241)</f>
        <v>56</v>
      </c>
      <c r="E241" s="23">
        <v>14</v>
      </c>
      <c r="F241" s="23">
        <v>661</v>
      </c>
      <c r="G241" s="23">
        <v>167</v>
      </c>
      <c r="H241" s="23">
        <v>131</v>
      </c>
      <c r="I241" s="23">
        <v>6</v>
      </c>
      <c r="J241" s="23">
        <v>16</v>
      </c>
      <c r="K241" s="23">
        <v>20</v>
      </c>
      <c r="L241" s="23">
        <v>11</v>
      </c>
      <c r="M241" s="23">
        <v>3</v>
      </c>
      <c r="N241" s="23" t="s">
        <v>91</v>
      </c>
      <c r="O241" s="23" t="s">
        <v>113</v>
      </c>
      <c r="P241" s="23" t="s">
        <v>98</v>
      </c>
      <c r="Q241" s="23">
        <f t="shared" si="32"/>
        <v>2</v>
      </c>
      <c r="R241" s="23" t="str">
        <f t="shared" si="27"/>
        <v>11-2021</v>
      </c>
      <c r="S241" s="23" t="s">
        <v>104</v>
      </c>
      <c r="T241" s="23" t="str">
        <f t="shared" si="28"/>
        <v>Friday</v>
      </c>
      <c r="U241" s="23">
        <f t="shared" si="29"/>
        <v>1</v>
      </c>
      <c r="V241" s="25">
        <f>IFERROR(Data!$I241/Data!$D241,"")</f>
        <v>0.10714285714285714</v>
      </c>
      <c r="W241" s="25">
        <f>IFERROR(Data!$J241/Data!$D241,"")</f>
        <v>0.2857142857142857</v>
      </c>
      <c r="X241" s="25">
        <f>IFERROR(Data!$K241/Data!$D241,"")</f>
        <v>0.35714285714285715</v>
      </c>
      <c r="Y241" s="25">
        <f>IFERROR(Data!$L241/Data!$D241,"")</f>
        <v>0.19642857142857142</v>
      </c>
      <c r="Z241" s="25">
        <f>IFERROR(Data!$M241/Data!$D241,"")</f>
        <v>5.3571428571428568E-2</v>
      </c>
      <c r="AA241" s="26">
        <v>232.14</v>
      </c>
      <c r="AB241" s="26">
        <f t="shared" si="33"/>
        <v>15.475999999999999</v>
      </c>
      <c r="AC241" s="23">
        <f t="shared" si="30"/>
        <v>651.57142857142856</v>
      </c>
      <c r="AD241" s="23">
        <f t="shared" si="31"/>
        <v>14.357142857142858</v>
      </c>
      <c r="AE241" s="23">
        <f>YEAR(Data!$C241)</f>
        <v>2021</v>
      </c>
      <c r="AF241" s="23"/>
      <c r="AG241" s="23">
        <v>12</v>
      </c>
      <c r="AH241" s="27">
        <f>Data!$F241/Data!$D241</f>
        <v>11.803571428571429</v>
      </c>
      <c r="AI241" s="17" t="str">
        <f>RIGHT(Data!$O241,2)</f>
        <v>AM</v>
      </c>
      <c r="AJ241" s="23" t="str">
        <f>Data!$R241&amp;"-"&amp;WEEKNUM(Data!$C241,1)-WEEKNUM(DATE(YEAR(Data!$C241),MONTH(Data!$C241),1),1)+1</f>
        <v>11-2021-3</v>
      </c>
      <c r="AK241" s="23">
        <f>MONTH(Data!$C241)</f>
        <v>11</v>
      </c>
      <c r="AL241" s="23">
        <f>IFERROR(Data!$F241/Data!$E241,0)</f>
        <v>47.214285714285715</v>
      </c>
      <c r="AM241" s="23">
        <f>COUNTIF(Data!$N$2:$N$825,Data!$N241)</f>
        <v>218</v>
      </c>
      <c r="AN241" s="23" t="str">
        <f>VLOOKUP(Data!$N241,'Helpful Tables'!A:D,4,FALSE)</f>
        <v>Washington, DC</v>
      </c>
      <c r="AO241" s="23">
        <f>COUNTIF(AN:AN,Data!$AN241)/COUNTA(AN:AN)</f>
        <v>0.62424242424242427</v>
      </c>
      <c r="AP241" s="23">
        <v>38.934710000000003</v>
      </c>
      <c r="AQ241" s="23">
        <v>-77.058222999999998</v>
      </c>
      <c r="AR241" s="23">
        <f>COUNTIF(Data!$P$2:$P$825,Data!$P241)</f>
        <v>28</v>
      </c>
      <c r="AS241" s="23" cm="1">
        <f t="array" ref="AS241">_xlfn.IFS(Data!$E241&lt;12,((Data!$E241/Data!$D241)*60)*1,AND(Data!$E241&gt;=12,Data!$E241&lt;=15),((Data!$E241/Data!$D241)*60)*1.2,AND(Data!$E241&gt;=16,Data!$E241&lt;=19),((Data!$E241/Data!$D241)*60)*1.5,Data!$E241&gt;=20,((Data!$E241/Data!$D241)*60)*1.8)</f>
        <v>18</v>
      </c>
      <c r="AT241" s="23" cm="1">
        <f t="array" ref="AT241">_xlfn.IFS(Data!$F241&lt;600,((Data!$F241/Data!$D241)*60)*1,AND(Data!$F241&gt;=600,Data!$F241&lt;=625),((Data!$F241/Data!$D241)*60)*1.2,AND(Data!$F241&gt;=626,Data!$F241&lt;=650),((Data!$F241/Data!$D241)*60)*1.5,Data!$F241&gt;=651,((Data!$F241/Data!$D241)*60)*1.8)</f>
        <v>1274.7857142857144</v>
      </c>
      <c r="AU241" s="23">
        <f>(Data!$I241*-1.2)+(Data!$J241*-1.1)+(Data!$K241*1.2)+(Data!$L241*1.3)+(Data!$M241*1.5)</f>
        <v>18</v>
      </c>
      <c r="AV241" s="23">
        <f>(Data!$AS241*0.4)+(Data!$AT241*0.4)+(Data!$AU241*0.2)</f>
        <v>520.71428571428589</v>
      </c>
      <c r="AW241" s="23">
        <f>PERCENTRANK(AV:AV,Data!$AV241)*100</f>
        <v>89.9</v>
      </c>
      <c r="AX241" s="23" t="str">
        <f>_xlfn.CONCAT(TEXT(C241,"mmm"),"-",Data!$AE241)</f>
        <v>Nov-2021</v>
      </c>
    </row>
    <row r="242" spans="1:50" ht="17" thickTop="1" thickBot="1" x14ac:dyDescent="0.25">
      <c r="A242" s="28">
        <v>241</v>
      </c>
      <c r="B242" s="29">
        <f t="shared" si="26"/>
        <v>15</v>
      </c>
      <c r="C242" s="41">
        <v>44520</v>
      </c>
      <c r="D242" s="30">
        <f>SUM(Data!$I242:$M242)</f>
        <v>55</v>
      </c>
      <c r="E242" s="29">
        <v>14</v>
      </c>
      <c r="F242" s="29">
        <v>659</v>
      </c>
      <c r="G242" s="29">
        <v>167</v>
      </c>
      <c r="H242" s="29">
        <v>131</v>
      </c>
      <c r="I242" s="29">
        <v>6</v>
      </c>
      <c r="J242" s="29">
        <v>12</v>
      </c>
      <c r="K242" s="29">
        <v>23</v>
      </c>
      <c r="L242" s="29">
        <v>12</v>
      </c>
      <c r="M242" s="29">
        <v>2</v>
      </c>
      <c r="N242" s="29" t="s">
        <v>101</v>
      </c>
      <c r="O242" s="29" t="s">
        <v>137</v>
      </c>
      <c r="P242" s="29" t="s">
        <v>109</v>
      </c>
      <c r="Q242" s="29">
        <f t="shared" si="32"/>
        <v>1</v>
      </c>
      <c r="R242" s="29" t="str">
        <f t="shared" si="27"/>
        <v>11-2021</v>
      </c>
      <c r="S242" s="29" t="s">
        <v>117</v>
      </c>
      <c r="T242" s="29" t="str">
        <f t="shared" si="28"/>
        <v>Saturday</v>
      </c>
      <c r="U242" s="29">
        <f t="shared" si="29"/>
        <v>1</v>
      </c>
      <c r="V242" s="31">
        <f>IFERROR(Data!$I242/Data!$D242,"")</f>
        <v>0.10909090909090909</v>
      </c>
      <c r="W242" s="31">
        <f>IFERROR(Data!$J242/Data!$D242,"")</f>
        <v>0.21818181818181817</v>
      </c>
      <c r="X242" s="31">
        <f>IFERROR(Data!$K242/Data!$D242,"")</f>
        <v>0.41818181818181815</v>
      </c>
      <c r="Y242" s="31">
        <f>IFERROR(Data!$L242/Data!$D242,"")</f>
        <v>0.21818181818181817</v>
      </c>
      <c r="Z242" s="31">
        <f>IFERROR(Data!$M242/Data!$D242,"")</f>
        <v>3.6363636363636362E-2</v>
      </c>
      <c r="AA242" s="32">
        <v>232.14</v>
      </c>
      <c r="AB242" s="32">
        <f t="shared" si="33"/>
        <v>15.475999999999999</v>
      </c>
      <c r="AC242" s="29">
        <f t="shared" si="30"/>
        <v>651.57142857142856</v>
      </c>
      <c r="AD242" s="29">
        <f t="shared" si="31"/>
        <v>14.357142857142858</v>
      </c>
      <c r="AE242" s="29">
        <f>YEAR(Data!$C242)</f>
        <v>2021</v>
      </c>
      <c r="AF242" s="29"/>
      <c r="AG242" s="29">
        <v>12</v>
      </c>
      <c r="AH242" s="33">
        <f>Data!$F242/Data!$D242</f>
        <v>11.981818181818182</v>
      </c>
      <c r="AI242" s="17" t="str">
        <f>RIGHT(Data!$O242,2)</f>
        <v>AM</v>
      </c>
      <c r="AJ242" s="29" t="str">
        <f>Data!$R242&amp;"-"&amp;WEEKNUM(Data!$C242,1)-WEEKNUM(DATE(YEAR(Data!$C242),MONTH(Data!$C242),1),1)+1</f>
        <v>11-2021-3</v>
      </c>
      <c r="AK242" s="29">
        <f>MONTH(Data!$C242)</f>
        <v>11</v>
      </c>
      <c r="AL242" s="29">
        <f>IFERROR(Data!$F242/Data!$E242,0)</f>
        <v>47.071428571428569</v>
      </c>
      <c r="AM242" s="29">
        <f>COUNTIF(Data!$N$2:$N$825,Data!$N242)</f>
        <v>191</v>
      </c>
      <c r="AN242" s="29" t="str">
        <f>VLOOKUP(Data!$N242,'Helpful Tables'!A:D,4,FALSE)</f>
        <v>Washington, DC</v>
      </c>
      <c r="AO242" s="29">
        <f>COUNTIF(AN:AN,Data!$AN242)/COUNTA(AN:AN)</f>
        <v>0.62424242424242427</v>
      </c>
      <c r="AP242" s="29">
        <v>38.949649000000001</v>
      </c>
      <c r="AQ242" s="29">
        <v>-77.080878999999996</v>
      </c>
      <c r="AR242" s="29">
        <f>COUNTIF(Data!$P$2:$P$825,Data!$P242)</f>
        <v>66</v>
      </c>
      <c r="AS242" s="29" cm="1">
        <f t="array" ref="AS242">_xlfn.IFS(Data!$E242&lt;12,((Data!$E242/Data!$D242)*60)*1,AND(Data!$E242&gt;=12,Data!$E242&lt;=15),((Data!$E242/Data!$D242)*60)*1.2,AND(Data!$E242&gt;=16,Data!$E242&lt;=19),((Data!$E242/Data!$D242)*60)*1.5,Data!$E242&gt;=20,((Data!$E242/Data!$D242)*60)*1.8)</f>
        <v>18.327272727272724</v>
      </c>
      <c r="AT242" s="29" cm="1">
        <f t="array" ref="AT242">_xlfn.IFS(Data!$F242&lt;600,((Data!$F242/Data!$D242)*60)*1,AND(Data!$F242&gt;=600,Data!$F242&lt;=625),((Data!$F242/Data!$D242)*60)*1.2,AND(Data!$F242&gt;=626,Data!$F242&lt;=650),((Data!$F242/Data!$D242)*60)*1.5,Data!$F242&gt;=651,((Data!$F242/Data!$D242)*60)*1.8)</f>
        <v>1294.0363636363638</v>
      </c>
      <c r="AU242" s="29">
        <f>(Data!$I242*-1.2)+(Data!$J242*-1.1)+(Data!$K242*1.2)+(Data!$L242*1.3)+(Data!$M242*1.5)</f>
        <v>25.8</v>
      </c>
      <c r="AV242" s="29">
        <f>(Data!$AS242*0.4)+(Data!$AT242*0.4)+(Data!$AU242*0.2)</f>
        <v>530.10545454545468</v>
      </c>
      <c r="AW242" s="29">
        <f>PERCENTRANK(AV:AV,Data!$AV242)*100</f>
        <v>93.300000000000011</v>
      </c>
      <c r="AX242" s="29" t="str">
        <f>_xlfn.CONCAT(TEXT(C242,"mmm"),"-",Data!$AE242)</f>
        <v>Nov-2021</v>
      </c>
    </row>
    <row r="243" spans="1:50" ht="17" thickTop="1" thickBot="1" x14ac:dyDescent="0.25">
      <c r="A243" s="22">
        <v>242</v>
      </c>
      <c r="B243" s="23">
        <f t="shared" si="26"/>
        <v>15</v>
      </c>
      <c r="C243" s="41">
        <v>44524</v>
      </c>
      <c r="D243" s="24">
        <f>SUM(Data!$I243:$M243)</f>
        <v>59</v>
      </c>
      <c r="E243" s="23">
        <v>15</v>
      </c>
      <c r="F243" s="23">
        <v>665</v>
      </c>
      <c r="G243" s="23">
        <v>166</v>
      </c>
      <c r="H243" s="23">
        <v>128</v>
      </c>
      <c r="I243" s="23">
        <v>14</v>
      </c>
      <c r="J243" s="23">
        <v>13</v>
      </c>
      <c r="K243" s="23">
        <v>17</v>
      </c>
      <c r="L243" s="23">
        <v>13</v>
      </c>
      <c r="M243" s="23">
        <v>2</v>
      </c>
      <c r="N243" s="23" t="s">
        <v>138</v>
      </c>
      <c r="O243" s="23" t="s">
        <v>113</v>
      </c>
      <c r="P243" s="23" t="s">
        <v>139</v>
      </c>
      <c r="Q243" s="23">
        <f t="shared" si="32"/>
        <v>4</v>
      </c>
      <c r="R243" s="23" t="str">
        <f t="shared" si="27"/>
        <v>11-2021</v>
      </c>
      <c r="S243" s="23" t="s">
        <v>117</v>
      </c>
      <c r="T243" s="23" t="str">
        <f t="shared" si="28"/>
        <v>Wednesday</v>
      </c>
      <c r="U243" s="23">
        <f t="shared" si="29"/>
        <v>1</v>
      </c>
      <c r="V243" s="25">
        <f>IFERROR(Data!$I243/Data!$D243,"")</f>
        <v>0.23728813559322035</v>
      </c>
      <c r="W243" s="25">
        <f>IFERROR(Data!$J243/Data!$D243,"")</f>
        <v>0.22033898305084745</v>
      </c>
      <c r="X243" s="25">
        <f>IFERROR(Data!$K243/Data!$D243,"")</f>
        <v>0.28813559322033899</v>
      </c>
      <c r="Y243" s="25">
        <f>IFERROR(Data!$L243/Data!$D243,"")</f>
        <v>0.22033898305084745</v>
      </c>
      <c r="Z243" s="25">
        <f>IFERROR(Data!$M243/Data!$D243,"")</f>
        <v>3.3898305084745763E-2</v>
      </c>
      <c r="AA243" s="26">
        <v>232.14</v>
      </c>
      <c r="AB243" s="26">
        <f t="shared" si="33"/>
        <v>15.475999999999999</v>
      </c>
      <c r="AC243" s="23">
        <f t="shared" si="30"/>
        <v>651.57142857142856</v>
      </c>
      <c r="AD243" s="23">
        <f t="shared" si="31"/>
        <v>14.357142857142858</v>
      </c>
      <c r="AE243" s="23">
        <f>YEAR(Data!$C243)</f>
        <v>2021</v>
      </c>
      <c r="AF243" s="23"/>
      <c r="AG243" s="23">
        <v>12</v>
      </c>
      <c r="AH243" s="27">
        <f>Data!$F243/Data!$D243</f>
        <v>11.271186440677965</v>
      </c>
      <c r="AI243" s="17" t="str">
        <f>RIGHT(Data!$O243,2)</f>
        <v>AM</v>
      </c>
      <c r="AJ243" s="23" t="str">
        <f>Data!$R243&amp;"-"&amp;WEEKNUM(Data!$C243,1)-WEEKNUM(DATE(YEAR(Data!$C243),MONTH(Data!$C243),1),1)+1</f>
        <v>11-2021-4</v>
      </c>
      <c r="AK243" s="23">
        <f>MONTH(Data!$C243)</f>
        <v>11</v>
      </c>
      <c r="AL243" s="23">
        <f>IFERROR(Data!$F243/Data!$E243,0)</f>
        <v>44.333333333333336</v>
      </c>
      <c r="AM243" s="23">
        <f>COUNTIF(Data!$N$2:$N$825,Data!$N243)</f>
        <v>11</v>
      </c>
      <c r="AN243" s="23" t="str">
        <f>VLOOKUP(Data!$N243,'Helpful Tables'!A:D,4,FALSE)</f>
        <v>Massachusetts</v>
      </c>
      <c r="AO243" s="23">
        <f>COUNTIF(AN:AN,Data!$AN243)/COUNTA(AN:AN)</f>
        <v>1.9393939393939394E-2</v>
      </c>
      <c r="AP243" s="23">
        <v>42.350487000000001</v>
      </c>
      <c r="AQ243" s="23">
        <v>-71.152720000000002</v>
      </c>
      <c r="AR243" s="23">
        <f>COUNTIF(Data!$P$2:$P$825,Data!$P243)</f>
        <v>2</v>
      </c>
      <c r="AS243" s="23" cm="1">
        <f t="array" ref="AS243">_xlfn.IFS(Data!$E243&lt;12,((Data!$E243/Data!$D243)*60)*1,AND(Data!$E243&gt;=12,Data!$E243&lt;=15),((Data!$E243/Data!$D243)*60)*1.2,AND(Data!$E243&gt;=16,Data!$E243&lt;=19),((Data!$E243/Data!$D243)*60)*1.5,Data!$E243&gt;=20,((Data!$E243/Data!$D243)*60)*1.8)</f>
        <v>18.305084745762709</v>
      </c>
      <c r="AT243" s="23" cm="1">
        <f t="array" ref="AT243">_xlfn.IFS(Data!$F243&lt;600,((Data!$F243/Data!$D243)*60)*1,AND(Data!$F243&gt;=600,Data!$F243&lt;=625),((Data!$F243/Data!$D243)*60)*1.2,AND(Data!$F243&gt;=626,Data!$F243&lt;=650),((Data!$F243/Data!$D243)*60)*1.5,Data!$F243&gt;=651,((Data!$F243/Data!$D243)*60)*1.8)</f>
        <v>1217.2881355932202</v>
      </c>
      <c r="AU243" s="23">
        <f>(Data!$I243*-1.2)+(Data!$J243*-1.1)+(Data!$K243*1.2)+(Data!$L243*1.3)+(Data!$M243*1.5)</f>
        <v>9.1999999999999993</v>
      </c>
      <c r="AV243" s="23">
        <f>(Data!$AS243*0.4)+(Data!$AT243*0.4)+(Data!$AU243*0.2)</f>
        <v>496.07728813559316</v>
      </c>
      <c r="AW243" s="23">
        <f>PERCENTRANK(AV:AV,Data!$AV243)*100</f>
        <v>75.5</v>
      </c>
      <c r="AX243" s="23" t="str">
        <f>_xlfn.CONCAT(TEXT(C243,"mmm"),"-",Data!$AE243)</f>
        <v>Nov-2021</v>
      </c>
    </row>
    <row r="244" spans="1:50" ht="17" thickTop="1" thickBot="1" x14ac:dyDescent="0.25">
      <c r="A244" s="28">
        <v>243</v>
      </c>
      <c r="B244" s="29">
        <f t="shared" si="26"/>
        <v>15</v>
      </c>
      <c r="C244" s="41">
        <v>44525</v>
      </c>
      <c r="D244" s="30">
        <f>SUM(Data!$I244:$M244)</f>
        <v>62</v>
      </c>
      <c r="E244" s="29">
        <v>17</v>
      </c>
      <c r="F244" s="29">
        <v>725</v>
      </c>
      <c r="G244" s="29">
        <v>169</v>
      </c>
      <c r="H244" s="29">
        <v>132</v>
      </c>
      <c r="I244" s="29">
        <v>7</v>
      </c>
      <c r="J244" s="29">
        <v>15</v>
      </c>
      <c r="K244" s="29">
        <v>23</v>
      </c>
      <c r="L244" s="29">
        <v>14</v>
      </c>
      <c r="M244" s="29">
        <v>3</v>
      </c>
      <c r="N244" s="29" t="s">
        <v>138</v>
      </c>
      <c r="O244" s="29" t="s">
        <v>81</v>
      </c>
      <c r="P244" s="29" t="s">
        <v>140</v>
      </c>
      <c r="Q244" s="29">
        <f t="shared" si="32"/>
        <v>1</v>
      </c>
      <c r="R244" s="29" t="str">
        <f t="shared" si="27"/>
        <v>11-2021</v>
      </c>
      <c r="S244" s="29" t="s">
        <v>117</v>
      </c>
      <c r="T244" s="29" t="str">
        <f t="shared" si="28"/>
        <v>Thursday</v>
      </c>
      <c r="U244" s="29">
        <f t="shared" si="29"/>
        <v>1</v>
      </c>
      <c r="V244" s="31">
        <f>IFERROR(Data!$I244/Data!$D244,"")</f>
        <v>0.11290322580645161</v>
      </c>
      <c r="W244" s="31">
        <f>IFERROR(Data!$J244/Data!$D244,"")</f>
        <v>0.24193548387096775</v>
      </c>
      <c r="X244" s="31">
        <f>IFERROR(Data!$K244/Data!$D244,"")</f>
        <v>0.37096774193548387</v>
      </c>
      <c r="Y244" s="31">
        <f>IFERROR(Data!$L244/Data!$D244,"")</f>
        <v>0.22580645161290322</v>
      </c>
      <c r="Z244" s="31">
        <f>IFERROR(Data!$M244/Data!$D244,"")</f>
        <v>4.8387096774193547E-2</v>
      </c>
      <c r="AA244" s="32">
        <v>232.14</v>
      </c>
      <c r="AB244" s="32">
        <f t="shared" si="33"/>
        <v>15.475999999999999</v>
      </c>
      <c r="AC244" s="29">
        <f t="shared" si="30"/>
        <v>651.57142857142856</v>
      </c>
      <c r="AD244" s="29">
        <f t="shared" si="31"/>
        <v>14.357142857142858</v>
      </c>
      <c r="AE244" s="29">
        <f>YEAR(Data!$C244)</f>
        <v>2021</v>
      </c>
      <c r="AF244" s="29"/>
      <c r="AG244" s="29">
        <v>12</v>
      </c>
      <c r="AH244" s="33">
        <f>Data!$F244/Data!$D244</f>
        <v>11.693548387096774</v>
      </c>
      <c r="AI244" s="17" t="str">
        <f>RIGHT(Data!$O244,2)</f>
        <v>AM</v>
      </c>
      <c r="AJ244" s="29" t="str">
        <f>Data!$R244&amp;"-"&amp;WEEKNUM(Data!$C244,1)-WEEKNUM(DATE(YEAR(Data!$C244),MONTH(Data!$C244),1),1)+1</f>
        <v>11-2021-4</v>
      </c>
      <c r="AK244" s="29">
        <f>MONTH(Data!$C244)</f>
        <v>11</v>
      </c>
      <c r="AL244" s="29">
        <f>IFERROR(Data!$F244/Data!$E244,0)</f>
        <v>42.647058823529413</v>
      </c>
      <c r="AM244" s="29">
        <f>COUNTIF(Data!$N$2:$N$825,Data!$N244)</f>
        <v>11</v>
      </c>
      <c r="AN244" s="29" t="str">
        <f>VLOOKUP(Data!$N244,'Helpful Tables'!A:D,4,FALSE)</f>
        <v>Massachusetts</v>
      </c>
      <c r="AO244" s="29">
        <f>COUNTIF(AN:AN,Data!$AN244)/COUNTA(AN:AN)</f>
        <v>1.9393939393939394E-2</v>
      </c>
      <c r="AP244" s="29">
        <v>42.350487000000001</v>
      </c>
      <c r="AQ244" s="29">
        <v>-71.152720000000002</v>
      </c>
      <c r="AR244" s="29">
        <f>COUNTIF(Data!$P$2:$P$825,Data!$P244)</f>
        <v>4</v>
      </c>
      <c r="AS244" s="29" cm="1">
        <f t="array" ref="AS244">_xlfn.IFS(Data!$E244&lt;12,((Data!$E244/Data!$D244)*60)*1,AND(Data!$E244&gt;=12,Data!$E244&lt;=15),((Data!$E244/Data!$D244)*60)*1.2,AND(Data!$E244&gt;=16,Data!$E244&lt;=19),((Data!$E244/Data!$D244)*60)*1.5,Data!$E244&gt;=20,((Data!$E244/Data!$D244)*60)*1.8)</f>
        <v>24.677419354838705</v>
      </c>
      <c r="AT244" s="29" cm="1">
        <f t="array" ref="AT244">_xlfn.IFS(Data!$F244&lt;600,((Data!$F244/Data!$D244)*60)*1,AND(Data!$F244&gt;=600,Data!$F244&lt;=625),((Data!$F244/Data!$D244)*60)*1.2,AND(Data!$F244&gt;=626,Data!$F244&lt;=650),((Data!$F244/Data!$D244)*60)*1.5,Data!$F244&gt;=651,((Data!$F244/Data!$D244)*60)*1.8)</f>
        <v>1262.9032258064517</v>
      </c>
      <c r="AU244" s="29">
        <f>(Data!$I244*-1.2)+(Data!$J244*-1.1)+(Data!$K244*1.2)+(Data!$L244*1.3)+(Data!$M244*1.5)</f>
        <v>25.4</v>
      </c>
      <c r="AV244" s="29">
        <f>(Data!$AS244*0.4)+(Data!$AT244*0.4)+(Data!$AU244*0.2)</f>
        <v>520.11225806451625</v>
      </c>
      <c r="AW244" s="29">
        <f>PERCENTRANK(AV:AV,Data!$AV244)*100</f>
        <v>89.2</v>
      </c>
      <c r="AX244" s="29" t="str">
        <f>_xlfn.CONCAT(TEXT(C244,"mmm"),"-",Data!$AE244)</f>
        <v>Nov-2021</v>
      </c>
    </row>
    <row r="245" spans="1:50" ht="17" thickTop="1" thickBot="1" x14ac:dyDescent="0.25">
      <c r="A245" s="22">
        <v>244</v>
      </c>
      <c r="B245" s="23">
        <f t="shared" si="26"/>
        <v>15</v>
      </c>
      <c r="C245" s="41">
        <v>44528</v>
      </c>
      <c r="D245" s="24">
        <f>SUM(Data!$I245:$M245)</f>
        <v>53</v>
      </c>
      <c r="E245" s="23">
        <v>14</v>
      </c>
      <c r="F245" s="23">
        <v>638</v>
      </c>
      <c r="G245" s="23">
        <v>165</v>
      </c>
      <c r="H245" s="23">
        <v>132</v>
      </c>
      <c r="I245" s="23">
        <v>6</v>
      </c>
      <c r="J245" s="23">
        <v>15</v>
      </c>
      <c r="K245" s="23">
        <v>18</v>
      </c>
      <c r="L245" s="23">
        <v>12</v>
      </c>
      <c r="M245" s="23">
        <v>2</v>
      </c>
      <c r="N245" s="23" t="s">
        <v>138</v>
      </c>
      <c r="O245" s="23" t="s">
        <v>81</v>
      </c>
      <c r="P245" s="23" t="s">
        <v>141</v>
      </c>
      <c r="Q245" s="23">
        <f t="shared" si="32"/>
        <v>3</v>
      </c>
      <c r="R245" s="23" t="str">
        <f t="shared" si="27"/>
        <v>11-2021</v>
      </c>
      <c r="S245" s="23" t="s">
        <v>104</v>
      </c>
      <c r="T245" s="23" t="str">
        <f t="shared" si="28"/>
        <v>Sunday</v>
      </c>
      <c r="U245" s="23">
        <f t="shared" si="29"/>
        <v>1</v>
      </c>
      <c r="V245" s="25">
        <f>IFERROR(Data!$I245/Data!$D245,"")</f>
        <v>0.11320754716981132</v>
      </c>
      <c r="W245" s="25">
        <f>IFERROR(Data!$J245/Data!$D245,"")</f>
        <v>0.28301886792452829</v>
      </c>
      <c r="X245" s="25">
        <f>IFERROR(Data!$K245/Data!$D245,"")</f>
        <v>0.33962264150943394</v>
      </c>
      <c r="Y245" s="25">
        <f>IFERROR(Data!$L245/Data!$D245,"")</f>
        <v>0.22641509433962265</v>
      </c>
      <c r="Z245" s="25">
        <f>IFERROR(Data!$M245/Data!$D245,"")</f>
        <v>3.7735849056603772E-2</v>
      </c>
      <c r="AA245" s="26">
        <v>232.14</v>
      </c>
      <c r="AB245" s="26">
        <f t="shared" si="33"/>
        <v>15.475999999999999</v>
      </c>
      <c r="AC245" s="23">
        <f t="shared" si="30"/>
        <v>651.57142857142856</v>
      </c>
      <c r="AD245" s="23">
        <f t="shared" si="31"/>
        <v>14.357142857142858</v>
      </c>
      <c r="AE245" s="23">
        <f>YEAR(Data!$C245)</f>
        <v>2021</v>
      </c>
      <c r="AF245" s="23"/>
      <c r="AG245" s="23">
        <v>12</v>
      </c>
      <c r="AH245" s="27">
        <f>Data!$F245/Data!$D245</f>
        <v>12.037735849056604</v>
      </c>
      <c r="AI245" s="17" t="str">
        <f>RIGHT(Data!$O245,2)</f>
        <v>AM</v>
      </c>
      <c r="AJ245" s="23" t="str">
        <f>Data!$R245&amp;"-"&amp;WEEKNUM(Data!$C245,1)-WEEKNUM(DATE(YEAR(Data!$C245),MONTH(Data!$C245),1),1)+1</f>
        <v>11-2021-5</v>
      </c>
      <c r="AK245" s="23">
        <f>MONTH(Data!$C245)</f>
        <v>11</v>
      </c>
      <c r="AL245" s="23">
        <f>IFERROR(Data!$F245/Data!$E245,0)</f>
        <v>45.571428571428569</v>
      </c>
      <c r="AM245" s="23">
        <f>COUNTIF(Data!$N$2:$N$825,Data!$N245)</f>
        <v>11</v>
      </c>
      <c r="AN245" s="23" t="str">
        <f>VLOOKUP(Data!$N245,'Helpful Tables'!A:D,4,FALSE)</f>
        <v>Massachusetts</v>
      </c>
      <c r="AO245" s="23">
        <f>COUNTIF(AN:AN,Data!$AN245)/COUNTA(AN:AN)</f>
        <v>1.9393939393939394E-2</v>
      </c>
      <c r="AP245" s="23">
        <v>42.350487000000001</v>
      </c>
      <c r="AQ245" s="23">
        <v>-71.152720000000002</v>
      </c>
      <c r="AR245" s="23">
        <f>COUNTIF(Data!$P$2:$P$825,Data!$P245)</f>
        <v>2</v>
      </c>
      <c r="AS245" s="23" cm="1">
        <f t="array" ref="AS245">_xlfn.IFS(Data!$E245&lt;12,((Data!$E245/Data!$D245)*60)*1,AND(Data!$E245&gt;=12,Data!$E245&lt;=15),((Data!$E245/Data!$D245)*60)*1.2,AND(Data!$E245&gt;=16,Data!$E245&lt;=19),((Data!$E245/Data!$D245)*60)*1.5,Data!$E245&gt;=20,((Data!$E245/Data!$D245)*60)*1.8)</f>
        <v>19.018867924528301</v>
      </c>
      <c r="AT245" s="23" cm="1">
        <f t="array" ref="AT245">_xlfn.IFS(Data!$F245&lt;600,((Data!$F245/Data!$D245)*60)*1,AND(Data!$F245&gt;=600,Data!$F245&lt;=625),((Data!$F245/Data!$D245)*60)*1.2,AND(Data!$F245&gt;=626,Data!$F245&lt;=650),((Data!$F245/Data!$D245)*60)*1.5,Data!$F245&gt;=651,((Data!$F245/Data!$D245)*60)*1.8)</f>
        <v>1083.3962264150944</v>
      </c>
      <c r="AU245" s="23">
        <f>(Data!$I245*-1.2)+(Data!$J245*-1.1)+(Data!$K245*1.2)+(Data!$L245*1.3)+(Data!$M245*1.5)</f>
        <v>16.5</v>
      </c>
      <c r="AV245" s="23">
        <f>(Data!$AS245*0.4)+(Data!$AT245*0.4)+(Data!$AU245*0.2)</f>
        <v>444.26603773584907</v>
      </c>
      <c r="AW245" s="23">
        <f>PERCENTRANK(AV:AV,Data!$AV245)*100</f>
        <v>65.400000000000006</v>
      </c>
      <c r="AX245" s="23" t="str">
        <f>_xlfn.CONCAT(TEXT(C245,"mmm"),"-",Data!$AE245)</f>
        <v>Nov-2021</v>
      </c>
    </row>
    <row r="246" spans="1:50" ht="17" thickTop="1" thickBot="1" x14ac:dyDescent="0.25">
      <c r="A246" s="28">
        <v>245</v>
      </c>
      <c r="B246" s="29">
        <f t="shared" si="26"/>
        <v>5</v>
      </c>
      <c r="C246" s="41">
        <v>44531</v>
      </c>
      <c r="D246" s="30">
        <f>SUM(Data!$I246:$M246)</f>
        <v>59</v>
      </c>
      <c r="E246" s="29">
        <v>18</v>
      </c>
      <c r="F246" s="29">
        <v>669</v>
      </c>
      <c r="G246" s="29">
        <v>174</v>
      </c>
      <c r="H246" s="29">
        <v>129</v>
      </c>
      <c r="I246" s="29">
        <v>9</v>
      </c>
      <c r="J246" s="29">
        <v>20</v>
      </c>
      <c r="K246" s="29">
        <v>12</v>
      </c>
      <c r="L246" s="29">
        <v>15</v>
      </c>
      <c r="M246" s="29">
        <v>3</v>
      </c>
      <c r="N246" s="29" t="s">
        <v>91</v>
      </c>
      <c r="O246" s="29" t="s">
        <v>39</v>
      </c>
      <c r="P246" s="29" t="s">
        <v>96</v>
      </c>
      <c r="Q246" s="29">
        <f t="shared" si="32"/>
        <v>3</v>
      </c>
      <c r="R246" s="29" t="str">
        <f t="shared" si="27"/>
        <v>12-2021</v>
      </c>
      <c r="S246" s="29" t="s">
        <v>104</v>
      </c>
      <c r="T246" s="29" t="str">
        <f t="shared" si="28"/>
        <v>Wednesday</v>
      </c>
      <c r="U246" s="29">
        <f t="shared" si="29"/>
        <v>1</v>
      </c>
      <c r="V246" s="31">
        <f>IFERROR(Data!$I246/Data!$D246,"")</f>
        <v>0.15254237288135594</v>
      </c>
      <c r="W246" s="31">
        <f>IFERROR(Data!$J246/Data!$D246,"")</f>
        <v>0.33898305084745761</v>
      </c>
      <c r="X246" s="31">
        <f>IFERROR(Data!$K246/Data!$D246,"")</f>
        <v>0.20338983050847459</v>
      </c>
      <c r="Y246" s="31">
        <f>IFERROR(Data!$L246/Data!$D246,"")</f>
        <v>0.25423728813559321</v>
      </c>
      <c r="Z246" s="31">
        <f>IFERROR(Data!$M246/Data!$D246,"")</f>
        <v>5.0847457627118647E-2</v>
      </c>
      <c r="AA246" s="32">
        <v>232.14</v>
      </c>
      <c r="AB246" s="32">
        <f t="shared" si="33"/>
        <v>46.427999999999997</v>
      </c>
      <c r="AC246" s="29">
        <f t="shared" si="30"/>
        <v>651</v>
      </c>
      <c r="AD246" s="29">
        <f t="shared" si="31"/>
        <v>14.4</v>
      </c>
      <c r="AE246" s="29">
        <f>YEAR(Data!$C246)</f>
        <v>2021</v>
      </c>
      <c r="AF246" s="29"/>
      <c r="AG246" s="29">
        <v>12</v>
      </c>
      <c r="AH246" s="33">
        <f>Data!$F246/Data!$D246</f>
        <v>11.338983050847459</v>
      </c>
      <c r="AI246" s="17" t="str">
        <f>RIGHT(Data!$O246,2)</f>
        <v>PM</v>
      </c>
      <c r="AJ246" s="29" t="str">
        <f>Data!$R246&amp;"-"&amp;WEEKNUM(Data!$C246,1)-WEEKNUM(DATE(YEAR(Data!$C246),MONTH(Data!$C246),1),1)+1</f>
        <v>12-2021-1</v>
      </c>
      <c r="AK246" s="29">
        <f>MONTH(Data!$C246)</f>
        <v>12</v>
      </c>
      <c r="AL246" s="29">
        <f>IFERROR(Data!$F246/Data!$E246,0)</f>
        <v>37.166666666666664</v>
      </c>
      <c r="AM246" s="29">
        <f>COUNTIF(Data!$N$2:$N$825,Data!$N246)</f>
        <v>218</v>
      </c>
      <c r="AN246" s="29" t="str">
        <f>VLOOKUP(Data!$N246,'Helpful Tables'!A:D,4,FALSE)</f>
        <v>Washington, DC</v>
      </c>
      <c r="AO246" s="29">
        <f>COUNTIF(AN:AN,Data!$AN246)/COUNTA(AN:AN)</f>
        <v>0.62424242424242427</v>
      </c>
      <c r="AP246" s="29">
        <v>38.934710000000003</v>
      </c>
      <c r="AQ246" s="29">
        <v>-77.058222999999998</v>
      </c>
      <c r="AR246" s="29">
        <f>COUNTIF(Data!$P$2:$P$825,Data!$P246)</f>
        <v>71</v>
      </c>
      <c r="AS246" s="29" cm="1">
        <f t="array" ref="AS246">_xlfn.IFS(Data!$E246&lt;12,((Data!$E246/Data!$D246)*60)*1,AND(Data!$E246&gt;=12,Data!$E246&lt;=15),((Data!$E246/Data!$D246)*60)*1.2,AND(Data!$E246&gt;=16,Data!$E246&lt;=19),((Data!$E246/Data!$D246)*60)*1.5,Data!$E246&gt;=20,((Data!$E246/Data!$D246)*60)*1.8)</f>
        <v>27.457627118644069</v>
      </c>
      <c r="AT246" s="29" cm="1">
        <f t="array" ref="AT246">_xlfn.IFS(Data!$F246&lt;600,((Data!$F246/Data!$D246)*60)*1,AND(Data!$F246&gt;=600,Data!$F246&lt;=625),((Data!$F246/Data!$D246)*60)*1.2,AND(Data!$F246&gt;=626,Data!$F246&lt;=650),((Data!$F246/Data!$D246)*60)*1.5,Data!$F246&gt;=651,((Data!$F246/Data!$D246)*60)*1.8)</f>
        <v>1224.6101694915255</v>
      </c>
      <c r="AU246" s="29">
        <f>(Data!$I246*-1.2)+(Data!$J246*-1.1)+(Data!$K246*1.2)+(Data!$L246*1.3)+(Data!$M246*1.5)</f>
        <v>5.6000000000000014</v>
      </c>
      <c r="AV246" s="29">
        <f>(Data!$AS246*0.4)+(Data!$AT246*0.4)+(Data!$AU246*0.2)</f>
        <v>501.94711864406787</v>
      </c>
      <c r="AW246" s="29">
        <f>PERCENTRANK(AV:AV,Data!$AV246)*100</f>
        <v>78.900000000000006</v>
      </c>
      <c r="AX246" s="29" t="str">
        <f>_xlfn.CONCAT(TEXT(C246,"mmm"),"-",Data!$AE246)</f>
        <v>Dec-2021</v>
      </c>
    </row>
    <row r="247" spans="1:50" ht="17" thickTop="1" thickBot="1" x14ac:dyDescent="0.25">
      <c r="A247" s="22">
        <v>246</v>
      </c>
      <c r="B247" s="23">
        <f t="shared" si="26"/>
        <v>5</v>
      </c>
      <c r="C247" s="41">
        <v>44532</v>
      </c>
      <c r="D247" s="24">
        <f>SUM(Data!$I247:$M247)</f>
        <v>56</v>
      </c>
      <c r="E247" s="23">
        <v>18</v>
      </c>
      <c r="F247" s="23">
        <v>645</v>
      </c>
      <c r="G247" s="23">
        <v>167</v>
      </c>
      <c r="H247" s="23">
        <v>130</v>
      </c>
      <c r="I247" s="23">
        <v>7</v>
      </c>
      <c r="J247" s="23">
        <v>16</v>
      </c>
      <c r="K247" s="23">
        <v>15</v>
      </c>
      <c r="L247" s="23">
        <v>16</v>
      </c>
      <c r="M247" s="23">
        <v>2</v>
      </c>
      <c r="N247" s="23" t="s">
        <v>91</v>
      </c>
      <c r="O247" s="23" t="s">
        <v>113</v>
      </c>
      <c r="P247" s="23" t="s">
        <v>97</v>
      </c>
      <c r="Q247" s="23">
        <f t="shared" si="32"/>
        <v>1</v>
      </c>
      <c r="R247" s="23" t="str">
        <f t="shared" si="27"/>
        <v>12-2021</v>
      </c>
      <c r="S247" s="23" t="s">
        <v>104</v>
      </c>
      <c r="T247" s="23" t="str">
        <f t="shared" si="28"/>
        <v>Thursday</v>
      </c>
      <c r="U247" s="23">
        <f t="shared" si="29"/>
        <v>1</v>
      </c>
      <c r="V247" s="25">
        <f>IFERROR(Data!$I247/Data!$D247,"")</f>
        <v>0.125</v>
      </c>
      <c r="W247" s="25">
        <f>IFERROR(Data!$J247/Data!$D247,"")</f>
        <v>0.2857142857142857</v>
      </c>
      <c r="X247" s="25">
        <f>IFERROR(Data!$K247/Data!$D247,"")</f>
        <v>0.26785714285714285</v>
      </c>
      <c r="Y247" s="25">
        <f>IFERROR(Data!$L247/Data!$D247,"")</f>
        <v>0.2857142857142857</v>
      </c>
      <c r="Z247" s="25">
        <f>IFERROR(Data!$M247/Data!$D247,"")</f>
        <v>3.5714285714285712E-2</v>
      </c>
      <c r="AA247" s="26">
        <v>232.14</v>
      </c>
      <c r="AB247" s="26">
        <f t="shared" si="33"/>
        <v>46.427999999999997</v>
      </c>
      <c r="AC247" s="23">
        <f t="shared" si="30"/>
        <v>651</v>
      </c>
      <c r="AD247" s="23">
        <f t="shared" si="31"/>
        <v>14.4</v>
      </c>
      <c r="AE247" s="23">
        <f>YEAR(Data!$C247)</f>
        <v>2021</v>
      </c>
      <c r="AF247" s="23"/>
      <c r="AG247" s="23">
        <v>12</v>
      </c>
      <c r="AH247" s="27">
        <f>Data!$F247/Data!$D247</f>
        <v>11.517857142857142</v>
      </c>
      <c r="AI247" s="17" t="str">
        <f>RIGHT(Data!$O247,2)</f>
        <v>AM</v>
      </c>
      <c r="AJ247" s="23" t="str">
        <f>Data!$R247&amp;"-"&amp;WEEKNUM(Data!$C247,1)-WEEKNUM(DATE(YEAR(Data!$C247),MONTH(Data!$C247),1),1)+1</f>
        <v>12-2021-1</v>
      </c>
      <c r="AK247" s="23">
        <f>MONTH(Data!$C247)</f>
        <v>12</v>
      </c>
      <c r="AL247" s="23">
        <f>IFERROR(Data!$F247/Data!$E247,0)</f>
        <v>35.833333333333336</v>
      </c>
      <c r="AM247" s="23">
        <f>COUNTIF(Data!$N$2:$N$825,Data!$N247)</f>
        <v>218</v>
      </c>
      <c r="AN247" s="23" t="str">
        <f>VLOOKUP(Data!$N247,'Helpful Tables'!A:D,4,FALSE)</f>
        <v>Washington, DC</v>
      </c>
      <c r="AO247" s="23">
        <f>COUNTIF(AN:AN,Data!$AN247)/COUNTA(AN:AN)</f>
        <v>0.62424242424242427</v>
      </c>
      <c r="AP247" s="23">
        <v>38.934710000000003</v>
      </c>
      <c r="AQ247" s="23">
        <v>-77.058222999999998</v>
      </c>
      <c r="AR247" s="23">
        <f>COUNTIF(Data!$P$2:$P$825,Data!$P247)</f>
        <v>14</v>
      </c>
      <c r="AS247" s="23" cm="1">
        <f t="array" ref="AS247">_xlfn.IFS(Data!$E247&lt;12,((Data!$E247/Data!$D247)*60)*1,AND(Data!$E247&gt;=12,Data!$E247&lt;=15),((Data!$E247/Data!$D247)*60)*1.2,AND(Data!$E247&gt;=16,Data!$E247&lt;=19),((Data!$E247/Data!$D247)*60)*1.5,Data!$E247&gt;=20,((Data!$E247/Data!$D247)*60)*1.8)</f>
        <v>28.928571428571431</v>
      </c>
      <c r="AT247" s="23" cm="1">
        <f t="array" ref="AT247">_xlfn.IFS(Data!$F247&lt;600,((Data!$F247/Data!$D247)*60)*1,AND(Data!$F247&gt;=600,Data!$F247&lt;=625),((Data!$F247/Data!$D247)*60)*1.2,AND(Data!$F247&gt;=626,Data!$F247&lt;=650),((Data!$F247/Data!$D247)*60)*1.5,Data!$F247&gt;=651,((Data!$F247/Data!$D247)*60)*1.8)</f>
        <v>1036.6071428571429</v>
      </c>
      <c r="AU247" s="23">
        <f>(Data!$I247*-1.2)+(Data!$J247*-1.1)+(Data!$K247*1.2)+(Data!$L247*1.3)+(Data!$M247*1.5)</f>
        <v>15.8</v>
      </c>
      <c r="AV247" s="23">
        <f>(Data!$AS247*0.4)+(Data!$AT247*0.4)+(Data!$AU247*0.2)</f>
        <v>429.37428571428575</v>
      </c>
      <c r="AW247" s="23">
        <f>PERCENTRANK(AV:AV,Data!$AV247)*100</f>
        <v>64.3</v>
      </c>
      <c r="AX247" s="23" t="str">
        <f>_xlfn.CONCAT(TEXT(C247,"mmm"),"-",Data!$AE247)</f>
        <v>Dec-2021</v>
      </c>
    </row>
    <row r="248" spans="1:50" ht="17" thickTop="1" thickBot="1" x14ac:dyDescent="0.25">
      <c r="A248" s="28">
        <v>247</v>
      </c>
      <c r="B248" s="29">
        <f t="shared" si="26"/>
        <v>5</v>
      </c>
      <c r="C248" s="41">
        <v>44535</v>
      </c>
      <c r="D248" s="30">
        <f>SUM(Data!$I248:$M248)</f>
        <v>58</v>
      </c>
      <c r="E248" s="29">
        <v>15</v>
      </c>
      <c r="F248" s="29">
        <v>688</v>
      </c>
      <c r="G248" s="29">
        <v>168</v>
      </c>
      <c r="H248" s="29">
        <v>131</v>
      </c>
      <c r="I248" s="29">
        <v>6</v>
      </c>
      <c r="J248" s="29">
        <v>15</v>
      </c>
      <c r="K248" s="29">
        <v>22</v>
      </c>
      <c r="L248" s="29">
        <v>13</v>
      </c>
      <c r="M248" s="29">
        <v>2</v>
      </c>
      <c r="N248" s="29" t="s">
        <v>91</v>
      </c>
      <c r="O248" s="29" t="s">
        <v>45</v>
      </c>
      <c r="P248" s="29" t="s">
        <v>100</v>
      </c>
      <c r="Q248" s="29">
        <f t="shared" si="32"/>
        <v>3</v>
      </c>
      <c r="R248" s="29" t="str">
        <f t="shared" si="27"/>
        <v>12-2021</v>
      </c>
      <c r="S248" s="29" t="s">
        <v>104</v>
      </c>
      <c r="T248" s="29" t="str">
        <f t="shared" si="28"/>
        <v>Sunday</v>
      </c>
      <c r="U248" s="29">
        <f t="shared" si="29"/>
        <v>1</v>
      </c>
      <c r="V248" s="31">
        <f>IFERROR(Data!$I248/Data!$D248,"")</f>
        <v>0.10344827586206896</v>
      </c>
      <c r="W248" s="31">
        <f>IFERROR(Data!$J248/Data!$D248,"")</f>
        <v>0.25862068965517243</v>
      </c>
      <c r="X248" s="31">
        <f>IFERROR(Data!$K248/Data!$D248,"")</f>
        <v>0.37931034482758619</v>
      </c>
      <c r="Y248" s="31">
        <f>IFERROR(Data!$L248/Data!$D248,"")</f>
        <v>0.22413793103448276</v>
      </c>
      <c r="Z248" s="31">
        <f>IFERROR(Data!$M248/Data!$D248,"")</f>
        <v>3.4482758620689655E-2</v>
      </c>
      <c r="AA248" s="32">
        <v>232.14</v>
      </c>
      <c r="AB248" s="32">
        <f t="shared" si="33"/>
        <v>46.427999999999997</v>
      </c>
      <c r="AC248" s="29">
        <f t="shared" si="30"/>
        <v>651</v>
      </c>
      <c r="AD248" s="29">
        <f t="shared" si="31"/>
        <v>14.4</v>
      </c>
      <c r="AE248" s="29">
        <f>YEAR(Data!$C248)</f>
        <v>2021</v>
      </c>
      <c r="AF248" s="29"/>
      <c r="AG248" s="29">
        <v>12</v>
      </c>
      <c r="AH248" s="33">
        <f>Data!$F248/Data!$D248</f>
        <v>11.862068965517242</v>
      </c>
      <c r="AI248" s="17" t="str">
        <f>RIGHT(Data!$O248,2)</f>
        <v>AM</v>
      </c>
      <c r="AJ248" s="29" t="str">
        <f>Data!$R248&amp;"-"&amp;WEEKNUM(Data!$C248,1)-WEEKNUM(DATE(YEAR(Data!$C248),MONTH(Data!$C248),1),1)+1</f>
        <v>12-2021-2</v>
      </c>
      <c r="AK248" s="29">
        <f>MONTH(Data!$C248)</f>
        <v>12</v>
      </c>
      <c r="AL248" s="29">
        <f>IFERROR(Data!$F248/Data!$E248,0)</f>
        <v>45.866666666666667</v>
      </c>
      <c r="AM248" s="29">
        <f>COUNTIF(Data!$N$2:$N$825,Data!$N248)</f>
        <v>218</v>
      </c>
      <c r="AN248" s="29" t="str">
        <f>VLOOKUP(Data!$N248,'Helpful Tables'!A:D,4,FALSE)</f>
        <v>Washington, DC</v>
      </c>
      <c r="AO248" s="29">
        <f>COUNTIF(AN:AN,Data!$AN248)/COUNTA(AN:AN)</f>
        <v>0.62424242424242427</v>
      </c>
      <c r="AP248" s="29">
        <v>38.934710000000003</v>
      </c>
      <c r="AQ248" s="29">
        <v>-77.058222999999998</v>
      </c>
      <c r="AR248" s="29">
        <f>COUNTIF(Data!$P$2:$P$825,Data!$P248)</f>
        <v>35</v>
      </c>
      <c r="AS248" s="29" cm="1">
        <f t="array" ref="AS248">_xlfn.IFS(Data!$E248&lt;12,((Data!$E248/Data!$D248)*60)*1,AND(Data!$E248&gt;=12,Data!$E248&lt;=15),((Data!$E248/Data!$D248)*60)*1.2,AND(Data!$E248&gt;=16,Data!$E248&lt;=19),((Data!$E248/Data!$D248)*60)*1.5,Data!$E248&gt;=20,((Data!$E248/Data!$D248)*60)*1.8)</f>
        <v>18.620689655172413</v>
      </c>
      <c r="AT248" s="29" cm="1">
        <f t="array" ref="AT248">_xlfn.IFS(Data!$F248&lt;600,((Data!$F248/Data!$D248)*60)*1,AND(Data!$F248&gt;=600,Data!$F248&lt;=625),((Data!$F248/Data!$D248)*60)*1.2,AND(Data!$F248&gt;=626,Data!$F248&lt;=650),((Data!$F248/Data!$D248)*60)*1.5,Data!$F248&gt;=651,((Data!$F248/Data!$D248)*60)*1.8)</f>
        <v>1281.1034482758621</v>
      </c>
      <c r="AU248" s="29">
        <f>(Data!$I248*-1.2)+(Data!$J248*-1.1)+(Data!$K248*1.2)+(Data!$L248*1.3)+(Data!$M248*1.5)</f>
        <v>22.6</v>
      </c>
      <c r="AV248" s="29">
        <f>(Data!$AS248*0.4)+(Data!$AT248*0.4)+(Data!$AU248*0.2)</f>
        <v>524.40965517241375</v>
      </c>
      <c r="AW248" s="29">
        <f>PERCENTRANK(AV:AV,Data!$AV248)*100</f>
        <v>92</v>
      </c>
      <c r="AX248" s="29" t="str">
        <f>_xlfn.CONCAT(TEXT(C248,"mmm"),"-",Data!$AE248)</f>
        <v>Dec-2021</v>
      </c>
    </row>
    <row r="249" spans="1:50" ht="17" thickTop="1" thickBot="1" x14ac:dyDescent="0.25">
      <c r="A249" s="22">
        <v>248</v>
      </c>
      <c r="B249" s="23">
        <f t="shared" si="26"/>
        <v>5</v>
      </c>
      <c r="C249" s="41">
        <v>44536</v>
      </c>
      <c r="D249" s="24">
        <f>SUM(Data!$I249:$M249)</f>
        <v>54</v>
      </c>
      <c r="E249" s="23">
        <v>15</v>
      </c>
      <c r="F249" s="23">
        <v>658</v>
      </c>
      <c r="G249" s="23">
        <v>166</v>
      </c>
      <c r="H249" s="23">
        <v>134</v>
      </c>
      <c r="I249" s="23">
        <v>3</v>
      </c>
      <c r="J249" s="23">
        <v>13</v>
      </c>
      <c r="K249" s="23">
        <v>23</v>
      </c>
      <c r="L249" s="23">
        <v>13</v>
      </c>
      <c r="M249" s="23">
        <v>2</v>
      </c>
      <c r="N249" s="23" t="s">
        <v>91</v>
      </c>
      <c r="O249" s="23" t="s">
        <v>39</v>
      </c>
      <c r="P249" s="23" t="s">
        <v>94</v>
      </c>
      <c r="Q249" s="23">
        <f t="shared" si="32"/>
        <v>1</v>
      </c>
      <c r="R249" s="23" t="str">
        <f t="shared" si="27"/>
        <v>12-2021</v>
      </c>
      <c r="S249" s="23" t="s">
        <v>104</v>
      </c>
      <c r="T249" s="23" t="str">
        <f t="shared" si="28"/>
        <v>Monday</v>
      </c>
      <c r="U249" s="23">
        <f t="shared" si="29"/>
        <v>1</v>
      </c>
      <c r="V249" s="25">
        <f>IFERROR(Data!$I249/Data!$D249,"")</f>
        <v>5.5555555555555552E-2</v>
      </c>
      <c r="W249" s="25">
        <f>IFERROR(Data!$J249/Data!$D249,"")</f>
        <v>0.24074074074074073</v>
      </c>
      <c r="X249" s="25">
        <f>IFERROR(Data!$K249/Data!$D249,"")</f>
        <v>0.42592592592592593</v>
      </c>
      <c r="Y249" s="25">
        <f>IFERROR(Data!$L249/Data!$D249,"")</f>
        <v>0.24074074074074073</v>
      </c>
      <c r="Z249" s="25">
        <f>IFERROR(Data!$M249/Data!$D249,"")</f>
        <v>3.7037037037037035E-2</v>
      </c>
      <c r="AA249" s="26">
        <v>232.14</v>
      </c>
      <c r="AB249" s="26">
        <f t="shared" si="33"/>
        <v>46.427999999999997</v>
      </c>
      <c r="AC249" s="23">
        <f t="shared" si="30"/>
        <v>651</v>
      </c>
      <c r="AD249" s="23">
        <f t="shared" si="31"/>
        <v>14.4</v>
      </c>
      <c r="AE249" s="23">
        <f>YEAR(Data!$C249)</f>
        <v>2021</v>
      </c>
      <c r="AF249" s="23"/>
      <c r="AG249" s="23">
        <v>12</v>
      </c>
      <c r="AH249" s="27">
        <f>Data!$F249/Data!$D249</f>
        <v>12.185185185185185</v>
      </c>
      <c r="AI249" s="17" t="str">
        <f>RIGHT(Data!$O249,2)</f>
        <v>PM</v>
      </c>
      <c r="AJ249" s="23" t="str">
        <f>Data!$R249&amp;"-"&amp;WEEKNUM(Data!$C249,1)-WEEKNUM(DATE(YEAR(Data!$C249),MONTH(Data!$C249),1),1)+1</f>
        <v>12-2021-2</v>
      </c>
      <c r="AK249" s="23">
        <f>MONTH(Data!$C249)</f>
        <v>12</v>
      </c>
      <c r="AL249" s="23">
        <f>IFERROR(Data!$F249/Data!$E249,0)</f>
        <v>43.866666666666667</v>
      </c>
      <c r="AM249" s="23">
        <f>COUNTIF(Data!$N$2:$N$825,Data!$N249)</f>
        <v>218</v>
      </c>
      <c r="AN249" s="23" t="str">
        <f>VLOOKUP(Data!$N249,'Helpful Tables'!A:D,4,FALSE)</f>
        <v>Washington, DC</v>
      </c>
      <c r="AO249" s="23">
        <f>COUNTIF(AN:AN,Data!$AN249)/COUNTA(AN:AN)</f>
        <v>0.62424242424242427</v>
      </c>
      <c r="AP249" s="23">
        <v>38.934710000000003</v>
      </c>
      <c r="AQ249" s="23">
        <v>-77.058222999999998</v>
      </c>
      <c r="AR249" s="23">
        <f>COUNTIF(Data!$P$2:$P$825,Data!$P249)</f>
        <v>15</v>
      </c>
      <c r="AS249" s="23" cm="1">
        <f t="array" ref="AS249">_xlfn.IFS(Data!$E249&lt;12,((Data!$E249/Data!$D249)*60)*1,AND(Data!$E249&gt;=12,Data!$E249&lt;=15),((Data!$E249/Data!$D249)*60)*1.2,AND(Data!$E249&gt;=16,Data!$E249&lt;=19),((Data!$E249/Data!$D249)*60)*1.5,Data!$E249&gt;=20,((Data!$E249/Data!$D249)*60)*1.8)</f>
        <v>20</v>
      </c>
      <c r="AT249" s="23" cm="1">
        <f t="array" ref="AT249">_xlfn.IFS(Data!$F249&lt;600,((Data!$F249/Data!$D249)*60)*1,AND(Data!$F249&gt;=600,Data!$F249&lt;=625),((Data!$F249/Data!$D249)*60)*1.2,AND(Data!$F249&gt;=626,Data!$F249&lt;=650),((Data!$F249/Data!$D249)*60)*1.5,Data!$F249&gt;=651,((Data!$F249/Data!$D249)*60)*1.8)</f>
        <v>1316</v>
      </c>
      <c r="AU249" s="23">
        <f>(Data!$I249*-1.2)+(Data!$J249*-1.1)+(Data!$K249*1.2)+(Data!$L249*1.3)+(Data!$M249*1.5)</f>
        <v>29.6</v>
      </c>
      <c r="AV249" s="23">
        <f>(Data!$AS249*0.4)+(Data!$AT249*0.4)+(Data!$AU249*0.2)</f>
        <v>540.31999999999994</v>
      </c>
      <c r="AW249" s="23">
        <f>PERCENTRANK(AV:AV,Data!$AV249)*100</f>
        <v>96.3</v>
      </c>
      <c r="AX249" s="23" t="str">
        <f>_xlfn.CONCAT(TEXT(C249,"mmm"),"-",Data!$AE249)</f>
        <v>Dec-2021</v>
      </c>
    </row>
    <row r="250" spans="1:50" ht="17" thickTop="1" thickBot="1" x14ac:dyDescent="0.25">
      <c r="A250" s="28">
        <v>249</v>
      </c>
      <c r="B250" s="29">
        <f t="shared" si="26"/>
        <v>5</v>
      </c>
      <c r="C250" s="41">
        <v>44538</v>
      </c>
      <c r="D250" s="30">
        <f>SUM(Data!$I250:$M250)</f>
        <v>57</v>
      </c>
      <c r="E250" s="29">
        <v>6</v>
      </c>
      <c r="F250" s="29">
        <v>595</v>
      </c>
      <c r="G250" s="29">
        <v>162</v>
      </c>
      <c r="H250" s="29">
        <v>122</v>
      </c>
      <c r="I250" s="29">
        <v>14</v>
      </c>
      <c r="J250" s="29">
        <v>17</v>
      </c>
      <c r="K250" s="29">
        <v>20</v>
      </c>
      <c r="L250" s="29">
        <v>6</v>
      </c>
      <c r="M250" s="29">
        <v>0</v>
      </c>
      <c r="N250" s="29" t="s">
        <v>91</v>
      </c>
      <c r="O250" s="29" t="s">
        <v>39</v>
      </c>
      <c r="P250" s="29" t="s">
        <v>96</v>
      </c>
      <c r="Q250" s="29">
        <f t="shared" si="32"/>
        <v>2</v>
      </c>
      <c r="R250" s="29" t="str">
        <f t="shared" si="27"/>
        <v>12-2021</v>
      </c>
      <c r="S250" s="29" t="s">
        <v>117</v>
      </c>
      <c r="T250" s="29" t="str">
        <f t="shared" si="28"/>
        <v>Wednesday</v>
      </c>
      <c r="U250" s="29">
        <f t="shared" si="29"/>
        <v>0</v>
      </c>
      <c r="V250" s="31">
        <f>IFERROR(Data!$I250/Data!$D250,"")</f>
        <v>0.24561403508771928</v>
      </c>
      <c r="W250" s="31">
        <f>IFERROR(Data!$J250/Data!$D250,"")</f>
        <v>0.2982456140350877</v>
      </c>
      <c r="X250" s="31">
        <f>IFERROR(Data!$K250/Data!$D250,"")</f>
        <v>0.35087719298245612</v>
      </c>
      <c r="Y250" s="31">
        <f>IFERROR(Data!$L250/Data!$D250,"")</f>
        <v>0.10526315789473684</v>
      </c>
      <c r="Z250" s="31">
        <f>IFERROR(Data!$M250/Data!$D250,"")</f>
        <v>0</v>
      </c>
      <c r="AA250" s="32">
        <v>232.14</v>
      </c>
      <c r="AB250" s="32">
        <f t="shared" si="33"/>
        <v>46.427999999999997</v>
      </c>
      <c r="AC250" s="29">
        <f t="shared" si="30"/>
        <v>651</v>
      </c>
      <c r="AD250" s="29">
        <f t="shared" si="31"/>
        <v>14.4</v>
      </c>
      <c r="AE250" s="29">
        <f>YEAR(Data!$C250)</f>
        <v>2021</v>
      </c>
      <c r="AF250" s="29"/>
      <c r="AG250" s="29">
        <v>12</v>
      </c>
      <c r="AH250" s="33">
        <f>Data!$F250/Data!$D250</f>
        <v>10.43859649122807</v>
      </c>
      <c r="AI250" s="17" t="str">
        <f>RIGHT(Data!$O250,2)</f>
        <v>PM</v>
      </c>
      <c r="AJ250" s="29" t="str">
        <f>Data!$R250&amp;"-"&amp;WEEKNUM(Data!$C250,1)-WEEKNUM(DATE(YEAR(Data!$C250),MONTH(Data!$C250),1),1)+1</f>
        <v>12-2021-2</v>
      </c>
      <c r="AK250" s="29">
        <f>MONTH(Data!$C250)</f>
        <v>12</v>
      </c>
      <c r="AL250" s="29">
        <f>IFERROR(Data!$F250/Data!$E250,0)</f>
        <v>99.166666666666671</v>
      </c>
      <c r="AM250" s="29">
        <f>COUNTIF(Data!$N$2:$N$825,Data!$N250)</f>
        <v>218</v>
      </c>
      <c r="AN250" s="29" t="str">
        <f>VLOOKUP(Data!$N250,'Helpful Tables'!A:D,4,FALSE)</f>
        <v>Washington, DC</v>
      </c>
      <c r="AO250" s="29">
        <f>COUNTIF(AN:AN,Data!$AN250)/COUNTA(AN:AN)</f>
        <v>0.62424242424242427</v>
      </c>
      <c r="AP250" s="29">
        <v>38.934710000000003</v>
      </c>
      <c r="AQ250" s="29">
        <v>-77.058222999999998</v>
      </c>
      <c r="AR250" s="29">
        <f>COUNTIF(Data!$P$2:$P$825,Data!$P250)</f>
        <v>71</v>
      </c>
      <c r="AS250" s="29" cm="1">
        <f t="array" ref="AS250">_xlfn.IFS(Data!$E250&lt;12,((Data!$E250/Data!$D250)*60)*1,AND(Data!$E250&gt;=12,Data!$E250&lt;=15),((Data!$E250/Data!$D250)*60)*1.2,AND(Data!$E250&gt;=16,Data!$E250&lt;=19),((Data!$E250/Data!$D250)*60)*1.5,Data!$E250&gt;=20,((Data!$E250/Data!$D250)*60)*1.8)</f>
        <v>6.3157894736842106</v>
      </c>
      <c r="AT250" s="29" cm="1">
        <f t="array" ref="AT250">_xlfn.IFS(Data!$F250&lt;600,((Data!$F250/Data!$D250)*60)*1,AND(Data!$F250&gt;=600,Data!$F250&lt;=625),((Data!$F250/Data!$D250)*60)*1.2,AND(Data!$F250&gt;=626,Data!$F250&lt;=650),((Data!$F250/Data!$D250)*60)*1.5,Data!$F250&gt;=651,((Data!$F250/Data!$D250)*60)*1.8)</f>
        <v>626.31578947368416</v>
      </c>
      <c r="AU250" s="29">
        <f>(Data!$I250*-1.2)+(Data!$J250*-1.1)+(Data!$K250*1.2)+(Data!$L250*1.3)+(Data!$M250*1.5)</f>
        <v>-3.6999999999999993</v>
      </c>
      <c r="AV250" s="29">
        <f>(Data!$AS250*0.4)+(Data!$AT250*0.4)+(Data!$AU250*0.2)</f>
        <v>252.31263157894733</v>
      </c>
      <c r="AW250" s="29">
        <f>PERCENTRANK(AV:AV,Data!$AV250)*100</f>
        <v>17.899999999999999</v>
      </c>
      <c r="AX250" s="29" t="str">
        <f>_xlfn.CONCAT(TEXT(C250,"mmm"),"-",Data!$AE250)</f>
        <v>Dec-2021</v>
      </c>
    </row>
    <row r="251" spans="1:50" ht="17" thickTop="1" thickBot="1" x14ac:dyDescent="0.25">
      <c r="A251" s="22">
        <v>250</v>
      </c>
      <c r="B251" s="23">
        <f t="shared" si="26"/>
        <v>2</v>
      </c>
      <c r="C251" s="41">
        <v>44590</v>
      </c>
      <c r="D251" s="24">
        <f>SUM(Data!$I251:$M251)</f>
        <v>56</v>
      </c>
      <c r="E251" s="23">
        <v>20</v>
      </c>
      <c r="F251" s="23">
        <v>669</v>
      </c>
      <c r="G251" s="23">
        <v>167</v>
      </c>
      <c r="H251" s="23">
        <v>133</v>
      </c>
      <c r="I251" s="23">
        <v>5</v>
      </c>
      <c r="J251" s="23">
        <v>16</v>
      </c>
      <c r="K251" s="23">
        <v>15</v>
      </c>
      <c r="L251" s="23">
        <v>17</v>
      </c>
      <c r="M251" s="23">
        <v>3</v>
      </c>
      <c r="N251" s="23" t="s">
        <v>91</v>
      </c>
      <c r="O251" s="23" t="s">
        <v>45</v>
      </c>
      <c r="P251" s="23" t="s">
        <v>94</v>
      </c>
      <c r="Q251" s="23">
        <f t="shared" si="32"/>
        <v>52</v>
      </c>
      <c r="R251" s="23" t="str">
        <f t="shared" si="27"/>
        <v>1-2022</v>
      </c>
      <c r="S251" s="23" t="s">
        <v>104</v>
      </c>
      <c r="T251" s="23" t="str">
        <f t="shared" si="28"/>
        <v>Saturday</v>
      </c>
      <c r="U251" s="23">
        <f t="shared" si="29"/>
        <v>1</v>
      </c>
      <c r="V251" s="25">
        <f>IFERROR(Data!$I251/Data!$D251,"")</f>
        <v>8.9285714285714288E-2</v>
      </c>
      <c r="W251" s="25">
        <f>IFERROR(Data!$J251/Data!$D251,"")</f>
        <v>0.2857142857142857</v>
      </c>
      <c r="X251" s="25">
        <f>IFERROR(Data!$K251/Data!$D251,"")</f>
        <v>0.26785714285714285</v>
      </c>
      <c r="Y251" s="25">
        <f>IFERROR(Data!$L251/Data!$D251,"")</f>
        <v>0.30357142857142855</v>
      </c>
      <c r="Z251" s="25">
        <f>IFERROR(Data!$M251/Data!$D251,"")</f>
        <v>5.3571428571428568E-2</v>
      </c>
      <c r="AA251" s="26">
        <v>22.465161290000001</v>
      </c>
      <c r="AB251" s="26">
        <f t="shared" si="33"/>
        <v>11.232580645000001</v>
      </c>
      <c r="AC251" s="23">
        <f t="shared" si="30"/>
        <v>655</v>
      </c>
      <c r="AD251" s="23">
        <f t="shared" si="31"/>
        <v>16</v>
      </c>
      <c r="AE251" s="23">
        <f>YEAR(Data!$C251)</f>
        <v>2022</v>
      </c>
      <c r="AF251" s="23"/>
      <c r="AG251" s="23">
        <v>1</v>
      </c>
      <c r="AH251" s="27">
        <f>Data!$F251/Data!$D251</f>
        <v>11.946428571428571</v>
      </c>
      <c r="AI251" s="17" t="str">
        <f>RIGHT(Data!$O251,2)</f>
        <v>AM</v>
      </c>
      <c r="AJ251" s="23" t="str">
        <f>Data!$R251&amp;"-"&amp;WEEKNUM(Data!$C251,1)-WEEKNUM(DATE(YEAR(Data!$C251),MONTH(Data!$C251),1),1)+1</f>
        <v>1-2022-5</v>
      </c>
      <c r="AK251" s="23">
        <f>MONTH(Data!$C251)</f>
        <v>1</v>
      </c>
      <c r="AL251" s="23">
        <f>IFERROR(Data!$F251/Data!$E251,0)</f>
        <v>33.450000000000003</v>
      </c>
      <c r="AM251" s="23">
        <f>COUNTIF(Data!$N$2:$N$825,Data!$N251)</f>
        <v>218</v>
      </c>
      <c r="AN251" s="23" t="str">
        <f>VLOOKUP(Data!$N251,'Helpful Tables'!A:D,4,FALSE)</f>
        <v>Washington, DC</v>
      </c>
      <c r="AO251" s="23">
        <f>COUNTIF(AN:AN,Data!$AN251)/COUNTA(AN:AN)</f>
        <v>0.62424242424242427</v>
      </c>
      <c r="AP251" s="23">
        <v>38.934710000000003</v>
      </c>
      <c r="AQ251" s="23">
        <v>-77.058222999999998</v>
      </c>
      <c r="AR251" s="23">
        <f>COUNTIF(Data!$P$2:$P$825,Data!$P251)</f>
        <v>15</v>
      </c>
      <c r="AS251" s="23" cm="1">
        <f t="array" ref="AS251">_xlfn.IFS(Data!$E251&lt;12,((Data!$E251/Data!$D251)*60)*1,AND(Data!$E251&gt;=12,Data!$E251&lt;=15),((Data!$E251/Data!$D251)*60)*1.2,AND(Data!$E251&gt;=16,Data!$E251&lt;=19),((Data!$E251/Data!$D251)*60)*1.5,Data!$E251&gt;=20,((Data!$E251/Data!$D251)*60)*1.8)</f>
        <v>38.571428571428577</v>
      </c>
      <c r="AT251" s="23" cm="1">
        <f t="array" ref="AT251">_xlfn.IFS(Data!$F251&lt;600,((Data!$F251/Data!$D251)*60)*1,AND(Data!$F251&gt;=600,Data!$F251&lt;=625),((Data!$F251/Data!$D251)*60)*1.2,AND(Data!$F251&gt;=626,Data!$F251&lt;=650),((Data!$F251/Data!$D251)*60)*1.5,Data!$F251&gt;=651,((Data!$F251/Data!$D251)*60)*1.8)</f>
        <v>1290.2142857142856</v>
      </c>
      <c r="AU251" s="23">
        <f>(Data!$I251*-1.2)+(Data!$J251*-1.1)+(Data!$K251*1.2)+(Data!$L251*1.3)+(Data!$M251*1.5)</f>
        <v>21</v>
      </c>
      <c r="AV251" s="23">
        <f>(Data!$AS251*0.4)+(Data!$AT251*0.4)+(Data!$AU251*0.2)</f>
        <v>535.71428571428578</v>
      </c>
      <c r="AW251" s="23">
        <f>PERCENTRANK(AV:AV,Data!$AV251)*100</f>
        <v>95.399999999999991</v>
      </c>
      <c r="AX251" s="23" t="str">
        <f>_xlfn.CONCAT(TEXT(C251,"mmm"),"-",Data!$AE251)</f>
        <v>Jan-2022</v>
      </c>
    </row>
    <row r="252" spans="1:50" ht="17" thickTop="1" thickBot="1" x14ac:dyDescent="0.25">
      <c r="A252" s="28">
        <v>251</v>
      </c>
      <c r="B252" s="29">
        <f t="shared" si="26"/>
        <v>2</v>
      </c>
      <c r="C252" s="41">
        <v>44592</v>
      </c>
      <c r="D252" s="30">
        <f>SUM(Data!$I252:$M252)</f>
        <v>56</v>
      </c>
      <c r="E252" s="29">
        <v>12</v>
      </c>
      <c r="F252" s="29">
        <v>641</v>
      </c>
      <c r="G252" s="29">
        <v>169</v>
      </c>
      <c r="H252" s="29">
        <v>128</v>
      </c>
      <c r="I252" s="29">
        <v>11</v>
      </c>
      <c r="J252" s="29">
        <v>11</v>
      </c>
      <c r="K252" s="29">
        <v>22</v>
      </c>
      <c r="L252" s="29">
        <v>8</v>
      </c>
      <c r="M252" s="29">
        <v>4</v>
      </c>
      <c r="N252" s="29" t="s">
        <v>91</v>
      </c>
      <c r="O252" s="29" t="s">
        <v>39</v>
      </c>
      <c r="P252" s="29" t="s">
        <v>94</v>
      </c>
      <c r="Q252" s="29">
        <f t="shared" si="32"/>
        <v>2</v>
      </c>
      <c r="R252" s="29" t="str">
        <f t="shared" si="27"/>
        <v>1-2022</v>
      </c>
      <c r="S252" s="29" t="s">
        <v>104</v>
      </c>
      <c r="T252" s="29" t="str">
        <f t="shared" si="28"/>
        <v>Monday</v>
      </c>
      <c r="U252" s="29">
        <f t="shared" si="29"/>
        <v>1</v>
      </c>
      <c r="V252" s="31">
        <f>IFERROR(Data!$I252/Data!$D252,"")</f>
        <v>0.19642857142857142</v>
      </c>
      <c r="W252" s="31">
        <f>IFERROR(Data!$J252/Data!$D252,"")</f>
        <v>0.19642857142857142</v>
      </c>
      <c r="X252" s="31">
        <f>IFERROR(Data!$K252/Data!$D252,"")</f>
        <v>0.39285714285714285</v>
      </c>
      <c r="Y252" s="31">
        <f>IFERROR(Data!$L252/Data!$D252,"")</f>
        <v>0.14285714285714285</v>
      </c>
      <c r="Z252" s="31">
        <f>IFERROR(Data!$M252/Data!$D252,"")</f>
        <v>7.1428571428571425E-2</v>
      </c>
      <c r="AA252" s="32">
        <v>22.465161290000001</v>
      </c>
      <c r="AB252" s="32">
        <f t="shared" si="33"/>
        <v>11.232580645000001</v>
      </c>
      <c r="AC252" s="29">
        <f t="shared" si="30"/>
        <v>655</v>
      </c>
      <c r="AD252" s="29">
        <f t="shared" si="31"/>
        <v>16</v>
      </c>
      <c r="AE252" s="29">
        <f>YEAR(Data!$C252)</f>
        <v>2022</v>
      </c>
      <c r="AF252" s="29"/>
      <c r="AG252" s="29">
        <v>1</v>
      </c>
      <c r="AH252" s="33">
        <f>Data!$F252/Data!$D252</f>
        <v>11.446428571428571</v>
      </c>
      <c r="AI252" s="17" t="str">
        <f>RIGHT(Data!$O252,2)</f>
        <v>PM</v>
      </c>
      <c r="AJ252" s="29" t="str">
        <f>Data!$R252&amp;"-"&amp;WEEKNUM(Data!$C252,1)-WEEKNUM(DATE(YEAR(Data!$C252),MONTH(Data!$C252),1),1)+1</f>
        <v>1-2022-6</v>
      </c>
      <c r="AK252" s="29">
        <f>MONTH(Data!$C252)</f>
        <v>1</v>
      </c>
      <c r="AL252" s="29">
        <f>IFERROR(Data!$F252/Data!$E252,0)</f>
        <v>53.416666666666664</v>
      </c>
      <c r="AM252" s="29">
        <f>COUNTIF(Data!$N$2:$N$825,Data!$N252)</f>
        <v>218</v>
      </c>
      <c r="AN252" s="29" t="str">
        <f>VLOOKUP(Data!$N252,'Helpful Tables'!A:D,4,FALSE)</f>
        <v>Washington, DC</v>
      </c>
      <c r="AO252" s="29">
        <f>COUNTIF(AN:AN,Data!$AN252)/COUNTA(AN:AN)</f>
        <v>0.62424242424242427</v>
      </c>
      <c r="AP252" s="29">
        <v>38.934710000000003</v>
      </c>
      <c r="AQ252" s="29">
        <v>-77.058222999999998</v>
      </c>
      <c r="AR252" s="29">
        <f>COUNTIF(Data!$P$2:$P$825,Data!$P252)</f>
        <v>15</v>
      </c>
      <c r="AS252" s="29" cm="1">
        <f t="array" ref="AS252">_xlfn.IFS(Data!$E252&lt;12,((Data!$E252/Data!$D252)*60)*1,AND(Data!$E252&gt;=12,Data!$E252&lt;=15),((Data!$E252/Data!$D252)*60)*1.2,AND(Data!$E252&gt;=16,Data!$E252&lt;=19),((Data!$E252/Data!$D252)*60)*1.5,Data!$E252&gt;=20,((Data!$E252/Data!$D252)*60)*1.8)</f>
        <v>15.428571428571427</v>
      </c>
      <c r="AT252" s="29" cm="1">
        <f t="array" ref="AT252">_xlfn.IFS(Data!$F252&lt;600,((Data!$F252/Data!$D252)*60)*1,AND(Data!$F252&gt;=600,Data!$F252&lt;=625),((Data!$F252/Data!$D252)*60)*1.2,AND(Data!$F252&gt;=626,Data!$F252&lt;=650),((Data!$F252/Data!$D252)*60)*1.5,Data!$F252&gt;=651,((Data!$F252/Data!$D252)*60)*1.8)</f>
        <v>1030.1785714285713</v>
      </c>
      <c r="AU252" s="29">
        <f>(Data!$I252*-1.2)+(Data!$J252*-1.1)+(Data!$K252*1.2)+(Data!$L252*1.3)+(Data!$M252*1.5)</f>
        <v>17.5</v>
      </c>
      <c r="AV252" s="29">
        <f>(Data!$AS252*0.4)+(Data!$AT252*0.4)+(Data!$AU252*0.2)</f>
        <v>421.74285714285713</v>
      </c>
      <c r="AW252" s="29">
        <f>PERCENTRANK(AV:AV,Data!$AV252)*100</f>
        <v>61.7</v>
      </c>
      <c r="AX252" s="29" t="str">
        <f>_xlfn.CONCAT(TEXT(C252,"mmm"),"-",Data!$AE252)</f>
        <v>Jan-2022</v>
      </c>
    </row>
    <row r="253" spans="1:50" ht="17" thickTop="1" thickBot="1" x14ac:dyDescent="0.25">
      <c r="A253" s="22">
        <v>252</v>
      </c>
      <c r="B253" s="23">
        <f t="shared" si="26"/>
        <v>14</v>
      </c>
      <c r="C253" s="41">
        <v>44594</v>
      </c>
      <c r="D253" s="24">
        <f>SUM(Data!$I253:$M253)</f>
        <v>59</v>
      </c>
      <c r="E253" s="23">
        <v>10</v>
      </c>
      <c r="F253" s="23">
        <v>580</v>
      </c>
      <c r="G253" s="23">
        <v>165</v>
      </c>
      <c r="H253" s="23">
        <v>119</v>
      </c>
      <c r="I253" s="23">
        <v>19</v>
      </c>
      <c r="J253" s="23">
        <v>17</v>
      </c>
      <c r="K253" s="23">
        <v>13</v>
      </c>
      <c r="L253" s="23">
        <v>9</v>
      </c>
      <c r="M253" s="23">
        <v>1</v>
      </c>
      <c r="N253" s="23" t="s">
        <v>91</v>
      </c>
      <c r="O253" s="23" t="s">
        <v>39</v>
      </c>
      <c r="P253" s="23" t="s">
        <v>96</v>
      </c>
      <c r="Q253" s="23">
        <f t="shared" si="32"/>
        <v>2</v>
      </c>
      <c r="R253" s="23" t="str">
        <f t="shared" si="27"/>
        <v>2-2022</v>
      </c>
      <c r="S253" s="23" t="s">
        <v>117</v>
      </c>
      <c r="T253" s="23" t="str">
        <f t="shared" si="28"/>
        <v>Wednesday</v>
      </c>
      <c r="U253" s="23">
        <f t="shared" si="29"/>
        <v>0</v>
      </c>
      <c r="V253" s="25">
        <f>IFERROR(Data!$I253/Data!$D253,"")</f>
        <v>0.32203389830508472</v>
      </c>
      <c r="W253" s="25">
        <f>IFERROR(Data!$J253/Data!$D253,"")</f>
        <v>0.28813559322033899</v>
      </c>
      <c r="X253" s="25">
        <f>IFERROR(Data!$K253/Data!$D253,"")</f>
        <v>0.22033898305084745</v>
      </c>
      <c r="Y253" s="25">
        <f>IFERROR(Data!$L253/Data!$D253,"")</f>
        <v>0.15254237288135594</v>
      </c>
      <c r="Z253" s="25">
        <f>IFERROR(Data!$M253/Data!$D253,"")</f>
        <v>1.6949152542372881E-2</v>
      </c>
      <c r="AA253" s="26">
        <v>232.14</v>
      </c>
      <c r="AB253" s="26">
        <f t="shared" si="33"/>
        <v>16.581428571428571</v>
      </c>
      <c r="AC253" s="23">
        <f t="shared" si="30"/>
        <v>653</v>
      </c>
      <c r="AD253" s="23">
        <f t="shared" si="31"/>
        <v>13.571428571428571</v>
      </c>
      <c r="AE253" s="23">
        <f>YEAR(Data!$C253)</f>
        <v>2022</v>
      </c>
      <c r="AF253" s="23"/>
      <c r="AG253" s="23">
        <v>12</v>
      </c>
      <c r="AH253" s="27">
        <f>Data!$F253/Data!$D253</f>
        <v>9.8305084745762716</v>
      </c>
      <c r="AI253" s="17" t="str">
        <f>RIGHT(Data!$O253,2)</f>
        <v>PM</v>
      </c>
      <c r="AJ253" s="23" t="str">
        <f>Data!$R253&amp;"-"&amp;WEEKNUM(Data!$C253,1)-WEEKNUM(DATE(YEAR(Data!$C253),MONTH(Data!$C253),1),1)+1</f>
        <v>2-2022-1</v>
      </c>
      <c r="AK253" s="23">
        <f>MONTH(Data!$C253)</f>
        <v>2</v>
      </c>
      <c r="AL253" s="23">
        <f>IFERROR(Data!$F253/Data!$E253,0)</f>
        <v>58</v>
      </c>
      <c r="AM253" s="23">
        <f>COUNTIF(Data!$N$2:$N$825,Data!$N253)</f>
        <v>218</v>
      </c>
      <c r="AN253" s="23" t="str">
        <f>VLOOKUP(Data!$N253,'Helpful Tables'!A:D,4,FALSE)</f>
        <v>Washington, DC</v>
      </c>
      <c r="AO253" s="23">
        <f>COUNTIF(AN:AN,Data!$AN253)/COUNTA(AN:AN)</f>
        <v>0.62424242424242427</v>
      </c>
      <c r="AP253" s="23">
        <v>38.934710000000003</v>
      </c>
      <c r="AQ253" s="23">
        <v>-77.058222999999998</v>
      </c>
      <c r="AR253" s="23">
        <f>COUNTIF(Data!$P$2:$P$825,Data!$P253)</f>
        <v>71</v>
      </c>
      <c r="AS253" s="23" cm="1">
        <f t="array" ref="AS253">_xlfn.IFS(Data!$E253&lt;12,((Data!$E253/Data!$D253)*60)*1,AND(Data!$E253&gt;=12,Data!$E253&lt;=15),((Data!$E253/Data!$D253)*60)*1.2,AND(Data!$E253&gt;=16,Data!$E253&lt;=19),((Data!$E253/Data!$D253)*60)*1.5,Data!$E253&gt;=20,((Data!$E253/Data!$D253)*60)*1.8)</f>
        <v>10.169491525423728</v>
      </c>
      <c r="AT253" s="23" cm="1">
        <f t="array" ref="AT253">_xlfn.IFS(Data!$F253&lt;600,((Data!$F253/Data!$D253)*60)*1,AND(Data!$F253&gt;=600,Data!$F253&lt;=625),((Data!$F253/Data!$D253)*60)*1.2,AND(Data!$F253&gt;=626,Data!$F253&lt;=650),((Data!$F253/Data!$D253)*60)*1.5,Data!$F253&gt;=651,((Data!$F253/Data!$D253)*60)*1.8)</f>
        <v>589.83050847457628</v>
      </c>
      <c r="AU253" s="23">
        <f>(Data!$I253*-1.2)+(Data!$J253*-1.1)+(Data!$K253*1.2)+(Data!$L253*1.3)+(Data!$M253*1.5)</f>
        <v>-12.699999999999998</v>
      </c>
      <c r="AV253" s="23">
        <f>(Data!$AS253*0.4)+(Data!$AT253*0.4)+(Data!$AU253*0.2)</f>
        <v>237.46000000000004</v>
      </c>
      <c r="AW253" s="23">
        <f>PERCENTRANK(AV:AV,Data!$AV253)*100</f>
        <v>10.6</v>
      </c>
      <c r="AX253" s="23" t="str">
        <f>_xlfn.CONCAT(TEXT(C253,"mmm"),"-",Data!$AE253)</f>
        <v>Feb-2022</v>
      </c>
    </row>
    <row r="254" spans="1:50" ht="17" thickTop="1" thickBot="1" x14ac:dyDescent="0.25">
      <c r="A254" s="28">
        <v>253</v>
      </c>
      <c r="B254" s="29">
        <f t="shared" si="26"/>
        <v>14</v>
      </c>
      <c r="C254" s="41">
        <v>44595</v>
      </c>
      <c r="D254" s="30">
        <f>SUM(Data!$I254:$M254)</f>
        <v>56</v>
      </c>
      <c r="E254" s="29">
        <v>14</v>
      </c>
      <c r="F254" s="29">
        <v>670</v>
      </c>
      <c r="G254" s="29">
        <v>170</v>
      </c>
      <c r="H254" s="29">
        <v>131</v>
      </c>
      <c r="I254" s="29">
        <v>4</v>
      </c>
      <c r="J254" s="29">
        <v>17</v>
      </c>
      <c r="K254" s="29">
        <v>21</v>
      </c>
      <c r="L254" s="29">
        <v>12</v>
      </c>
      <c r="M254" s="29">
        <v>2</v>
      </c>
      <c r="N254" s="29" t="s">
        <v>101</v>
      </c>
      <c r="O254" s="29" t="s">
        <v>39</v>
      </c>
      <c r="P254" s="29" t="s">
        <v>109</v>
      </c>
      <c r="Q254" s="29">
        <f t="shared" si="32"/>
        <v>1</v>
      </c>
      <c r="R254" s="29" t="str">
        <f t="shared" si="27"/>
        <v>2-2022</v>
      </c>
      <c r="S254" s="29" t="s">
        <v>104</v>
      </c>
      <c r="T254" s="29" t="str">
        <f t="shared" si="28"/>
        <v>Thursday</v>
      </c>
      <c r="U254" s="29">
        <f t="shared" si="29"/>
        <v>1</v>
      </c>
      <c r="V254" s="31">
        <f>IFERROR(Data!$I254/Data!$D254,"")</f>
        <v>7.1428571428571425E-2</v>
      </c>
      <c r="W254" s="31">
        <f>IFERROR(Data!$J254/Data!$D254,"")</f>
        <v>0.30357142857142855</v>
      </c>
      <c r="X254" s="31">
        <f>IFERROR(Data!$K254/Data!$D254,"")</f>
        <v>0.375</v>
      </c>
      <c r="Y254" s="31">
        <f>IFERROR(Data!$L254/Data!$D254,"")</f>
        <v>0.21428571428571427</v>
      </c>
      <c r="Z254" s="31">
        <f>IFERROR(Data!$M254/Data!$D254,"")</f>
        <v>3.5714285714285712E-2</v>
      </c>
      <c r="AA254" s="32">
        <v>232.14</v>
      </c>
      <c r="AB254" s="32">
        <f t="shared" si="33"/>
        <v>16.581428571428571</v>
      </c>
      <c r="AC254" s="29">
        <f t="shared" si="30"/>
        <v>653</v>
      </c>
      <c r="AD254" s="29">
        <f t="shared" si="31"/>
        <v>13.571428571428571</v>
      </c>
      <c r="AE254" s="29">
        <f>YEAR(Data!$C254)</f>
        <v>2022</v>
      </c>
      <c r="AF254" s="29"/>
      <c r="AG254" s="29">
        <v>12</v>
      </c>
      <c r="AH254" s="33">
        <f>Data!$F254/Data!$D254</f>
        <v>11.964285714285714</v>
      </c>
      <c r="AI254" s="17" t="str">
        <f>RIGHT(Data!$O254,2)</f>
        <v>PM</v>
      </c>
      <c r="AJ254" s="29" t="str">
        <f>Data!$R254&amp;"-"&amp;WEEKNUM(Data!$C254,1)-WEEKNUM(DATE(YEAR(Data!$C254),MONTH(Data!$C254),1),1)+1</f>
        <v>2-2022-1</v>
      </c>
      <c r="AK254" s="29">
        <f>MONTH(Data!$C254)</f>
        <v>2</v>
      </c>
      <c r="AL254" s="29">
        <f>IFERROR(Data!$F254/Data!$E254,0)</f>
        <v>47.857142857142854</v>
      </c>
      <c r="AM254" s="29">
        <f>COUNTIF(Data!$N$2:$N$825,Data!$N254)</f>
        <v>191</v>
      </c>
      <c r="AN254" s="29" t="str">
        <f>VLOOKUP(Data!$N254,'Helpful Tables'!A:D,4,FALSE)</f>
        <v>Washington, DC</v>
      </c>
      <c r="AO254" s="29">
        <f>COUNTIF(AN:AN,Data!$AN254)/COUNTA(AN:AN)</f>
        <v>0.62424242424242427</v>
      </c>
      <c r="AP254" s="29">
        <v>38.949649000000001</v>
      </c>
      <c r="AQ254" s="29">
        <v>-77.080878999999996</v>
      </c>
      <c r="AR254" s="29">
        <f>COUNTIF(Data!$P$2:$P$825,Data!$P254)</f>
        <v>66</v>
      </c>
      <c r="AS254" s="29" cm="1">
        <f t="array" ref="AS254">_xlfn.IFS(Data!$E254&lt;12,((Data!$E254/Data!$D254)*60)*1,AND(Data!$E254&gt;=12,Data!$E254&lt;=15),((Data!$E254/Data!$D254)*60)*1.2,AND(Data!$E254&gt;=16,Data!$E254&lt;=19),((Data!$E254/Data!$D254)*60)*1.5,Data!$E254&gt;=20,((Data!$E254/Data!$D254)*60)*1.8)</f>
        <v>18</v>
      </c>
      <c r="AT254" s="29" cm="1">
        <f t="array" ref="AT254">_xlfn.IFS(Data!$F254&lt;600,((Data!$F254/Data!$D254)*60)*1,AND(Data!$F254&gt;=600,Data!$F254&lt;=625),((Data!$F254/Data!$D254)*60)*1.2,AND(Data!$F254&gt;=626,Data!$F254&lt;=650),((Data!$F254/Data!$D254)*60)*1.5,Data!$F254&gt;=651,((Data!$F254/Data!$D254)*60)*1.8)</f>
        <v>1292.1428571428571</v>
      </c>
      <c r="AU254" s="29">
        <f>(Data!$I254*-1.2)+(Data!$J254*-1.1)+(Data!$K254*1.2)+(Data!$L254*1.3)+(Data!$M254*1.5)</f>
        <v>20.299999999999997</v>
      </c>
      <c r="AV254" s="29">
        <f>(Data!$AS254*0.4)+(Data!$AT254*0.4)+(Data!$AU254*0.2)</f>
        <v>528.11714285714288</v>
      </c>
      <c r="AW254" s="29">
        <f>PERCENTRANK(AV:AV,Data!$AV254)*100</f>
        <v>92.9</v>
      </c>
      <c r="AX254" s="29" t="str">
        <f>_xlfn.CONCAT(TEXT(C254,"mmm"),"-",Data!$AE254)</f>
        <v>Feb-2022</v>
      </c>
    </row>
    <row r="255" spans="1:50" ht="17" thickTop="1" thickBot="1" x14ac:dyDescent="0.25">
      <c r="A255" s="22">
        <v>254</v>
      </c>
      <c r="B255" s="23">
        <f t="shared" si="26"/>
        <v>14</v>
      </c>
      <c r="C255" s="41">
        <v>44597</v>
      </c>
      <c r="D255" s="24">
        <f>SUM(Data!$I255:$M255)</f>
        <v>55</v>
      </c>
      <c r="E255" s="23">
        <v>18</v>
      </c>
      <c r="F255" s="23">
        <v>625</v>
      </c>
      <c r="G255" s="23">
        <v>167</v>
      </c>
      <c r="H255" s="23">
        <v>129</v>
      </c>
      <c r="I255" s="23">
        <v>9</v>
      </c>
      <c r="J255" s="23">
        <v>14</v>
      </c>
      <c r="K255" s="23">
        <v>14</v>
      </c>
      <c r="L255" s="23">
        <v>14</v>
      </c>
      <c r="M255" s="23">
        <v>4</v>
      </c>
      <c r="N255" s="23" t="s">
        <v>101</v>
      </c>
      <c r="O255" s="23" t="s">
        <v>45</v>
      </c>
      <c r="P255" s="23" t="s">
        <v>133</v>
      </c>
      <c r="Q255" s="23">
        <f t="shared" si="32"/>
        <v>2</v>
      </c>
      <c r="R255" s="23" t="str">
        <f t="shared" si="27"/>
        <v>2-2022</v>
      </c>
      <c r="S255" s="23" t="s">
        <v>117</v>
      </c>
      <c r="T255" s="23" t="str">
        <f t="shared" si="28"/>
        <v>Saturday</v>
      </c>
      <c r="U255" s="23">
        <f t="shared" si="29"/>
        <v>1</v>
      </c>
      <c r="V255" s="25">
        <f>IFERROR(Data!$I255/Data!$D255,"")</f>
        <v>0.16363636363636364</v>
      </c>
      <c r="W255" s="25">
        <f>IFERROR(Data!$J255/Data!$D255,"")</f>
        <v>0.25454545454545452</v>
      </c>
      <c r="X255" s="25">
        <f>IFERROR(Data!$K255/Data!$D255,"")</f>
        <v>0.25454545454545452</v>
      </c>
      <c r="Y255" s="25">
        <f>IFERROR(Data!$L255/Data!$D255,"")</f>
        <v>0.25454545454545452</v>
      </c>
      <c r="Z255" s="25">
        <f>IFERROR(Data!$M255/Data!$D255,"")</f>
        <v>7.2727272727272724E-2</v>
      </c>
      <c r="AA255" s="26">
        <v>232.14</v>
      </c>
      <c r="AB255" s="26">
        <f t="shared" si="33"/>
        <v>16.581428571428571</v>
      </c>
      <c r="AC255" s="23">
        <f t="shared" si="30"/>
        <v>653</v>
      </c>
      <c r="AD255" s="23">
        <f t="shared" si="31"/>
        <v>13.571428571428571</v>
      </c>
      <c r="AE255" s="23">
        <f>YEAR(Data!$C255)</f>
        <v>2022</v>
      </c>
      <c r="AF255" s="23"/>
      <c r="AG255" s="23">
        <v>12</v>
      </c>
      <c r="AH255" s="27">
        <f>Data!$F255/Data!$D255</f>
        <v>11.363636363636363</v>
      </c>
      <c r="AI255" s="17" t="str">
        <f>RIGHT(Data!$O255,2)</f>
        <v>AM</v>
      </c>
      <c r="AJ255" s="23" t="str">
        <f>Data!$R255&amp;"-"&amp;WEEKNUM(Data!$C255,1)-WEEKNUM(DATE(YEAR(Data!$C255),MONTH(Data!$C255),1),1)+1</f>
        <v>2-2022-1</v>
      </c>
      <c r="AK255" s="23">
        <f>MONTH(Data!$C255)</f>
        <v>2</v>
      </c>
      <c r="AL255" s="23">
        <f>IFERROR(Data!$F255/Data!$E255,0)</f>
        <v>34.722222222222221</v>
      </c>
      <c r="AM255" s="23">
        <f>COUNTIF(Data!$N$2:$N$825,Data!$N255)</f>
        <v>191</v>
      </c>
      <c r="AN255" s="23" t="str">
        <f>VLOOKUP(Data!$N255,'Helpful Tables'!A:D,4,FALSE)</f>
        <v>Washington, DC</v>
      </c>
      <c r="AO255" s="23">
        <f>COUNTIF(AN:AN,Data!$AN255)/COUNTA(AN:AN)</f>
        <v>0.62424242424242427</v>
      </c>
      <c r="AP255" s="23">
        <v>38.949649000000001</v>
      </c>
      <c r="AQ255" s="23">
        <v>-77.080878999999996</v>
      </c>
      <c r="AR255" s="23">
        <f>COUNTIF(Data!$P$2:$P$825,Data!$P255)</f>
        <v>25</v>
      </c>
      <c r="AS255" s="23" cm="1">
        <f t="array" ref="AS255">_xlfn.IFS(Data!$E255&lt;12,((Data!$E255/Data!$D255)*60)*1,AND(Data!$E255&gt;=12,Data!$E255&lt;=15),((Data!$E255/Data!$D255)*60)*1.2,AND(Data!$E255&gt;=16,Data!$E255&lt;=19),((Data!$E255/Data!$D255)*60)*1.5,Data!$E255&gt;=20,((Data!$E255/Data!$D255)*60)*1.8)</f>
        <v>29.454545454545453</v>
      </c>
      <c r="AT255" s="23" cm="1">
        <f t="array" ref="AT255">_xlfn.IFS(Data!$F255&lt;600,((Data!$F255/Data!$D255)*60)*1,AND(Data!$F255&gt;=600,Data!$F255&lt;=625),((Data!$F255/Data!$D255)*60)*1.2,AND(Data!$F255&gt;=626,Data!$F255&lt;=650),((Data!$F255/Data!$D255)*60)*1.5,Data!$F255&gt;=651,((Data!$F255/Data!$D255)*60)*1.8)</f>
        <v>818.18181818181813</v>
      </c>
      <c r="AU255" s="23">
        <f>(Data!$I255*-1.2)+(Data!$J255*-1.1)+(Data!$K255*1.2)+(Data!$L255*1.3)+(Data!$M255*1.5)</f>
        <v>14.799999999999997</v>
      </c>
      <c r="AV255" s="23">
        <f>(Data!$AS255*0.4)+(Data!$AT255*0.4)+(Data!$AU255*0.2)</f>
        <v>342.01454545454538</v>
      </c>
      <c r="AW255" s="23">
        <f>PERCENTRANK(AV:AV,Data!$AV255)*100</f>
        <v>43.6</v>
      </c>
      <c r="AX255" s="23" t="str">
        <f>_xlfn.CONCAT(TEXT(C255,"mmm"),"-",Data!$AE255)</f>
        <v>Feb-2022</v>
      </c>
    </row>
    <row r="256" spans="1:50" ht="17" thickTop="1" thickBot="1" x14ac:dyDescent="0.25">
      <c r="A256" s="28">
        <v>255</v>
      </c>
      <c r="B256" s="29">
        <f t="shared" si="26"/>
        <v>14</v>
      </c>
      <c r="C256" s="41">
        <v>44600</v>
      </c>
      <c r="D256" s="30">
        <f>SUM(Data!$I256:$M256)</f>
        <v>54</v>
      </c>
      <c r="E256" s="29">
        <v>10</v>
      </c>
      <c r="F256" s="29">
        <v>632</v>
      </c>
      <c r="G256" s="29">
        <v>170</v>
      </c>
      <c r="H256" s="29">
        <v>131</v>
      </c>
      <c r="I256" s="29">
        <v>7</v>
      </c>
      <c r="J256" s="29">
        <v>10</v>
      </c>
      <c r="K256" s="29">
        <v>27</v>
      </c>
      <c r="L256" s="29">
        <v>8</v>
      </c>
      <c r="M256" s="29">
        <v>2</v>
      </c>
      <c r="N256" s="29" t="s">
        <v>91</v>
      </c>
      <c r="O256" s="29" t="s">
        <v>39</v>
      </c>
      <c r="P256" s="29" t="s">
        <v>96</v>
      </c>
      <c r="Q256" s="29">
        <f t="shared" si="32"/>
        <v>3</v>
      </c>
      <c r="R256" s="29" t="str">
        <f t="shared" si="27"/>
        <v>2-2022</v>
      </c>
      <c r="S256" s="29" t="s">
        <v>117</v>
      </c>
      <c r="T256" s="29" t="str">
        <f t="shared" si="28"/>
        <v>Tuesday</v>
      </c>
      <c r="U256" s="29">
        <f t="shared" si="29"/>
        <v>0</v>
      </c>
      <c r="V256" s="31">
        <f>IFERROR(Data!$I256/Data!$D256,"")</f>
        <v>0.12962962962962962</v>
      </c>
      <c r="W256" s="31">
        <f>IFERROR(Data!$J256/Data!$D256,"")</f>
        <v>0.18518518518518517</v>
      </c>
      <c r="X256" s="31">
        <f>IFERROR(Data!$K256/Data!$D256,"")</f>
        <v>0.5</v>
      </c>
      <c r="Y256" s="31">
        <f>IFERROR(Data!$L256/Data!$D256,"")</f>
        <v>0.14814814814814814</v>
      </c>
      <c r="Z256" s="31">
        <f>IFERROR(Data!$M256/Data!$D256,"")</f>
        <v>3.7037037037037035E-2</v>
      </c>
      <c r="AA256" s="32">
        <v>232.14</v>
      </c>
      <c r="AB256" s="32">
        <f t="shared" si="33"/>
        <v>16.581428571428571</v>
      </c>
      <c r="AC256" s="29">
        <f t="shared" si="30"/>
        <v>653</v>
      </c>
      <c r="AD256" s="29">
        <f t="shared" si="31"/>
        <v>13.571428571428571</v>
      </c>
      <c r="AE256" s="29">
        <f>YEAR(Data!$C256)</f>
        <v>2022</v>
      </c>
      <c r="AF256" s="29"/>
      <c r="AG256" s="29">
        <v>12</v>
      </c>
      <c r="AH256" s="33">
        <f>Data!$F256/Data!$D256</f>
        <v>11.703703703703704</v>
      </c>
      <c r="AI256" s="17" t="str">
        <f>RIGHT(Data!$O256,2)</f>
        <v>PM</v>
      </c>
      <c r="AJ256" s="29" t="str">
        <f>Data!$R256&amp;"-"&amp;WEEKNUM(Data!$C256,1)-WEEKNUM(DATE(YEAR(Data!$C256),MONTH(Data!$C256),1),1)+1</f>
        <v>2-2022-2</v>
      </c>
      <c r="AK256" s="29">
        <f>MONTH(Data!$C256)</f>
        <v>2</v>
      </c>
      <c r="AL256" s="29">
        <f>IFERROR(Data!$F256/Data!$E256,0)</f>
        <v>63.2</v>
      </c>
      <c r="AM256" s="29">
        <f>COUNTIF(Data!$N$2:$N$825,Data!$N256)</f>
        <v>218</v>
      </c>
      <c r="AN256" s="29" t="str">
        <f>VLOOKUP(Data!$N256,'Helpful Tables'!A:D,4,FALSE)</f>
        <v>Washington, DC</v>
      </c>
      <c r="AO256" s="29">
        <f>COUNTIF(AN:AN,Data!$AN256)/COUNTA(AN:AN)</f>
        <v>0.62424242424242427</v>
      </c>
      <c r="AP256" s="29">
        <v>38.934710000000003</v>
      </c>
      <c r="AQ256" s="29">
        <v>-77.058222999999998</v>
      </c>
      <c r="AR256" s="29">
        <f>COUNTIF(Data!$P$2:$P$825,Data!$P256)</f>
        <v>71</v>
      </c>
      <c r="AS256" s="29" cm="1">
        <f t="array" ref="AS256">_xlfn.IFS(Data!$E256&lt;12,((Data!$E256/Data!$D256)*60)*1,AND(Data!$E256&gt;=12,Data!$E256&lt;=15),((Data!$E256/Data!$D256)*60)*1.2,AND(Data!$E256&gt;=16,Data!$E256&lt;=19),((Data!$E256/Data!$D256)*60)*1.5,Data!$E256&gt;=20,((Data!$E256/Data!$D256)*60)*1.8)</f>
        <v>11.111111111111111</v>
      </c>
      <c r="AT256" s="29" cm="1">
        <f t="array" ref="AT256">_xlfn.IFS(Data!$F256&lt;600,((Data!$F256/Data!$D256)*60)*1,AND(Data!$F256&gt;=600,Data!$F256&lt;=625),((Data!$F256/Data!$D256)*60)*1.2,AND(Data!$F256&gt;=626,Data!$F256&lt;=650),((Data!$F256/Data!$D256)*60)*1.5,Data!$F256&gt;=651,((Data!$F256/Data!$D256)*60)*1.8)</f>
        <v>1053.3333333333335</v>
      </c>
      <c r="AU256" s="29">
        <f>(Data!$I256*-1.2)+(Data!$J256*-1.1)+(Data!$K256*1.2)+(Data!$L256*1.3)+(Data!$M256*1.5)</f>
        <v>26.4</v>
      </c>
      <c r="AV256" s="29">
        <f>(Data!$AS256*0.4)+(Data!$AT256*0.4)+(Data!$AU256*0.2)</f>
        <v>431.05777777777786</v>
      </c>
      <c r="AW256" s="29">
        <f>PERCENTRANK(AV:AV,Data!$AV256)*100</f>
        <v>64.7</v>
      </c>
      <c r="AX256" s="29" t="str">
        <f>_xlfn.CONCAT(TEXT(C256,"mmm"),"-",Data!$AE256)</f>
        <v>Feb-2022</v>
      </c>
    </row>
    <row r="257" spans="1:50" ht="17" thickTop="1" thickBot="1" x14ac:dyDescent="0.25">
      <c r="A257" s="22">
        <v>256</v>
      </c>
      <c r="B257" s="23">
        <f t="shared" si="26"/>
        <v>14</v>
      </c>
      <c r="C257" s="41">
        <v>44602</v>
      </c>
      <c r="D257" s="24">
        <f>SUM(Data!$I257:$M257)</f>
        <v>59</v>
      </c>
      <c r="E257" s="23">
        <v>18</v>
      </c>
      <c r="F257" s="23">
        <v>679</v>
      </c>
      <c r="G257" s="23">
        <v>167</v>
      </c>
      <c r="H257" s="23">
        <v>129</v>
      </c>
      <c r="I257" s="23">
        <v>9</v>
      </c>
      <c r="J257" s="23">
        <v>19</v>
      </c>
      <c r="K257" s="23">
        <v>13</v>
      </c>
      <c r="L257" s="23">
        <v>16</v>
      </c>
      <c r="M257" s="23">
        <v>2</v>
      </c>
      <c r="N257" s="23" t="s">
        <v>101</v>
      </c>
      <c r="O257" s="23" t="s">
        <v>39</v>
      </c>
      <c r="P257" s="23" t="s">
        <v>109</v>
      </c>
      <c r="Q257" s="23">
        <f t="shared" si="32"/>
        <v>2</v>
      </c>
      <c r="R257" s="23" t="str">
        <f t="shared" si="27"/>
        <v>2-2022</v>
      </c>
      <c r="S257" s="23" t="s">
        <v>104</v>
      </c>
      <c r="T257" s="23" t="str">
        <f t="shared" si="28"/>
        <v>Thursday</v>
      </c>
      <c r="U257" s="23">
        <f t="shared" si="29"/>
        <v>1</v>
      </c>
      <c r="V257" s="25">
        <f>IFERROR(Data!$I257/Data!$D257,"")</f>
        <v>0.15254237288135594</v>
      </c>
      <c r="W257" s="25">
        <f>IFERROR(Data!$J257/Data!$D257,"")</f>
        <v>0.32203389830508472</v>
      </c>
      <c r="X257" s="25">
        <f>IFERROR(Data!$K257/Data!$D257,"")</f>
        <v>0.22033898305084745</v>
      </c>
      <c r="Y257" s="25">
        <f>IFERROR(Data!$L257/Data!$D257,"")</f>
        <v>0.2711864406779661</v>
      </c>
      <c r="Z257" s="25">
        <f>IFERROR(Data!$M257/Data!$D257,"")</f>
        <v>3.3898305084745763E-2</v>
      </c>
      <c r="AA257" s="26">
        <v>232.14</v>
      </c>
      <c r="AB257" s="26">
        <f t="shared" si="33"/>
        <v>16.581428571428571</v>
      </c>
      <c r="AC257" s="23">
        <f t="shared" si="30"/>
        <v>653</v>
      </c>
      <c r="AD257" s="23">
        <f t="shared" si="31"/>
        <v>13.571428571428571</v>
      </c>
      <c r="AE257" s="23">
        <f>YEAR(Data!$C257)</f>
        <v>2022</v>
      </c>
      <c r="AF257" s="23"/>
      <c r="AG257" s="23">
        <v>12</v>
      </c>
      <c r="AH257" s="27">
        <f>Data!$F257/Data!$D257</f>
        <v>11.508474576271187</v>
      </c>
      <c r="AI257" s="17" t="str">
        <f>RIGHT(Data!$O257,2)</f>
        <v>PM</v>
      </c>
      <c r="AJ257" s="23" t="str">
        <f>Data!$R257&amp;"-"&amp;WEEKNUM(Data!$C257,1)-WEEKNUM(DATE(YEAR(Data!$C257),MONTH(Data!$C257),1),1)+1</f>
        <v>2-2022-2</v>
      </c>
      <c r="AK257" s="23">
        <f>MONTH(Data!$C257)</f>
        <v>2</v>
      </c>
      <c r="AL257" s="23">
        <f>IFERROR(Data!$F257/Data!$E257,0)</f>
        <v>37.722222222222221</v>
      </c>
      <c r="AM257" s="23">
        <f>COUNTIF(Data!$N$2:$N$825,Data!$N257)</f>
        <v>191</v>
      </c>
      <c r="AN257" s="23" t="str">
        <f>VLOOKUP(Data!$N257,'Helpful Tables'!A:D,4,FALSE)</f>
        <v>Washington, DC</v>
      </c>
      <c r="AO257" s="23">
        <f>COUNTIF(AN:AN,Data!$AN257)/COUNTA(AN:AN)</f>
        <v>0.62424242424242427</v>
      </c>
      <c r="AP257" s="23">
        <v>38.949649000000001</v>
      </c>
      <c r="AQ257" s="23">
        <v>-77.080878999999996</v>
      </c>
      <c r="AR257" s="23">
        <f>COUNTIF(Data!$P$2:$P$825,Data!$P257)</f>
        <v>66</v>
      </c>
      <c r="AS257" s="23" cm="1">
        <f t="array" ref="AS257">_xlfn.IFS(Data!$E257&lt;12,((Data!$E257/Data!$D257)*60)*1,AND(Data!$E257&gt;=12,Data!$E257&lt;=15),((Data!$E257/Data!$D257)*60)*1.2,AND(Data!$E257&gt;=16,Data!$E257&lt;=19),((Data!$E257/Data!$D257)*60)*1.5,Data!$E257&gt;=20,((Data!$E257/Data!$D257)*60)*1.8)</f>
        <v>27.457627118644069</v>
      </c>
      <c r="AT257" s="23" cm="1">
        <f t="array" ref="AT257">_xlfn.IFS(Data!$F257&lt;600,((Data!$F257/Data!$D257)*60)*1,AND(Data!$F257&gt;=600,Data!$F257&lt;=625),((Data!$F257/Data!$D257)*60)*1.2,AND(Data!$F257&gt;=626,Data!$F257&lt;=650),((Data!$F257/Data!$D257)*60)*1.5,Data!$F257&gt;=651,((Data!$F257/Data!$D257)*60)*1.8)</f>
        <v>1242.9152542372881</v>
      </c>
      <c r="AU257" s="23">
        <f>(Data!$I257*-1.2)+(Data!$J257*-1.1)+(Data!$K257*1.2)+(Data!$L257*1.3)+(Data!$M257*1.5)</f>
        <v>7.6999999999999993</v>
      </c>
      <c r="AV257" s="23">
        <f>(Data!$AS257*0.4)+(Data!$AT257*0.4)+(Data!$AU257*0.2)</f>
        <v>509.68915254237288</v>
      </c>
      <c r="AW257" s="23">
        <f>PERCENTRANK(AV:AV,Data!$AV257)*100</f>
        <v>84.3</v>
      </c>
      <c r="AX257" s="23" t="str">
        <f>_xlfn.CONCAT(TEXT(C257,"mmm"),"-",Data!$AE257)</f>
        <v>Feb-2022</v>
      </c>
    </row>
    <row r="258" spans="1:50" ht="17" thickTop="1" thickBot="1" x14ac:dyDescent="0.25">
      <c r="A258" s="28">
        <v>257</v>
      </c>
      <c r="B258" s="29">
        <f t="shared" ref="B258:B321" si="34">COUNTIF(R:R,R258)</f>
        <v>14</v>
      </c>
      <c r="C258" s="41">
        <v>44604</v>
      </c>
      <c r="D258" s="30">
        <f>SUM(Data!$I258:$M258)</f>
        <v>61</v>
      </c>
      <c r="E258" s="29">
        <v>15</v>
      </c>
      <c r="F258" s="29">
        <v>734</v>
      </c>
      <c r="G258" s="29">
        <v>172</v>
      </c>
      <c r="H258" s="29">
        <v>132</v>
      </c>
      <c r="I258" s="29">
        <v>7</v>
      </c>
      <c r="J258" s="29">
        <v>14</v>
      </c>
      <c r="K258" s="29">
        <v>25</v>
      </c>
      <c r="L258" s="29">
        <v>8</v>
      </c>
      <c r="M258" s="29">
        <v>7</v>
      </c>
      <c r="N258" s="29" t="s">
        <v>101</v>
      </c>
      <c r="O258" s="29" t="s">
        <v>45</v>
      </c>
      <c r="P258" s="29" t="s">
        <v>109</v>
      </c>
      <c r="Q258" s="29">
        <f t="shared" si="32"/>
        <v>2</v>
      </c>
      <c r="R258" s="29" t="str">
        <f t="shared" ref="R258:R321" si="35">MONTH(C258)&amp;"-"&amp;YEAR(C258)</f>
        <v>2-2022</v>
      </c>
      <c r="S258" s="29" t="s">
        <v>117</v>
      </c>
      <c r="T258" s="29" t="str">
        <f t="shared" ref="T258:T321" si="36">IF(WEEKDAY(C258)=1,"Sunday",IF(WEEKDAY(C258)=2,"Monday",IF(WEEKDAY(C258)=3,"Tuesday",IF(WEEKDAY(C258)=4,"Wednesday",IF(WEEKDAY(C258)=5,"Thursday",IF(WEEKDAY(C258)=6,"Friday","Saturday"))))))</f>
        <v>Saturday</v>
      </c>
      <c r="U258" s="29">
        <f t="shared" ref="U258:U321" si="37">IF(E258&gt;=12,1,0)</f>
        <v>1</v>
      </c>
      <c r="V258" s="31">
        <f>IFERROR(Data!$I258/Data!$D258,"")</f>
        <v>0.11475409836065574</v>
      </c>
      <c r="W258" s="31">
        <f>IFERROR(Data!$J258/Data!$D258,"")</f>
        <v>0.22950819672131148</v>
      </c>
      <c r="X258" s="31">
        <f>IFERROR(Data!$K258/Data!$D258,"")</f>
        <v>0.4098360655737705</v>
      </c>
      <c r="Y258" s="31">
        <f>IFERROR(Data!$L258/Data!$D258,"")</f>
        <v>0.13114754098360656</v>
      </c>
      <c r="Z258" s="31">
        <f>IFERROR(Data!$M258/Data!$D258,"")</f>
        <v>0.11475409836065574</v>
      </c>
      <c r="AA258" s="32">
        <v>232.14</v>
      </c>
      <c r="AB258" s="32">
        <f t="shared" si="33"/>
        <v>16.581428571428571</v>
      </c>
      <c r="AC258" s="29">
        <f t="shared" ref="AC258:AC321" si="38">AVERAGEIF(R:R,R258,F:F)</f>
        <v>653</v>
      </c>
      <c r="AD258" s="29">
        <f t="shared" ref="AD258:AD321" si="39">AVERAGEIF(R:R,R258,E:E)</f>
        <v>13.571428571428571</v>
      </c>
      <c r="AE258" s="29">
        <f>YEAR(Data!$C258)</f>
        <v>2022</v>
      </c>
      <c r="AF258" s="29"/>
      <c r="AG258" s="29">
        <v>12</v>
      </c>
      <c r="AH258" s="33">
        <f>Data!$F258/Data!$D258</f>
        <v>12.032786885245901</v>
      </c>
      <c r="AI258" s="17" t="str">
        <f>RIGHT(Data!$O258,2)</f>
        <v>AM</v>
      </c>
      <c r="AJ258" s="29" t="str">
        <f>Data!$R258&amp;"-"&amp;WEEKNUM(Data!$C258,1)-WEEKNUM(DATE(YEAR(Data!$C258),MONTH(Data!$C258),1),1)+1</f>
        <v>2-2022-2</v>
      </c>
      <c r="AK258" s="29">
        <f>MONTH(Data!$C258)</f>
        <v>2</v>
      </c>
      <c r="AL258" s="29">
        <f>IFERROR(Data!$F258/Data!$E258,0)</f>
        <v>48.93333333333333</v>
      </c>
      <c r="AM258" s="29">
        <f>COUNTIF(Data!$N$2:$N$825,Data!$N258)</f>
        <v>191</v>
      </c>
      <c r="AN258" s="29" t="str">
        <f>VLOOKUP(Data!$N258,'Helpful Tables'!A:D,4,FALSE)</f>
        <v>Washington, DC</v>
      </c>
      <c r="AO258" s="29">
        <f>COUNTIF(AN:AN,Data!$AN258)/COUNTA(AN:AN)</f>
        <v>0.62424242424242427</v>
      </c>
      <c r="AP258" s="29">
        <v>38.949649000000001</v>
      </c>
      <c r="AQ258" s="29">
        <v>-77.080878999999996</v>
      </c>
      <c r="AR258" s="29">
        <f>COUNTIF(Data!$P$2:$P$825,Data!$P258)</f>
        <v>66</v>
      </c>
      <c r="AS258" s="29" cm="1">
        <f t="array" ref="AS258">_xlfn.IFS(Data!$E258&lt;12,((Data!$E258/Data!$D258)*60)*1,AND(Data!$E258&gt;=12,Data!$E258&lt;=15),((Data!$E258/Data!$D258)*60)*1.2,AND(Data!$E258&gt;=16,Data!$E258&lt;=19),((Data!$E258/Data!$D258)*60)*1.5,Data!$E258&gt;=20,((Data!$E258/Data!$D258)*60)*1.8)</f>
        <v>17.704918032786885</v>
      </c>
      <c r="AT258" s="29" cm="1">
        <f t="array" ref="AT258">_xlfn.IFS(Data!$F258&lt;600,((Data!$F258/Data!$D258)*60)*1,AND(Data!$F258&gt;=600,Data!$F258&lt;=625),((Data!$F258/Data!$D258)*60)*1.2,AND(Data!$F258&gt;=626,Data!$F258&lt;=650),((Data!$F258/Data!$D258)*60)*1.5,Data!$F258&gt;=651,((Data!$F258/Data!$D258)*60)*1.8)</f>
        <v>1299.5409836065573</v>
      </c>
      <c r="AU258" s="29">
        <f>(Data!$I258*-1.2)+(Data!$J258*-1.1)+(Data!$K258*1.2)+(Data!$L258*1.3)+(Data!$M258*1.5)</f>
        <v>27.099999999999994</v>
      </c>
      <c r="AV258" s="29">
        <f>(Data!$AS258*0.4)+(Data!$AT258*0.4)+(Data!$AU258*0.2)</f>
        <v>532.31836065573771</v>
      </c>
      <c r="AW258" s="29">
        <f>PERCENTRANK(AV:AV,Data!$AV258)*100</f>
        <v>94.1</v>
      </c>
      <c r="AX258" s="29" t="str">
        <f>_xlfn.CONCAT(TEXT(C258,"mmm"),"-",Data!$AE258)</f>
        <v>Feb-2022</v>
      </c>
    </row>
    <row r="259" spans="1:50" ht="17" thickTop="1" thickBot="1" x14ac:dyDescent="0.25">
      <c r="A259" s="22">
        <v>258</v>
      </c>
      <c r="B259" s="23">
        <f t="shared" si="34"/>
        <v>14</v>
      </c>
      <c r="C259" s="41">
        <v>44606</v>
      </c>
      <c r="D259" s="24">
        <f>SUM(Data!$I259:$M259)</f>
        <v>61</v>
      </c>
      <c r="E259" s="23">
        <v>8</v>
      </c>
      <c r="F259" s="23">
        <v>610</v>
      </c>
      <c r="G259" s="23">
        <v>158</v>
      </c>
      <c r="H259" s="23">
        <v>119</v>
      </c>
      <c r="I259" s="23">
        <v>19</v>
      </c>
      <c r="J259" s="23">
        <v>18</v>
      </c>
      <c r="K259" s="23">
        <v>16</v>
      </c>
      <c r="L259" s="23">
        <v>8</v>
      </c>
      <c r="M259" s="23">
        <v>0</v>
      </c>
      <c r="N259" s="23" t="s">
        <v>101</v>
      </c>
      <c r="O259" s="23" t="s">
        <v>39</v>
      </c>
      <c r="P259" s="23" t="s">
        <v>109</v>
      </c>
      <c r="Q259" s="23">
        <f t="shared" ref="Q259:Q322" si="40">C259-C258</f>
        <v>2</v>
      </c>
      <c r="R259" s="23" t="str">
        <f t="shared" si="35"/>
        <v>2-2022</v>
      </c>
      <c r="S259" s="23" t="s">
        <v>104</v>
      </c>
      <c r="T259" s="23" t="str">
        <f t="shared" si="36"/>
        <v>Monday</v>
      </c>
      <c r="U259" s="23">
        <f t="shared" si="37"/>
        <v>0</v>
      </c>
      <c r="V259" s="25">
        <f>IFERROR(Data!$I259/Data!$D259,"")</f>
        <v>0.31147540983606559</v>
      </c>
      <c r="W259" s="25">
        <f>IFERROR(Data!$J259/Data!$D259,"")</f>
        <v>0.29508196721311475</v>
      </c>
      <c r="X259" s="25">
        <f>IFERROR(Data!$K259/Data!$D259,"")</f>
        <v>0.26229508196721313</v>
      </c>
      <c r="Y259" s="25">
        <f>IFERROR(Data!$L259/Data!$D259,"")</f>
        <v>0.13114754098360656</v>
      </c>
      <c r="Z259" s="25">
        <f>IFERROR(Data!$M259/Data!$D259,"")</f>
        <v>0</v>
      </c>
      <c r="AA259" s="26">
        <v>232.14</v>
      </c>
      <c r="AB259" s="26">
        <f t="shared" si="33"/>
        <v>16.581428571428571</v>
      </c>
      <c r="AC259" s="23">
        <f t="shared" si="38"/>
        <v>653</v>
      </c>
      <c r="AD259" s="23">
        <f t="shared" si="39"/>
        <v>13.571428571428571</v>
      </c>
      <c r="AE259" s="23">
        <f>YEAR(Data!$C259)</f>
        <v>2022</v>
      </c>
      <c r="AF259" s="23"/>
      <c r="AG259" s="23">
        <v>12</v>
      </c>
      <c r="AH259" s="27">
        <f>Data!$F259/Data!$D259</f>
        <v>10</v>
      </c>
      <c r="AI259" s="17" t="str">
        <f>RIGHT(Data!$O259,2)</f>
        <v>PM</v>
      </c>
      <c r="AJ259" s="23" t="str">
        <f>Data!$R259&amp;"-"&amp;WEEKNUM(Data!$C259,1)-WEEKNUM(DATE(YEAR(Data!$C259),MONTH(Data!$C259),1),1)+1</f>
        <v>2-2022-3</v>
      </c>
      <c r="AK259" s="23">
        <f>MONTH(Data!$C259)</f>
        <v>2</v>
      </c>
      <c r="AL259" s="23">
        <f>IFERROR(Data!$F259/Data!$E259,0)</f>
        <v>76.25</v>
      </c>
      <c r="AM259" s="23">
        <f>COUNTIF(Data!$N$2:$N$825,Data!$N259)</f>
        <v>191</v>
      </c>
      <c r="AN259" s="23" t="str">
        <f>VLOOKUP(Data!$N259,'Helpful Tables'!A:D,4,FALSE)</f>
        <v>Washington, DC</v>
      </c>
      <c r="AO259" s="23">
        <f>COUNTIF(AN:AN,Data!$AN259)/COUNTA(AN:AN)</f>
        <v>0.62424242424242427</v>
      </c>
      <c r="AP259" s="23">
        <v>38.949649000000001</v>
      </c>
      <c r="AQ259" s="23">
        <v>-77.080878999999996</v>
      </c>
      <c r="AR259" s="23">
        <f>COUNTIF(Data!$P$2:$P$825,Data!$P259)</f>
        <v>66</v>
      </c>
      <c r="AS259" s="23" cm="1">
        <f t="array" ref="AS259">_xlfn.IFS(Data!$E259&lt;12,((Data!$E259/Data!$D259)*60)*1,AND(Data!$E259&gt;=12,Data!$E259&lt;=15),((Data!$E259/Data!$D259)*60)*1.2,AND(Data!$E259&gt;=16,Data!$E259&lt;=19),((Data!$E259/Data!$D259)*60)*1.5,Data!$E259&gt;=20,((Data!$E259/Data!$D259)*60)*1.8)</f>
        <v>7.8688524590163942</v>
      </c>
      <c r="AT259" s="23" cm="1">
        <f t="array" ref="AT259">_xlfn.IFS(Data!$F259&lt;600,((Data!$F259/Data!$D259)*60)*1,AND(Data!$F259&gt;=600,Data!$F259&lt;=625),((Data!$F259/Data!$D259)*60)*1.2,AND(Data!$F259&gt;=626,Data!$F259&lt;=650),((Data!$F259/Data!$D259)*60)*1.5,Data!$F259&gt;=651,((Data!$F259/Data!$D259)*60)*1.8)</f>
        <v>720</v>
      </c>
      <c r="AU259" s="23">
        <f>(Data!$I259*-1.2)+(Data!$J259*-1.1)+(Data!$K259*1.2)+(Data!$L259*1.3)+(Data!$M259*1.5)</f>
        <v>-13.000000000000002</v>
      </c>
      <c r="AV259" s="23">
        <f>(Data!$AS259*0.4)+(Data!$AT259*0.4)+(Data!$AU259*0.2)</f>
        <v>288.54754098360655</v>
      </c>
      <c r="AW259" s="23">
        <f>PERCENTRANK(AV:AV,Data!$AV259)*100</f>
        <v>23.799999999999997</v>
      </c>
      <c r="AX259" s="23" t="str">
        <f>_xlfn.CONCAT(TEXT(C259,"mmm"),"-",Data!$AE259)</f>
        <v>Feb-2022</v>
      </c>
    </row>
    <row r="260" spans="1:50" ht="17" thickTop="1" thickBot="1" x14ac:dyDescent="0.25">
      <c r="A260" s="28">
        <v>259</v>
      </c>
      <c r="B260" s="29">
        <f t="shared" si="34"/>
        <v>14</v>
      </c>
      <c r="C260" s="41">
        <v>44608</v>
      </c>
      <c r="D260" s="30">
        <f>SUM(Data!$I260:$M260)</f>
        <v>59</v>
      </c>
      <c r="E260" s="29">
        <v>14</v>
      </c>
      <c r="F260" s="29">
        <v>674</v>
      </c>
      <c r="G260" s="29">
        <v>166</v>
      </c>
      <c r="H260" s="29">
        <v>129</v>
      </c>
      <c r="I260" s="29">
        <v>8</v>
      </c>
      <c r="J260" s="29">
        <v>15</v>
      </c>
      <c r="K260" s="29">
        <v>22</v>
      </c>
      <c r="L260" s="29">
        <v>13</v>
      </c>
      <c r="M260" s="29">
        <v>1</v>
      </c>
      <c r="N260" s="29" t="s">
        <v>91</v>
      </c>
      <c r="O260" s="29" t="s">
        <v>39</v>
      </c>
      <c r="P260" s="29" t="s">
        <v>96</v>
      </c>
      <c r="Q260" s="29">
        <f t="shared" si="40"/>
        <v>2</v>
      </c>
      <c r="R260" s="29" t="str">
        <f t="shared" si="35"/>
        <v>2-2022</v>
      </c>
      <c r="S260" s="29" t="s">
        <v>117</v>
      </c>
      <c r="T260" s="29" t="str">
        <f t="shared" si="36"/>
        <v>Wednesday</v>
      </c>
      <c r="U260" s="29">
        <f t="shared" si="37"/>
        <v>1</v>
      </c>
      <c r="V260" s="31">
        <f>IFERROR(Data!$I260/Data!$D260,"")</f>
        <v>0.13559322033898305</v>
      </c>
      <c r="W260" s="31">
        <f>IFERROR(Data!$J260/Data!$D260,"")</f>
        <v>0.25423728813559321</v>
      </c>
      <c r="X260" s="31">
        <f>IFERROR(Data!$K260/Data!$D260,"")</f>
        <v>0.3728813559322034</v>
      </c>
      <c r="Y260" s="31">
        <f>IFERROR(Data!$L260/Data!$D260,"")</f>
        <v>0.22033898305084745</v>
      </c>
      <c r="Z260" s="31">
        <f>IFERROR(Data!$M260/Data!$D260,"")</f>
        <v>1.6949152542372881E-2</v>
      </c>
      <c r="AA260" s="32">
        <v>232.14</v>
      </c>
      <c r="AB260" s="32">
        <f t="shared" si="33"/>
        <v>16.581428571428571</v>
      </c>
      <c r="AC260" s="29">
        <f t="shared" si="38"/>
        <v>653</v>
      </c>
      <c r="AD260" s="29">
        <f t="shared" si="39"/>
        <v>13.571428571428571</v>
      </c>
      <c r="AE260" s="29">
        <f>YEAR(Data!$C260)</f>
        <v>2022</v>
      </c>
      <c r="AF260" s="29"/>
      <c r="AG260" s="29">
        <v>12</v>
      </c>
      <c r="AH260" s="33">
        <f>Data!$F260/Data!$D260</f>
        <v>11.423728813559322</v>
      </c>
      <c r="AI260" s="17" t="str">
        <f>RIGHT(Data!$O260,2)</f>
        <v>PM</v>
      </c>
      <c r="AJ260" s="29" t="str">
        <f>Data!$R260&amp;"-"&amp;WEEKNUM(Data!$C260,1)-WEEKNUM(DATE(YEAR(Data!$C260),MONTH(Data!$C260),1),1)+1</f>
        <v>2-2022-3</v>
      </c>
      <c r="AK260" s="29">
        <f>MONTH(Data!$C260)</f>
        <v>2</v>
      </c>
      <c r="AL260" s="29">
        <f>IFERROR(Data!$F260/Data!$E260,0)</f>
        <v>48.142857142857146</v>
      </c>
      <c r="AM260" s="29">
        <f>COUNTIF(Data!$N$2:$N$825,Data!$N260)</f>
        <v>218</v>
      </c>
      <c r="AN260" s="29" t="str">
        <f>VLOOKUP(Data!$N260,'Helpful Tables'!A:D,4,FALSE)</f>
        <v>Washington, DC</v>
      </c>
      <c r="AO260" s="29">
        <f>COUNTIF(AN:AN,Data!$AN260)/COUNTA(AN:AN)</f>
        <v>0.62424242424242427</v>
      </c>
      <c r="AP260" s="29">
        <v>38.934710000000003</v>
      </c>
      <c r="AQ260" s="29">
        <v>-77.058222999999998</v>
      </c>
      <c r="AR260" s="29">
        <f>COUNTIF(Data!$P$2:$P$825,Data!$P260)</f>
        <v>71</v>
      </c>
      <c r="AS260" s="29" cm="1">
        <f t="array" ref="AS260">_xlfn.IFS(Data!$E260&lt;12,((Data!$E260/Data!$D260)*60)*1,AND(Data!$E260&gt;=12,Data!$E260&lt;=15),((Data!$E260/Data!$D260)*60)*1.2,AND(Data!$E260&gt;=16,Data!$E260&lt;=19),((Data!$E260/Data!$D260)*60)*1.5,Data!$E260&gt;=20,((Data!$E260/Data!$D260)*60)*1.8)</f>
        <v>17.084745762711865</v>
      </c>
      <c r="AT260" s="29" cm="1">
        <f t="array" ref="AT260">_xlfn.IFS(Data!$F260&lt;600,((Data!$F260/Data!$D260)*60)*1,AND(Data!$F260&gt;=600,Data!$F260&lt;=625),((Data!$F260/Data!$D260)*60)*1.2,AND(Data!$F260&gt;=626,Data!$F260&lt;=650),((Data!$F260/Data!$D260)*60)*1.5,Data!$F260&gt;=651,((Data!$F260/Data!$D260)*60)*1.8)</f>
        <v>1233.7627118644068</v>
      </c>
      <c r="AU260" s="29">
        <f>(Data!$I260*-1.2)+(Data!$J260*-1.1)+(Data!$K260*1.2)+(Data!$L260*1.3)+(Data!$M260*1.5)</f>
        <v>18.7</v>
      </c>
      <c r="AV260" s="29">
        <f>(Data!$AS260*0.4)+(Data!$AT260*0.4)+(Data!$AU260*0.2)</f>
        <v>504.07898305084751</v>
      </c>
      <c r="AW260" s="29">
        <f>PERCENTRANK(AV:AV,Data!$AV260)*100</f>
        <v>80.5</v>
      </c>
      <c r="AX260" s="29" t="str">
        <f>_xlfn.CONCAT(TEXT(C260,"mmm"),"-",Data!$AE260)</f>
        <v>Feb-2022</v>
      </c>
    </row>
    <row r="261" spans="1:50" ht="17" thickTop="1" thickBot="1" x14ac:dyDescent="0.25">
      <c r="A261" s="22">
        <v>260</v>
      </c>
      <c r="B261" s="23">
        <f t="shared" si="34"/>
        <v>14</v>
      </c>
      <c r="C261" s="41">
        <v>44611</v>
      </c>
      <c r="D261" s="24">
        <f>SUM(Data!$I261:$M261)</f>
        <v>60</v>
      </c>
      <c r="E261" s="23">
        <v>15</v>
      </c>
      <c r="F261" s="23">
        <v>708</v>
      </c>
      <c r="G261" s="23">
        <v>166</v>
      </c>
      <c r="H261" s="23">
        <v>131</v>
      </c>
      <c r="I261" s="23">
        <v>6</v>
      </c>
      <c r="J261" s="23">
        <v>19</v>
      </c>
      <c r="K261" s="23">
        <v>20</v>
      </c>
      <c r="L261" s="23">
        <v>14</v>
      </c>
      <c r="M261" s="23">
        <v>1</v>
      </c>
      <c r="N261" s="23" t="s">
        <v>101</v>
      </c>
      <c r="O261" s="23" t="s">
        <v>45</v>
      </c>
      <c r="P261" s="23" t="s">
        <v>133</v>
      </c>
      <c r="Q261" s="23">
        <f t="shared" si="40"/>
        <v>3</v>
      </c>
      <c r="R261" s="23" t="str">
        <f t="shared" si="35"/>
        <v>2-2022</v>
      </c>
      <c r="S261" s="23" t="s">
        <v>117</v>
      </c>
      <c r="T261" s="23" t="str">
        <f t="shared" si="36"/>
        <v>Saturday</v>
      </c>
      <c r="U261" s="23">
        <f t="shared" si="37"/>
        <v>1</v>
      </c>
      <c r="V261" s="25">
        <f>IFERROR(Data!$I261/Data!$D261,"")</f>
        <v>0.1</v>
      </c>
      <c r="W261" s="25">
        <f>IFERROR(Data!$J261/Data!$D261,"")</f>
        <v>0.31666666666666665</v>
      </c>
      <c r="X261" s="25">
        <f>IFERROR(Data!$K261/Data!$D261,"")</f>
        <v>0.33333333333333331</v>
      </c>
      <c r="Y261" s="25">
        <f>IFERROR(Data!$L261/Data!$D261,"")</f>
        <v>0.23333333333333334</v>
      </c>
      <c r="Z261" s="25">
        <f>IFERROR(Data!$M261/Data!$D261,"")</f>
        <v>1.6666666666666666E-2</v>
      </c>
      <c r="AA261" s="26">
        <v>232.14</v>
      </c>
      <c r="AB261" s="26">
        <f t="shared" si="33"/>
        <v>16.581428571428571</v>
      </c>
      <c r="AC261" s="23">
        <f t="shared" si="38"/>
        <v>653</v>
      </c>
      <c r="AD261" s="23">
        <f t="shared" si="39"/>
        <v>13.571428571428571</v>
      </c>
      <c r="AE261" s="23">
        <f>YEAR(Data!$C261)</f>
        <v>2022</v>
      </c>
      <c r="AF261" s="23"/>
      <c r="AG261" s="23">
        <v>12</v>
      </c>
      <c r="AH261" s="27">
        <f>Data!$F261/Data!$D261</f>
        <v>11.8</v>
      </c>
      <c r="AI261" s="17" t="str">
        <f>RIGHT(Data!$O261,2)</f>
        <v>AM</v>
      </c>
      <c r="AJ261" s="23" t="str">
        <f>Data!$R261&amp;"-"&amp;WEEKNUM(Data!$C261,1)-WEEKNUM(DATE(YEAR(Data!$C261),MONTH(Data!$C261),1),1)+1</f>
        <v>2-2022-3</v>
      </c>
      <c r="AK261" s="23">
        <f>MONTH(Data!$C261)</f>
        <v>2</v>
      </c>
      <c r="AL261" s="23">
        <f>IFERROR(Data!$F261/Data!$E261,0)</f>
        <v>47.2</v>
      </c>
      <c r="AM261" s="23">
        <f>COUNTIF(Data!$N$2:$N$825,Data!$N261)</f>
        <v>191</v>
      </c>
      <c r="AN261" s="23" t="str">
        <f>VLOOKUP(Data!$N261,'Helpful Tables'!A:D,4,FALSE)</f>
        <v>Washington, DC</v>
      </c>
      <c r="AO261" s="23">
        <f>COUNTIF(AN:AN,Data!$AN261)/COUNTA(AN:AN)</f>
        <v>0.62424242424242427</v>
      </c>
      <c r="AP261" s="23">
        <v>38.949649000000001</v>
      </c>
      <c r="AQ261" s="23">
        <v>-77.080878999999996</v>
      </c>
      <c r="AR261" s="23">
        <f>COUNTIF(Data!$P$2:$P$825,Data!$P261)</f>
        <v>25</v>
      </c>
      <c r="AS261" s="23" cm="1">
        <f t="array" ref="AS261">_xlfn.IFS(Data!$E261&lt;12,((Data!$E261/Data!$D261)*60)*1,AND(Data!$E261&gt;=12,Data!$E261&lt;=15),((Data!$E261/Data!$D261)*60)*1.2,AND(Data!$E261&gt;=16,Data!$E261&lt;=19),((Data!$E261/Data!$D261)*60)*1.5,Data!$E261&gt;=20,((Data!$E261/Data!$D261)*60)*1.8)</f>
        <v>18</v>
      </c>
      <c r="AT261" s="23" cm="1">
        <f t="array" ref="AT261">_xlfn.IFS(Data!$F261&lt;600,((Data!$F261/Data!$D261)*60)*1,AND(Data!$F261&gt;=600,Data!$F261&lt;=625),((Data!$F261/Data!$D261)*60)*1.2,AND(Data!$F261&gt;=626,Data!$F261&lt;=650),((Data!$F261/Data!$D261)*60)*1.5,Data!$F261&gt;=651,((Data!$F261/Data!$D261)*60)*1.8)</f>
        <v>1274.4000000000001</v>
      </c>
      <c r="AU261" s="23">
        <f>(Data!$I261*-1.2)+(Data!$J261*-1.1)+(Data!$K261*1.2)+(Data!$L261*1.3)+(Data!$M261*1.5)</f>
        <v>15.599999999999998</v>
      </c>
      <c r="AV261" s="23">
        <f>(Data!$AS261*0.4)+(Data!$AT261*0.4)+(Data!$AU261*0.2)</f>
        <v>520.08000000000004</v>
      </c>
      <c r="AW261" s="23">
        <f>PERCENTRANK(AV:AV,Data!$AV261)*100</f>
        <v>89.1</v>
      </c>
      <c r="AX261" s="23" t="str">
        <f>_xlfn.CONCAT(TEXT(C261,"mmm"),"-",Data!$AE261)</f>
        <v>Feb-2022</v>
      </c>
    </row>
    <row r="262" spans="1:50" ht="17" thickTop="1" thickBot="1" x14ac:dyDescent="0.25">
      <c r="A262" s="28">
        <v>261</v>
      </c>
      <c r="B262" s="29">
        <f t="shared" si="34"/>
        <v>14</v>
      </c>
      <c r="C262" s="41">
        <v>44613</v>
      </c>
      <c r="D262" s="30">
        <f>SUM(Data!$I262:$M262)</f>
        <v>58</v>
      </c>
      <c r="E262" s="29">
        <v>16</v>
      </c>
      <c r="F262" s="29">
        <v>679</v>
      </c>
      <c r="G262" s="29">
        <v>172</v>
      </c>
      <c r="H262" s="29">
        <v>130</v>
      </c>
      <c r="I262" s="29">
        <v>8</v>
      </c>
      <c r="J262" s="29">
        <v>17</v>
      </c>
      <c r="K262" s="29">
        <v>17</v>
      </c>
      <c r="L262" s="29">
        <v>8</v>
      </c>
      <c r="M262" s="29">
        <v>8</v>
      </c>
      <c r="N262" s="29" t="s">
        <v>30</v>
      </c>
      <c r="O262" s="29" t="s">
        <v>45</v>
      </c>
      <c r="P262" s="29" t="s">
        <v>124</v>
      </c>
      <c r="Q262" s="29">
        <f t="shared" si="40"/>
        <v>2</v>
      </c>
      <c r="R262" s="29" t="str">
        <f t="shared" si="35"/>
        <v>2-2022</v>
      </c>
      <c r="S262" s="29" t="s">
        <v>43</v>
      </c>
      <c r="T262" s="29" t="str">
        <f t="shared" si="36"/>
        <v>Monday</v>
      </c>
      <c r="U262" s="29">
        <f t="shared" si="37"/>
        <v>1</v>
      </c>
      <c r="V262" s="31">
        <f>IFERROR(Data!$I262/Data!$D262,"")</f>
        <v>0.13793103448275862</v>
      </c>
      <c r="W262" s="31">
        <f>IFERROR(Data!$J262/Data!$D262,"")</f>
        <v>0.29310344827586204</v>
      </c>
      <c r="X262" s="31">
        <f>IFERROR(Data!$K262/Data!$D262,"")</f>
        <v>0.29310344827586204</v>
      </c>
      <c r="Y262" s="31">
        <f>IFERROR(Data!$L262/Data!$D262,"")</f>
        <v>0.13793103448275862</v>
      </c>
      <c r="Z262" s="31">
        <f>IFERROR(Data!$M262/Data!$D262,"")</f>
        <v>0.13793103448275862</v>
      </c>
      <c r="AA262" s="32">
        <v>232.14</v>
      </c>
      <c r="AB262" s="32">
        <f t="shared" si="33"/>
        <v>16.581428571428571</v>
      </c>
      <c r="AC262" s="29">
        <f t="shared" si="38"/>
        <v>653</v>
      </c>
      <c r="AD262" s="29">
        <f t="shared" si="39"/>
        <v>13.571428571428571</v>
      </c>
      <c r="AE262" s="29">
        <f>YEAR(Data!$C262)</f>
        <v>2022</v>
      </c>
      <c r="AF262" s="29"/>
      <c r="AG262" s="29">
        <v>12</v>
      </c>
      <c r="AH262" s="33">
        <f>Data!$F262/Data!$D262</f>
        <v>11.706896551724139</v>
      </c>
      <c r="AI262" s="17" t="str">
        <f>RIGHT(Data!$O262,2)</f>
        <v>AM</v>
      </c>
      <c r="AJ262" s="29" t="str">
        <f>Data!$R262&amp;"-"&amp;WEEKNUM(Data!$C262,1)-WEEKNUM(DATE(YEAR(Data!$C262),MONTH(Data!$C262),1),1)+1</f>
        <v>2-2022-4</v>
      </c>
      <c r="AK262" s="29">
        <f>MONTH(Data!$C262)</f>
        <v>2</v>
      </c>
      <c r="AL262" s="29">
        <f>IFERROR(Data!$F262/Data!$E262,0)</f>
        <v>42.4375</v>
      </c>
      <c r="AM262" s="29">
        <f>COUNTIF(Data!$N$2:$N$825,Data!$N262)</f>
        <v>9</v>
      </c>
      <c r="AN262" s="29" t="str">
        <f>VLOOKUP(Data!$N262,'Helpful Tables'!A:D,4,FALSE)</f>
        <v>Virginia</v>
      </c>
      <c r="AO262" s="29">
        <f>COUNTIF(AN:AN,Data!$AN262)/COUNTA(AN:AN)</f>
        <v>6.424242424242424E-2</v>
      </c>
      <c r="AP262" s="29">
        <v>38.894024999999999</v>
      </c>
      <c r="AQ262" s="29">
        <v>-77.078213000000005</v>
      </c>
      <c r="AR262" s="29">
        <f>COUNTIF(Data!$P$2:$P$825,Data!$P262)</f>
        <v>2</v>
      </c>
      <c r="AS262" s="29" cm="1">
        <f t="array" ref="AS262">_xlfn.IFS(Data!$E262&lt;12,((Data!$E262/Data!$D262)*60)*1,AND(Data!$E262&gt;=12,Data!$E262&lt;=15),((Data!$E262/Data!$D262)*60)*1.2,AND(Data!$E262&gt;=16,Data!$E262&lt;=19),((Data!$E262/Data!$D262)*60)*1.5,Data!$E262&gt;=20,((Data!$E262/Data!$D262)*60)*1.8)</f>
        <v>24.827586206896555</v>
      </c>
      <c r="AT262" s="29" cm="1">
        <f t="array" ref="AT262">_xlfn.IFS(Data!$F262&lt;600,((Data!$F262/Data!$D262)*60)*1,AND(Data!$F262&gt;=600,Data!$F262&lt;=625),((Data!$F262/Data!$D262)*60)*1.2,AND(Data!$F262&gt;=626,Data!$F262&lt;=650),((Data!$F262/Data!$D262)*60)*1.5,Data!$F262&gt;=651,((Data!$F262/Data!$D262)*60)*1.8)</f>
        <v>1264.3448275862072</v>
      </c>
      <c r="AU262" s="29">
        <f>(Data!$I262*-1.2)+(Data!$J262*-1.1)+(Data!$K262*1.2)+(Data!$L262*1.3)+(Data!$M262*1.5)</f>
        <v>14.499999999999995</v>
      </c>
      <c r="AV262" s="29">
        <f>(Data!$AS262*0.4)+(Data!$AT262*0.4)+(Data!$AU262*0.2)</f>
        <v>518.56896551724151</v>
      </c>
      <c r="AW262" s="29">
        <f>PERCENTRANK(AV:AV,Data!$AV262)*100</f>
        <v>88.6</v>
      </c>
      <c r="AX262" s="29" t="str">
        <f>_xlfn.CONCAT(TEXT(C262,"mmm"),"-",Data!$AE262)</f>
        <v>Feb-2022</v>
      </c>
    </row>
    <row r="263" spans="1:50" ht="17" thickTop="1" thickBot="1" x14ac:dyDescent="0.25">
      <c r="A263" s="22">
        <v>262</v>
      </c>
      <c r="B263" s="23">
        <f t="shared" si="34"/>
        <v>14</v>
      </c>
      <c r="C263" s="41">
        <v>44615</v>
      </c>
      <c r="D263" s="24">
        <f>SUM(Data!$I263:$M263)</f>
        <v>60</v>
      </c>
      <c r="E263" s="23">
        <v>16</v>
      </c>
      <c r="F263" s="23">
        <v>682</v>
      </c>
      <c r="G263" s="23">
        <v>170</v>
      </c>
      <c r="H263" s="23">
        <v>129</v>
      </c>
      <c r="I263" s="23">
        <v>12</v>
      </c>
      <c r="J263" s="23">
        <v>11</v>
      </c>
      <c r="K263" s="23">
        <v>21</v>
      </c>
      <c r="L263" s="23">
        <v>12</v>
      </c>
      <c r="M263" s="23">
        <v>4</v>
      </c>
      <c r="N263" s="23" t="s">
        <v>101</v>
      </c>
      <c r="O263" s="23" t="s">
        <v>107</v>
      </c>
      <c r="P263" s="23" t="s">
        <v>102</v>
      </c>
      <c r="Q263" s="23">
        <f t="shared" si="40"/>
        <v>2</v>
      </c>
      <c r="R263" s="23" t="str">
        <f t="shared" si="35"/>
        <v>2-2022</v>
      </c>
      <c r="S263" s="23" t="s">
        <v>104</v>
      </c>
      <c r="T263" s="23" t="str">
        <f t="shared" si="36"/>
        <v>Wednesday</v>
      </c>
      <c r="U263" s="23">
        <f t="shared" si="37"/>
        <v>1</v>
      </c>
      <c r="V263" s="25">
        <f>IFERROR(Data!$I263/Data!$D263,"")</f>
        <v>0.2</v>
      </c>
      <c r="W263" s="25">
        <f>IFERROR(Data!$J263/Data!$D263,"")</f>
        <v>0.18333333333333332</v>
      </c>
      <c r="X263" s="25">
        <f>IFERROR(Data!$K263/Data!$D263,"")</f>
        <v>0.35</v>
      </c>
      <c r="Y263" s="25">
        <f>IFERROR(Data!$L263/Data!$D263,"")</f>
        <v>0.2</v>
      </c>
      <c r="Z263" s="25">
        <f>IFERROR(Data!$M263/Data!$D263,"")</f>
        <v>6.6666666666666666E-2</v>
      </c>
      <c r="AA263" s="26">
        <v>232.14</v>
      </c>
      <c r="AB263" s="26">
        <f t="shared" si="33"/>
        <v>16.581428571428571</v>
      </c>
      <c r="AC263" s="23">
        <f t="shared" si="38"/>
        <v>653</v>
      </c>
      <c r="AD263" s="23">
        <f t="shared" si="39"/>
        <v>13.571428571428571</v>
      </c>
      <c r="AE263" s="23">
        <f>YEAR(Data!$C263)</f>
        <v>2022</v>
      </c>
      <c r="AF263" s="23"/>
      <c r="AG263" s="23">
        <v>12</v>
      </c>
      <c r="AH263" s="27">
        <f>Data!$F263/Data!$D263</f>
        <v>11.366666666666667</v>
      </c>
      <c r="AI263" s="17" t="str">
        <f>RIGHT(Data!$O263,2)</f>
        <v>AM</v>
      </c>
      <c r="AJ263" s="23" t="str">
        <f>Data!$R263&amp;"-"&amp;WEEKNUM(Data!$C263,1)-WEEKNUM(DATE(YEAR(Data!$C263),MONTH(Data!$C263),1),1)+1</f>
        <v>2-2022-4</v>
      </c>
      <c r="AK263" s="23">
        <f>MONTH(Data!$C263)</f>
        <v>2</v>
      </c>
      <c r="AL263" s="23">
        <f>IFERROR(Data!$F263/Data!$E263,0)</f>
        <v>42.625</v>
      </c>
      <c r="AM263" s="23">
        <f>COUNTIF(Data!$N$2:$N$825,Data!$N263)</f>
        <v>191</v>
      </c>
      <c r="AN263" s="23" t="str">
        <f>VLOOKUP(Data!$N263,'Helpful Tables'!A:D,4,FALSE)</f>
        <v>Washington, DC</v>
      </c>
      <c r="AO263" s="23">
        <f>COUNTIF(AN:AN,Data!$AN263)/COUNTA(AN:AN)</f>
        <v>0.62424242424242427</v>
      </c>
      <c r="AP263" s="23">
        <v>38.949649000000001</v>
      </c>
      <c r="AQ263" s="23">
        <v>-77.080878999999996</v>
      </c>
      <c r="AR263" s="23">
        <f>COUNTIF(Data!$P$2:$P$825,Data!$P263)</f>
        <v>20</v>
      </c>
      <c r="AS263" s="23" cm="1">
        <f t="array" ref="AS263">_xlfn.IFS(Data!$E263&lt;12,((Data!$E263/Data!$D263)*60)*1,AND(Data!$E263&gt;=12,Data!$E263&lt;=15),((Data!$E263/Data!$D263)*60)*1.2,AND(Data!$E263&gt;=16,Data!$E263&lt;=19),((Data!$E263/Data!$D263)*60)*1.5,Data!$E263&gt;=20,((Data!$E263/Data!$D263)*60)*1.8)</f>
        <v>24</v>
      </c>
      <c r="AT263" s="23" cm="1">
        <f t="array" ref="AT263">_xlfn.IFS(Data!$F263&lt;600,((Data!$F263/Data!$D263)*60)*1,AND(Data!$F263&gt;=600,Data!$F263&lt;=625),((Data!$F263/Data!$D263)*60)*1.2,AND(Data!$F263&gt;=626,Data!$F263&lt;=650),((Data!$F263/Data!$D263)*60)*1.5,Data!$F263&gt;=651,((Data!$F263/Data!$D263)*60)*1.8)</f>
        <v>1227.6000000000001</v>
      </c>
      <c r="AU263" s="23">
        <f>(Data!$I263*-1.2)+(Data!$J263*-1.1)+(Data!$K263*1.2)+(Data!$L263*1.3)+(Data!$M263*1.5)</f>
        <v>20.3</v>
      </c>
      <c r="AV263" s="23">
        <f>(Data!$AS263*0.4)+(Data!$AT263*0.4)+(Data!$AU263*0.2)</f>
        <v>504.7000000000001</v>
      </c>
      <c r="AW263" s="23">
        <f>PERCENTRANK(AV:AV,Data!$AV263)*100</f>
        <v>81</v>
      </c>
      <c r="AX263" s="23" t="str">
        <f>_xlfn.CONCAT(TEXT(C263,"mmm"),"-",Data!$AE263)</f>
        <v>Feb-2022</v>
      </c>
    </row>
    <row r="264" spans="1:50" ht="17" thickTop="1" thickBot="1" x14ac:dyDescent="0.25">
      <c r="A264" s="28">
        <v>263</v>
      </c>
      <c r="B264" s="29">
        <f t="shared" si="34"/>
        <v>14</v>
      </c>
      <c r="C264" s="41">
        <v>44616</v>
      </c>
      <c r="D264" s="30">
        <f>SUM(Data!$I264:$M264)</f>
        <v>57</v>
      </c>
      <c r="E264" s="29">
        <v>9</v>
      </c>
      <c r="F264" s="29">
        <v>524</v>
      </c>
      <c r="G264" s="29">
        <v>164</v>
      </c>
      <c r="H264" s="29">
        <v>114</v>
      </c>
      <c r="I264" s="29">
        <v>25</v>
      </c>
      <c r="J264" s="29">
        <v>11</v>
      </c>
      <c r="K264" s="29">
        <v>12</v>
      </c>
      <c r="L264" s="29">
        <v>8</v>
      </c>
      <c r="M264" s="29">
        <v>1</v>
      </c>
      <c r="N264" s="29" t="s">
        <v>101</v>
      </c>
      <c r="O264" s="29" t="s">
        <v>39</v>
      </c>
      <c r="P264" s="29" t="s">
        <v>109</v>
      </c>
      <c r="Q264" s="29">
        <f t="shared" si="40"/>
        <v>1</v>
      </c>
      <c r="R264" s="29" t="str">
        <f t="shared" si="35"/>
        <v>2-2022</v>
      </c>
      <c r="S264" s="29" t="s">
        <v>104</v>
      </c>
      <c r="T264" s="29" t="str">
        <f t="shared" si="36"/>
        <v>Thursday</v>
      </c>
      <c r="U264" s="29">
        <f t="shared" si="37"/>
        <v>0</v>
      </c>
      <c r="V264" s="31">
        <f>IFERROR(Data!$I264/Data!$D264,"")</f>
        <v>0.43859649122807015</v>
      </c>
      <c r="W264" s="31">
        <f>IFERROR(Data!$J264/Data!$D264,"")</f>
        <v>0.19298245614035087</v>
      </c>
      <c r="X264" s="31">
        <f>IFERROR(Data!$K264/Data!$D264,"")</f>
        <v>0.21052631578947367</v>
      </c>
      <c r="Y264" s="31">
        <f>IFERROR(Data!$L264/Data!$D264,"")</f>
        <v>0.14035087719298245</v>
      </c>
      <c r="Z264" s="31">
        <f>IFERROR(Data!$M264/Data!$D264,"")</f>
        <v>1.7543859649122806E-2</v>
      </c>
      <c r="AA264" s="32">
        <v>232.14</v>
      </c>
      <c r="AB264" s="32">
        <f t="shared" si="33"/>
        <v>16.581428571428571</v>
      </c>
      <c r="AC264" s="29">
        <f t="shared" si="38"/>
        <v>653</v>
      </c>
      <c r="AD264" s="29">
        <f t="shared" si="39"/>
        <v>13.571428571428571</v>
      </c>
      <c r="AE264" s="29">
        <f>YEAR(Data!$C264)</f>
        <v>2022</v>
      </c>
      <c r="AF264" s="29"/>
      <c r="AG264" s="29">
        <v>12</v>
      </c>
      <c r="AH264" s="33">
        <f>Data!$F264/Data!$D264</f>
        <v>9.192982456140351</v>
      </c>
      <c r="AI264" s="17" t="str">
        <f>RIGHT(Data!$O264,2)</f>
        <v>PM</v>
      </c>
      <c r="AJ264" s="29" t="str">
        <f>Data!$R264&amp;"-"&amp;WEEKNUM(Data!$C264,1)-WEEKNUM(DATE(YEAR(Data!$C264),MONTH(Data!$C264),1),1)+1</f>
        <v>2-2022-4</v>
      </c>
      <c r="AK264" s="29">
        <f>MONTH(Data!$C264)</f>
        <v>2</v>
      </c>
      <c r="AL264" s="29">
        <f>IFERROR(Data!$F264/Data!$E264,0)</f>
        <v>58.222222222222221</v>
      </c>
      <c r="AM264" s="29">
        <f>COUNTIF(Data!$N$2:$N$825,Data!$N264)</f>
        <v>191</v>
      </c>
      <c r="AN264" s="29" t="str">
        <f>VLOOKUP(Data!$N264,'Helpful Tables'!A:D,4,FALSE)</f>
        <v>Washington, DC</v>
      </c>
      <c r="AO264" s="29">
        <f>COUNTIF(AN:AN,Data!$AN264)/COUNTA(AN:AN)</f>
        <v>0.62424242424242427</v>
      </c>
      <c r="AP264" s="29">
        <v>38.949649000000001</v>
      </c>
      <c r="AQ264" s="29">
        <v>-77.080878999999996</v>
      </c>
      <c r="AR264" s="29">
        <f>COUNTIF(Data!$P$2:$P$825,Data!$P264)</f>
        <v>66</v>
      </c>
      <c r="AS264" s="29" cm="1">
        <f t="array" ref="AS264">_xlfn.IFS(Data!$E264&lt;12,((Data!$E264/Data!$D264)*60)*1,AND(Data!$E264&gt;=12,Data!$E264&lt;=15),((Data!$E264/Data!$D264)*60)*1.2,AND(Data!$E264&gt;=16,Data!$E264&lt;=19),((Data!$E264/Data!$D264)*60)*1.5,Data!$E264&gt;=20,((Data!$E264/Data!$D264)*60)*1.8)</f>
        <v>9.473684210526315</v>
      </c>
      <c r="AT264" s="29" cm="1">
        <f t="array" ref="AT264">_xlfn.IFS(Data!$F264&lt;600,((Data!$F264/Data!$D264)*60)*1,AND(Data!$F264&gt;=600,Data!$F264&lt;=625),((Data!$F264/Data!$D264)*60)*1.2,AND(Data!$F264&gt;=626,Data!$F264&lt;=650),((Data!$F264/Data!$D264)*60)*1.5,Data!$F264&gt;=651,((Data!$F264/Data!$D264)*60)*1.8)</f>
        <v>551.57894736842104</v>
      </c>
      <c r="AU264" s="29">
        <f>(Data!$I264*-1.2)+(Data!$J264*-1.1)+(Data!$K264*1.2)+(Data!$L264*1.3)+(Data!$M264*1.5)</f>
        <v>-15.800000000000004</v>
      </c>
      <c r="AV264" s="29">
        <f>(Data!$AS264*0.4)+(Data!$AT264*0.4)+(Data!$AU264*0.2)</f>
        <v>221.26105263157896</v>
      </c>
      <c r="AW264" s="29">
        <f>PERCENTRANK(AV:AV,Data!$AV264)*100</f>
        <v>4.2</v>
      </c>
      <c r="AX264" s="29" t="str">
        <f>_xlfn.CONCAT(TEXT(C264,"mmm"),"-",Data!$AE264)</f>
        <v>Feb-2022</v>
      </c>
    </row>
    <row r="265" spans="1:50" ht="17" thickTop="1" thickBot="1" x14ac:dyDescent="0.25">
      <c r="A265" s="22">
        <v>264</v>
      </c>
      <c r="B265" s="23">
        <f t="shared" si="34"/>
        <v>14</v>
      </c>
      <c r="C265" s="41">
        <v>44619</v>
      </c>
      <c r="D265" s="24">
        <f>SUM(Data!$I265:$M265)</f>
        <v>58</v>
      </c>
      <c r="E265" s="23">
        <v>14</v>
      </c>
      <c r="F265" s="23">
        <v>683</v>
      </c>
      <c r="G265" s="23">
        <v>166</v>
      </c>
      <c r="H265" s="23">
        <v>131</v>
      </c>
      <c r="I265" s="23">
        <v>8</v>
      </c>
      <c r="J265" s="23">
        <v>13</v>
      </c>
      <c r="K265" s="23">
        <v>23</v>
      </c>
      <c r="L265" s="23">
        <v>12</v>
      </c>
      <c r="M265" s="23">
        <v>2</v>
      </c>
      <c r="N265" s="23" t="s">
        <v>91</v>
      </c>
      <c r="O265" s="23" t="s">
        <v>45</v>
      </c>
      <c r="P265" s="23" t="s">
        <v>100</v>
      </c>
      <c r="Q265" s="23">
        <f t="shared" si="40"/>
        <v>3</v>
      </c>
      <c r="R265" s="23" t="str">
        <f t="shared" si="35"/>
        <v>2-2022</v>
      </c>
      <c r="S265" s="23" t="s">
        <v>104</v>
      </c>
      <c r="T265" s="23" t="str">
        <f t="shared" si="36"/>
        <v>Sunday</v>
      </c>
      <c r="U265" s="23">
        <f t="shared" si="37"/>
        <v>1</v>
      </c>
      <c r="V265" s="25">
        <f>IFERROR(Data!$I265/Data!$D265,"")</f>
        <v>0.13793103448275862</v>
      </c>
      <c r="W265" s="25">
        <f>IFERROR(Data!$J265/Data!$D265,"")</f>
        <v>0.22413793103448276</v>
      </c>
      <c r="X265" s="25">
        <f>IFERROR(Data!$K265/Data!$D265,"")</f>
        <v>0.39655172413793105</v>
      </c>
      <c r="Y265" s="25">
        <f>IFERROR(Data!$L265/Data!$D265,"")</f>
        <v>0.20689655172413793</v>
      </c>
      <c r="Z265" s="25">
        <f>IFERROR(Data!$M265/Data!$D265,"")</f>
        <v>3.4482758620689655E-2</v>
      </c>
      <c r="AA265" s="26">
        <v>232.14</v>
      </c>
      <c r="AB265" s="26">
        <f t="shared" si="33"/>
        <v>16.581428571428571</v>
      </c>
      <c r="AC265" s="23">
        <f t="shared" si="38"/>
        <v>653</v>
      </c>
      <c r="AD265" s="23">
        <f t="shared" si="39"/>
        <v>13.571428571428571</v>
      </c>
      <c r="AE265" s="23">
        <f>YEAR(Data!$C265)</f>
        <v>2022</v>
      </c>
      <c r="AF265" s="23"/>
      <c r="AG265" s="23">
        <v>12</v>
      </c>
      <c r="AH265" s="27">
        <f>Data!$F265/Data!$D265</f>
        <v>11.775862068965518</v>
      </c>
      <c r="AI265" s="17" t="str">
        <f>RIGHT(Data!$O265,2)</f>
        <v>AM</v>
      </c>
      <c r="AJ265" s="23" t="str">
        <f>Data!$R265&amp;"-"&amp;WEEKNUM(Data!$C265,1)-WEEKNUM(DATE(YEAR(Data!$C265),MONTH(Data!$C265),1),1)+1</f>
        <v>2-2022-5</v>
      </c>
      <c r="AK265" s="23">
        <f>MONTH(Data!$C265)</f>
        <v>2</v>
      </c>
      <c r="AL265" s="23">
        <f>IFERROR(Data!$F265/Data!$E265,0)</f>
        <v>48.785714285714285</v>
      </c>
      <c r="AM265" s="23">
        <f>COUNTIF(Data!$N$2:$N$825,Data!$N265)</f>
        <v>218</v>
      </c>
      <c r="AN265" s="23" t="str">
        <f>VLOOKUP(Data!$N265,'Helpful Tables'!A:D,4,FALSE)</f>
        <v>Washington, DC</v>
      </c>
      <c r="AO265" s="23">
        <f>COUNTIF(AN:AN,Data!$AN265)/COUNTA(AN:AN)</f>
        <v>0.62424242424242427</v>
      </c>
      <c r="AP265" s="23">
        <v>38.934710000000003</v>
      </c>
      <c r="AQ265" s="23">
        <v>-77.058222999999998</v>
      </c>
      <c r="AR265" s="23">
        <f>COUNTIF(Data!$P$2:$P$825,Data!$P265)</f>
        <v>35</v>
      </c>
      <c r="AS265" s="23" cm="1">
        <f t="array" ref="AS265">_xlfn.IFS(Data!$E265&lt;12,((Data!$E265/Data!$D265)*60)*1,AND(Data!$E265&gt;=12,Data!$E265&lt;=15),((Data!$E265/Data!$D265)*60)*1.2,AND(Data!$E265&gt;=16,Data!$E265&lt;=19),((Data!$E265/Data!$D265)*60)*1.5,Data!$E265&gt;=20,((Data!$E265/Data!$D265)*60)*1.8)</f>
        <v>17.379310344827587</v>
      </c>
      <c r="AT265" s="23" cm="1">
        <f t="array" ref="AT265">_xlfn.IFS(Data!$F265&lt;600,((Data!$F265/Data!$D265)*60)*1,AND(Data!$F265&gt;=600,Data!$F265&lt;=625),((Data!$F265/Data!$D265)*60)*1.2,AND(Data!$F265&gt;=626,Data!$F265&lt;=650),((Data!$F265/Data!$D265)*60)*1.5,Data!$F265&gt;=651,((Data!$F265/Data!$D265)*60)*1.8)</f>
        <v>1271.7931034482758</v>
      </c>
      <c r="AU265" s="23">
        <f>(Data!$I265*-1.2)+(Data!$J265*-1.1)+(Data!$K265*1.2)+(Data!$L265*1.3)+(Data!$M265*1.5)</f>
        <v>22.3</v>
      </c>
      <c r="AV265" s="23">
        <f>(Data!$AS265*0.4)+(Data!$AT265*0.4)+(Data!$AU265*0.2)</f>
        <v>520.12896551724145</v>
      </c>
      <c r="AW265" s="23">
        <f>PERCENTRANK(AV:AV,Data!$AV265)*100</f>
        <v>89.3</v>
      </c>
      <c r="AX265" s="23" t="str">
        <f>_xlfn.CONCAT(TEXT(C265,"mmm"),"-",Data!$AE265)</f>
        <v>Feb-2022</v>
      </c>
    </row>
    <row r="266" spans="1:50" ht="17" thickTop="1" thickBot="1" x14ac:dyDescent="0.25">
      <c r="A266" s="28">
        <v>265</v>
      </c>
      <c r="B266" s="29">
        <f t="shared" si="34"/>
        <v>14</v>
      </c>
      <c r="C266" s="41">
        <v>44620</v>
      </c>
      <c r="D266" s="30">
        <f>SUM(Data!$I266:$M266)</f>
        <v>62</v>
      </c>
      <c r="E266" s="29">
        <v>13</v>
      </c>
      <c r="F266" s="29">
        <v>662</v>
      </c>
      <c r="G266" s="29">
        <v>168</v>
      </c>
      <c r="H266" s="29">
        <v>124</v>
      </c>
      <c r="I266" s="29">
        <v>12</v>
      </c>
      <c r="J266" s="29">
        <v>21</v>
      </c>
      <c r="K266" s="29">
        <v>16</v>
      </c>
      <c r="L266" s="29">
        <v>12</v>
      </c>
      <c r="M266" s="29">
        <v>1</v>
      </c>
      <c r="N266" s="29" t="s">
        <v>101</v>
      </c>
      <c r="O266" s="29" t="s">
        <v>39</v>
      </c>
      <c r="P266" s="29" t="s">
        <v>133</v>
      </c>
      <c r="Q266" s="29">
        <f t="shared" si="40"/>
        <v>1</v>
      </c>
      <c r="R266" s="29" t="str">
        <f t="shared" si="35"/>
        <v>2-2022</v>
      </c>
      <c r="S266" s="29" t="s">
        <v>104</v>
      </c>
      <c r="T266" s="29" t="str">
        <f t="shared" si="36"/>
        <v>Monday</v>
      </c>
      <c r="U266" s="29">
        <f t="shared" si="37"/>
        <v>1</v>
      </c>
      <c r="V266" s="31">
        <f>IFERROR(Data!$I266/Data!$D266,"")</f>
        <v>0.19354838709677419</v>
      </c>
      <c r="W266" s="31">
        <f>IFERROR(Data!$J266/Data!$D266,"")</f>
        <v>0.33870967741935482</v>
      </c>
      <c r="X266" s="31">
        <f>IFERROR(Data!$K266/Data!$D266,"")</f>
        <v>0.25806451612903225</v>
      </c>
      <c r="Y266" s="31">
        <f>IFERROR(Data!$L266/Data!$D266,"")</f>
        <v>0.19354838709677419</v>
      </c>
      <c r="Z266" s="31">
        <f>IFERROR(Data!$M266/Data!$D266,"")</f>
        <v>1.6129032258064516E-2</v>
      </c>
      <c r="AA266" s="32">
        <v>232.14</v>
      </c>
      <c r="AB266" s="32">
        <f t="shared" si="33"/>
        <v>16.581428571428571</v>
      </c>
      <c r="AC266" s="29">
        <f t="shared" si="38"/>
        <v>653</v>
      </c>
      <c r="AD266" s="29">
        <f t="shared" si="39"/>
        <v>13.571428571428571</v>
      </c>
      <c r="AE266" s="29">
        <f>YEAR(Data!$C266)</f>
        <v>2022</v>
      </c>
      <c r="AF266" s="29"/>
      <c r="AG266" s="29">
        <v>12</v>
      </c>
      <c r="AH266" s="33">
        <f>Data!$F266/Data!$D266</f>
        <v>10.67741935483871</v>
      </c>
      <c r="AI266" s="17" t="str">
        <f>RIGHT(Data!$O266,2)</f>
        <v>PM</v>
      </c>
      <c r="AJ266" s="29" t="str">
        <f>Data!$R266&amp;"-"&amp;WEEKNUM(Data!$C266,1)-WEEKNUM(DATE(YEAR(Data!$C266),MONTH(Data!$C266),1),1)+1</f>
        <v>2-2022-5</v>
      </c>
      <c r="AK266" s="29">
        <f>MONTH(Data!$C266)</f>
        <v>2</v>
      </c>
      <c r="AL266" s="29">
        <f>IFERROR(Data!$F266/Data!$E266,0)</f>
        <v>50.92307692307692</v>
      </c>
      <c r="AM266" s="29">
        <f>COUNTIF(Data!$N$2:$N$825,Data!$N266)</f>
        <v>191</v>
      </c>
      <c r="AN266" s="29" t="str">
        <f>VLOOKUP(Data!$N266,'Helpful Tables'!A:D,4,FALSE)</f>
        <v>Washington, DC</v>
      </c>
      <c r="AO266" s="29">
        <f>COUNTIF(AN:AN,Data!$AN266)/COUNTA(AN:AN)</f>
        <v>0.62424242424242427</v>
      </c>
      <c r="AP266" s="29">
        <v>38.949649000000001</v>
      </c>
      <c r="AQ266" s="29">
        <v>-77.080878999999996</v>
      </c>
      <c r="AR266" s="29">
        <f>COUNTIF(Data!$P$2:$P$825,Data!$P266)</f>
        <v>25</v>
      </c>
      <c r="AS266" s="29" cm="1">
        <f t="array" ref="AS266">_xlfn.IFS(Data!$E266&lt;12,((Data!$E266/Data!$D266)*60)*1,AND(Data!$E266&gt;=12,Data!$E266&lt;=15),((Data!$E266/Data!$D266)*60)*1.2,AND(Data!$E266&gt;=16,Data!$E266&lt;=19),((Data!$E266/Data!$D266)*60)*1.5,Data!$E266&gt;=20,((Data!$E266/Data!$D266)*60)*1.8)</f>
        <v>15.096774193548388</v>
      </c>
      <c r="AT266" s="29" cm="1">
        <f t="array" ref="AT266">_xlfn.IFS(Data!$F266&lt;600,((Data!$F266/Data!$D266)*60)*1,AND(Data!$F266&gt;=600,Data!$F266&lt;=625),((Data!$F266/Data!$D266)*60)*1.2,AND(Data!$F266&gt;=626,Data!$F266&lt;=650),((Data!$F266/Data!$D266)*60)*1.5,Data!$F266&gt;=651,((Data!$F266/Data!$D266)*60)*1.8)</f>
        <v>1153.1612903225807</v>
      </c>
      <c r="AU266" s="29">
        <f>(Data!$I266*-1.2)+(Data!$J266*-1.1)+(Data!$K266*1.2)+(Data!$L266*1.3)+(Data!$M266*1.5)</f>
        <v>-1.1999999999999993</v>
      </c>
      <c r="AV266" s="29">
        <f>(Data!$AS266*0.4)+(Data!$AT266*0.4)+(Data!$AU266*0.2)</f>
        <v>467.06322580645167</v>
      </c>
      <c r="AW266" s="29">
        <f>PERCENTRANK(AV:AV,Data!$AV266)*100</f>
        <v>66.5</v>
      </c>
      <c r="AX266" s="29" t="str">
        <f>_xlfn.CONCAT(TEXT(C266,"mmm"),"-",Data!$AE266)</f>
        <v>Feb-2022</v>
      </c>
    </row>
    <row r="267" spans="1:50" ht="17" thickTop="1" thickBot="1" x14ac:dyDescent="0.25">
      <c r="A267" s="22">
        <v>266</v>
      </c>
      <c r="B267" s="23">
        <f t="shared" si="34"/>
        <v>14</v>
      </c>
      <c r="C267" s="41">
        <v>44622</v>
      </c>
      <c r="D267" s="24">
        <f>SUM(Data!$I267:$M267)</f>
        <v>55</v>
      </c>
      <c r="E267" s="23">
        <v>14</v>
      </c>
      <c r="F267" s="23">
        <v>554</v>
      </c>
      <c r="G267" s="23">
        <v>168</v>
      </c>
      <c r="H267" s="23">
        <v>119</v>
      </c>
      <c r="I267" s="23">
        <v>20</v>
      </c>
      <c r="J267" s="23">
        <v>8</v>
      </c>
      <c r="K267" s="23">
        <v>13</v>
      </c>
      <c r="L267" s="23">
        <v>12</v>
      </c>
      <c r="M267" s="23">
        <v>2</v>
      </c>
      <c r="N267" s="23" t="s">
        <v>91</v>
      </c>
      <c r="O267" s="23" t="s">
        <v>39</v>
      </c>
      <c r="P267" s="23" t="s">
        <v>96</v>
      </c>
      <c r="Q267" s="23">
        <f t="shared" si="40"/>
        <v>2</v>
      </c>
      <c r="R267" s="23" t="str">
        <f t="shared" si="35"/>
        <v>3-2022</v>
      </c>
      <c r="S267" s="23" t="s">
        <v>117</v>
      </c>
      <c r="T267" s="23" t="str">
        <f t="shared" si="36"/>
        <v>Wednesday</v>
      </c>
      <c r="U267" s="23">
        <f t="shared" si="37"/>
        <v>1</v>
      </c>
      <c r="V267" s="25">
        <f>IFERROR(Data!$I267/Data!$D267,"")</f>
        <v>0.36363636363636365</v>
      </c>
      <c r="W267" s="25">
        <f>IFERROR(Data!$J267/Data!$D267,"")</f>
        <v>0.14545454545454545</v>
      </c>
      <c r="X267" s="25">
        <f>IFERROR(Data!$K267/Data!$D267,"")</f>
        <v>0.23636363636363636</v>
      </c>
      <c r="Y267" s="25">
        <f>IFERROR(Data!$L267/Data!$D267,"")</f>
        <v>0.21818181818181817</v>
      </c>
      <c r="Z267" s="25">
        <f>IFERROR(Data!$M267/Data!$D267,"")</f>
        <v>3.6363636363636362E-2</v>
      </c>
      <c r="AA267" s="26">
        <v>232.14</v>
      </c>
      <c r="AB267" s="26">
        <f t="shared" si="33"/>
        <v>16.581428571428571</v>
      </c>
      <c r="AC267" s="23">
        <f t="shared" si="38"/>
        <v>641</v>
      </c>
      <c r="AD267" s="23">
        <f t="shared" si="39"/>
        <v>14.714285714285714</v>
      </c>
      <c r="AE267" s="23">
        <f>YEAR(Data!$C267)</f>
        <v>2022</v>
      </c>
      <c r="AF267" s="23"/>
      <c r="AG267" s="23">
        <v>12</v>
      </c>
      <c r="AH267" s="27">
        <f>Data!$F267/Data!$D267</f>
        <v>10.072727272727272</v>
      </c>
      <c r="AI267" s="17" t="str">
        <f>RIGHT(Data!$O267,2)</f>
        <v>PM</v>
      </c>
      <c r="AJ267" s="23" t="str">
        <f>Data!$R267&amp;"-"&amp;WEEKNUM(Data!$C267,1)-WEEKNUM(DATE(YEAR(Data!$C267),MONTH(Data!$C267),1),1)+1</f>
        <v>3-2022-1</v>
      </c>
      <c r="AK267" s="23">
        <f>MONTH(Data!$C267)</f>
        <v>3</v>
      </c>
      <c r="AL267" s="23">
        <f>IFERROR(Data!$F267/Data!$E267,0)</f>
        <v>39.571428571428569</v>
      </c>
      <c r="AM267" s="23">
        <f>COUNTIF(Data!$N$2:$N$825,Data!$N267)</f>
        <v>218</v>
      </c>
      <c r="AN267" s="23" t="str">
        <f>VLOOKUP(Data!$N267,'Helpful Tables'!A:D,4,FALSE)</f>
        <v>Washington, DC</v>
      </c>
      <c r="AO267" s="23">
        <f>COUNTIF(AN:AN,Data!$AN267)/COUNTA(AN:AN)</f>
        <v>0.62424242424242427</v>
      </c>
      <c r="AP267" s="23">
        <v>38.934710000000003</v>
      </c>
      <c r="AQ267" s="23">
        <v>-77.058222999999998</v>
      </c>
      <c r="AR267" s="23">
        <f>COUNTIF(Data!$P$2:$P$825,Data!$P267)</f>
        <v>71</v>
      </c>
      <c r="AS267" s="23" cm="1">
        <f t="array" ref="AS267">_xlfn.IFS(Data!$E267&lt;12,((Data!$E267/Data!$D267)*60)*1,AND(Data!$E267&gt;=12,Data!$E267&lt;=15),((Data!$E267/Data!$D267)*60)*1.2,AND(Data!$E267&gt;=16,Data!$E267&lt;=19),((Data!$E267/Data!$D267)*60)*1.5,Data!$E267&gt;=20,((Data!$E267/Data!$D267)*60)*1.8)</f>
        <v>18.327272727272724</v>
      </c>
      <c r="AT267" s="23" cm="1">
        <f t="array" ref="AT267">_xlfn.IFS(Data!$F267&lt;600,((Data!$F267/Data!$D267)*60)*1,AND(Data!$F267&gt;=600,Data!$F267&lt;=625),((Data!$F267/Data!$D267)*60)*1.2,AND(Data!$F267&gt;=626,Data!$F267&lt;=650),((Data!$F267/Data!$D267)*60)*1.5,Data!$F267&gt;=651,((Data!$F267/Data!$D267)*60)*1.8)</f>
        <v>604.36363636363637</v>
      </c>
      <c r="AU267" s="23">
        <f>(Data!$I267*-1.2)+(Data!$J267*-1.1)+(Data!$K267*1.2)+(Data!$L267*1.3)+(Data!$M267*1.5)</f>
        <v>1.4000000000000057</v>
      </c>
      <c r="AV267" s="23">
        <f>(Data!$AS267*0.4)+(Data!$AT267*0.4)+(Data!$AU267*0.2)</f>
        <v>249.35636363636365</v>
      </c>
      <c r="AW267" s="23">
        <f>PERCENTRANK(AV:AV,Data!$AV267)*100</f>
        <v>16.7</v>
      </c>
      <c r="AX267" s="23" t="str">
        <f>_xlfn.CONCAT(TEXT(C267,"mmm"),"-",Data!$AE267)</f>
        <v>Mar-2022</v>
      </c>
    </row>
    <row r="268" spans="1:50" ht="17" thickTop="1" thickBot="1" x14ac:dyDescent="0.25">
      <c r="A268" s="28">
        <v>267</v>
      </c>
      <c r="B268" s="29">
        <f t="shared" si="34"/>
        <v>14</v>
      </c>
      <c r="C268" s="41">
        <v>44624</v>
      </c>
      <c r="D268" s="30">
        <f>SUM(Data!$I268:$M268)</f>
        <v>60</v>
      </c>
      <c r="E268" s="29">
        <v>9</v>
      </c>
      <c r="F268" s="29">
        <v>534</v>
      </c>
      <c r="G268" s="29">
        <v>156</v>
      </c>
      <c r="H268" s="29">
        <v>113</v>
      </c>
      <c r="I268" s="29">
        <v>26</v>
      </c>
      <c r="J268" s="29">
        <v>10</v>
      </c>
      <c r="K268" s="29">
        <v>15</v>
      </c>
      <c r="L268" s="29">
        <v>9</v>
      </c>
      <c r="M268" s="29">
        <v>0</v>
      </c>
      <c r="N268" s="29" t="s">
        <v>101</v>
      </c>
      <c r="O268" s="29" t="s">
        <v>107</v>
      </c>
      <c r="P268" s="29" t="s">
        <v>118</v>
      </c>
      <c r="Q268" s="29">
        <f t="shared" si="40"/>
        <v>2</v>
      </c>
      <c r="R268" s="29" t="str">
        <f t="shared" si="35"/>
        <v>3-2022</v>
      </c>
      <c r="S268" s="29" t="s">
        <v>104</v>
      </c>
      <c r="T268" s="29" t="str">
        <f t="shared" si="36"/>
        <v>Friday</v>
      </c>
      <c r="U268" s="29">
        <f t="shared" si="37"/>
        <v>0</v>
      </c>
      <c r="V268" s="31">
        <f>IFERROR(Data!$I268/Data!$D268,"")</f>
        <v>0.43333333333333335</v>
      </c>
      <c r="W268" s="31">
        <f>IFERROR(Data!$J268/Data!$D268,"")</f>
        <v>0.16666666666666666</v>
      </c>
      <c r="X268" s="31">
        <f>IFERROR(Data!$K268/Data!$D268,"")</f>
        <v>0.25</v>
      </c>
      <c r="Y268" s="31">
        <f>IFERROR(Data!$L268/Data!$D268,"")</f>
        <v>0.15</v>
      </c>
      <c r="Z268" s="31">
        <f>IFERROR(Data!$M268/Data!$D268,"")</f>
        <v>0</v>
      </c>
      <c r="AA268" s="32">
        <v>232.14</v>
      </c>
      <c r="AB268" s="32">
        <f t="shared" si="33"/>
        <v>16.581428571428571</v>
      </c>
      <c r="AC268" s="29">
        <f t="shared" si="38"/>
        <v>641</v>
      </c>
      <c r="AD268" s="29">
        <f t="shared" si="39"/>
        <v>14.714285714285714</v>
      </c>
      <c r="AE268" s="29">
        <f>YEAR(Data!$C268)</f>
        <v>2022</v>
      </c>
      <c r="AF268" s="29"/>
      <c r="AG268" s="29">
        <v>12</v>
      </c>
      <c r="AH268" s="33">
        <f>Data!$F268/Data!$D268</f>
        <v>8.9</v>
      </c>
      <c r="AI268" s="17" t="str">
        <f>RIGHT(Data!$O268,2)</f>
        <v>AM</v>
      </c>
      <c r="AJ268" s="29" t="str">
        <f>Data!$R268&amp;"-"&amp;WEEKNUM(Data!$C268,1)-WEEKNUM(DATE(YEAR(Data!$C268),MONTH(Data!$C268),1),1)+1</f>
        <v>3-2022-1</v>
      </c>
      <c r="AK268" s="29">
        <f>MONTH(Data!$C268)</f>
        <v>3</v>
      </c>
      <c r="AL268" s="29">
        <f>IFERROR(Data!$F268/Data!$E268,0)</f>
        <v>59.333333333333336</v>
      </c>
      <c r="AM268" s="29">
        <f>COUNTIF(Data!$N$2:$N$825,Data!$N268)</f>
        <v>191</v>
      </c>
      <c r="AN268" s="29" t="str">
        <f>VLOOKUP(Data!$N268,'Helpful Tables'!A:D,4,FALSE)</f>
        <v>Washington, DC</v>
      </c>
      <c r="AO268" s="29">
        <f>COUNTIF(AN:AN,Data!$AN268)/COUNTA(AN:AN)</f>
        <v>0.62424242424242427</v>
      </c>
      <c r="AP268" s="29">
        <v>38.949649000000001</v>
      </c>
      <c r="AQ268" s="29">
        <v>-77.080878999999996</v>
      </c>
      <c r="AR268" s="29">
        <f>COUNTIF(Data!$P$2:$P$825,Data!$P268)</f>
        <v>16</v>
      </c>
      <c r="AS268" s="29" cm="1">
        <f t="array" ref="AS268">_xlfn.IFS(Data!$E268&lt;12,((Data!$E268/Data!$D268)*60)*1,AND(Data!$E268&gt;=12,Data!$E268&lt;=15),((Data!$E268/Data!$D268)*60)*1.2,AND(Data!$E268&gt;=16,Data!$E268&lt;=19),((Data!$E268/Data!$D268)*60)*1.5,Data!$E268&gt;=20,((Data!$E268/Data!$D268)*60)*1.8)</f>
        <v>9</v>
      </c>
      <c r="AT268" s="29" cm="1">
        <f t="array" ref="AT268">_xlfn.IFS(Data!$F268&lt;600,((Data!$F268/Data!$D268)*60)*1,AND(Data!$F268&gt;=600,Data!$F268&lt;=625),((Data!$F268/Data!$D268)*60)*1.2,AND(Data!$F268&gt;=626,Data!$F268&lt;=650),((Data!$F268/Data!$D268)*60)*1.5,Data!$F268&gt;=651,((Data!$F268/Data!$D268)*60)*1.8)</f>
        <v>534</v>
      </c>
      <c r="AU268" s="29">
        <f>(Data!$I268*-1.2)+(Data!$J268*-1.1)+(Data!$K268*1.2)+(Data!$L268*1.3)+(Data!$M268*1.5)</f>
        <v>-12.500000000000002</v>
      </c>
      <c r="AV268" s="29">
        <f>(Data!$AS268*0.4)+(Data!$AT268*0.4)+(Data!$AU268*0.2)</f>
        <v>214.70000000000002</v>
      </c>
      <c r="AW268" s="29">
        <f>PERCENTRANK(AV:AV,Data!$AV268)*100</f>
        <v>2.2999999999999998</v>
      </c>
      <c r="AX268" s="29" t="str">
        <f>_xlfn.CONCAT(TEXT(C268,"mmm"),"-",Data!$AE268)</f>
        <v>Mar-2022</v>
      </c>
    </row>
    <row r="269" spans="1:50" ht="17" thickTop="1" thickBot="1" x14ac:dyDescent="0.25">
      <c r="A269" s="22">
        <v>268</v>
      </c>
      <c r="B269" s="23">
        <f t="shared" si="34"/>
        <v>14</v>
      </c>
      <c r="C269" s="41">
        <v>44625</v>
      </c>
      <c r="D269" s="24">
        <f>SUM(Data!$I269:$M269)</f>
        <v>59</v>
      </c>
      <c r="E269" s="23">
        <v>17</v>
      </c>
      <c r="F269" s="23">
        <v>649</v>
      </c>
      <c r="G269" s="23">
        <v>165</v>
      </c>
      <c r="H269" s="23">
        <v>125</v>
      </c>
      <c r="I269" s="23">
        <v>20</v>
      </c>
      <c r="J269" s="23">
        <v>10</v>
      </c>
      <c r="K269" s="23">
        <v>12</v>
      </c>
      <c r="L269" s="23">
        <v>15</v>
      </c>
      <c r="M269" s="23">
        <v>2</v>
      </c>
      <c r="N269" s="23" t="s">
        <v>101</v>
      </c>
      <c r="O269" s="23" t="s">
        <v>45</v>
      </c>
      <c r="P269" s="23" t="s">
        <v>109</v>
      </c>
      <c r="Q269" s="23">
        <f t="shared" si="40"/>
        <v>1</v>
      </c>
      <c r="R269" s="23" t="str">
        <f t="shared" si="35"/>
        <v>3-2022</v>
      </c>
      <c r="S269" s="23" t="s">
        <v>117</v>
      </c>
      <c r="T269" s="23" t="str">
        <f t="shared" si="36"/>
        <v>Saturday</v>
      </c>
      <c r="U269" s="23">
        <f t="shared" si="37"/>
        <v>1</v>
      </c>
      <c r="V269" s="25">
        <f>IFERROR(Data!$I269/Data!$D269,"")</f>
        <v>0.33898305084745761</v>
      </c>
      <c r="W269" s="25">
        <f>IFERROR(Data!$J269/Data!$D269,"")</f>
        <v>0.16949152542372881</v>
      </c>
      <c r="X269" s="25">
        <f>IFERROR(Data!$K269/Data!$D269,"")</f>
        <v>0.20338983050847459</v>
      </c>
      <c r="Y269" s="25">
        <f>IFERROR(Data!$L269/Data!$D269,"")</f>
        <v>0.25423728813559321</v>
      </c>
      <c r="Z269" s="25">
        <f>IFERROR(Data!$M269/Data!$D269,"")</f>
        <v>3.3898305084745763E-2</v>
      </c>
      <c r="AA269" s="26">
        <v>232.14</v>
      </c>
      <c r="AB269" s="26">
        <f t="shared" si="33"/>
        <v>16.581428571428571</v>
      </c>
      <c r="AC269" s="23">
        <f t="shared" si="38"/>
        <v>641</v>
      </c>
      <c r="AD269" s="23">
        <f t="shared" si="39"/>
        <v>14.714285714285714</v>
      </c>
      <c r="AE269" s="23">
        <f>YEAR(Data!$C269)</f>
        <v>2022</v>
      </c>
      <c r="AF269" s="23"/>
      <c r="AG269" s="23">
        <v>12</v>
      </c>
      <c r="AH269" s="27">
        <f>Data!$F269/Data!$D269</f>
        <v>11</v>
      </c>
      <c r="AI269" s="17" t="str">
        <f>RIGHT(Data!$O269,2)</f>
        <v>AM</v>
      </c>
      <c r="AJ269" s="23" t="str">
        <f>Data!$R269&amp;"-"&amp;WEEKNUM(Data!$C269,1)-WEEKNUM(DATE(YEAR(Data!$C269),MONTH(Data!$C269),1),1)+1</f>
        <v>3-2022-1</v>
      </c>
      <c r="AK269" s="23">
        <f>MONTH(Data!$C269)</f>
        <v>3</v>
      </c>
      <c r="AL269" s="23">
        <f>IFERROR(Data!$F269/Data!$E269,0)</f>
        <v>38.176470588235297</v>
      </c>
      <c r="AM269" s="23">
        <f>COUNTIF(Data!$N$2:$N$825,Data!$N269)</f>
        <v>191</v>
      </c>
      <c r="AN269" s="23" t="str">
        <f>VLOOKUP(Data!$N269,'Helpful Tables'!A:D,4,FALSE)</f>
        <v>Washington, DC</v>
      </c>
      <c r="AO269" s="23">
        <f>COUNTIF(AN:AN,Data!$AN269)/COUNTA(AN:AN)</f>
        <v>0.62424242424242427</v>
      </c>
      <c r="AP269" s="23">
        <v>38.949649000000001</v>
      </c>
      <c r="AQ269" s="23">
        <v>-77.080878999999996</v>
      </c>
      <c r="AR269" s="23">
        <f>COUNTIF(Data!$P$2:$P$825,Data!$P269)</f>
        <v>66</v>
      </c>
      <c r="AS269" s="23" cm="1">
        <f t="array" ref="AS269">_xlfn.IFS(Data!$E269&lt;12,((Data!$E269/Data!$D269)*60)*1,AND(Data!$E269&gt;=12,Data!$E269&lt;=15),((Data!$E269/Data!$D269)*60)*1.2,AND(Data!$E269&gt;=16,Data!$E269&lt;=19),((Data!$E269/Data!$D269)*60)*1.5,Data!$E269&gt;=20,((Data!$E269/Data!$D269)*60)*1.8)</f>
        <v>25.932203389830509</v>
      </c>
      <c r="AT269" s="23" cm="1">
        <f t="array" ref="AT269">_xlfn.IFS(Data!$F269&lt;600,((Data!$F269/Data!$D269)*60)*1,AND(Data!$F269&gt;=600,Data!$F269&lt;=625),((Data!$F269/Data!$D269)*60)*1.2,AND(Data!$F269&gt;=626,Data!$F269&lt;=650),((Data!$F269/Data!$D269)*60)*1.5,Data!$F269&gt;=651,((Data!$F269/Data!$D269)*60)*1.8)</f>
        <v>990</v>
      </c>
      <c r="AU269" s="23">
        <f>(Data!$I269*-1.2)+(Data!$J269*-1.1)+(Data!$K269*1.2)+(Data!$L269*1.3)+(Data!$M269*1.5)</f>
        <v>1.8999999999999986</v>
      </c>
      <c r="AV269" s="23">
        <f>(Data!$AS269*0.4)+(Data!$AT269*0.4)+(Data!$AU269*0.2)</f>
        <v>406.75288135593217</v>
      </c>
      <c r="AW269" s="23">
        <f>PERCENTRANK(AV:AV,Data!$AV269)*100</f>
        <v>55.800000000000004</v>
      </c>
      <c r="AX269" s="23" t="str">
        <f>_xlfn.CONCAT(TEXT(C269,"mmm"),"-",Data!$AE269)</f>
        <v>Mar-2022</v>
      </c>
    </row>
    <row r="270" spans="1:50" ht="17" thickTop="1" thickBot="1" x14ac:dyDescent="0.25">
      <c r="A270" s="28">
        <v>268</v>
      </c>
      <c r="B270" s="29">
        <f t="shared" si="34"/>
        <v>14</v>
      </c>
      <c r="C270" s="41">
        <v>44627</v>
      </c>
      <c r="D270" s="30">
        <f>SUM(Data!$I270:$M270)</f>
        <v>61</v>
      </c>
      <c r="E270" s="29">
        <v>20</v>
      </c>
      <c r="F270" s="29">
        <v>703</v>
      </c>
      <c r="G270" s="29">
        <v>167</v>
      </c>
      <c r="H270" s="29">
        <v>129</v>
      </c>
      <c r="I270" s="29">
        <v>13</v>
      </c>
      <c r="J270" s="29">
        <v>14</v>
      </c>
      <c r="K270" s="29">
        <v>14</v>
      </c>
      <c r="L270" s="29">
        <v>19</v>
      </c>
      <c r="M270" s="29">
        <v>1</v>
      </c>
      <c r="N270" s="29" t="s">
        <v>101</v>
      </c>
      <c r="O270" s="29" t="s">
        <v>39</v>
      </c>
      <c r="P270" s="29" t="s">
        <v>133</v>
      </c>
      <c r="Q270" s="29">
        <f t="shared" si="40"/>
        <v>2</v>
      </c>
      <c r="R270" s="29" t="str">
        <f t="shared" si="35"/>
        <v>3-2022</v>
      </c>
      <c r="S270" s="29" t="s">
        <v>104</v>
      </c>
      <c r="T270" s="29" t="str">
        <f t="shared" si="36"/>
        <v>Monday</v>
      </c>
      <c r="U270" s="29">
        <f t="shared" si="37"/>
        <v>1</v>
      </c>
      <c r="V270" s="31">
        <f>IFERROR(Data!$I270/Data!$D270,"")</f>
        <v>0.21311475409836064</v>
      </c>
      <c r="W270" s="31">
        <f>IFERROR(Data!$J270/Data!$D270,"")</f>
        <v>0.22950819672131148</v>
      </c>
      <c r="X270" s="31">
        <f>IFERROR(Data!$K270/Data!$D270,"")</f>
        <v>0.22950819672131148</v>
      </c>
      <c r="Y270" s="31">
        <f>IFERROR(Data!$L270/Data!$D270,"")</f>
        <v>0.31147540983606559</v>
      </c>
      <c r="Z270" s="31">
        <f>IFERROR(Data!$M270/Data!$D270,"")</f>
        <v>1.6393442622950821E-2</v>
      </c>
      <c r="AA270" s="32">
        <v>232.14</v>
      </c>
      <c r="AB270" s="32">
        <f t="shared" si="33"/>
        <v>16.581428571428571</v>
      </c>
      <c r="AC270" s="29">
        <f t="shared" si="38"/>
        <v>641</v>
      </c>
      <c r="AD270" s="29">
        <f t="shared" si="39"/>
        <v>14.714285714285714</v>
      </c>
      <c r="AE270" s="29">
        <f>YEAR(Data!$C270)</f>
        <v>2022</v>
      </c>
      <c r="AF270" s="29"/>
      <c r="AG270" s="29">
        <v>12</v>
      </c>
      <c r="AH270" s="33">
        <f>Data!$F270/Data!$D270</f>
        <v>11.524590163934427</v>
      </c>
      <c r="AI270" s="17" t="str">
        <f>RIGHT(Data!$O270,2)</f>
        <v>PM</v>
      </c>
      <c r="AJ270" s="29" t="str">
        <f>Data!$R270&amp;"-"&amp;WEEKNUM(Data!$C270,1)-WEEKNUM(DATE(YEAR(Data!$C270),MONTH(Data!$C270),1),1)+1</f>
        <v>3-2022-2</v>
      </c>
      <c r="AK270" s="29">
        <f>MONTH(Data!$C270)</f>
        <v>3</v>
      </c>
      <c r="AL270" s="29">
        <f>IFERROR(Data!$F270/Data!$E270,0)</f>
        <v>35.15</v>
      </c>
      <c r="AM270" s="29">
        <f>COUNTIF(Data!$N$2:$N$825,Data!$N270)</f>
        <v>191</v>
      </c>
      <c r="AN270" s="29" t="str">
        <f>VLOOKUP(Data!$N270,'Helpful Tables'!A:D,4,FALSE)</f>
        <v>Washington, DC</v>
      </c>
      <c r="AO270" s="29">
        <f>COUNTIF(AN:AN,Data!$AN270)/COUNTA(AN:AN)</f>
        <v>0.62424242424242427</v>
      </c>
      <c r="AP270" s="29">
        <v>38.949649000000001</v>
      </c>
      <c r="AQ270" s="29">
        <v>-77.080878999999996</v>
      </c>
      <c r="AR270" s="29">
        <f>COUNTIF(Data!$P$2:$P$825,Data!$P270)</f>
        <v>25</v>
      </c>
      <c r="AS270" s="29" cm="1">
        <f t="array" ref="AS270">_xlfn.IFS(Data!$E270&lt;12,((Data!$E270/Data!$D270)*60)*1,AND(Data!$E270&gt;=12,Data!$E270&lt;=15),((Data!$E270/Data!$D270)*60)*1.2,AND(Data!$E270&gt;=16,Data!$E270&lt;=19),((Data!$E270/Data!$D270)*60)*1.5,Data!$E270&gt;=20,((Data!$E270/Data!$D270)*60)*1.8)</f>
        <v>35.409836065573764</v>
      </c>
      <c r="AT270" s="29" cm="1">
        <f t="array" ref="AT270">_xlfn.IFS(Data!$F270&lt;600,((Data!$F270/Data!$D270)*60)*1,AND(Data!$F270&gt;=600,Data!$F270&lt;=625),((Data!$F270/Data!$D270)*60)*1.2,AND(Data!$F270&gt;=626,Data!$F270&lt;=650),((Data!$F270/Data!$D270)*60)*1.5,Data!$F270&gt;=651,((Data!$F270/Data!$D270)*60)*1.8)</f>
        <v>1244.6557377049182</v>
      </c>
      <c r="AU270" s="29">
        <f>(Data!$I270*-1.2)+(Data!$J270*-1.1)+(Data!$K270*1.2)+(Data!$L270*1.3)+(Data!$M270*1.5)</f>
        <v>12</v>
      </c>
      <c r="AV270" s="29">
        <f>(Data!$AS270*0.4)+(Data!$AT270*0.4)+(Data!$AU270*0.2)</f>
        <v>514.4262295081968</v>
      </c>
      <c r="AW270" s="29">
        <f>PERCENTRANK(AV:AV,Data!$AV270)*100</f>
        <v>86.7</v>
      </c>
      <c r="AX270" s="29" t="str">
        <f>_xlfn.CONCAT(TEXT(C270,"mmm"),"-",Data!$AE270)</f>
        <v>Mar-2022</v>
      </c>
    </row>
    <row r="271" spans="1:50" ht="17" thickTop="1" thickBot="1" x14ac:dyDescent="0.25">
      <c r="A271" s="22">
        <v>270</v>
      </c>
      <c r="B271" s="23">
        <f t="shared" si="34"/>
        <v>14</v>
      </c>
      <c r="C271" s="41">
        <v>44629</v>
      </c>
      <c r="D271" s="24">
        <f>SUM(Data!$I271:$M271)</f>
        <v>60</v>
      </c>
      <c r="E271" s="23">
        <v>12</v>
      </c>
      <c r="F271" s="23">
        <v>629</v>
      </c>
      <c r="G271" s="23">
        <v>163</v>
      </c>
      <c r="H271" s="23">
        <v>123</v>
      </c>
      <c r="I271" s="23">
        <v>16</v>
      </c>
      <c r="J271" s="23">
        <v>17</v>
      </c>
      <c r="K271" s="23">
        <v>15</v>
      </c>
      <c r="L271" s="23">
        <v>12</v>
      </c>
      <c r="M271" s="23">
        <v>0</v>
      </c>
      <c r="N271" s="23" t="s">
        <v>91</v>
      </c>
      <c r="O271" s="23" t="s">
        <v>39</v>
      </c>
      <c r="P271" s="23" t="s">
        <v>96</v>
      </c>
      <c r="Q271" s="23">
        <f t="shared" si="40"/>
        <v>2</v>
      </c>
      <c r="R271" s="23" t="str">
        <f t="shared" si="35"/>
        <v>3-2022</v>
      </c>
      <c r="S271" s="23" t="s">
        <v>117</v>
      </c>
      <c r="T271" s="23" t="str">
        <f t="shared" si="36"/>
        <v>Wednesday</v>
      </c>
      <c r="U271" s="23">
        <f t="shared" si="37"/>
        <v>1</v>
      </c>
      <c r="V271" s="25">
        <f>IFERROR(Data!$I271/Data!$D271,"")</f>
        <v>0.26666666666666666</v>
      </c>
      <c r="W271" s="25">
        <f>IFERROR(Data!$J271/Data!$D271,"")</f>
        <v>0.28333333333333333</v>
      </c>
      <c r="X271" s="25">
        <f>IFERROR(Data!$K271/Data!$D271,"")</f>
        <v>0.25</v>
      </c>
      <c r="Y271" s="25">
        <f>IFERROR(Data!$L271/Data!$D271,"")</f>
        <v>0.2</v>
      </c>
      <c r="Z271" s="25">
        <f>IFERROR(Data!$M271/Data!$D271,"")</f>
        <v>0</v>
      </c>
      <c r="AA271" s="26">
        <v>232.14</v>
      </c>
      <c r="AB271" s="26">
        <f t="shared" si="33"/>
        <v>16.581428571428571</v>
      </c>
      <c r="AC271" s="23">
        <f t="shared" si="38"/>
        <v>641</v>
      </c>
      <c r="AD271" s="23">
        <f t="shared" si="39"/>
        <v>14.714285714285714</v>
      </c>
      <c r="AE271" s="23">
        <f>YEAR(Data!$C271)</f>
        <v>2022</v>
      </c>
      <c r="AF271" s="23"/>
      <c r="AG271" s="23">
        <v>12</v>
      </c>
      <c r="AH271" s="27">
        <f>Data!$F271/Data!$D271</f>
        <v>10.483333333333333</v>
      </c>
      <c r="AI271" s="17" t="str">
        <f>RIGHT(Data!$O271,2)</f>
        <v>PM</v>
      </c>
      <c r="AJ271" s="23" t="str">
        <f>Data!$R271&amp;"-"&amp;WEEKNUM(Data!$C271,1)-WEEKNUM(DATE(YEAR(Data!$C271),MONTH(Data!$C271),1),1)+1</f>
        <v>3-2022-2</v>
      </c>
      <c r="AK271" s="23">
        <f>MONTH(Data!$C271)</f>
        <v>3</v>
      </c>
      <c r="AL271" s="23">
        <f>IFERROR(Data!$F271/Data!$E271,0)</f>
        <v>52.416666666666664</v>
      </c>
      <c r="AM271" s="23">
        <f>COUNTIF(Data!$N$2:$N$825,Data!$N271)</f>
        <v>218</v>
      </c>
      <c r="AN271" s="23" t="str">
        <f>VLOOKUP(Data!$N271,'Helpful Tables'!A:D,4,FALSE)</f>
        <v>Washington, DC</v>
      </c>
      <c r="AO271" s="23">
        <f>COUNTIF(AN:AN,Data!$AN271)/COUNTA(AN:AN)</f>
        <v>0.62424242424242427</v>
      </c>
      <c r="AP271" s="23">
        <v>38.934710000000003</v>
      </c>
      <c r="AQ271" s="23">
        <v>-77.058222999999998</v>
      </c>
      <c r="AR271" s="23">
        <f>COUNTIF(Data!$P$2:$P$825,Data!$P271)</f>
        <v>71</v>
      </c>
      <c r="AS271" s="23" cm="1">
        <f t="array" ref="AS271">_xlfn.IFS(Data!$E271&lt;12,((Data!$E271/Data!$D271)*60)*1,AND(Data!$E271&gt;=12,Data!$E271&lt;=15),((Data!$E271/Data!$D271)*60)*1.2,AND(Data!$E271&gt;=16,Data!$E271&lt;=19),((Data!$E271/Data!$D271)*60)*1.5,Data!$E271&gt;=20,((Data!$E271/Data!$D271)*60)*1.8)</f>
        <v>14.399999999999999</v>
      </c>
      <c r="AT271" s="23" cm="1">
        <f t="array" ref="AT271">_xlfn.IFS(Data!$F271&lt;600,((Data!$F271/Data!$D271)*60)*1,AND(Data!$F271&gt;=600,Data!$F271&lt;=625),((Data!$F271/Data!$D271)*60)*1.2,AND(Data!$F271&gt;=626,Data!$F271&lt;=650),((Data!$F271/Data!$D271)*60)*1.5,Data!$F271&gt;=651,((Data!$F271/Data!$D271)*60)*1.8)</f>
        <v>943.5</v>
      </c>
      <c r="AU271" s="23">
        <f>(Data!$I271*-1.2)+(Data!$J271*-1.1)+(Data!$K271*1.2)+(Data!$L271*1.3)+(Data!$M271*1.5)</f>
        <v>-4.3000000000000043</v>
      </c>
      <c r="AV271" s="23">
        <f>(Data!$AS271*0.4)+(Data!$AT271*0.4)+(Data!$AU271*0.2)</f>
        <v>382.3</v>
      </c>
      <c r="AW271" s="23">
        <f>PERCENTRANK(AV:AV,Data!$AV271)*100</f>
        <v>46.2</v>
      </c>
      <c r="AX271" s="23" t="str">
        <f>_xlfn.CONCAT(TEXT(C271,"mmm"),"-",Data!$AE271)</f>
        <v>Mar-2022</v>
      </c>
    </row>
    <row r="272" spans="1:50" ht="17" thickTop="1" thickBot="1" x14ac:dyDescent="0.25">
      <c r="A272" s="28">
        <v>271</v>
      </c>
      <c r="B272" s="29">
        <f t="shared" si="34"/>
        <v>14</v>
      </c>
      <c r="C272" s="41">
        <v>44631</v>
      </c>
      <c r="D272" s="30">
        <f>SUM(Data!$I272:$M272)</f>
        <v>59</v>
      </c>
      <c r="E272" s="29">
        <v>17</v>
      </c>
      <c r="F272" s="29">
        <v>696</v>
      </c>
      <c r="G272" s="29">
        <v>164</v>
      </c>
      <c r="H272" s="29">
        <v>131</v>
      </c>
      <c r="I272" s="29">
        <v>8</v>
      </c>
      <c r="J272" s="29">
        <v>17</v>
      </c>
      <c r="K272" s="29">
        <v>17</v>
      </c>
      <c r="L272" s="29">
        <v>16</v>
      </c>
      <c r="M272" s="29">
        <v>1</v>
      </c>
      <c r="N272" s="29" t="s">
        <v>101</v>
      </c>
      <c r="O272" s="29" t="s">
        <v>107</v>
      </c>
      <c r="P272" s="29" t="s">
        <v>102</v>
      </c>
      <c r="Q272" s="29">
        <f t="shared" si="40"/>
        <v>2</v>
      </c>
      <c r="R272" s="29" t="str">
        <f t="shared" si="35"/>
        <v>3-2022</v>
      </c>
      <c r="S272" s="29" t="s">
        <v>104</v>
      </c>
      <c r="T272" s="29" t="str">
        <f t="shared" si="36"/>
        <v>Friday</v>
      </c>
      <c r="U272" s="29">
        <f t="shared" si="37"/>
        <v>1</v>
      </c>
      <c r="V272" s="31">
        <f>IFERROR(Data!$I272/Data!$D272,"")</f>
        <v>0.13559322033898305</v>
      </c>
      <c r="W272" s="31">
        <f>IFERROR(Data!$J272/Data!$D272,"")</f>
        <v>0.28813559322033899</v>
      </c>
      <c r="X272" s="31">
        <f>IFERROR(Data!$K272/Data!$D272,"")</f>
        <v>0.28813559322033899</v>
      </c>
      <c r="Y272" s="31">
        <f>IFERROR(Data!$L272/Data!$D272,"")</f>
        <v>0.2711864406779661</v>
      </c>
      <c r="Z272" s="31">
        <f>IFERROR(Data!$M272/Data!$D272,"")</f>
        <v>1.6949152542372881E-2</v>
      </c>
      <c r="AA272" s="32">
        <v>232.14</v>
      </c>
      <c r="AB272" s="32">
        <f t="shared" ref="AB272:AB335" si="41">AA272/B272</f>
        <v>16.581428571428571</v>
      </c>
      <c r="AC272" s="29">
        <f t="shared" si="38"/>
        <v>641</v>
      </c>
      <c r="AD272" s="29">
        <f t="shared" si="39"/>
        <v>14.714285714285714</v>
      </c>
      <c r="AE272" s="29">
        <f>YEAR(Data!$C272)</f>
        <v>2022</v>
      </c>
      <c r="AF272" s="29"/>
      <c r="AG272" s="29">
        <v>12</v>
      </c>
      <c r="AH272" s="33">
        <f>Data!$F272/Data!$D272</f>
        <v>11.796610169491526</v>
      </c>
      <c r="AI272" s="17" t="str">
        <f>RIGHT(Data!$O272,2)</f>
        <v>AM</v>
      </c>
      <c r="AJ272" s="29" t="str">
        <f>Data!$R272&amp;"-"&amp;WEEKNUM(Data!$C272,1)-WEEKNUM(DATE(YEAR(Data!$C272),MONTH(Data!$C272),1),1)+1</f>
        <v>3-2022-2</v>
      </c>
      <c r="AK272" s="29">
        <f>MONTH(Data!$C272)</f>
        <v>3</v>
      </c>
      <c r="AL272" s="29">
        <f>IFERROR(Data!$F272/Data!$E272,0)</f>
        <v>40.941176470588232</v>
      </c>
      <c r="AM272" s="29">
        <f>COUNTIF(Data!$N$2:$N$825,Data!$N272)</f>
        <v>191</v>
      </c>
      <c r="AN272" s="29" t="str">
        <f>VLOOKUP(Data!$N272,'Helpful Tables'!A:D,4,FALSE)</f>
        <v>Washington, DC</v>
      </c>
      <c r="AO272" s="29">
        <f>COUNTIF(AN:AN,Data!$AN272)/COUNTA(AN:AN)</f>
        <v>0.62424242424242427</v>
      </c>
      <c r="AP272" s="29">
        <v>38.949649000000001</v>
      </c>
      <c r="AQ272" s="29">
        <v>-77.080878999999996</v>
      </c>
      <c r="AR272" s="29">
        <f>COUNTIF(Data!$P$2:$P$825,Data!$P272)</f>
        <v>20</v>
      </c>
      <c r="AS272" s="29" cm="1">
        <f t="array" ref="AS272">_xlfn.IFS(Data!$E272&lt;12,((Data!$E272/Data!$D272)*60)*1,AND(Data!$E272&gt;=12,Data!$E272&lt;=15),((Data!$E272/Data!$D272)*60)*1.2,AND(Data!$E272&gt;=16,Data!$E272&lt;=19),((Data!$E272/Data!$D272)*60)*1.5,Data!$E272&gt;=20,((Data!$E272/Data!$D272)*60)*1.8)</f>
        <v>25.932203389830509</v>
      </c>
      <c r="AT272" s="29" cm="1">
        <f t="array" ref="AT272">_xlfn.IFS(Data!$F272&lt;600,((Data!$F272/Data!$D272)*60)*1,AND(Data!$F272&gt;=600,Data!$F272&lt;=625),((Data!$F272/Data!$D272)*60)*1.2,AND(Data!$F272&gt;=626,Data!$F272&lt;=650),((Data!$F272/Data!$D272)*60)*1.5,Data!$F272&gt;=651,((Data!$F272/Data!$D272)*60)*1.8)</f>
        <v>1274.0338983050849</v>
      </c>
      <c r="AU272" s="29">
        <f>(Data!$I272*-1.2)+(Data!$J272*-1.1)+(Data!$K272*1.2)+(Data!$L272*1.3)+(Data!$M272*1.5)</f>
        <v>14.399999999999995</v>
      </c>
      <c r="AV272" s="29">
        <f>(Data!$AS272*0.4)+(Data!$AT272*0.4)+(Data!$AU272*0.2)</f>
        <v>522.86644067796624</v>
      </c>
      <c r="AW272" s="29">
        <f>PERCENTRANK(AV:AV,Data!$AV272)*100</f>
        <v>90.8</v>
      </c>
      <c r="AX272" s="29" t="str">
        <f>_xlfn.CONCAT(TEXT(C272,"mmm"),"-",Data!$AE272)</f>
        <v>Mar-2022</v>
      </c>
    </row>
    <row r="273" spans="1:50" ht="17" thickTop="1" thickBot="1" x14ac:dyDescent="0.25">
      <c r="A273" s="22">
        <v>272</v>
      </c>
      <c r="B273" s="23">
        <f t="shared" si="34"/>
        <v>14</v>
      </c>
      <c r="C273" s="41">
        <v>44632</v>
      </c>
      <c r="D273" s="24">
        <f>SUM(Data!$I273:$M273)</f>
        <v>59</v>
      </c>
      <c r="E273" s="23">
        <v>21</v>
      </c>
      <c r="F273" s="23">
        <v>732</v>
      </c>
      <c r="G273" s="23">
        <v>170</v>
      </c>
      <c r="H273" s="23">
        <v>135</v>
      </c>
      <c r="I273" s="23">
        <v>3</v>
      </c>
      <c r="J273" s="23">
        <v>15</v>
      </c>
      <c r="K273" s="23">
        <v>20</v>
      </c>
      <c r="L273" s="23">
        <v>19</v>
      </c>
      <c r="M273" s="23">
        <v>2</v>
      </c>
      <c r="N273" s="23" t="s">
        <v>91</v>
      </c>
      <c r="O273" s="23" t="s">
        <v>45</v>
      </c>
      <c r="P273" s="23" t="s">
        <v>100</v>
      </c>
      <c r="Q273" s="23">
        <f t="shared" si="40"/>
        <v>1</v>
      </c>
      <c r="R273" s="23" t="str">
        <f t="shared" si="35"/>
        <v>3-2022</v>
      </c>
      <c r="S273" s="23" t="s">
        <v>104</v>
      </c>
      <c r="T273" s="23" t="str">
        <f t="shared" si="36"/>
        <v>Saturday</v>
      </c>
      <c r="U273" s="23">
        <f t="shared" si="37"/>
        <v>1</v>
      </c>
      <c r="V273" s="25">
        <f>IFERROR(Data!$I273/Data!$D273,"")</f>
        <v>5.0847457627118647E-2</v>
      </c>
      <c r="W273" s="25">
        <f>IFERROR(Data!$J273/Data!$D273,"")</f>
        <v>0.25423728813559321</v>
      </c>
      <c r="X273" s="25">
        <f>IFERROR(Data!$K273/Data!$D273,"")</f>
        <v>0.33898305084745761</v>
      </c>
      <c r="Y273" s="25">
        <f>IFERROR(Data!$L273/Data!$D273,"")</f>
        <v>0.32203389830508472</v>
      </c>
      <c r="Z273" s="25">
        <f>IFERROR(Data!$M273/Data!$D273,"")</f>
        <v>3.3898305084745763E-2</v>
      </c>
      <c r="AA273" s="26">
        <v>232.14</v>
      </c>
      <c r="AB273" s="26">
        <f t="shared" si="41"/>
        <v>16.581428571428571</v>
      </c>
      <c r="AC273" s="23">
        <f t="shared" si="38"/>
        <v>641</v>
      </c>
      <c r="AD273" s="23">
        <f t="shared" si="39"/>
        <v>14.714285714285714</v>
      </c>
      <c r="AE273" s="23">
        <f>YEAR(Data!$C273)</f>
        <v>2022</v>
      </c>
      <c r="AF273" s="23"/>
      <c r="AG273" s="23">
        <v>12</v>
      </c>
      <c r="AH273" s="27">
        <f>Data!$F273/Data!$D273</f>
        <v>12.40677966101695</v>
      </c>
      <c r="AI273" s="17" t="str">
        <f>RIGHT(Data!$O273,2)</f>
        <v>AM</v>
      </c>
      <c r="AJ273" s="23" t="str">
        <f>Data!$R273&amp;"-"&amp;WEEKNUM(Data!$C273,1)-WEEKNUM(DATE(YEAR(Data!$C273),MONTH(Data!$C273),1),1)+1</f>
        <v>3-2022-2</v>
      </c>
      <c r="AK273" s="23">
        <f>MONTH(Data!$C273)</f>
        <v>3</v>
      </c>
      <c r="AL273" s="23">
        <f>IFERROR(Data!$F273/Data!$E273,0)</f>
        <v>34.857142857142854</v>
      </c>
      <c r="AM273" s="23">
        <f>COUNTIF(Data!$N$2:$N$825,Data!$N273)</f>
        <v>218</v>
      </c>
      <c r="AN273" s="23" t="str">
        <f>VLOOKUP(Data!$N273,'Helpful Tables'!A:D,4,FALSE)</f>
        <v>Washington, DC</v>
      </c>
      <c r="AO273" s="23">
        <f>COUNTIF(AN:AN,Data!$AN273)/COUNTA(AN:AN)</f>
        <v>0.62424242424242427</v>
      </c>
      <c r="AP273" s="23">
        <v>38.934710000000003</v>
      </c>
      <c r="AQ273" s="23">
        <v>-77.058222999999998</v>
      </c>
      <c r="AR273" s="23">
        <f>COUNTIF(Data!$P$2:$P$825,Data!$P273)</f>
        <v>35</v>
      </c>
      <c r="AS273" s="23" cm="1">
        <f t="array" ref="AS273">_xlfn.IFS(Data!$E273&lt;12,((Data!$E273/Data!$D273)*60)*1,AND(Data!$E273&gt;=12,Data!$E273&lt;=15),((Data!$E273/Data!$D273)*60)*1.2,AND(Data!$E273&gt;=16,Data!$E273&lt;=19),((Data!$E273/Data!$D273)*60)*1.5,Data!$E273&gt;=20,((Data!$E273/Data!$D273)*60)*1.8)</f>
        <v>38.440677966101696</v>
      </c>
      <c r="AT273" s="23" cm="1">
        <f t="array" ref="AT273">_xlfn.IFS(Data!$F273&lt;600,((Data!$F273/Data!$D273)*60)*1,AND(Data!$F273&gt;=600,Data!$F273&lt;=625),((Data!$F273/Data!$D273)*60)*1.2,AND(Data!$F273&gt;=626,Data!$F273&lt;=650),((Data!$F273/Data!$D273)*60)*1.5,Data!$F273&gt;=651,((Data!$F273/Data!$D273)*60)*1.8)</f>
        <v>1339.9322033898306</v>
      </c>
      <c r="AU273" s="23">
        <f>(Data!$I273*-1.2)+(Data!$J273*-1.1)+(Data!$K273*1.2)+(Data!$L273*1.3)+(Data!$M273*1.5)</f>
        <v>31.599999999999998</v>
      </c>
      <c r="AV273" s="23">
        <f>(Data!$AS273*0.4)+(Data!$AT273*0.4)+(Data!$AU273*0.2)</f>
        <v>557.66915254237301</v>
      </c>
      <c r="AW273" s="23">
        <f>PERCENTRANK(AV:AV,Data!$AV273)*100</f>
        <v>98.4</v>
      </c>
      <c r="AX273" s="23" t="str">
        <f>_xlfn.CONCAT(TEXT(C273,"mmm"),"-",Data!$AE273)</f>
        <v>Mar-2022</v>
      </c>
    </row>
    <row r="274" spans="1:50" ht="17" thickTop="1" thickBot="1" x14ac:dyDescent="0.25">
      <c r="A274" s="28">
        <v>273</v>
      </c>
      <c r="B274" s="29">
        <f t="shared" si="34"/>
        <v>14</v>
      </c>
      <c r="C274" s="41">
        <v>44634</v>
      </c>
      <c r="D274" s="30">
        <f>SUM(Data!$I274:$M274)</f>
        <v>55</v>
      </c>
      <c r="E274" s="29">
        <v>10</v>
      </c>
      <c r="F274" s="29">
        <v>606</v>
      </c>
      <c r="G274" s="29">
        <v>167</v>
      </c>
      <c r="H274" s="29">
        <v>125</v>
      </c>
      <c r="I274" s="29">
        <v>11</v>
      </c>
      <c r="J274" s="29">
        <v>15</v>
      </c>
      <c r="K274" s="29">
        <v>19</v>
      </c>
      <c r="L274" s="29">
        <v>9</v>
      </c>
      <c r="M274" s="29">
        <v>1</v>
      </c>
      <c r="N274" s="29" t="s">
        <v>101</v>
      </c>
      <c r="O274" s="29" t="s">
        <v>39</v>
      </c>
      <c r="P274" s="29" t="s">
        <v>133</v>
      </c>
      <c r="Q274" s="29">
        <f t="shared" si="40"/>
        <v>2</v>
      </c>
      <c r="R274" s="29" t="str">
        <f t="shared" si="35"/>
        <v>3-2022</v>
      </c>
      <c r="S274" s="29" t="s">
        <v>104</v>
      </c>
      <c r="T274" s="29" t="str">
        <f t="shared" si="36"/>
        <v>Monday</v>
      </c>
      <c r="U274" s="29">
        <f t="shared" si="37"/>
        <v>0</v>
      </c>
      <c r="V274" s="31">
        <f>IFERROR(Data!$I274/Data!$D274,"")</f>
        <v>0.2</v>
      </c>
      <c r="W274" s="31">
        <f>IFERROR(Data!$J274/Data!$D274,"")</f>
        <v>0.27272727272727271</v>
      </c>
      <c r="X274" s="31">
        <f>IFERROR(Data!$K274/Data!$D274,"")</f>
        <v>0.34545454545454546</v>
      </c>
      <c r="Y274" s="31">
        <f>IFERROR(Data!$L274/Data!$D274,"")</f>
        <v>0.16363636363636364</v>
      </c>
      <c r="Z274" s="31">
        <f>IFERROR(Data!$M274/Data!$D274,"")</f>
        <v>1.8181818181818181E-2</v>
      </c>
      <c r="AA274" s="32">
        <v>232.14</v>
      </c>
      <c r="AB274" s="32">
        <f t="shared" si="41"/>
        <v>16.581428571428571</v>
      </c>
      <c r="AC274" s="29">
        <f t="shared" si="38"/>
        <v>641</v>
      </c>
      <c r="AD274" s="29">
        <f t="shared" si="39"/>
        <v>14.714285714285714</v>
      </c>
      <c r="AE274" s="29">
        <f>YEAR(Data!$C274)</f>
        <v>2022</v>
      </c>
      <c r="AF274" s="29"/>
      <c r="AG274" s="29">
        <v>12</v>
      </c>
      <c r="AH274" s="33">
        <f>Data!$F274/Data!$D274</f>
        <v>11.018181818181818</v>
      </c>
      <c r="AI274" s="17" t="str">
        <f>RIGHT(Data!$O274,2)</f>
        <v>PM</v>
      </c>
      <c r="AJ274" s="29" t="str">
        <f>Data!$R274&amp;"-"&amp;WEEKNUM(Data!$C274,1)-WEEKNUM(DATE(YEAR(Data!$C274),MONTH(Data!$C274),1),1)+1</f>
        <v>3-2022-3</v>
      </c>
      <c r="AK274" s="29">
        <f>MONTH(Data!$C274)</f>
        <v>3</v>
      </c>
      <c r="AL274" s="29">
        <f>IFERROR(Data!$F274/Data!$E274,0)</f>
        <v>60.6</v>
      </c>
      <c r="AM274" s="29">
        <f>COUNTIF(Data!$N$2:$N$825,Data!$N274)</f>
        <v>191</v>
      </c>
      <c r="AN274" s="29" t="str">
        <f>VLOOKUP(Data!$N274,'Helpful Tables'!A:D,4,FALSE)</f>
        <v>Washington, DC</v>
      </c>
      <c r="AO274" s="29">
        <f>COUNTIF(AN:AN,Data!$AN274)/COUNTA(AN:AN)</f>
        <v>0.62424242424242427</v>
      </c>
      <c r="AP274" s="29">
        <v>38.949649000000001</v>
      </c>
      <c r="AQ274" s="29">
        <v>-77.080878999999996</v>
      </c>
      <c r="AR274" s="29">
        <f>COUNTIF(Data!$P$2:$P$825,Data!$P274)</f>
        <v>25</v>
      </c>
      <c r="AS274" s="29" cm="1">
        <f t="array" ref="AS274">_xlfn.IFS(Data!$E274&lt;12,((Data!$E274/Data!$D274)*60)*1,AND(Data!$E274&gt;=12,Data!$E274&lt;=15),((Data!$E274/Data!$D274)*60)*1.2,AND(Data!$E274&gt;=16,Data!$E274&lt;=19),((Data!$E274/Data!$D274)*60)*1.5,Data!$E274&gt;=20,((Data!$E274/Data!$D274)*60)*1.8)</f>
        <v>10.90909090909091</v>
      </c>
      <c r="AT274" s="29" cm="1">
        <f t="array" ref="AT274">_xlfn.IFS(Data!$F274&lt;600,((Data!$F274/Data!$D274)*60)*1,AND(Data!$F274&gt;=600,Data!$F274&lt;=625),((Data!$F274/Data!$D274)*60)*1.2,AND(Data!$F274&gt;=626,Data!$F274&lt;=650),((Data!$F274/Data!$D274)*60)*1.5,Data!$F274&gt;=651,((Data!$F274/Data!$D274)*60)*1.8)</f>
        <v>793.30909090909074</v>
      </c>
      <c r="AU274" s="29">
        <f>(Data!$I274*-1.2)+(Data!$J274*-1.1)+(Data!$K274*1.2)+(Data!$L274*1.3)+(Data!$M274*1.5)</f>
        <v>6.3000000000000025</v>
      </c>
      <c r="AV274" s="29">
        <f>(Data!$AS274*0.4)+(Data!$AT274*0.4)+(Data!$AU274*0.2)</f>
        <v>322.94727272727266</v>
      </c>
      <c r="AW274" s="29">
        <f>PERCENTRANK(AV:AV,Data!$AV274)*100</f>
        <v>38.800000000000004</v>
      </c>
      <c r="AX274" s="29" t="str">
        <f>_xlfn.CONCAT(TEXT(C274,"mmm"),"-",Data!$AE274)</f>
        <v>Mar-2022</v>
      </c>
    </row>
    <row r="275" spans="1:50" ht="17" thickTop="1" thickBot="1" x14ac:dyDescent="0.25">
      <c r="A275" s="22">
        <v>274</v>
      </c>
      <c r="B275" s="23">
        <f t="shared" si="34"/>
        <v>14</v>
      </c>
      <c r="C275" s="41">
        <v>44636</v>
      </c>
      <c r="D275" s="24">
        <f>SUM(Data!$I275:$M275)</f>
        <v>57</v>
      </c>
      <c r="E275" s="23">
        <v>13</v>
      </c>
      <c r="F275" s="23">
        <v>656</v>
      </c>
      <c r="G275" s="23">
        <v>161</v>
      </c>
      <c r="H275" s="23">
        <v>128</v>
      </c>
      <c r="I275" s="23">
        <v>7</v>
      </c>
      <c r="J275" s="23">
        <v>19</v>
      </c>
      <c r="K275" s="23">
        <v>18</v>
      </c>
      <c r="L275" s="23">
        <v>13</v>
      </c>
      <c r="M275" s="23">
        <v>0</v>
      </c>
      <c r="N275" s="23" t="s">
        <v>91</v>
      </c>
      <c r="O275" s="23" t="s">
        <v>39</v>
      </c>
      <c r="P275" s="23" t="s">
        <v>96</v>
      </c>
      <c r="Q275" s="23">
        <f t="shared" si="40"/>
        <v>2</v>
      </c>
      <c r="R275" s="23" t="str">
        <f t="shared" si="35"/>
        <v>3-2022</v>
      </c>
      <c r="S275" s="23" t="s">
        <v>117</v>
      </c>
      <c r="T275" s="23" t="str">
        <f t="shared" si="36"/>
        <v>Wednesday</v>
      </c>
      <c r="U275" s="23">
        <f t="shared" si="37"/>
        <v>1</v>
      </c>
      <c r="V275" s="25">
        <f>IFERROR(Data!$I275/Data!$D275,"")</f>
        <v>0.12280701754385964</v>
      </c>
      <c r="W275" s="25">
        <f>IFERROR(Data!$J275/Data!$D275,"")</f>
        <v>0.33333333333333331</v>
      </c>
      <c r="X275" s="25">
        <f>IFERROR(Data!$K275/Data!$D275,"")</f>
        <v>0.31578947368421051</v>
      </c>
      <c r="Y275" s="25">
        <f>IFERROR(Data!$L275/Data!$D275,"")</f>
        <v>0.22807017543859648</v>
      </c>
      <c r="Z275" s="25">
        <f>IFERROR(Data!$M275/Data!$D275,"")</f>
        <v>0</v>
      </c>
      <c r="AA275" s="26">
        <v>232.14</v>
      </c>
      <c r="AB275" s="26">
        <f t="shared" si="41"/>
        <v>16.581428571428571</v>
      </c>
      <c r="AC275" s="23">
        <f t="shared" si="38"/>
        <v>641</v>
      </c>
      <c r="AD275" s="23">
        <f t="shared" si="39"/>
        <v>14.714285714285714</v>
      </c>
      <c r="AE275" s="23">
        <f>YEAR(Data!$C275)</f>
        <v>2022</v>
      </c>
      <c r="AF275" s="23"/>
      <c r="AG275" s="23">
        <v>12</v>
      </c>
      <c r="AH275" s="27">
        <f>Data!$F275/Data!$D275</f>
        <v>11.508771929824562</v>
      </c>
      <c r="AI275" s="17" t="str">
        <f>RIGHT(Data!$O275,2)</f>
        <v>PM</v>
      </c>
      <c r="AJ275" s="23" t="str">
        <f>Data!$R275&amp;"-"&amp;WEEKNUM(Data!$C275,1)-WEEKNUM(DATE(YEAR(Data!$C275),MONTH(Data!$C275),1),1)+1</f>
        <v>3-2022-3</v>
      </c>
      <c r="AK275" s="23">
        <f>MONTH(Data!$C275)</f>
        <v>3</v>
      </c>
      <c r="AL275" s="23">
        <f>IFERROR(Data!$F275/Data!$E275,0)</f>
        <v>50.46153846153846</v>
      </c>
      <c r="AM275" s="23">
        <f>COUNTIF(Data!$N$2:$N$825,Data!$N275)</f>
        <v>218</v>
      </c>
      <c r="AN275" s="23" t="str">
        <f>VLOOKUP(Data!$N275,'Helpful Tables'!A:D,4,FALSE)</f>
        <v>Washington, DC</v>
      </c>
      <c r="AO275" s="23">
        <f>COUNTIF(AN:AN,Data!$AN275)/COUNTA(AN:AN)</f>
        <v>0.62424242424242427</v>
      </c>
      <c r="AP275" s="23">
        <v>38.934710000000003</v>
      </c>
      <c r="AQ275" s="23">
        <v>-77.058222999999998</v>
      </c>
      <c r="AR275" s="23">
        <f>COUNTIF(Data!$P$2:$P$825,Data!$P275)</f>
        <v>71</v>
      </c>
      <c r="AS275" s="23" cm="1">
        <f t="array" ref="AS275">_xlfn.IFS(Data!$E275&lt;12,((Data!$E275/Data!$D275)*60)*1,AND(Data!$E275&gt;=12,Data!$E275&lt;=15),((Data!$E275/Data!$D275)*60)*1.2,AND(Data!$E275&gt;=16,Data!$E275&lt;=19),((Data!$E275/Data!$D275)*60)*1.5,Data!$E275&gt;=20,((Data!$E275/Data!$D275)*60)*1.8)</f>
        <v>16.421052631578945</v>
      </c>
      <c r="AT275" s="23" cm="1">
        <f t="array" ref="AT275">_xlfn.IFS(Data!$F275&lt;600,((Data!$F275/Data!$D275)*60)*1,AND(Data!$F275&gt;=600,Data!$F275&lt;=625),((Data!$F275/Data!$D275)*60)*1.2,AND(Data!$F275&gt;=626,Data!$F275&lt;=650),((Data!$F275/Data!$D275)*60)*1.5,Data!$F275&gt;=651,((Data!$F275/Data!$D275)*60)*1.8)</f>
        <v>1242.9473684210527</v>
      </c>
      <c r="AU275" s="23">
        <f>(Data!$I275*-1.2)+(Data!$J275*-1.1)+(Data!$K275*1.2)+(Data!$L275*1.3)+(Data!$M275*1.5)</f>
        <v>9.1999999999999957</v>
      </c>
      <c r="AV275" s="23">
        <f>(Data!$AS275*0.4)+(Data!$AT275*0.4)+(Data!$AU275*0.2)</f>
        <v>505.58736842105264</v>
      </c>
      <c r="AW275" s="23">
        <f>PERCENTRANK(AV:AV,Data!$AV275)*100</f>
        <v>81.5</v>
      </c>
      <c r="AX275" s="23" t="str">
        <f>_xlfn.CONCAT(TEXT(C275,"mmm"),"-",Data!$AE275)</f>
        <v>Mar-2022</v>
      </c>
    </row>
    <row r="276" spans="1:50" ht="17" thickTop="1" thickBot="1" x14ac:dyDescent="0.25">
      <c r="A276" s="28">
        <v>275</v>
      </c>
      <c r="B276" s="29">
        <f t="shared" si="34"/>
        <v>14</v>
      </c>
      <c r="C276" s="41">
        <v>44642</v>
      </c>
      <c r="D276" s="30">
        <f>SUM(Data!$I276:$M276)</f>
        <v>59</v>
      </c>
      <c r="E276" s="29">
        <v>13</v>
      </c>
      <c r="F276" s="29">
        <v>668</v>
      </c>
      <c r="G276" s="29">
        <v>170</v>
      </c>
      <c r="H276" s="29">
        <v>128</v>
      </c>
      <c r="I276" s="29">
        <v>11</v>
      </c>
      <c r="J276" s="29">
        <v>15</v>
      </c>
      <c r="K276" s="29">
        <v>20</v>
      </c>
      <c r="L276" s="29">
        <v>8</v>
      </c>
      <c r="M276" s="29">
        <v>5</v>
      </c>
      <c r="N276" s="29" t="s">
        <v>101</v>
      </c>
      <c r="O276" s="29" t="s">
        <v>39</v>
      </c>
      <c r="P276" s="29" t="s">
        <v>133</v>
      </c>
      <c r="Q276" s="29">
        <f t="shared" si="40"/>
        <v>6</v>
      </c>
      <c r="R276" s="29" t="str">
        <f t="shared" si="35"/>
        <v>3-2022</v>
      </c>
      <c r="S276" s="29" t="s">
        <v>104</v>
      </c>
      <c r="T276" s="29" t="str">
        <f t="shared" si="36"/>
        <v>Tuesday</v>
      </c>
      <c r="U276" s="29">
        <f t="shared" si="37"/>
        <v>1</v>
      </c>
      <c r="V276" s="31">
        <f>IFERROR(Data!$I276/Data!$D276,"")</f>
        <v>0.1864406779661017</v>
      </c>
      <c r="W276" s="31">
        <f>IFERROR(Data!$J276/Data!$D276,"")</f>
        <v>0.25423728813559321</v>
      </c>
      <c r="X276" s="31">
        <f>IFERROR(Data!$K276/Data!$D276,"")</f>
        <v>0.33898305084745761</v>
      </c>
      <c r="Y276" s="31">
        <f>IFERROR(Data!$L276/Data!$D276,"")</f>
        <v>0.13559322033898305</v>
      </c>
      <c r="Z276" s="31">
        <f>IFERROR(Data!$M276/Data!$D276,"")</f>
        <v>8.4745762711864403E-2</v>
      </c>
      <c r="AA276" s="32">
        <v>232.14</v>
      </c>
      <c r="AB276" s="32">
        <f t="shared" si="41"/>
        <v>16.581428571428571</v>
      </c>
      <c r="AC276" s="29">
        <f t="shared" si="38"/>
        <v>641</v>
      </c>
      <c r="AD276" s="29">
        <f t="shared" si="39"/>
        <v>14.714285714285714</v>
      </c>
      <c r="AE276" s="29">
        <f>YEAR(Data!$C276)</f>
        <v>2022</v>
      </c>
      <c r="AF276" s="29"/>
      <c r="AG276" s="29">
        <v>12</v>
      </c>
      <c r="AH276" s="33">
        <f>Data!$F276/Data!$D276</f>
        <v>11.322033898305085</v>
      </c>
      <c r="AI276" s="17" t="str">
        <f>RIGHT(Data!$O276,2)</f>
        <v>PM</v>
      </c>
      <c r="AJ276" s="29" t="str">
        <f>Data!$R276&amp;"-"&amp;WEEKNUM(Data!$C276,1)-WEEKNUM(DATE(YEAR(Data!$C276),MONTH(Data!$C276),1),1)+1</f>
        <v>3-2022-4</v>
      </c>
      <c r="AK276" s="29">
        <f>MONTH(Data!$C276)</f>
        <v>3</v>
      </c>
      <c r="AL276" s="29">
        <f>IFERROR(Data!$F276/Data!$E276,0)</f>
        <v>51.384615384615387</v>
      </c>
      <c r="AM276" s="29">
        <f>COUNTIF(Data!$N$2:$N$825,Data!$N276)</f>
        <v>191</v>
      </c>
      <c r="AN276" s="29" t="str">
        <f>VLOOKUP(Data!$N276,'Helpful Tables'!A:D,4,FALSE)</f>
        <v>Washington, DC</v>
      </c>
      <c r="AO276" s="29">
        <f>COUNTIF(AN:AN,Data!$AN276)/COUNTA(AN:AN)</f>
        <v>0.62424242424242427</v>
      </c>
      <c r="AP276" s="29">
        <v>38.949649000000001</v>
      </c>
      <c r="AQ276" s="29">
        <v>-77.080878999999996</v>
      </c>
      <c r="AR276" s="29">
        <f>COUNTIF(Data!$P$2:$P$825,Data!$P276)</f>
        <v>25</v>
      </c>
      <c r="AS276" s="29" cm="1">
        <f t="array" ref="AS276">_xlfn.IFS(Data!$E276&lt;12,((Data!$E276/Data!$D276)*60)*1,AND(Data!$E276&gt;=12,Data!$E276&lt;=15),((Data!$E276/Data!$D276)*60)*1.2,AND(Data!$E276&gt;=16,Data!$E276&lt;=19),((Data!$E276/Data!$D276)*60)*1.5,Data!$E276&gt;=20,((Data!$E276/Data!$D276)*60)*1.8)</f>
        <v>15.864406779661017</v>
      </c>
      <c r="AT276" s="29" cm="1">
        <f t="array" ref="AT276">_xlfn.IFS(Data!$F276&lt;600,((Data!$F276/Data!$D276)*60)*1,AND(Data!$F276&gt;=600,Data!$F276&lt;=625),((Data!$F276/Data!$D276)*60)*1.2,AND(Data!$F276&gt;=626,Data!$F276&lt;=650),((Data!$F276/Data!$D276)*60)*1.5,Data!$F276&gt;=651,((Data!$F276/Data!$D276)*60)*1.8)</f>
        <v>1222.7796610169491</v>
      </c>
      <c r="AU276" s="29">
        <f>(Data!$I276*-1.2)+(Data!$J276*-1.1)+(Data!$K276*1.2)+(Data!$L276*1.3)+(Data!$M276*1.5)</f>
        <v>12.200000000000001</v>
      </c>
      <c r="AV276" s="29">
        <f>(Data!$AS276*0.4)+(Data!$AT276*0.4)+(Data!$AU276*0.2)</f>
        <v>497.89762711864404</v>
      </c>
      <c r="AW276" s="29">
        <f>PERCENTRANK(AV:AV,Data!$AV276)*100</f>
        <v>77</v>
      </c>
      <c r="AX276" s="29" t="str">
        <f>_xlfn.CONCAT(TEXT(C276,"mmm"),"-",Data!$AE276)</f>
        <v>Mar-2022</v>
      </c>
    </row>
    <row r="277" spans="1:50" ht="17" thickTop="1" thickBot="1" x14ac:dyDescent="0.25">
      <c r="A277" s="22">
        <v>276</v>
      </c>
      <c r="B277" s="23">
        <f t="shared" si="34"/>
        <v>14</v>
      </c>
      <c r="C277" s="41">
        <v>44643</v>
      </c>
      <c r="D277" s="24">
        <f>SUM(Data!$I277:$M277)</f>
        <v>57</v>
      </c>
      <c r="E277" s="23">
        <v>16</v>
      </c>
      <c r="F277" s="23">
        <v>642</v>
      </c>
      <c r="G277" s="23">
        <v>169</v>
      </c>
      <c r="H277" s="23">
        <v>126</v>
      </c>
      <c r="I277" s="23">
        <v>15</v>
      </c>
      <c r="J277" s="23">
        <v>12</v>
      </c>
      <c r="K277" s="23">
        <v>14</v>
      </c>
      <c r="L277" s="23">
        <v>14</v>
      </c>
      <c r="M277" s="23">
        <v>2</v>
      </c>
      <c r="N277" s="23" t="s">
        <v>91</v>
      </c>
      <c r="O277" s="23" t="s">
        <v>39</v>
      </c>
      <c r="P277" s="23" t="s">
        <v>96</v>
      </c>
      <c r="Q277" s="23">
        <f t="shared" si="40"/>
        <v>1</v>
      </c>
      <c r="R277" s="23" t="str">
        <f t="shared" si="35"/>
        <v>3-2022</v>
      </c>
      <c r="S277" s="23" t="s">
        <v>117</v>
      </c>
      <c r="T277" s="23" t="str">
        <f t="shared" si="36"/>
        <v>Wednesday</v>
      </c>
      <c r="U277" s="23">
        <f t="shared" si="37"/>
        <v>1</v>
      </c>
      <c r="V277" s="25">
        <f>IFERROR(Data!$I277/Data!$D277,"")</f>
        <v>0.26315789473684209</v>
      </c>
      <c r="W277" s="25">
        <f>IFERROR(Data!$J277/Data!$D277,"")</f>
        <v>0.21052631578947367</v>
      </c>
      <c r="X277" s="25">
        <f>IFERROR(Data!$K277/Data!$D277,"")</f>
        <v>0.24561403508771928</v>
      </c>
      <c r="Y277" s="25">
        <f>IFERROR(Data!$L277/Data!$D277,"")</f>
        <v>0.24561403508771928</v>
      </c>
      <c r="Z277" s="25">
        <f>IFERROR(Data!$M277/Data!$D277,"")</f>
        <v>3.5087719298245612E-2</v>
      </c>
      <c r="AA277" s="26">
        <v>232.14</v>
      </c>
      <c r="AB277" s="26">
        <f t="shared" si="41"/>
        <v>16.581428571428571</v>
      </c>
      <c r="AC277" s="23">
        <f t="shared" si="38"/>
        <v>641</v>
      </c>
      <c r="AD277" s="23">
        <f t="shared" si="39"/>
        <v>14.714285714285714</v>
      </c>
      <c r="AE277" s="23">
        <f>YEAR(Data!$C277)</f>
        <v>2022</v>
      </c>
      <c r="AF277" s="23"/>
      <c r="AG277" s="23">
        <v>12</v>
      </c>
      <c r="AH277" s="27">
        <f>Data!$F277/Data!$D277</f>
        <v>11.263157894736842</v>
      </c>
      <c r="AI277" s="17" t="str">
        <f>RIGHT(Data!$O277,2)</f>
        <v>PM</v>
      </c>
      <c r="AJ277" s="23" t="str">
        <f>Data!$R277&amp;"-"&amp;WEEKNUM(Data!$C277,1)-WEEKNUM(DATE(YEAR(Data!$C277),MONTH(Data!$C277),1),1)+1</f>
        <v>3-2022-4</v>
      </c>
      <c r="AK277" s="23">
        <f>MONTH(Data!$C277)</f>
        <v>3</v>
      </c>
      <c r="AL277" s="23">
        <f>IFERROR(Data!$F277/Data!$E277,0)</f>
        <v>40.125</v>
      </c>
      <c r="AM277" s="23">
        <f>COUNTIF(Data!$N$2:$N$825,Data!$N277)</f>
        <v>218</v>
      </c>
      <c r="AN277" s="23" t="str">
        <f>VLOOKUP(Data!$N277,'Helpful Tables'!A:D,4,FALSE)</f>
        <v>Washington, DC</v>
      </c>
      <c r="AO277" s="23">
        <f>COUNTIF(AN:AN,Data!$AN277)/COUNTA(AN:AN)</f>
        <v>0.62424242424242427</v>
      </c>
      <c r="AP277" s="23">
        <v>38.934710000000003</v>
      </c>
      <c r="AQ277" s="23">
        <v>-77.058222999999998</v>
      </c>
      <c r="AR277" s="23">
        <f>COUNTIF(Data!$P$2:$P$825,Data!$P277)</f>
        <v>71</v>
      </c>
      <c r="AS277" s="23" cm="1">
        <f t="array" ref="AS277">_xlfn.IFS(Data!$E277&lt;12,((Data!$E277/Data!$D277)*60)*1,AND(Data!$E277&gt;=12,Data!$E277&lt;=15),((Data!$E277/Data!$D277)*60)*1.2,AND(Data!$E277&gt;=16,Data!$E277&lt;=19),((Data!$E277/Data!$D277)*60)*1.5,Data!$E277&gt;=20,((Data!$E277/Data!$D277)*60)*1.8)</f>
        <v>25.263157894736842</v>
      </c>
      <c r="AT277" s="23" cm="1">
        <f t="array" ref="AT277">_xlfn.IFS(Data!$F277&lt;600,((Data!$F277/Data!$D277)*60)*1,AND(Data!$F277&gt;=600,Data!$F277&lt;=625),((Data!$F277/Data!$D277)*60)*1.2,AND(Data!$F277&gt;=626,Data!$F277&lt;=650),((Data!$F277/Data!$D277)*60)*1.5,Data!$F277&gt;=651,((Data!$F277/Data!$D277)*60)*1.8)</f>
        <v>1013.6842105263158</v>
      </c>
      <c r="AU277" s="23">
        <f>(Data!$I277*-1.2)+(Data!$J277*-1.1)+(Data!$K277*1.2)+(Data!$L277*1.3)+(Data!$M277*1.5)</f>
        <v>6.7999999999999972</v>
      </c>
      <c r="AV277" s="23">
        <f>(Data!$AS277*0.4)+(Data!$AT277*0.4)+(Data!$AU277*0.2)</f>
        <v>416.93894736842111</v>
      </c>
      <c r="AW277" s="23">
        <f>PERCENTRANK(AV:AV,Data!$AV277)*100</f>
        <v>60</v>
      </c>
      <c r="AX277" s="23" t="str">
        <f>_xlfn.CONCAT(TEXT(C277,"mmm"),"-",Data!$AE277)</f>
        <v>Mar-2022</v>
      </c>
    </row>
    <row r="278" spans="1:50" ht="17" thickTop="1" thickBot="1" x14ac:dyDescent="0.25">
      <c r="A278" s="28">
        <v>277</v>
      </c>
      <c r="B278" s="29">
        <f t="shared" si="34"/>
        <v>14</v>
      </c>
      <c r="C278" s="41">
        <v>44646</v>
      </c>
      <c r="D278" s="30">
        <f>SUM(Data!$I278:$M278)</f>
        <v>56</v>
      </c>
      <c r="E278" s="29">
        <v>12</v>
      </c>
      <c r="F278" s="29">
        <v>637</v>
      </c>
      <c r="G278" s="29">
        <v>164</v>
      </c>
      <c r="H278" s="29">
        <v>128</v>
      </c>
      <c r="I278" s="29">
        <v>12</v>
      </c>
      <c r="J278" s="29">
        <v>10</v>
      </c>
      <c r="K278" s="29">
        <v>22</v>
      </c>
      <c r="L278" s="29">
        <v>11</v>
      </c>
      <c r="M278" s="29">
        <v>1</v>
      </c>
      <c r="N278" s="29" t="s">
        <v>91</v>
      </c>
      <c r="O278" s="29" t="s">
        <v>79</v>
      </c>
      <c r="P278" s="29" t="s">
        <v>98</v>
      </c>
      <c r="Q278" s="29">
        <f t="shared" si="40"/>
        <v>3</v>
      </c>
      <c r="R278" s="29" t="str">
        <f t="shared" si="35"/>
        <v>3-2022</v>
      </c>
      <c r="S278" s="29" t="s">
        <v>104</v>
      </c>
      <c r="T278" s="29" t="str">
        <f t="shared" si="36"/>
        <v>Saturday</v>
      </c>
      <c r="U278" s="29">
        <f t="shared" si="37"/>
        <v>1</v>
      </c>
      <c r="V278" s="31">
        <f>IFERROR(Data!$I278/Data!$D278,"")</f>
        <v>0.21428571428571427</v>
      </c>
      <c r="W278" s="31">
        <f>IFERROR(Data!$J278/Data!$D278,"")</f>
        <v>0.17857142857142858</v>
      </c>
      <c r="X278" s="31">
        <f>IFERROR(Data!$K278/Data!$D278,"")</f>
        <v>0.39285714285714285</v>
      </c>
      <c r="Y278" s="31">
        <f>IFERROR(Data!$L278/Data!$D278,"")</f>
        <v>0.19642857142857142</v>
      </c>
      <c r="Z278" s="31">
        <f>IFERROR(Data!$M278/Data!$D278,"")</f>
        <v>1.7857142857142856E-2</v>
      </c>
      <c r="AA278" s="32">
        <v>232.14</v>
      </c>
      <c r="AB278" s="32">
        <f t="shared" si="41"/>
        <v>16.581428571428571</v>
      </c>
      <c r="AC278" s="29">
        <f t="shared" si="38"/>
        <v>641</v>
      </c>
      <c r="AD278" s="29">
        <f t="shared" si="39"/>
        <v>14.714285714285714</v>
      </c>
      <c r="AE278" s="29">
        <f>YEAR(Data!$C278)</f>
        <v>2022</v>
      </c>
      <c r="AF278" s="29"/>
      <c r="AG278" s="29">
        <v>12</v>
      </c>
      <c r="AH278" s="33">
        <f>Data!$F278/Data!$D278</f>
        <v>11.375</v>
      </c>
      <c r="AI278" s="17" t="str">
        <f>RIGHT(Data!$O278,2)</f>
        <v>AM</v>
      </c>
      <c r="AJ278" s="29" t="str">
        <f>Data!$R278&amp;"-"&amp;WEEKNUM(Data!$C278,1)-WEEKNUM(DATE(YEAR(Data!$C278),MONTH(Data!$C278),1),1)+1</f>
        <v>3-2022-4</v>
      </c>
      <c r="AK278" s="29">
        <f>MONTH(Data!$C278)</f>
        <v>3</v>
      </c>
      <c r="AL278" s="29">
        <f>IFERROR(Data!$F278/Data!$E278,0)</f>
        <v>53.083333333333336</v>
      </c>
      <c r="AM278" s="29">
        <f>COUNTIF(Data!$N$2:$N$825,Data!$N278)</f>
        <v>218</v>
      </c>
      <c r="AN278" s="29" t="str">
        <f>VLOOKUP(Data!$N278,'Helpful Tables'!A:D,4,FALSE)</f>
        <v>Washington, DC</v>
      </c>
      <c r="AO278" s="29">
        <f>COUNTIF(AN:AN,Data!$AN278)/COUNTA(AN:AN)</f>
        <v>0.62424242424242427</v>
      </c>
      <c r="AP278" s="29">
        <v>38.934710000000003</v>
      </c>
      <c r="AQ278" s="29">
        <v>-77.058222999999998</v>
      </c>
      <c r="AR278" s="29">
        <f>COUNTIF(Data!$P$2:$P$825,Data!$P278)</f>
        <v>28</v>
      </c>
      <c r="AS278" s="29" cm="1">
        <f t="array" ref="AS278">_xlfn.IFS(Data!$E278&lt;12,((Data!$E278/Data!$D278)*60)*1,AND(Data!$E278&gt;=12,Data!$E278&lt;=15),((Data!$E278/Data!$D278)*60)*1.2,AND(Data!$E278&gt;=16,Data!$E278&lt;=19),((Data!$E278/Data!$D278)*60)*1.5,Data!$E278&gt;=20,((Data!$E278/Data!$D278)*60)*1.8)</f>
        <v>15.428571428571427</v>
      </c>
      <c r="AT278" s="29" cm="1">
        <f t="array" ref="AT278">_xlfn.IFS(Data!$F278&lt;600,((Data!$F278/Data!$D278)*60)*1,AND(Data!$F278&gt;=600,Data!$F278&lt;=625),((Data!$F278/Data!$D278)*60)*1.2,AND(Data!$F278&gt;=626,Data!$F278&lt;=650),((Data!$F278/Data!$D278)*60)*1.5,Data!$F278&gt;=651,((Data!$F278/Data!$D278)*60)*1.8)</f>
        <v>1023.75</v>
      </c>
      <c r="AU278" s="29">
        <f>(Data!$I278*-1.2)+(Data!$J278*-1.1)+(Data!$K278*1.2)+(Data!$L278*1.3)+(Data!$M278*1.5)</f>
        <v>16.8</v>
      </c>
      <c r="AV278" s="29">
        <f>(Data!$AS278*0.4)+(Data!$AT278*0.4)+(Data!$AU278*0.2)</f>
        <v>419.03142857142859</v>
      </c>
      <c r="AW278" s="29">
        <f>PERCENTRANK(AV:AV,Data!$AV278)*100</f>
        <v>60.8</v>
      </c>
      <c r="AX278" s="29" t="str">
        <f>_xlfn.CONCAT(TEXT(C278,"mmm"),"-",Data!$AE278)</f>
        <v>Mar-2022</v>
      </c>
    </row>
    <row r="279" spans="1:50" ht="17" thickTop="1" thickBot="1" x14ac:dyDescent="0.25">
      <c r="A279" s="22">
        <v>278</v>
      </c>
      <c r="B279" s="23">
        <f t="shared" si="34"/>
        <v>14</v>
      </c>
      <c r="C279" s="41">
        <v>44648</v>
      </c>
      <c r="D279" s="24">
        <f>SUM(Data!$I279:$M279)</f>
        <v>56</v>
      </c>
      <c r="E279" s="23">
        <v>18</v>
      </c>
      <c r="F279" s="23">
        <v>651</v>
      </c>
      <c r="G279" s="23">
        <v>169</v>
      </c>
      <c r="H279" s="23">
        <v>131</v>
      </c>
      <c r="I279" s="23">
        <v>8</v>
      </c>
      <c r="J279" s="23">
        <v>18</v>
      </c>
      <c r="K279" s="23">
        <v>12</v>
      </c>
      <c r="L279" s="23">
        <v>16</v>
      </c>
      <c r="M279" s="23">
        <v>2</v>
      </c>
      <c r="N279" s="23" t="s">
        <v>101</v>
      </c>
      <c r="O279" s="23" t="s">
        <v>39</v>
      </c>
      <c r="P279" s="23" t="s">
        <v>133</v>
      </c>
      <c r="Q279" s="23">
        <f t="shared" si="40"/>
        <v>2</v>
      </c>
      <c r="R279" s="23" t="str">
        <f t="shared" si="35"/>
        <v>3-2022</v>
      </c>
      <c r="S279" s="23" t="s">
        <v>104</v>
      </c>
      <c r="T279" s="23" t="str">
        <f t="shared" si="36"/>
        <v>Monday</v>
      </c>
      <c r="U279" s="23">
        <f t="shared" si="37"/>
        <v>1</v>
      </c>
      <c r="V279" s="25">
        <f>IFERROR(Data!$I279/Data!$D279,"")</f>
        <v>0.14285714285714285</v>
      </c>
      <c r="W279" s="25">
        <f>IFERROR(Data!$J279/Data!$D279,"")</f>
        <v>0.32142857142857145</v>
      </c>
      <c r="X279" s="25">
        <f>IFERROR(Data!$K279/Data!$D279,"")</f>
        <v>0.21428571428571427</v>
      </c>
      <c r="Y279" s="25">
        <f>IFERROR(Data!$L279/Data!$D279,"")</f>
        <v>0.2857142857142857</v>
      </c>
      <c r="Z279" s="25">
        <f>IFERROR(Data!$M279/Data!$D279,"")</f>
        <v>3.5714285714285712E-2</v>
      </c>
      <c r="AA279" s="26">
        <v>232.14</v>
      </c>
      <c r="AB279" s="26">
        <f t="shared" si="41"/>
        <v>16.581428571428571</v>
      </c>
      <c r="AC279" s="23">
        <f t="shared" si="38"/>
        <v>641</v>
      </c>
      <c r="AD279" s="23">
        <f t="shared" si="39"/>
        <v>14.714285714285714</v>
      </c>
      <c r="AE279" s="23">
        <f>YEAR(Data!$C279)</f>
        <v>2022</v>
      </c>
      <c r="AF279" s="23"/>
      <c r="AG279" s="23">
        <v>12</v>
      </c>
      <c r="AH279" s="27">
        <f>Data!$F279/Data!$D279</f>
        <v>11.625</v>
      </c>
      <c r="AI279" s="17" t="str">
        <f>RIGHT(Data!$O279,2)</f>
        <v>PM</v>
      </c>
      <c r="AJ279" s="23" t="str">
        <f>Data!$R279&amp;"-"&amp;WEEKNUM(Data!$C279,1)-WEEKNUM(DATE(YEAR(Data!$C279),MONTH(Data!$C279),1),1)+1</f>
        <v>3-2022-5</v>
      </c>
      <c r="AK279" s="23">
        <f>MONTH(Data!$C279)</f>
        <v>3</v>
      </c>
      <c r="AL279" s="23">
        <f>IFERROR(Data!$F279/Data!$E279,0)</f>
        <v>36.166666666666664</v>
      </c>
      <c r="AM279" s="23">
        <f>COUNTIF(Data!$N$2:$N$825,Data!$N279)</f>
        <v>191</v>
      </c>
      <c r="AN279" s="23" t="str">
        <f>VLOOKUP(Data!$N279,'Helpful Tables'!A:D,4,FALSE)</f>
        <v>Washington, DC</v>
      </c>
      <c r="AO279" s="23">
        <f>COUNTIF(AN:AN,Data!$AN279)/COUNTA(AN:AN)</f>
        <v>0.62424242424242427</v>
      </c>
      <c r="AP279" s="23">
        <v>38.949649000000001</v>
      </c>
      <c r="AQ279" s="23">
        <v>-77.080878999999996</v>
      </c>
      <c r="AR279" s="23">
        <f>COUNTIF(Data!$P$2:$P$825,Data!$P279)</f>
        <v>25</v>
      </c>
      <c r="AS279" s="23" cm="1">
        <f t="array" ref="AS279">_xlfn.IFS(Data!$E279&lt;12,((Data!$E279/Data!$D279)*60)*1,AND(Data!$E279&gt;=12,Data!$E279&lt;=15),((Data!$E279/Data!$D279)*60)*1.2,AND(Data!$E279&gt;=16,Data!$E279&lt;=19),((Data!$E279/Data!$D279)*60)*1.5,Data!$E279&gt;=20,((Data!$E279/Data!$D279)*60)*1.8)</f>
        <v>28.928571428571431</v>
      </c>
      <c r="AT279" s="23" cm="1">
        <f t="array" ref="AT279">_xlfn.IFS(Data!$F279&lt;600,((Data!$F279/Data!$D279)*60)*1,AND(Data!$F279&gt;=600,Data!$F279&lt;=625),((Data!$F279/Data!$D279)*60)*1.2,AND(Data!$F279&gt;=626,Data!$F279&lt;=650),((Data!$F279/Data!$D279)*60)*1.5,Data!$F279&gt;=651,((Data!$F279/Data!$D279)*60)*1.8)</f>
        <v>1255.5</v>
      </c>
      <c r="AU279" s="23">
        <f>(Data!$I279*-1.2)+(Data!$J279*-1.1)+(Data!$K279*1.2)+(Data!$L279*1.3)+(Data!$M279*1.5)</f>
        <v>8.8000000000000007</v>
      </c>
      <c r="AV279" s="23">
        <f>(Data!$AS279*0.4)+(Data!$AT279*0.4)+(Data!$AU279*0.2)</f>
        <v>515.53142857142859</v>
      </c>
      <c r="AW279" s="23">
        <f>PERCENTRANK(AV:AV,Data!$AV279)*100</f>
        <v>87.5</v>
      </c>
      <c r="AX279" s="23" t="str">
        <f>_xlfn.CONCAT(TEXT(C279,"mmm"),"-",Data!$AE279)</f>
        <v>Mar-2022</v>
      </c>
    </row>
    <row r="280" spans="1:50" ht="17" thickTop="1" thickBot="1" x14ac:dyDescent="0.25">
      <c r="A280" s="28">
        <v>279</v>
      </c>
      <c r="B280" s="29">
        <f t="shared" si="34"/>
        <v>14</v>
      </c>
      <c r="C280" s="41">
        <v>44650</v>
      </c>
      <c r="D280" s="30">
        <f>SUM(Data!$I280:$M280)</f>
        <v>58</v>
      </c>
      <c r="E280" s="29">
        <v>14</v>
      </c>
      <c r="F280" s="29">
        <v>617</v>
      </c>
      <c r="G280" s="29">
        <v>168</v>
      </c>
      <c r="H280" s="29">
        <v>125</v>
      </c>
      <c r="I280" s="29">
        <v>13</v>
      </c>
      <c r="J280" s="29">
        <v>19</v>
      </c>
      <c r="K280" s="29">
        <v>12</v>
      </c>
      <c r="L280" s="29">
        <v>12</v>
      </c>
      <c r="M280" s="29">
        <v>2</v>
      </c>
      <c r="N280" s="29" t="s">
        <v>91</v>
      </c>
      <c r="O280" s="29" t="s">
        <v>39</v>
      </c>
      <c r="P280" s="29" t="s">
        <v>96</v>
      </c>
      <c r="Q280" s="29">
        <f t="shared" si="40"/>
        <v>2</v>
      </c>
      <c r="R280" s="29" t="str">
        <f t="shared" si="35"/>
        <v>3-2022</v>
      </c>
      <c r="S280" s="29" t="s">
        <v>117</v>
      </c>
      <c r="T280" s="29" t="str">
        <f t="shared" si="36"/>
        <v>Wednesday</v>
      </c>
      <c r="U280" s="29">
        <f t="shared" si="37"/>
        <v>1</v>
      </c>
      <c r="V280" s="31">
        <f>IFERROR(Data!$I280/Data!$D280,"")</f>
        <v>0.22413793103448276</v>
      </c>
      <c r="W280" s="31">
        <f>IFERROR(Data!$J280/Data!$D280,"")</f>
        <v>0.32758620689655171</v>
      </c>
      <c r="X280" s="31">
        <f>IFERROR(Data!$K280/Data!$D280,"")</f>
        <v>0.20689655172413793</v>
      </c>
      <c r="Y280" s="31">
        <f>IFERROR(Data!$L280/Data!$D280,"")</f>
        <v>0.20689655172413793</v>
      </c>
      <c r="Z280" s="31">
        <f>IFERROR(Data!$M280/Data!$D280,"")</f>
        <v>3.4482758620689655E-2</v>
      </c>
      <c r="AA280" s="32">
        <v>232.14</v>
      </c>
      <c r="AB280" s="32">
        <f t="shared" si="41"/>
        <v>16.581428571428571</v>
      </c>
      <c r="AC280" s="29">
        <f t="shared" si="38"/>
        <v>641</v>
      </c>
      <c r="AD280" s="29">
        <f t="shared" si="39"/>
        <v>14.714285714285714</v>
      </c>
      <c r="AE280" s="29">
        <f>YEAR(Data!$C280)</f>
        <v>2022</v>
      </c>
      <c r="AF280" s="29"/>
      <c r="AG280" s="29">
        <v>12</v>
      </c>
      <c r="AH280" s="33">
        <f>Data!$F280/Data!$D280</f>
        <v>10.637931034482758</v>
      </c>
      <c r="AI280" s="17" t="str">
        <f>RIGHT(Data!$O280,2)</f>
        <v>PM</v>
      </c>
      <c r="AJ280" s="29" t="str">
        <f>Data!$R280&amp;"-"&amp;WEEKNUM(Data!$C280,1)-WEEKNUM(DATE(YEAR(Data!$C280),MONTH(Data!$C280),1),1)+1</f>
        <v>3-2022-5</v>
      </c>
      <c r="AK280" s="29">
        <f>MONTH(Data!$C280)</f>
        <v>3</v>
      </c>
      <c r="AL280" s="29">
        <f>IFERROR(Data!$F280/Data!$E280,0)</f>
        <v>44.071428571428569</v>
      </c>
      <c r="AM280" s="29">
        <f>COUNTIF(Data!$N$2:$N$825,Data!$N280)</f>
        <v>218</v>
      </c>
      <c r="AN280" s="29" t="str">
        <f>VLOOKUP(Data!$N280,'Helpful Tables'!A:D,4,FALSE)</f>
        <v>Washington, DC</v>
      </c>
      <c r="AO280" s="29">
        <f>COUNTIF(AN:AN,Data!$AN280)/COUNTA(AN:AN)</f>
        <v>0.62424242424242427</v>
      </c>
      <c r="AP280" s="29">
        <v>38.934710000000003</v>
      </c>
      <c r="AQ280" s="29">
        <v>-77.058222999999998</v>
      </c>
      <c r="AR280" s="29">
        <f>COUNTIF(Data!$P$2:$P$825,Data!$P280)</f>
        <v>71</v>
      </c>
      <c r="AS280" s="29" cm="1">
        <f t="array" ref="AS280">_xlfn.IFS(Data!$E280&lt;12,((Data!$E280/Data!$D280)*60)*1,AND(Data!$E280&gt;=12,Data!$E280&lt;=15),((Data!$E280/Data!$D280)*60)*1.2,AND(Data!$E280&gt;=16,Data!$E280&lt;=19),((Data!$E280/Data!$D280)*60)*1.5,Data!$E280&gt;=20,((Data!$E280/Data!$D280)*60)*1.8)</f>
        <v>17.379310344827587</v>
      </c>
      <c r="AT280" s="29" cm="1">
        <f t="array" ref="AT280">_xlfn.IFS(Data!$F280&lt;600,((Data!$F280/Data!$D280)*60)*1,AND(Data!$F280&gt;=600,Data!$F280&lt;=625),((Data!$F280/Data!$D280)*60)*1.2,AND(Data!$F280&gt;=626,Data!$F280&lt;=650),((Data!$F280/Data!$D280)*60)*1.5,Data!$F280&gt;=651,((Data!$F280/Data!$D280)*60)*1.8)</f>
        <v>765.93103448275849</v>
      </c>
      <c r="AU280" s="29">
        <f>(Data!$I280*-1.2)+(Data!$J280*-1.1)+(Data!$K280*1.2)+(Data!$L280*1.3)+(Data!$M280*1.5)</f>
        <v>-3.5</v>
      </c>
      <c r="AV280" s="29">
        <f>(Data!$AS280*0.4)+(Data!$AT280*0.4)+(Data!$AU280*0.2)</f>
        <v>312.62413793103445</v>
      </c>
      <c r="AW280" s="29">
        <f>PERCENTRANK(AV:AV,Data!$AV280)*100</f>
        <v>32.300000000000004</v>
      </c>
      <c r="AX280" s="29" t="str">
        <f>_xlfn.CONCAT(TEXT(C280,"mmm"),"-",Data!$AE280)</f>
        <v>Mar-2022</v>
      </c>
    </row>
    <row r="281" spans="1:50" ht="17" thickTop="1" thickBot="1" x14ac:dyDescent="0.25">
      <c r="A281" s="22">
        <v>280</v>
      </c>
      <c r="B281" s="23">
        <f t="shared" si="34"/>
        <v>15</v>
      </c>
      <c r="C281" s="41">
        <v>44652</v>
      </c>
      <c r="D281" s="24">
        <f>SUM(Data!$I281:$M281)</f>
        <v>61</v>
      </c>
      <c r="E281" s="23">
        <v>16</v>
      </c>
      <c r="F281" s="23">
        <v>698</v>
      </c>
      <c r="G281" s="23">
        <v>167</v>
      </c>
      <c r="H281" s="23">
        <v>129</v>
      </c>
      <c r="I281" s="23">
        <v>8</v>
      </c>
      <c r="J281" s="23">
        <v>16</v>
      </c>
      <c r="K281" s="23">
        <v>21</v>
      </c>
      <c r="L281" s="23">
        <v>15</v>
      </c>
      <c r="M281" s="23">
        <v>1</v>
      </c>
      <c r="N281" s="23" t="s">
        <v>101</v>
      </c>
      <c r="O281" s="23" t="s">
        <v>107</v>
      </c>
      <c r="P281" s="23" t="s">
        <v>118</v>
      </c>
      <c r="Q281" s="23">
        <f t="shared" si="40"/>
        <v>2</v>
      </c>
      <c r="R281" s="23" t="str">
        <f t="shared" si="35"/>
        <v>4-2022</v>
      </c>
      <c r="S281" s="23" t="s">
        <v>104</v>
      </c>
      <c r="T281" s="23" t="str">
        <f t="shared" si="36"/>
        <v>Friday</v>
      </c>
      <c r="U281" s="23">
        <f t="shared" si="37"/>
        <v>1</v>
      </c>
      <c r="V281" s="25">
        <f>IFERROR(Data!$I281/Data!$D281,"")</f>
        <v>0.13114754098360656</v>
      </c>
      <c r="W281" s="25">
        <f>IFERROR(Data!$J281/Data!$D281,"")</f>
        <v>0.26229508196721313</v>
      </c>
      <c r="X281" s="25">
        <f>IFERROR(Data!$K281/Data!$D281,"")</f>
        <v>0.34426229508196721</v>
      </c>
      <c r="Y281" s="25">
        <f>IFERROR(Data!$L281/Data!$D281,"")</f>
        <v>0.24590163934426229</v>
      </c>
      <c r="Z281" s="25">
        <f>IFERROR(Data!$M281/Data!$D281,"")</f>
        <v>1.6393442622950821E-2</v>
      </c>
      <c r="AA281" s="26">
        <v>232.14</v>
      </c>
      <c r="AB281" s="26">
        <f t="shared" si="41"/>
        <v>15.475999999999999</v>
      </c>
      <c r="AC281" s="23">
        <f t="shared" si="38"/>
        <v>627.13333333333333</v>
      </c>
      <c r="AD281" s="23">
        <f t="shared" si="39"/>
        <v>11.866666666666667</v>
      </c>
      <c r="AE281" s="23">
        <f>YEAR(Data!$C281)</f>
        <v>2022</v>
      </c>
      <c r="AF281" s="23"/>
      <c r="AG281" s="23">
        <v>12</v>
      </c>
      <c r="AH281" s="27">
        <f>Data!$F281/Data!$D281</f>
        <v>11.442622950819672</v>
      </c>
      <c r="AI281" s="17" t="str">
        <f>RIGHT(Data!$O281,2)</f>
        <v>AM</v>
      </c>
      <c r="AJ281" s="23" t="str">
        <f>Data!$R281&amp;"-"&amp;WEEKNUM(Data!$C281,1)-WEEKNUM(DATE(YEAR(Data!$C281),MONTH(Data!$C281),1),1)+1</f>
        <v>4-2022-1</v>
      </c>
      <c r="AK281" s="23">
        <f>MONTH(Data!$C281)</f>
        <v>4</v>
      </c>
      <c r="AL281" s="23">
        <f>IFERROR(Data!$F281/Data!$E281,0)</f>
        <v>43.625</v>
      </c>
      <c r="AM281" s="23">
        <f>COUNTIF(Data!$N$2:$N$825,Data!$N281)</f>
        <v>191</v>
      </c>
      <c r="AN281" s="23" t="str">
        <f>VLOOKUP(Data!$N281,'Helpful Tables'!A:D,4,FALSE)</f>
        <v>Washington, DC</v>
      </c>
      <c r="AO281" s="23">
        <f>COUNTIF(AN:AN,Data!$AN281)/COUNTA(AN:AN)</f>
        <v>0.62424242424242427</v>
      </c>
      <c r="AP281" s="23">
        <v>38.949649000000001</v>
      </c>
      <c r="AQ281" s="23">
        <v>-77.080878999999996</v>
      </c>
      <c r="AR281" s="23">
        <f>COUNTIF(Data!$P$2:$P$825,Data!$P281)</f>
        <v>16</v>
      </c>
      <c r="AS281" s="23" cm="1">
        <f t="array" ref="AS281">_xlfn.IFS(Data!$E281&lt;12,((Data!$E281/Data!$D281)*60)*1,AND(Data!$E281&gt;=12,Data!$E281&lt;=15),((Data!$E281/Data!$D281)*60)*1.2,AND(Data!$E281&gt;=16,Data!$E281&lt;=19),((Data!$E281/Data!$D281)*60)*1.5,Data!$E281&gt;=20,((Data!$E281/Data!$D281)*60)*1.8)</f>
        <v>23.606557377049182</v>
      </c>
      <c r="AT281" s="23" cm="1">
        <f t="array" ref="AT281">_xlfn.IFS(Data!$F281&lt;600,((Data!$F281/Data!$D281)*60)*1,AND(Data!$F281&gt;=600,Data!$F281&lt;=625),((Data!$F281/Data!$D281)*60)*1.2,AND(Data!$F281&gt;=626,Data!$F281&lt;=650),((Data!$F281/Data!$D281)*60)*1.5,Data!$F281&gt;=651,((Data!$F281/Data!$D281)*60)*1.8)</f>
        <v>1235.8032786885246</v>
      </c>
      <c r="AU281" s="23">
        <f>(Data!$I281*-1.2)+(Data!$J281*-1.1)+(Data!$K281*1.2)+(Data!$L281*1.3)+(Data!$M281*1.5)</f>
        <v>18.999999999999996</v>
      </c>
      <c r="AV281" s="23">
        <f>(Data!$AS281*0.4)+(Data!$AT281*0.4)+(Data!$AU281*0.2)</f>
        <v>507.56393442622954</v>
      </c>
      <c r="AW281" s="23">
        <f>PERCENTRANK(AV:AV,Data!$AV281)*100</f>
        <v>83</v>
      </c>
      <c r="AX281" s="23" t="str">
        <f>_xlfn.CONCAT(TEXT(C281,"mmm"),"-",Data!$AE281)</f>
        <v>Apr-2022</v>
      </c>
    </row>
    <row r="282" spans="1:50" ht="17" thickTop="1" thickBot="1" x14ac:dyDescent="0.25">
      <c r="A282" s="28">
        <v>281</v>
      </c>
      <c r="B282" s="29">
        <f t="shared" si="34"/>
        <v>15</v>
      </c>
      <c r="C282" s="41">
        <v>44653</v>
      </c>
      <c r="D282" s="30">
        <f>SUM(Data!$I282:$M282)</f>
        <v>59</v>
      </c>
      <c r="E282" s="29">
        <v>13</v>
      </c>
      <c r="F282" s="29">
        <v>650</v>
      </c>
      <c r="G282" s="29">
        <v>164</v>
      </c>
      <c r="H282" s="29">
        <v>126</v>
      </c>
      <c r="I282" s="29">
        <v>13</v>
      </c>
      <c r="J282" s="29">
        <v>16</v>
      </c>
      <c r="K282" s="29">
        <v>17</v>
      </c>
      <c r="L282" s="29">
        <v>12</v>
      </c>
      <c r="M282" s="29">
        <v>1</v>
      </c>
      <c r="N282" s="29" t="s">
        <v>101</v>
      </c>
      <c r="O282" s="29" t="s">
        <v>45</v>
      </c>
      <c r="P282" s="29" t="s">
        <v>109</v>
      </c>
      <c r="Q282" s="29">
        <f t="shared" si="40"/>
        <v>1</v>
      </c>
      <c r="R282" s="29" t="str">
        <f t="shared" si="35"/>
        <v>4-2022</v>
      </c>
      <c r="S282" s="29" t="s">
        <v>117</v>
      </c>
      <c r="T282" s="29" t="str">
        <f t="shared" si="36"/>
        <v>Saturday</v>
      </c>
      <c r="U282" s="29">
        <f t="shared" si="37"/>
        <v>1</v>
      </c>
      <c r="V282" s="31">
        <f>IFERROR(Data!$I282/Data!$D282,"")</f>
        <v>0.22033898305084745</v>
      </c>
      <c r="W282" s="31">
        <f>IFERROR(Data!$J282/Data!$D282,"")</f>
        <v>0.2711864406779661</v>
      </c>
      <c r="X282" s="31">
        <f>IFERROR(Data!$K282/Data!$D282,"")</f>
        <v>0.28813559322033899</v>
      </c>
      <c r="Y282" s="31">
        <f>IFERROR(Data!$L282/Data!$D282,"")</f>
        <v>0.20338983050847459</v>
      </c>
      <c r="Z282" s="31">
        <f>IFERROR(Data!$M282/Data!$D282,"")</f>
        <v>1.6949152542372881E-2</v>
      </c>
      <c r="AA282" s="32">
        <v>232.14</v>
      </c>
      <c r="AB282" s="32">
        <f t="shared" si="41"/>
        <v>15.475999999999999</v>
      </c>
      <c r="AC282" s="29">
        <f t="shared" si="38"/>
        <v>627.13333333333333</v>
      </c>
      <c r="AD282" s="29">
        <f t="shared" si="39"/>
        <v>11.866666666666667</v>
      </c>
      <c r="AE282" s="29">
        <f>YEAR(Data!$C282)</f>
        <v>2022</v>
      </c>
      <c r="AF282" s="29"/>
      <c r="AG282" s="29">
        <v>12</v>
      </c>
      <c r="AH282" s="33">
        <f>Data!$F282/Data!$D282</f>
        <v>11.016949152542374</v>
      </c>
      <c r="AI282" s="17" t="str">
        <f>RIGHT(Data!$O282,2)</f>
        <v>AM</v>
      </c>
      <c r="AJ282" s="29" t="str">
        <f>Data!$R282&amp;"-"&amp;WEEKNUM(Data!$C282,1)-WEEKNUM(DATE(YEAR(Data!$C282),MONTH(Data!$C282),1),1)+1</f>
        <v>4-2022-1</v>
      </c>
      <c r="AK282" s="29">
        <f>MONTH(Data!$C282)</f>
        <v>4</v>
      </c>
      <c r="AL282" s="29">
        <f>IFERROR(Data!$F282/Data!$E282,0)</f>
        <v>50</v>
      </c>
      <c r="AM282" s="29">
        <f>COUNTIF(Data!$N$2:$N$825,Data!$N282)</f>
        <v>191</v>
      </c>
      <c r="AN282" s="29" t="str">
        <f>VLOOKUP(Data!$N282,'Helpful Tables'!A:D,4,FALSE)</f>
        <v>Washington, DC</v>
      </c>
      <c r="AO282" s="29">
        <f>COUNTIF(AN:AN,Data!$AN282)/COUNTA(AN:AN)</f>
        <v>0.62424242424242427</v>
      </c>
      <c r="AP282" s="29">
        <v>38.949649000000001</v>
      </c>
      <c r="AQ282" s="29">
        <v>-77.080878999999996</v>
      </c>
      <c r="AR282" s="29">
        <f>COUNTIF(Data!$P$2:$P$825,Data!$P282)</f>
        <v>66</v>
      </c>
      <c r="AS282" s="29" cm="1">
        <f t="array" ref="AS282">_xlfn.IFS(Data!$E282&lt;12,((Data!$E282/Data!$D282)*60)*1,AND(Data!$E282&gt;=12,Data!$E282&lt;=15),((Data!$E282/Data!$D282)*60)*1.2,AND(Data!$E282&gt;=16,Data!$E282&lt;=19),((Data!$E282/Data!$D282)*60)*1.5,Data!$E282&gt;=20,((Data!$E282/Data!$D282)*60)*1.8)</f>
        <v>15.864406779661017</v>
      </c>
      <c r="AT282" s="29" cm="1">
        <f t="array" ref="AT282">_xlfn.IFS(Data!$F282&lt;600,((Data!$F282/Data!$D282)*60)*1,AND(Data!$F282&gt;=600,Data!$F282&lt;=625),((Data!$F282/Data!$D282)*60)*1.2,AND(Data!$F282&gt;=626,Data!$F282&lt;=650),((Data!$F282/Data!$D282)*60)*1.5,Data!$F282&gt;=651,((Data!$F282/Data!$D282)*60)*1.8)</f>
        <v>991.52542372881362</v>
      </c>
      <c r="AU282" s="29">
        <f>(Data!$I282*-1.2)+(Data!$J282*-1.1)+(Data!$K282*1.2)+(Data!$L282*1.3)+(Data!$M282*1.5)</f>
        <v>4.2999999999999972</v>
      </c>
      <c r="AV282" s="29">
        <f>(Data!$AS282*0.4)+(Data!$AT282*0.4)+(Data!$AU282*0.2)</f>
        <v>403.81593220338988</v>
      </c>
      <c r="AW282" s="29">
        <f>PERCENTRANK(AV:AV,Data!$AV282)*100</f>
        <v>54.7</v>
      </c>
      <c r="AX282" s="29" t="str">
        <f>_xlfn.CONCAT(TEXT(C282,"mmm"),"-",Data!$AE282)</f>
        <v>Apr-2022</v>
      </c>
    </row>
    <row r="283" spans="1:50" ht="17" thickTop="1" thickBot="1" x14ac:dyDescent="0.25">
      <c r="A283" s="22">
        <v>282</v>
      </c>
      <c r="B283" s="23">
        <f t="shared" si="34"/>
        <v>15</v>
      </c>
      <c r="C283" s="41">
        <v>44655</v>
      </c>
      <c r="D283" s="24">
        <f>SUM(Data!$I283:$M283)</f>
        <v>57</v>
      </c>
      <c r="E283" s="23">
        <v>12</v>
      </c>
      <c r="F283" s="23">
        <v>606</v>
      </c>
      <c r="G283" s="23">
        <v>162</v>
      </c>
      <c r="H283" s="23">
        <v>124</v>
      </c>
      <c r="I283" s="23">
        <v>11</v>
      </c>
      <c r="J283" s="23">
        <v>24</v>
      </c>
      <c r="K283" s="23">
        <v>10</v>
      </c>
      <c r="L283" s="23">
        <v>12</v>
      </c>
      <c r="M283" s="23">
        <v>0</v>
      </c>
      <c r="N283" s="23" t="s">
        <v>101</v>
      </c>
      <c r="O283" s="23" t="s">
        <v>39</v>
      </c>
      <c r="P283" s="23" t="s">
        <v>133</v>
      </c>
      <c r="Q283" s="23">
        <f t="shared" si="40"/>
        <v>2</v>
      </c>
      <c r="R283" s="23" t="str">
        <f t="shared" si="35"/>
        <v>4-2022</v>
      </c>
      <c r="S283" s="23" t="s">
        <v>104</v>
      </c>
      <c r="T283" s="23" t="str">
        <f t="shared" si="36"/>
        <v>Monday</v>
      </c>
      <c r="U283" s="23">
        <f t="shared" si="37"/>
        <v>1</v>
      </c>
      <c r="V283" s="25">
        <f>IFERROR(Data!$I283/Data!$D283,"")</f>
        <v>0.19298245614035087</v>
      </c>
      <c r="W283" s="25">
        <f>IFERROR(Data!$J283/Data!$D283,"")</f>
        <v>0.42105263157894735</v>
      </c>
      <c r="X283" s="25">
        <f>IFERROR(Data!$K283/Data!$D283,"")</f>
        <v>0.17543859649122806</v>
      </c>
      <c r="Y283" s="25">
        <f>IFERROR(Data!$L283/Data!$D283,"")</f>
        <v>0.21052631578947367</v>
      </c>
      <c r="Z283" s="25">
        <f>IFERROR(Data!$M283/Data!$D283,"")</f>
        <v>0</v>
      </c>
      <c r="AA283" s="26">
        <v>232.14</v>
      </c>
      <c r="AB283" s="26">
        <f t="shared" si="41"/>
        <v>15.475999999999999</v>
      </c>
      <c r="AC283" s="23">
        <f t="shared" si="38"/>
        <v>627.13333333333333</v>
      </c>
      <c r="AD283" s="23">
        <f t="shared" si="39"/>
        <v>11.866666666666667</v>
      </c>
      <c r="AE283" s="23">
        <f>YEAR(Data!$C283)</f>
        <v>2022</v>
      </c>
      <c r="AF283" s="23"/>
      <c r="AG283" s="23">
        <v>12</v>
      </c>
      <c r="AH283" s="27">
        <f>Data!$F283/Data!$D283</f>
        <v>10.631578947368421</v>
      </c>
      <c r="AI283" s="17" t="str">
        <f>RIGHT(Data!$O283,2)</f>
        <v>PM</v>
      </c>
      <c r="AJ283" s="23" t="str">
        <f>Data!$R283&amp;"-"&amp;WEEKNUM(Data!$C283,1)-WEEKNUM(DATE(YEAR(Data!$C283),MONTH(Data!$C283),1),1)+1</f>
        <v>4-2022-2</v>
      </c>
      <c r="AK283" s="23">
        <f>MONTH(Data!$C283)</f>
        <v>4</v>
      </c>
      <c r="AL283" s="23">
        <f>IFERROR(Data!$F283/Data!$E283,0)</f>
        <v>50.5</v>
      </c>
      <c r="AM283" s="23">
        <f>COUNTIF(Data!$N$2:$N$825,Data!$N283)</f>
        <v>191</v>
      </c>
      <c r="AN283" s="23" t="str">
        <f>VLOOKUP(Data!$N283,'Helpful Tables'!A:D,4,FALSE)</f>
        <v>Washington, DC</v>
      </c>
      <c r="AO283" s="23">
        <f>COUNTIF(AN:AN,Data!$AN283)/COUNTA(AN:AN)</f>
        <v>0.62424242424242427</v>
      </c>
      <c r="AP283" s="23">
        <v>38.949649000000001</v>
      </c>
      <c r="AQ283" s="23">
        <v>-77.080878999999996</v>
      </c>
      <c r="AR283" s="23">
        <f>COUNTIF(Data!$P$2:$P$825,Data!$P283)</f>
        <v>25</v>
      </c>
      <c r="AS283" s="23" cm="1">
        <f t="array" ref="AS283">_xlfn.IFS(Data!$E283&lt;12,((Data!$E283/Data!$D283)*60)*1,AND(Data!$E283&gt;=12,Data!$E283&lt;=15),((Data!$E283/Data!$D283)*60)*1.2,AND(Data!$E283&gt;=16,Data!$E283&lt;=19),((Data!$E283/Data!$D283)*60)*1.5,Data!$E283&gt;=20,((Data!$E283/Data!$D283)*60)*1.8)</f>
        <v>15.157894736842104</v>
      </c>
      <c r="AT283" s="23" cm="1">
        <f t="array" ref="AT283">_xlfn.IFS(Data!$F283&lt;600,((Data!$F283/Data!$D283)*60)*1,AND(Data!$F283&gt;=600,Data!$F283&lt;=625),((Data!$F283/Data!$D283)*60)*1.2,AND(Data!$F283&gt;=626,Data!$F283&lt;=650),((Data!$F283/Data!$D283)*60)*1.5,Data!$F283&gt;=651,((Data!$F283/Data!$D283)*60)*1.8)</f>
        <v>765.47368421052636</v>
      </c>
      <c r="AU283" s="23">
        <f>(Data!$I283*-1.2)+(Data!$J283*-1.1)+(Data!$K283*1.2)+(Data!$L283*1.3)+(Data!$M283*1.5)</f>
        <v>-12</v>
      </c>
      <c r="AV283" s="23">
        <f>(Data!$AS283*0.4)+(Data!$AT283*0.4)+(Data!$AU283*0.2)</f>
        <v>309.85263157894741</v>
      </c>
      <c r="AW283" s="23">
        <f>PERCENTRANK(AV:AV,Data!$AV283)*100</f>
        <v>31.4</v>
      </c>
      <c r="AX283" s="23" t="str">
        <f>_xlfn.CONCAT(TEXT(C283,"mmm"),"-",Data!$AE283)</f>
        <v>Apr-2022</v>
      </c>
    </row>
    <row r="284" spans="1:50" ht="17" thickTop="1" thickBot="1" x14ac:dyDescent="0.25">
      <c r="A284" s="28">
        <v>283</v>
      </c>
      <c r="B284" s="29">
        <f t="shared" si="34"/>
        <v>15</v>
      </c>
      <c r="C284" s="41">
        <v>44657</v>
      </c>
      <c r="D284" s="30">
        <f>SUM(Data!$I284:$M284)</f>
        <v>58</v>
      </c>
      <c r="E284" s="29">
        <v>10</v>
      </c>
      <c r="F284" s="29">
        <v>602</v>
      </c>
      <c r="G284" s="29">
        <v>165</v>
      </c>
      <c r="H284" s="29">
        <v>122</v>
      </c>
      <c r="I284" s="29">
        <v>17</v>
      </c>
      <c r="J284" s="29">
        <v>18</v>
      </c>
      <c r="K284" s="29">
        <v>13</v>
      </c>
      <c r="L284" s="29">
        <v>9</v>
      </c>
      <c r="M284" s="29">
        <v>1</v>
      </c>
      <c r="N284" s="29" t="s">
        <v>91</v>
      </c>
      <c r="O284" s="29" t="s">
        <v>39</v>
      </c>
      <c r="P284" s="29" t="s">
        <v>96</v>
      </c>
      <c r="Q284" s="29">
        <f t="shared" si="40"/>
        <v>2</v>
      </c>
      <c r="R284" s="29" t="str">
        <f t="shared" si="35"/>
        <v>4-2022</v>
      </c>
      <c r="S284" s="29" t="s">
        <v>117</v>
      </c>
      <c r="T284" s="29" t="str">
        <f t="shared" si="36"/>
        <v>Wednesday</v>
      </c>
      <c r="U284" s="29">
        <f t="shared" si="37"/>
        <v>0</v>
      </c>
      <c r="V284" s="31">
        <f>IFERROR(Data!$I284/Data!$D284,"")</f>
        <v>0.29310344827586204</v>
      </c>
      <c r="W284" s="31">
        <f>IFERROR(Data!$J284/Data!$D284,"")</f>
        <v>0.31034482758620691</v>
      </c>
      <c r="X284" s="31">
        <f>IFERROR(Data!$K284/Data!$D284,"")</f>
        <v>0.22413793103448276</v>
      </c>
      <c r="Y284" s="31">
        <f>IFERROR(Data!$L284/Data!$D284,"")</f>
        <v>0.15517241379310345</v>
      </c>
      <c r="Z284" s="31">
        <f>IFERROR(Data!$M284/Data!$D284,"")</f>
        <v>1.7241379310344827E-2</v>
      </c>
      <c r="AA284" s="32">
        <v>232.14</v>
      </c>
      <c r="AB284" s="32">
        <f t="shared" si="41"/>
        <v>15.475999999999999</v>
      </c>
      <c r="AC284" s="29">
        <f t="shared" si="38"/>
        <v>627.13333333333333</v>
      </c>
      <c r="AD284" s="29">
        <f t="shared" si="39"/>
        <v>11.866666666666667</v>
      </c>
      <c r="AE284" s="29">
        <f>YEAR(Data!$C284)</f>
        <v>2022</v>
      </c>
      <c r="AF284" s="29"/>
      <c r="AG284" s="29">
        <v>12</v>
      </c>
      <c r="AH284" s="33">
        <f>Data!$F284/Data!$D284</f>
        <v>10.379310344827585</v>
      </c>
      <c r="AI284" s="17" t="str">
        <f>RIGHT(Data!$O284,2)</f>
        <v>PM</v>
      </c>
      <c r="AJ284" s="29" t="str">
        <f>Data!$R284&amp;"-"&amp;WEEKNUM(Data!$C284,1)-WEEKNUM(DATE(YEAR(Data!$C284),MONTH(Data!$C284),1),1)+1</f>
        <v>4-2022-2</v>
      </c>
      <c r="AK284" s="29">
        <f>MONTH(Data!$C284)</f>
        <v>4</v>
      </c>
      <c r="AL284" s="29">
        <f>IFERROR(Data!$F284/Data!$E284,0)</f>
        <v>60.2</v>
      </c>
      <c r="AM284" s="29">
        <f>COUNTIF(Data!$N$2:$N$825,Data!$N284)</f>
        <v>218</v>
      </c>
      <c r="AN284" s="29" t="str">
        <f>VLOOKUP(Data!$N284,'Helpful Tables'!A:D,4,FALSE)</f>
        <v>Washington, DC</v>
      </c>
      <c r="AO284" s="29">
        <f>COUNTIF(AN:AN,Data!$AN284)/COUNTA(AN:AN)</f>
        <v>0.62424242424242427</v>
      </c>
      <c r="AP284" s="29">
        <v>38.934710000000003</v>
      </c>
      <c r="AQ284" s="29">
        <v>-77.058222999999998</v>
      </c>
      <c r="AR284" s="29">
        <f>COUNTIF(Data!$P$2:$P$825,Data!$P284)</f>
        <v>71</v>
      </c>
      <c r="AS284" s="29" cm="1">
        <f t="array" ref="AS284">_xlfn.IFS(Data!$E284&lt;12,((Data!$E284/Data!$D284)*60)*1,AND(Data!$E284&gt;=12,Data!$E284&lt;=15),((Data!$E284/Data!$D284)*60)*1.2,AND(Data!$E284&gt;=16,Data!$E284&lt;=19),((Data!$E284/Data!$D284)*60)*1.5,Data!$E284&gt;=20,((Data!$E284/Data!$D284)*60)*1.8)</f>
        <v>10.344827586206897</v>
      </c>
      <c r="AT284" s="29" cm="1">
        <f t="array" ref="AT284">_xlfn.IFS(Data!$F284&lt;600,((Data!$F284/Data!$D284)*60)*1,AND(Data!$F284&gt;=600,Data!$F284&lt;=625),((Data!$F284/Data!$D284)*60)*1.2,AND(Data!$F284&gt;=626,Data!$F284&lt;=650),((Data!$F284/Data!$D284)*60)*1.5,Data!$F284&gt;=651,((Data!$F284/Data!$D284)*60)*1.8)</f>
        <v>747.31034482758616</v>
      </c>
      <c r="AU284" s="29">
        <f>(Data!$I284*-1.2)+(Data!$J284*-1.1)+(Data!$K284*1.2)+(Data!$L284*1.3)+(Data!$M284*1.5)</f>
        <v>-11.4</v>
      </c>
      <c r="AV284" s="29">
        <f>(Data!$AS284*0.4)+(Data!$AT284*0.4)+(Data!$AU284*0.2)</f>
        <v>300.78206896551723</v>
      </c>
      <c r="AW284" s="29">
        <f>PERCENTRANK(AV:AV,Data!$AV284)*100</f>
        <v>26.400000000000002</v>
      </c>
      <c r="AX284" s="29" t="str">
        <f>_xlfn.CONCAT(TEXT(C284,"mmm"),"-",Data!$AE284)</f>
        <v>Apr-2022</v>
      </c>
    </row>
    <row r="285" spans="1:50" ht="17" thickTop="1" thickBot="1" x14ac:dyDescent="0.25">
      <c r="A285" s="22">
        <v>284</v>
      </c>
      <c r="B285" s="23">
        <f t="shared" si="34"/>
        <v>15</v>
      </c>
      <c r="C285" s="41">
        <v>44658</v>
      </c>
      <c r="D285" s="24">
        <f>SUM(Data!$I285:$M285)</f>
        <v>59</v>
      </c>
      <c r="E285" s="23">
        <v>16</v>
      </c>
      <c r="F285" s="23">
        <v>619</v>
      </c>
      <c r="G285" s="23">
        <v>165</v>
      </c>
      <c r="H285" s="23">
        <v>123</v>
      </c>
      <c r="I285" s="23">
        <v>16</v>
      </c>
      <c r="J285" s="23">
        <v>16</v>
      </c>
      <c r="K285" s="23">
        <v>11</v>
      </c>
      <c r="L285" s="23">
        <v>15</v>
      </c>
      <c r="M285" s="23">
        <v>1</v>
      </c>
      <c r="N285" s="23" t="s">
        <v>101</v>
      </c>
      <c r="O285" s="23" t="s">
        <v>39</v>
      </c>
      <c r="P285" s="23" t="s">
        <v>109</v>
      </c>
      <c r="Q285" s="23">
        <f t="shared" si="40"/>
        <v>1</v>
      </c>
      <c r="R285" s="23" t="str">
        <f t="shared" si="35"/>
        <v>4-2022</v>
      </c>
      <c r="S285" s="23" t="s">
        <v>104</v>
      </c>
      <c r="T285" s="23" t="str">
        <f t="shared" si="36"/>
        <v>Thursday</v>
      </c>
      <c r="U285" s="23">
        <f t="shared" si="37"/>
        <v>1</v>
      </c>
      <c r="V285" s="25">
        <f>IFERROR(Data!$I285/Data!$D285,"")</f>
        <v>0.2711864406779661</v>
      </c>
      <c r="W285" s="25">
        <f>IFERROR(Data!$J285/Data!$D285,"")</f>
        <v>0.2711864406779661</v>
      </c>
      <c r="X285" s="25">
        <f>IFERROR(Data!$K285/Data!$D285,"")</f>
        <v>0.1864406779661017</v>
      </c>
      <c r="Y285" s="25">
        <f>IFERROR(Data!$L285/Data!$D285,"")</f>
        <v>0.25423728813559321</v>
      </c>
      <c r="Z285" s="25">
        <f>IFERROR(Data!$M285/Data!$D285,"")</f>
        <v>1.6949152542372881E-2</v>
      </c>
      <c r="AA285" s="26">
        <v>232.14</v>
      </c>
      <c r="AB285" s="26">
        <f t="shared" si="41"/>
        <v>15.475999999999999</v>
      </c>
      <c r="AC285" s="23">
        <f t="shared" si="38"/>
        <v>627.13333333333333</v>
      </c>
      <c r="AD285" s="23">
        <f t="shared" si="39"/>
        <v>11.866666666666667</v>
      </c>
      <c r="AE285" s="23">
        <f>YEAR(Data!$C285)</f>
        <v>2022</v>
      </c>
      <c r="AF285" s="23"/>
      <c r="AG285" s="23">
        <v>12</v>
      </c>
      <c r="AH285" s="27">
        <f>Data!$F285/Data!$D285</f>
        <v>10.491525423728813</v>
      </c>
      <c r="AI285" s="17" t="str">
        <f>RIGHT(Data!$O285,2)</f>
        <v>PM</v>
      </c>
      <c r="AJ285" s="23" t="str">
        <f>Data!$R285&amp;"-"&amp;WEEKNUM(Data!$C285,1)-WEEKNUM(DATE(YEAR(Data!$C285),MONTH(Data!$C285),1),1)+1</f>
        <v>4-2022-2</v>
      </c>
      <c r="AK285" s="23">
        <f>MONTH(Data!$C285)</f>
        <v>4</v>
      </c>
      <c r="AL285" s="23">
        <f>IFERROR(Data!$F285/Data!$E285,0)</f>
        <v>38.6875</v>
      </c>
      <c r="AM285" s="23">
        <f>COUNTIF(Data!$N$2:$N$825,Data!$N285)</f>
        <v>191</v>
      </c>
      <c r="AN285" s="23" t="str">
        <f>VLOOKUP(Data!$N285,'Helpful Tables'!A:D,4,FALSE)</f>
        <v>Washington, DC</v>
      </c>
      <c r="AO285" s="23">
        <f>COUNTIF(AN:AN,Data!$AN285)/COUNTA(AN:AN)</f>
        <v>0.62424242424242427</v>
      </c>
      <c r="AP285" s="23">
        <v>38.949649000000001</v>
      </c>
      <c r="AQ285" s="23">
        <v>-77.080878999999996</v>
      </c>
      <c r="AR285" s="23">
        <f>COUNTIF(Data!$P$2:$P$825,Data!$P285)</f>
        <v>66</v>
      </c>
      <c r="AS285" s="23" cm="1">
        <f t="array" ref="AS285">_xlfn.IFS(Data!$E285&lt;12,((Data!$E285/Data!$D285)*60)*1,AND(Data!$E285&gt;=12,Data!$E285&lt;=15),((Data!$E285/Data!$D285)*60)*1.2,AND(Data!$E285&gt;=16,Data!$E285&lt;=19),((Data!$E285/Data!$D285)*60)*1.5,Data!$E285&gt;=20,((Data!$E285/Data!$D285)*60)*1.8)</f>
        <v>24.406779661016948</v>
      </c>
      <c r="AT285" s="23" cm="1">
        <f t="array" ref="AT285">_xlfn.IFS(Data!$F285&lt;600,((Data!$F285/Data!$D285)*60)*1,AND(Data!$F285&gt;=600,Data!$F285&lt;=625),((Data!$F285/Data!$D285)*60)*1.2,AND(Data!$F285&gt;=626,Data!$F285&lt;=650),((Data!$F285/Data!$D285)*60)*1.5,Data!$F285&gt;=651,((Data!$F285/Data!$D285)*60)*1.8)</f>
        <v>755.38983050847457</v>
      </c>
      <c r="AU285" s="23">
        <f>(Data!$I285*-1.2)+(Data!$J285*-1.1)+(Data!$K285*1.2)+(Data!$L285*1.3)+(Data!$M285*1.5)</f>
        <v>-2.5999999999999979</v>
      </c>
      <c r="AV285" s="23">
        <f>(Data!$AS285*0.4)+(Data!$AT285*0.4)+(Data!$AU285*0.2)</f>
        <v>311.39864406779662</v>
      </c>
      <c r="AW285" s="23">
        <f>PERCENTRANK(AV:AV,Data!$AV285)*100</f>
        <v>32</v>
      </c>
      <c r="AX285" s="23" t="str">
        <f>_xlfn.CONCAT(TEXT(C285,"mmm"),"-",Data!$AE285)</f>
        <v>Apr-2022</v>
      </c>
    </row>
    <row r="286" spans="1:50" ht="17" thickTop="1" thickBot="1" x14ac:dyDescent="0.25">
      <c r="A286" s="28">
        <v>285</v>
      </c>
      <c r="B286" s="29">
        <f t="shared" si="34"/>
        <v>15</v>
      </c>
      <c r="C286" s="41">
        <v>44661</v>
      </c>
      <c r="D286" s="30">
        <f>SUM(Data!$I286:$M286)</f>
        <v>61</v>
      </c>
      <c r="E286" s="29">
        <v>13</v>
      </c>
      <c r="F286" s="29">
        <v>632</v>
      </c>
      <c r="G286" s="29">
        <v>164</v>
      </c>
      <c r="H286" s="29">
        <v>122</v>
      </c>
      <c r="I286" s="29">
        <v>17</v>
      </c>
      <c r="J286" s="29">
        <v>18</v>
      </c>
      <c r="K286" s="29">
        <v>13</v>
      </c>
      <c r="L286" s="29">
        <v>11</v>
      </c>
      <c r="M286" s="29">
        <v>2</v>
      </c>
      <c r="N286" s="29" t="s">
        <v>101</v>
      </c>
      <c r="O286" s="29" t="s">
        <v>45</v>
      </c>
      <c r="P286" s="29" t="s">
        <v>102</v>
      </c>
      <c r="Q286" s="29">
        <f t="shared" si="40"/>
        <v>3</v>
      </c>
      <c r="R286" s="29" t="str">
        <f t="shared" si="35"/>
        <v>4-2022</v>
      </c>
      <c r="S286" s="29" t="s">
        <v>104</v>
      </c>
      <c r="T286" s="29" t="str">
        <f t="shared" si="36"/>
        <v>Sunday</v>
      </c>
      <c r="U286" s="29">
        <f t="shared" si="37"/>
        <v>1</v>
      </c>
      <c r="V286" s="31">
        <f>IFERROR(Data!$I286/Data!$D286,"")</f>
        <v>0.27868852459016391</v>
      </c>
      <c r="W286" s="31">
        <f>IFERROR(Data!$J286/Data!$D286,"")</f>
        <v>0.29508196721311475</v>
      </c>
      <c r="X286" s="31">
        <f>IFERROR(Data!$K286/Data!$D286,"")</f>
        <v>0.21311475409836064</v>
      </c>
      <c r="Y286" s="31">
        <f>IFERROR(Data!$L286/Data!$D286,"")</f>
        <v>0.18032786885245902</v>
      </c>
      <c r="Z286" s="31">
        <f>IFERROR(Data!$M286/Data!$D286,"")</f>
        <v>3.2786885245901641E-2</v>
      </c>
      <c r="AA286" s="32">
        <v>232.14</v>
      </c>
      <c r="AB286" s="32">
        <f t="shared" si="41"/>
        <v>15.475999999999999</v>
      </c>
      <c r="AC286" s="29">
        <f t="shared" si="38"/>
        <v>627.13333333333333</v>
      </c>
      <c r="AD286" s="29">
        <f t="shared" si="39"/>
        <v>11.866666666666667</v>
      </c>
      <c r="AE286" s="29">
        <f>YEAR(Data!$C286)</f>
        <v>2022</v>
      </c>
      <c r="AF286" s="29"/>
      <c r="AG286" s="29">
        <v>12</v>
      </c>
      <c r="AH286" s="33">
        <f>Data!$F286/Data!$D286</f>
        <v>10.360655737704919</v>
      </c>
      <c r="AI286" s="17" t="str">
        <f>RIGHT(Data!$O286,2)</f>
        <v>AM</v>
      </c>
      <c r="AJ286" s="29" t="str">
        <f>Data!$R286&amp;"-"&amp;WEEKNUM(Data!$C286,1)-WEEKNUM(DATE(YEAR(Data!$C286),MONTH(Data!$C286),1),1)+1</f>
        <v>4-2022-3</v>
      </c>
      <c r="AK286" s="29">
        <f>MONTH(Data!$C286)</f>
        <v>4</v>
      </c>
      <c r="AL286" s="29">
        <f>IFERROR(Data!$F286/Data!$E286,0)</f>
        <v>48.615384615384613</v>
      </c>
      <c r="AM286" s="29">
        <f>COUNTIF(Data!$N$2:$N$825,Data!$N286)</f>
        <v>191</v>
      </c>
      <c r="AN286" s="29" t="str">
        <f>VLOOKUP(Data!$N286,'Helpful Tables'!A:D,4,FALSE)</f>
        <v>Washington, DC</v>
      </c>
      <c r="AO286" s="29">
        <f>COUNTIF(AN:AN,Data!$AN286)/COUNTA(AN:AN)</f>
        <v>0.62424242424242427</v>
      </c>
      <c r="AP286" s="29">
        <v>38.949649000000001</v>
      </c>
      <c r="AQ286" s="29">
        <v>-77.080878999999996</v>
      </c>
      <c r="AR286" s="29">
        <f>COUNTIF(Data!$P$2:$P$825,Data!$P286)</f>
        <v>20</v>
      </c>
      <c r="AS286" s="29" cm="1">
        <f t="array" ref="AS286">_xlfn.IFS(Data!$E286&lt;12,((Data!$E286/Data!$D286)*60)*1,AND(Data!$E286&gt;=12,Data!$E286&lt;=15),((Data!$E286/Data!$D286)*60)*1.2,AND(Data!$E286&gt;=16,Data!$E286&lt;=19),((Data!$E286/Data!$D286)*60)*1.5,Data!$E286&gt;=20,((Data!$E286/Data!$D286)*60)*1.8)</f>
        <v>15.344262295081965</v>
      </c>
      <c r="AT286" s="29" cm="1">
        <f t="array" ref="AT286">_xlfn.IFS(Data!$F286&lt;600,((Data!$F286/Data!$D286)*60)*1,AND(Data!$F286&gt;=600,Data!$F286&lt;=625),((Data!$F286/Data!$D286)*60)*1.2,AND(Data!$F286&gt;=626,Data!$F286&lt;=650),((Data!$F286/Data!$D286)*60)*1.5,Data!$F286&gt;=651,((Data!$F286/Data!$D286)*60)*1.8)</f>
        <v>932.45901639344265</v>
      </c>
      <c r="AU286" s="29">
        <f>(Data!$I286*-1.2)+(Data!$J286*-1.1)+(Data!$K286*1.2)+(Data!$L286*1.3)+(Data!$M286*1.5)</f>
        <v>-7.3000000000000007</v>
      </c>
      <c r="AV286" s="29">
        <f>(Data!$AS286*0.4)+(Data!$AT286*0.4)+(Data!$AU286*0.2)</f>
        <v>377.66131147540989</v>
      </c>
      <c r="AW286" s="29">
        <f>PERCENTRANK(AV:AV,Data!$AV286)*100</f>
        <v>44.800000000000004</v>
      </c>
      <c r="AX286" s="29" t="str">
        <f>_xlfn.CONCAT(TEXT(C286,"mmm"),"-",Data!$AE286)</f>
        <v>Apr-2022</v>
      </c>
    </row>
    <row r="287" spans="1:50" ht="17" thickTop="1" thickBot="1" x14ac:dyDescent="0.25">
      <c r="A287" s="22">
        <v>286</v>
      </c>
      <c r="B287" s="23">
        <f t="shared" si="34"/>
        <v>15</v>
      </c>
      <c r="C287" s="41">
        <v>44662</v>
      </c>
      <c r="D287" s="24">
        <f>SUM(Data!$I287:$M287)</f>
        <v>59</v>
      </c>
      <c r="E287" s="23">
        <v>12</v>
      </c>
      <c r="F287" s="23">
        <v>631</v>
      </c>
      <c r="G287" s="23">
        <v>165</v>
      </c>
      <c r="H287" s="23">
        <v>124</v>
      </c>
      <c r="I287" s="23">
        <v>16</v>
      </c>
      <c r="J287" s="23">
        <v>17</v>
      </c>
      <c r="K287" s="23">
        <v>14</v>
      </c>
      <c r="L287" s="23">
        <v>12</v>
      </c>
      <c r="M287" s="23">
        <v>0</v>
      </c>
      <c r="N287" s="23" t="s">
        <v>101</v>
      </c>
      <c r="O287" s="23" t="s">
        <v>39</v>
      </c>
      <c r="P287" s="23" t="s">
        <v>133</v>
      </c>
      <c r="Q287" s="23">
        <f t="shared" si="40"/>
        <v>1</v>
      </c>
      <c r="R287" s="23" t="str">
        <f t="shared" si="35"/>
        <v>4-2022</v>
      </c>
      <c r="S287" s="23" t="s">
        <v>104</v>
      </c>
      <c r="T287" s="23" t="str">
        <f t="shared" si="36"/>
        <v>Monday</v>
      </c>
      <c r="U287" s="23">
        <f t="shared" si="37"/>
        <v>1</v>
      </c>
      <c r="V287" s="25">
        <f>IFERROR(Data!$I287/Data!$D287,"")</f>
        <v>0.2711864406779661</v>
      </c>
      <c r="W287" s="25">
        <f>IFERROR(Data!$J287/Data!$D287,"")</f>
        <v>0.28813559322033899</v>
      </c>
      <c r="X287" s="25">
        <f>IFERROR(Data!$K287/Data!$D287,"")</f>
        <v>0.23728813559322035</v>
      </c>
      <c r="Y287" s="25">
        <f>IFERROR(Data!$L287/Data!$D287,"")</f>
        <v>0.20338983050847459</v>
      </c>
      <c r="Z287" s="25">
        <f>IFERROR(Data!$M287/Data!$D287,"")</f>
        <v>0</v>
      </c>
      <c r="AA287" s="26">
        <v>232.14</v>
      </c>
      <c r="AB287" s="26">
        <f t="shared" si="41"/>
        <v>15.475999999999999</v>
      </c>
      <c r="AC287" s="23">
        <f t="shared" si="38"/>
        <v>627.13333333333333</v>
      </c>
      <c r="AD287" s="23">
        <f t="shared" si="39"/>
        <v>11.866666666666667</v>
      </c>
      <c r="AE287" s="23">
        <f>YEAR(Data!$C287)</f>
        <v>2022</v>
      </c>
      <c r="AF287" s="23"/>
      <c r="AG287" s="23">
        <v>12</v>
      </c>
      <c r="AH287" s="27">
        <f>Data!$F287/Data!$D287</f>
        <v>10.694915254237289</v>
      </c>
      <c r="AI287" s="17" t="str">
        <f>RIGHT(Data!$O287,2)</f>
        <v>PM</v>
      </c>
      <c r="AJ287" s="23" t="str">
        <f>Data!$R287&amp;"-"&amp;WEEKNUM(Data!$C287,1)-WEEKNUM(DATE(YEAR(Data!$C287),MONTH(Data!$C287),1),1)+1</f>
        <v>4-2022-3</v>
      </c>
      <c r="AK287" s="23">
        <f>MONTH(Data!$C287)</f>
        <v>4</v>
      </c>
      <c r="AL287" s="23">
        <f>IFERROR(Data!$F287/Data!$E287,0)</f>
        <v>52.583333333333336</v>
      </c>
      <c r="AM287" s="23">
        <f>COUNTIF(Data!$N$2:$N$825,Data!$N287)</f>
        <v>191</v>
      </c>
      <c r="AN287" s="23" t="str">
        <f>VLOOKUP(Data!$N287,'Helpful Tables'!A:D,4,FALSE)</f>
        <v>Washington, DC</v>
      </c>
      <c r="AO287" s="23">
        <f>COUNTIF(AN:AN,Data!$AN287)/COUNTA(AN:AN)</f>
        <v>0.62424242424242427</v>
      </c>
      <c r="AP287" s="23">
        <v>38.949649000000001</v>
      </c>
      <c r="AQ287" s="23">
        <v>-77.080878999999996</v>
      </c>
      <c r="AR287" s="23">
        <f>COUNTIF(Data!$P$2:$P$825,Data!$P287)</f>
        <v>25</v>
      </c>
      <c r="AS287" s="23" cm="1">
        <f t="array" ref="AS287">_xlfn.IFS(Data!$E287&lt;12,((Data!$E287/Data!$D287)*60)*1,AND(Data!$E287&gt;=12,Data!$E287&lt;=15),((Data!$E287/Data!$D287)*60)*1.2,AND(Data!$E287&gt;=16,Data!$E287&lt;=19),((Data!$E287/Data!$D287)*60)*1.5,Data!$E287&gt;=20,((Data!$E287/Data!$D287)*60)*1.8)</f>
        <v>14.64406779661017</v>
      </c>
      <c r="AT287" s="23" cm="1">
        <f t="array" ref="AT287">_xlfn.IFS(Data!$F287&lt;600,((Data!$F287/Data!$D287)*60)*1,AND(Data!$F287&gt;=600,Data!$F287&lt;=625),((Data!$F287/Data!$D287)*60)*1.2,AND(Data!$F287&gt;=626,Data!$F287&lt;=650),((Data!$F287/Data!$D287)*60)*1.5,Data!$F287&gt;=651,((Data!$F287/Data!$D287)*60)*1.8)</f>
        <v>962.54237288135596</v>
      </c>
      <c r="AU287" s="23">
        <f>(Data!$I287*-1.2)+(Data!$J287*-1.1)+(Data!$K287*1.2)+(Data!$L287*1.3)+(Data!$M287*1.5)</f>
        <v>-5.5000000000000036</v>
      </c>
      <c r="AV287" s="23">
        <f>(Data!$AS287*0.4)+(Data!$AT287*0.4)+(Data!$AU287*0.2)</f>
        <v>389.77457627118645</v>
      </c>
      <c r="AW287" s="23">
        <f>PERCENTRANK(AV:AV,Data!$AV287)*100</f>
        <v>47.599999999999994</v>
      </c>
      <c r="AX287" s="23" t="str">
        <f>_xlfn.CONCAT(TEXT(C287,"mmm"),"-",Data!$AE287)</f>
        <v>Apr-2022</v>
      </c>
    </row>
    <row r="288" spans="1:50" ht="17" thickTop="1" thickBot="1" x14ac:dyDescent="0.25">
      <c r="A288" s="28">
        <v>287</v>
      </c>
      <c r="B288" s="29">
        <f t="shared" si="34"/>
        <v>15</v>
      </c>
      <c r="C288" s="41">
        <v>44663</v>
      </c>
      <c r="D288" s="30">
        <f>SUM(Data!$I288:$M288)</f>
        <v>58</v>
      </c>
      <c r="E288" s="29">
        <v>5</v>
      </c>
      <c r="F288" s="29">
        <v>605</v>
      </c>
      <c r="G288" s="29">
        <v>164</v>
      </c>
      <c r="H288" s="29">
        <v>122</v>
      </c>
      <c r="I288" s="29">
        <v>14</v>
      </c>
      <c r="J288" s="29">
        <v>17</v>
      </c>
      <c r="K288" s="29">
        <v>22</v>
      </c>
      <c r="L288" s="29">
        <v>5</v>
      </c>
      <c r="M288" s="29">
        <v>0</v>
      </c>
      <c r="N288" s="29" t="s">
        <v>30</v>
      </c>
      <c r="O288" s="29" t="s">
        <v>143</v>
      </c>
      <c r="P288" s="29" t="s">
        <v>142</v>
      </c>
      <c r="Q288" s="29">
        <f t="shared" si="40"/>
        <v>1</v>
      </c>
      <c r="R288" s="29" t="str">
        <f t="shared" si="35"/>
        <v>4-2022</v>
      </c>
      <c r="S288" s="29" t="s">
        <v>117</v>
      </c>
      <c r="T288" s="29" t="str">
        <f t="shared" si="36"/>
        <v>Tuesday</v>
      </c>
      <c r="U288" s="29">
        <f t="shared" si="37"/>
        <v>0</v>
      </c>
      <c r="V288" s="31">
        <f>IFERROR(Data!$I288/Data!$D288,"")</f>
        <v>0.2413793103448276</v>
      </c>
      <c r="W288" s="31">
        <f>IFERROR(Data!$J288/Data!$D288,"")</f>
        <v>0.29310344827586204</v>
      </c>
      <c r="X288" s="31">
        <f>IFERROR(Data!$K288/Data!$D288,"")</f>
        <v>0.37931034482758619</v>
      </c>
      <c r="Y288" s="31">
        <f>IFERROR(Data!$L288/Data!$D288,"")</f>
        <v>8.6206896551724144E-2</v>
      </c>
      <c r="Z288" s="31">
        <f>IFERROR(Data!$M288/Data!$D288,"")</f>
        <v>0</v>
      </c>
      <c r="AA288" s="32">
        <v>232.14</v>
      </c>
      <c r="AB288" s="32">
        <f t="shared" si="41"/>
        <v>15.475999999999999</v>
      </c>
      <c r="AC288" s="29">
        <f t="shared" si="38"/>
        <v>627.13333333333333</v>
      </c>
      <c r="AD288" s="29">
        <f t="shared" si="39"/>
        <v>11.866666666666667</v>
      </c>
      <c r="AE288" s="29">
        <f>YEAR(Data!$C288)</f>
        <v>2022</v>
      </c>
      <c r="AF288" s="29"/>
      <c r="AG288" s="29">
        <v>12</v>
      </c>
      <c r="AH288" s="33">
        <f>Data!$F288/Data!$D288</f>
        <v>10.431034482758621</v>
      </c>
      <c r="AI288" s="17" t="str">
        <f>RIGHT(Data!$O288,2)</f>
        <v>PM</v>
      </c>
      <c r="AJ288" s="29" t="str">
        <f>Data!$R288&amp;"-"&amp;WEEKNUM(Data!$C288,1)-WEEKNUM(DATE(YEAR(Data!$C288),MONTH(Data!$C288),1),1)+1</f>
        <v>4-2022-3</v>
      </c>
      <c r="AK288" s="29">
        <f>MONTH(Data!$C288)</f>
        <v>4</v>
      </c>
      <c r="AL288" s="29">
        <f>IFERROR(Data!$F288/Data!$E288,0)</f>
        <v>121</v>
      </c>
      <c r="AM288" s="29">
        <f>COUNTIF(Data!$N$2:$N$825,Data!$N288)</f>
        <v>9</v>
      </c>
      <c r="AN288" s="29" t="str">
        <f>VLOOKUP(Data!$N288,'Helpful Tables'!A:D,4,FALSE)</f>
        <v>Virginia</v>
      </c>
      <c r="AO288" s="29">
        <f>COUNTIF(AN:AN,Data!$AN288)/COUNTA(AN:AN)</f>
        <v>6.424242424242424E-2</v>
      </c>
      <c r="AP288" s="29">
        <v>38.894024999999999</v>
      </c>
      <c r="AQ288" s="29">
        <v>-77.078213000000005</v>
      </c>
      <c r="AR288" s="29">
        <f>COUNTIF(Data!$P$2:$P$825,Data!$P288)</f>
        <v>2</v>
      </c>
      <c r="AS288" s="29" cm="1">
        <f t="array" ref="AS288">_xlfn.IFS(Data!$E288&lt;12,((Data!$E288/Data!$D288)*60)*1,AND(Data!$E288&gt;=12,Data!$E288&lt;=15),((Data!$E288/Data!$D288)*60)*1.2,AND(Data!$E288&gt;=16,Data!$E288&lt;=19),((Data!$E288/Data!$D288)*60)*1.5,Data!$E288&gt;=20,((Data!$E288/Data!$D288)*60)*1.8)</f>
        <v>5.1724137931034484</v>
      </c>
      <c r="AT288" s="29" cm="1">
        <f t="array" ref="AT288">_xlfn.IFS(Data!$F288&lt;600,((Data!$F288/Data!$D288)*60)*1,AND(Data!$F288&gt;=600,Data!$F288&lt;=625),((Data!$F288/Data!$D288)*60)*1.2,AND(Data!$F288&gt;=626,Data!$F288&lt;=650),((Data!$F288/Data!$D288)*60)*1.5,Data!$F288&gt;=651,((Data!$F288/Data!$D288)*60)*1.8)</f>
        <v>751.03448275862058</v>
      </c>
      <c r="AU288" s="29">
        <f>(Data!$I288*-1.2)+(Data!$J288*-1.1)+(Data!$K288*1.2)+(Data!$L288*1.3)+(Data!$M288*1.5)</f>
        <v>-2.6000000000000014</v>
      </c>
      <c r="AV288" s="29">
        <f>(Data!$AS288*0.4)+(Data!$AT288*0.4)+(Data!$AU288*0.2)</f>
        <v>301.96275862068967</v>
      </c>
      <c r="AW288" s="29">
        <f>PERCENTRANK(AV:AV,Data!$AV288)*100</f>
        <v>26.700000000000003</v>
      </c>
      <c r="AX288" s="29" t="str">
        <f>_xlfn.CONCAT(TEXT(C288,"mmm"),"-",Data!$AE288)</f>
        <v>Apr-2022</v>
      </c>
    </row>
    <row r="289" spans="1:50" ht="17" thickTop="1" thickBot="1" x14ac:dyDescent="0.25">
      <c r="A289" s="22">
        <v>288</v>
      </c>
      <c r="B289" s="23">
        <f t="shared" si="34"/>
        <v>15</v>
      </c>
      <c r="C289" s="41">
        <v>44665</v>
      </c>
      <c r="D289" s="24">
        <f>SUM(Data!$I289:$M289)</f>
        <v>56</v>
      </c>
      <c r="E289" s="23">
        <v>13</v>
      </c>
      <c r="F289" s="23">
        <v>665</v>
      </c>
      <c r="G289" s="23">
        <v>163</v>
      </c>
      <c r="H289" s="23">
        <v>130</v>
      </c>
      <c r="I289" s="23">
        <v>7</v>
      </c>
      <c r="J289" s="23">
        <v>15</v>
      </c>
      <c r="K289" s="23">
        <v>21</v>
      </c>
      <c r="L289" s="23">
        <v>13</v>
      </c>
      <c r="M289" s="23">
        <v>0</v>
      </c>
      <c r="N289" s="23" t="s">
        <v>101</v>
      </c>
      <c r="O289" s="23" t="s">
        <v>39</v>
      </c>
      <c r="P289" s="23" t="s">
        <v>109</v>
      </c>
      <c r="Q289" s="23">
        <f t="shared" si="40"/>
        <v>2</v>
      </c>
      <c r="R289" s="23" t="str">
        <f t="shared" si="35"/>
        <v>4-2022</v>
      </c>
      <c r="S289" s="23" t="s">
        <v>104</v>
      </c>
      <c r="T289" s="23" t="str">
        <f t="shared" si="36"/>
        <v>Thursday</v>
      </c>
      <c r="U289" s="23">
        <f t="shared" si="37"/>
        <v>1</v>
      </c>
      <c r="V289" s="25">
        <f>IFERROR(Data!$I289/Data!$D289,"")</f>
        <v>0.125</v>
      </c>
      <c r="W289" s="25">
        <f>IFERROR(Data!$J289/Data!$D289,"")</f>
        <v>0.26785714285714285</v>
      </c>
      <c r="X289" s="25">
        <f>IFERROR(Data!$K289/Data!$D289,"")</f>
        <v>0.375</v>
      </c>
      <c r="Y289" s="25">
        <f>IFERROR(Data!$L289/Data!$D289,"")</f>
        <v>0.23214285714285715</v>
      </c>
      <c r="Z289" s="25">
        <f>IFERROR(Data!$M289/Data!$D289,"")</f>
        <v>0</v>
      </c>
      <c r="AA289" s="26">
        <v>232.14</v>
      </c>
      <c r="AB289" s="26">
        <f t="shared" si="41"/>
        <v>15.475999999999999</v>
      </c>
      <c r="AC289" s="23">
        <f t="shared" si="38"/>
        <v>627.13333333333333</v>
      </c>
      <c r="AD289" s="23">
        <f t="shared" si="39"/>
        <v>11.866666666666667</v>
      </c>
      <c r="AE289" s="23">
        <f>YEAR(Data!$C289)</f>
        <v>2022</v>
      </c>
      <c r="AF289" s="23"/>
      <c r="AG289" s="23">
        <v>12</v>
      </c>
      <c r="AH289" s="27">
        <f>Data!$F289/Data!$D289</f>
        <v>11.875</v>
      </c>
      <c r="AI289" s="17" t="str">
        <f>RIGHT(Data!$O289,2)</f>
        <v>PM</v>
      </c>
      <c r="AJ289" s="23" t="str">
        <f>Data!$R289&amp;"-"&amp;WEEKNUM(Data!$C289,1)-WEEKNUM(DATE(YEAR(Data!$C289),MONTH(Data!$C289),1),1)+1</f>
        <v>4-2022-3</v>
      </c>
      <c r="AK289" s="23">
        <f>MONTH(Data!$C289)</f>
        <v>4</v>
      </c>
      <c r="AL289" s="23">
        <f>IFERROR(Data!$F289/Data!$E289,0)</f>
        <v>51.153846153846153</v>
      </c>
      <c r="AM289" s="23">
        <f>COUNTIF(Data!$N$2:$N$825,Data!$N289)</f>
        <v>191</v>
      </c>
      <c r="AN289" s="23" t="str">
        <f>VLOOKUP(Data!$N289,'Helpful Tables'!A:D,4,FALSE)</f>
        <v>Washington, DC</v>
      </c>
      <c r="AO289" s="23">
        <f>COUNTIF(AN:AN,Data!$AN289)/COUNTA(AN:AN)</f>
        <v>0.62424242424242427</v>
      </c>
      <c r="AP289" s="23">
        <v>38.949649000000001</v>
      </c>
      <c r="AQ289" s="23">
        <v>-77.080878999999996</v>
      </c>
      <c r="AR289" s="23">
        <f>COUNTIF(Data!$P$2:$P$825,Data!$P289)</f>
        <v>66</v>
      </c>
      <c r="AS289" s="23" cm="1">
        <f t="array" ref="AS289">_xlfn.IFS(Data!$E289&lt;12,((Data!$E289/Data!$D289)*60)*1,AND(Data!$E289&gt;=12,Data!$E289&lt;=15),((Data!$E289/Data!$D289)*60)*1.2,AND(Data!$E289&gt;=16,Data!$E289&lt;=19),((Data!$E289/Data!$D289)*60)*1.5,Data!$E289&gt;=20,((Data!$E289/Data!$D289)*60)*1.8)</f>
        <v>16.714285714285715</v>
      </c>
      <c r="AT289" s="23" cm="1">
        <f t="array" ref="AT289">_xlfn.IFS(Data!$F289&lt;600,((Data!$F289/Data!$D289)*60)*1,AND(Data!$F289&gt;=600,Data!$F289&lt;=625),((Data!$F289/Data!$D289)*60)*1.2,AND(Data!$F289&gt;=626,Data!$F289&lt;=650),((Data!$F289/Data!$D289)*60)*1.5,Data!$F289&gt;=651,((Data!$F289/Data!$D289)*60)*1.8)</f>
        <v>1282.5</v>
      </c>
      <c r="AU289" s="23">
        <f>(Data!$I289*-1.2)+(Data!$J289*-1.1)+(Data!$K289*1.2)+(Data!$L289*1.3)+(Data!$M289*1.5)</f>
        <v>17.200000000000003</v>
      </c>
      <c r="AV289" s="23">
        <f>(Data!$AS289*0.4)+(Data!$AT289*0.4)+(Data!$AU289*0.2)</f>
        <v>523.12571428571437</v>
      </c>
      <c r="AW289" s="23">
        <f>PERCENTRANK(AV:AV,Data!$AV289)*100</f>
        <v>91</v>
      </c>
      <c r="AX289" s="23" t="str">
        <f>_xlfn.CONCAT(TEXT(C289,"mmm"),"-",Data!$AE289)</f>
        <v>Apr-2022</v>
      </c>
    </row>
    <row r="290" spans="1:50" ht="17" thickTop="1" thickBot="1" x14ac:dyDescent="0.25">
      <c r="A290" s="28">
        <v>289</v>
      </c>
      <c r="B290" s="29">
        <f t="shared" si="34"/>
        <v>15</v>
      </c>
      <c r="C290" s="41">
        <v>44667</v>
      </c>
      <c r="D290" s="30">
        <f>SUM(Data!$I290:$M290)</f>
        <v>58</v>
      </c>
      <c r="E290" s="29">
        <v>13</v>
      </c>
      <c r="F290" s="29">
        <v>694</v>
      </c>
      <c r="G290" s="29">
        <v>165</v>
      </c>
      <c r="H290" s="29">
        <v>133</v>
      </c>
      <c r="I290" s="29">
        <v>6</v>
      </c>
      <c r="J290" s="29">
        <v>10</v>
      </c>
      <c r="K290" s="29">
        <v>29</v>
      </c>
      <c r="L290" s="29">
        <v>9</v>
      </c>
      <c r="M290" s="29">
        <v>4</v>
      </c>
      <c r="N290" s="29" t="s">
        <v>91</v>
      </c>
      <c r="O290" s="29" t="s">
        <v>79</v>
      </c>
      <c r="P290" s="29" t="s">
        <v>98</v>
      </c>
      <c r="Q290" s="29">
        <f t="shared" si="40"/>
        <v>2</v>
      </c>
      <c r="R290" s="29" t="str">
        <f t="shared" si="35"/>
        <v>4-2022</v>
      </c>
      <c r="S290" s="29" t="s">
        <v>104</v>
      </c>
      <c r="T290" s="29" t="str">
        <f t="shared" si="36"/>
        <v>Saturday</v>
      </c>
      <c r="U290" s="29">
        <f t="shared" si="37"/>
        <v>1</v>
      </c>
      <c r="V290" s="31">
        <f>IFERROR(Data!$I290/Data!$D290,"")</f>
        <v>0.10344827586206896</v>
      </c>
      <c r="W290" s="31">
        <f>IFERROR(Data!$J290/Data!$D290,"")</f>
        <v>0.17241379310344829</v>
      </c>
      <c r="X290" s="31">
        <f>IFERROR(Data!$K290/Data!$D290,"")</f>
        <v>0.5</v>
      </c>
      <c r="Y290" s="31">
        <f>IFERROR(Data!$L290/Data!$D290,"")</f>
        <v>0.15517241379310345</v>
      </c>
      <c r="Z290" s="31">
        <f>IFERROR(Data!$M290/Data!$D290,"")</f>
        <v>6.8965517241379309E-2</v>
      </c>
      <c r="AA290" s="32">
        <v>232.14</v>
      </c>
      <c r="AB290" s="32">
        <f t="shared" si="41"/>
        <v>15.475999999999999</v>
      </c>
      <c r="AC290" s="29">
        <f t="shared" si="38"/>
        <v>627.13333333333333</v>
      </c>
      <c r="AD290" s="29">
        <f t="shared" si="39"/>
        <v>11.866666666666667</v>
      </c>
      <c r="AE290" s="29">
        <f>YEAR(Data!$C290)</f>
        <v>2022</v>
      </c>
      <c r="AF290" s="29"/>
      <c r="AG290" s="29">
        <v>12</v>
      </c>
      <c r="AH290" s="33">
        <f>Data!$F290/Data!$D290</f>
        <v>11.96551724137931</v>
      </c>
      <c r="AI290" s="17" t="str">
        <f>RIGHT(Data!$O290,2)</f>
        <v>AM</v>
      </c>
      <c r="AJ290" s="29" t="str">
        <f>Data!$R290&amp;"-"&amp;WEEKNUM(Data!$C290,1)-WEEKNUM(DATE(YEAR(Data!$C290),MONTH(Data!$C290),1),1)+1</f>
        <v>4-2022-3</v>
      </c>
      <c r="AK290" s="29">
        <f>MONTH(Data!$C290)</f>
        <v>4</v>
      </c>
      <c r="AL290" s="29">
        <f>IFERROR(Data!$F290/Data!$E290,0)</f>
        <v>53.384615384615387</v>
      </c>
      <c r="AM290" s="29">
        <f>COUNTIF(Data!$N$2:$N$825,Data!$N290)</f>
        <v>218</v>
      </c>
      <c r="AN290" s="29" t="str">
        <f>VLOOKUP(Data!$N290,'Helpful Tables'!A:D,4,FALSE)</f>
        <v>Washington, DC</v>
      </c>
      <c r="AO290" s="29">
        <f>COUNTIF(AN:AN,Data!$AN290)/COUNTA(AN:AN)</f>
        <v>0.62424242424242427</v>
      </c>
      <c r="AP290" s="29">
        <v>38.934710000000003</v>
      </c>
      <c r="AQ290" s="29">
        <v>-77.058222999999998</v>
      </c>
      <c r="AR290" s="29">
        <f>COUNTIF(Data!$P$2:$P$825,Data!$P290)</f>
        <v>28</v>
      </c>
      <c r="AS290" s="29" cm="1">
        <f t="array" ref="AS290">_xlfn.IFS(Data!$E290&lt;12,((Data!$E290/Data!$D290)*60)*1,AND(Data!$E290&gt;=12,Data!$E290&lt;=15),((Data!$E290/Data!$D290)*60)*1.2,AND(Data!$E290&gt;=16,Data!$E290&lt;=19),((Data!$E290/Data!$D290)*60)*1.5,Data!$E290&gt;=20,((Data!$E290/Data!$D290)*60)*1.8)</f>
        <v>16.137931034482758</v>
      </c>
      <c r="AT290" s="29" cm="1">
        <f t="array" ref="AT290">_xlfn.IFS(Data!$F290&lt;600,((Data!$F290/Data!$D290)*60)*1,AND(Data!$F290&gt;=600,Data!$F290&lt;=625),((Data!$F290/Data!$D290)*60)*1.2,AND(Data!$F290&gt;=626,Data!$F290&lt;=650),((Data!$F290/Data!$D290)*60)*1.5,Data!$F290&gt;=651,((Data!$F290/Data!$D290)*60)*1.8)</f>
        <v>1292.2758620689656</v>
      </c>
      <c r="AU290" s="29">
        <f>(Data!$I290*-1.2)+(Data!$J290*-1.1)+(Data!$K290*1.2)+(Data!$L290*1.3)+(Data!$M290*1.5)</f>
        <v>34.299999999999997</v>
      </c>
      <c r="AV290" s="29">
        <f>(Data!$AS290*0.4)+(Data!$AT290*0.4)+(Data!$AU290*0.2)</f>
        <v>530.22551724137941</v>
      </c>
      <c r="AW290" s="29">
        <f>PERCENTRANK(AV:AV,Data!$AV290)*100</f>
        <v>93.5</v>
      </c>
      <c r="AX290" s="29" t="str">
        <f>_xlfn.CONCAT(TEXT(C290,"mmm"),"-",Data!$AE290)</f>
        <v>Apr-2022</v>
      </c>
    </row>
    <row r="291" spans="1:50" ht="17" thickTop="1" thickBot="1" x14ac:dyDescent="0.25">
      <c r="A291" s="22">
        <v>290</v>
      </c>
      <c r="B291" s="23">
        <f t="shared" si="34"/>
        <v>15</v>
      </c>
      <c r="C291" s="41">
        <v>44669</v>
      </c>
      <c r="D291" s="24">
        <f>SUM(Data!$I291:$M291)</f>
        <v>58</v>
      </c>
      <c r="E291" s="23">
        <v>15</v>
      </c>
      <c r="F291" s="23">
        <v>659</v>
      </c>
      <c r="G291" s="23">
        <v>166</v>
      </c>
      <c r="H291" s="23">
        <v>127</v>
      </c>
      <c r="I291" s="23">
        <v>13</v>
      </c>
      <c r="J291" s="23">
        <v>15</v>
      </c>
      <c r="K291" s="23">
        <v>15</v>
      </c>
      <c r="L291" s="23">
        <v>13</v>
      </c>
      <c r="M291" s="23">
        <v>2</v>
      </c>
      <c r="N291" s="23" t="s">
        <v>101</v>
      </c>
      <c r="O291" s="23" t="s">
        <v>39</v>
      </c>
      <c r="P291" s="23" t="s">
        <v>109</v>
      </c>
      <c r="Q291" s="23">
        <f t="shared" si="40"/>
        <v>2</v>
      </c>
      <c r="R291" s="23" t="str">
        <f t="shared" si="35"/>
        <v>4-2022</v>
      </c>
      <c r="S291" s="23" t="s">
        <v>104</v>
      </c>
      <c r="T291" s="23" t="str">
        <f t="shared" si="36"/>
        <v>Monday</v>
      </c>
      <c r="U291" s="23">
        <f t="shared" si="37"/>
        <v>1</v>
      </c>
      <c r="V291" s="25">
        <f>IFERROR(Data!$I291/Data!$D291,"")</f>
        <v>0.22413793103448276</v>
      </c>
      <c r="W291" s="25">
        <f>IFERROR(Data!$J291/Data!$D291,"")</f>
        <v>0.25862068965517243</v>
      </c>
      <c r="X291" s="25">
        <f>IFERROR(Data!$K291/Data!$D291,"")</f>
        <v>0.25862068965517243</v>
      </c>
      <c r="Y291" s="25">
        <f>IFERROR(Data!$L291/Data!$D291,"")</f>
        <v>0.22413793103448276</v>
      </c>
      <c r="Z291" s="25">
        <f>IFERROR(Data!$M291/Data!$D291,"")</f>
        <v>3.4482758620689655E-2</v>
      </c>
      <c r="AA291" s="26">
        <v>232.14</v>
      </c>
      <c r="AB291" s="26">
        <f t="shared" si="41"/>
        <v>15.475999999999999</v>
      </c>
      <c r="AC291" s="23">
        <f t="shared" si="38"/>
        <v>627.13333333333333</v>
      </c>
      <c r="AD291" s="23">
        <f t="shared" si="39"/>
        <v>11.866666666666667</v>
      </c>
      <c r="AE291" s="23">
        <f>YEAR(Data!$C291)</f>
        <v>2022</v>
      </c>
      <c r="AF291" s="23"/>
      <c r="AG291" s="23">
        <v>12</v>
      </c>
      <c r="AH291" s="27">
        <f>Data!$F291/Data!$D291</f>
        <v>11.362068965517242</v>
      </c>
      <c r="AI291" s="17" t="str">
        <f>RIGHT(Data!$O291,2)</f>
        <v>PM</v>
      </c>
      <c r="AJ291" s="23" t="str">
        <f>Data!$R291&amp;"-"&amp;WEEKNUM(Data!$C291,1)-WEEKNUM(DATE(YEAR(Data!$C291),MONTH(Data!$C291),1),1)+1</f>
        <v>4-2022-4</v>
      </c>
      <c r="AK291" s="23">
        <f>MONTH(Data!$C291)</f>
        <v>4</v>
      </c>
      <c r="AL291" s="23">
        <f>IFERROR(Data!$F291/Data!$E291,0)</f>
        <v>43.93333333333333</v>
      </c>
      <c r="AM291" s="23">
        <f>COUNTIF(Data!$N$2:$N$825,Data!$N291)</f>
        <v>191</v>
      </c>
      <c r="AN291" s="23" t="str">
        <f>VLOOKUP(Data!$N291,'Helpful Tables'!A:D,4,FALSE)</f>
        <v>Washington, DC</v>
      </c>
      <c r="AO291" s="23">
        <f>COUNTIF(AN:AN,Data!$AN291)/COUNTA(AN:AN)</f>
        <v>0.62424242424242427</v>
      </c>
      <c r="AP291" s="23">
        <v>38.949649000000001</v>
      </c>
      <c r="AQ291" s="23">
        <v>-77.080878999999996</v>
      </c>
      <c r="AR291" s="23">
        <f>COUNTIF(Data!$P$2:$P$825,Data!$P291)</f>
        <v>66</v>
      </c>
      <c r="AS291" s="23" cm="1">
        <f t="array" ref="AS291">_xlfn.IFS(Data!$E291&lt;12,((Data!$E291/Data!$D291)*60)*1,AND(Data!$E291&gt;=12,Data!$E291&lt;=15),((Data!$E291/Data!$D291)*60)*1.2,AND(Data!$E291&gt;=16,Data!$E291&lt;=19),((Data!$E291/Data!$D291)*60)*1.5,Data!$E291&gt;=20,((Data!$E291/Data!$D291)*60)*1.8)</f>
        <v>18.620689655172413</v>
      </c>
      <c r="AT291" s="23" cm="1">
        <f t="array" ref="AT291">_xlfn.IFS(Data!$F291&lt;600,((Data!$F291/Data!$D291)*60)*1,AND(Data!$F291&gt;=600,Data!$F291&lt;=625),((Data!$F291/Data!$D291)*60)*1.2,AND(Data!$F291&gt;=626,Data!$F291&lt;=650),((Data!$F291/Data!$D291)*60)*1.5,Data!$F291&gt;=651,((Data!$F291/Data!$D291)*60)*1.8)</f>
        <v>1227.1034482758621</v>
      </c>
      <c r="AU291" s="23">
        <f>(Data!$I291*-1.2)+(Data!$J291*-1.1)+(Data!$K291*1.2)+(Data!$L291*1.3)+(Data!$M291*1.5)</f>
        <v>5.8000000000000007</v>
      </c>
      <c r="AV291" s="23">
        <f>(Data!$AS291*0.4)+(Data!$AT291*0.4)+(Data!$AU291*0.2)</f>
        <v>499.44965517241383</v>
      </c>
      <c r="AW291" s="23">
        <f>PERCENTRANK(AV:AV,Data!$AV291)*100</f>
        <v>77.5</v>
      </c>
      <c r="AX291" s="23" t="str">
        <f>_xlfn.CONCAT(TEXT(C291,"mmm"),"-",Data!$AE291)</f>
        <v>Apr-2022</v>
      </c>
    </row>
    <row r="292" spans="1:50" ht="17" thickTop="1" thickBot="1" x14ac:dyDescent="0.25">
      <c r="A292" s="28">
        <v>291</v>
      </c>
      <c r="B292" s="29">
        <f t="shared" si="34"/>
        <v>15</v>
      </c>
      <c r="C292" s="41">
        <v>44671</v>
      </c>
      <c r="D292" s="30">
        <f>SUM(Data!$I292:$M292)</f>
        <v>57</v>
      </c>
      <c r="E292" s="29">
        <v>7</v>
      </c>
      <c r="F292" s="29">
        <v>626</v>
      </c>
      <c r="G292" s="29">
        <v>167</v>
      </c>
      <c r="H292" s="29">
        <v>125</v>
      </c>
      <c r="I292" s="29">
        <v>9</v>
      </c>
      <c r="J292" s="29">
        <v>17</v>
      </c>
      <c r="K292" s="29">
        <v>24</v>
      </c>
      <c r="L292" s="29">
        <v>6</v>
      </c>
      <c r="M292" s="29">
        <v>1</v>
      </c>
      <c r="N292" s="29" t="s">
        <v>91</v>
      </c>
      <c r="O292" s="29" t="s">
        <v>39</v>
      </c>
      <c r="P292" s="29" t="s">
        <v>118</v>
      </c>
      <c r="Q292" s="29">
        <f t="shared" si="40"/>
        <v>2</v>
      </c>
      <c r="R292" s="29" t="str">
        <f t="shared" si="35"/>
        <v>4-2022</v>
      </c>
      <c r="S292" s="29" t="s">
        <v>117</v>
      </c>
      <c r="T292" s="29" t="str">
        <f t="shared" si="36"/>
        <v>Wednesday</v>
      </c>
      <c r="U292" s="29">
        <f t="shared" si="37"/>
        <v>0</v>
      </c>
      <c r="V292" s="31">
        <f>IFERROR(Data!$I292/Data!$D292,"")</f>
        <v>0.15789473684210525</v>
      </c>
      <c r="W292" s="31">
        <f>IFERROR(Data!$J292/Data!$D292,"")</f>
        <v>0.2982456140350877</v>
      </c>
      <c r="X292" s="31">
        <f>IFERROR(Data!$K292/Data!$D292,"")</f>
        <v>0.42105263157894735</v>
      </c>
      <c r="Y292" s="31">
        <f>IFERROR(Data!$L292/Data!$D292,"")</f>
        <v>0.10526315789473684</v>
      </c>
      <c r="Z292" s="31">
        <f>IFERROR(Data!$M292/Data!$D292,"")</f>
        <v>1.7543859649122806E-2</v>
      </c>
      <c r="AA292" s="32">
        <v>232.14</v>
      </c>
      <c r="AB292" s="32">
        <f t="shared" si="41"/>
        <v>15.475999999999999</v>
      </c>
      <c r="AC292" s="29">
        <f t="shared" si="38"/>
        <v>627.13333333333333</v>
      </c>
      <c r="AD292" s="29">
        <f t="shared" si="39"/>
        <v>11.866666666666667</v>
      </c>
      <c r="AE292" s="29">
        <f>YEAR(Data!$C292)</f>
        <v>2022</v>
      </c>
      <c r="AF292" s="29"/>
      <c r="AG292" s="29">
        <v>12</v>
      </c>
      <c r="AH292" s="33">
        <f>Data!$F292/Data!$D292</f>
        <v>10.982456140350877</v>
      </c>
      <c r="AI292" s="17" t="str">
        <f>RIGHT(Data!$O292,2)</f>
        <v>PM</v>
      </c>
      <c r="AJ292" s="29" t="str">
        <f>Data!$R292&amp;"-"&amp;WEEKNUM(Data!$C292,1)-WEEKNUM(DATE(YEAR(Data!$C292),MONTH(Data!$C292),1),1)+1</f>
        <v>4-2022-4</v>
      </c>
      <c r="AK292" s="29">
        <f>MONTH(Data!$C292)</f>
        <v>4</v>
      </c>
      <c r="AL292" s="29">
        <f>IFERROR(Data!$F292/Data!$E292,0)</f>
        <v>89.428571428571431</v>
      </c>
      <c r="AM292" s="29">
        <f>COUNTIF(Data!$N$2:$N$825,Data!$N292)</f>
        <v>218</v>
      </c>
      <c r="AN292" s="29" t="str">
        <f>VLOOKUP(Data!$N292,'Helpful Tables'!A:D,4,FALSE)</f>
        <v>Washington, DC</v>
      </c>
      <c r="AO292" s="29">
        <f>COUNTIF(AN:AN,Data!$AN292)/COUNTA(AN:AN)</f>
        <v>0.62424242424242427</v>
      </c>
      <c r="AP292" s="29">
        <v>38.934710000000003</v>
      </c>
      <c r="AQ292" s="29">
        <v>-77.058222999999998</v>
      </c>
      <c r="AR292" s="29">
        <f>COUNTIF(Data!$P$2:$P$825,Data!$P292)</f>
        <v>16</v>
      </c>
      <c r="AS292" s="29" cm="1">
        <f t="array" ref="AS292">_xlfn.IFS(Data!$E292&lt;12,((Data!$E292/Data!$D292)*60)*1,AND(Data!$E292&gt;=12,Data!$E292&lt;=15),((Data!$E292/Data!$D292)*60)*1.2,AND(Data!$E292&gt;=16,Data!$E292&lt;=19),((Data!$E292/Data!$D292)*60)*1.5,Data!$E292&gt;=20,((Data!$E292/Data!$D292)*60)*1.8)</f>
        <v>7.3684210526315788</v>
      </c>
      <c r="AT292" s="29" cm="1">
        <f t="array" ref="AT292">_xlfn.IFS(Data!$F292&lt;600,((Data!$F292/Data!$D292)*60)*1,AND(Data!$F292&gt;=600,Data!$F292&lt;=625),((Data!$F292/Data!$D292)*60)*1.2,AND(Data!$F292&gt;=626,Data!$F292&lt;=650),((Data!$F292/Data!$D292)*60)*1.5,Data!$F292&gt;=651,((Data!$F292/Data!$D292)*60)*1.8)</f>
        <v>988.42105263157896</v>
      </c>
      <c r="AU292" s="29">
        <f>(Data!$I292*-1.2)+(Data!$J292*-1.1)+(Data!$K292*1.2)+(Data!$L292*1.3)+(Data!$M292*1.5)</f>
        <v>8.5999999999999979</v>
      </c>
      <c r="AV292" s="29">
        <f>(Data!$AS292*0.4)+(Data!$AT292*0.4)+(Data!$AU292*0.2)</f>
        <v>400.0357894736843</v>
      </c>
      <c r="AW292" s="29">
        <f>PERCENTRANK(AV:AV,Data!$AV292)*100</f>
        <v>52.6</v>
      </c>
      <c r="AX292" s="29" t="str">
        <f>_xlfn.CONCAT(TEXT(C292,"mmm"),"-",Data!$AE292)</f>
        <v>Apr-2022</v>
      </c>
    </row>
    <row r="293" spans="1:50" ht="17" thickTop="1" thickBot="1" x14ac:dyDescent="0.25">
      <c r="A293" s="22">
        <v>292</v>
      </c>
      <c r="B293" s="23">
        <f t="shared" si="34"/>
        <v>15</v>
      </c>
      <c r="C293" s="41">
        <v>44678</v>
      </c>
      <c r="D293" s="24">
        <f>SUM(Data!$I293:$M293)</f>
        <v>57</v>
      </c>
      <c r="E293" s="23">
        <v>4</v>
      </c>
      <c r="F293" s="23">
        <v>498</v>
      </c>
      <c r="G293" s="23">
        <v>161</v>
      </c>
      <c r="H293" s="23">
        <v>110</v>
      </c>
      <c r="I293" s="23">
        <v>27</v>
      </c>
      <c r="J293" s="23">
        <v>15</v>
      </c>
      <c r="K293" s="23">
        <v>11</v>
      </c>
      <c r="L293" s="23">
        <v>4</v>
      </c>
      <c r="M293" s="23">
        <v>0</v>
      </c>
      <c r="N293" s="23" t="s">
        <v>91</v>
      </c>
      <c r="O293" s="23" t="s">
        <v>39</v>
      </c>
      <c r="P293" s="23" t="s">
        <v>96</v>
      </c>
      <c r="Q293" s="23">
        <f t="shared" si="40"/>
        <v>7</v>
      </c>
      <c r="R293" s="23" t="str">
        <f t="shared" si="35"/>
        <v>4-2022</v>
      </c>
      <c r="S293" s="23" t="s">
        <v>117</v>
      </c>
      <c r="T293" s="23" t="str">
        <f t="shared" si="36"/>
        <v>Wednesday</v>
      </c>
      <c r="U293" s="23">
        <f t="shared" si="37"/>
        <v>0</v>
      </c>
      <c r="V293" s="25">
        <f>IFERROR(Data!$I293/Data!$D293,"")</f>
        <v>0.47368421052631576</v>
      </c>
      <c r="W293" s="25">
        <f>IFERROR(Data!$J293/Data!$D293,"")</f>
        <v>0.26315789473684209</v>
      </c>
      <c r="X293" s="25">
        <f>IFERROR(Data!$K293/Data!$D293,"")</f>
        <v>0.19298245614035087</v>
      </c>
      <c r="Y293" s="25">
        <f>IFERROR(Data!$L293/Data!$D293,"")</f>
        <v>7.0175438596491224E-2</v>
      </c>
      <c r="Z293" s="25">
        <f>IFERROR(Data!$M293/Data!$D293,"")</f>
        <v>0</v>
      </c>
      <c r="AA293" s="26">
        <v>232.14</v>
      </c>
      <c r="AB293" s="26">
        <f t="shared" si="41"/>
        <v>15.475999999999999</v>
      </c>
      <c r="AC293" s="23">
        <f t="shared" si="38"/>
        <v>627.13333333333333</v>
      </c>
      <c r="AD293" s="23">
        <f t="shared" si="39"/>
        <v>11.866666666666667</v>
      </c>
      <c r="AE293" s="23">
        <f>YEAR(Data!$C293)</f>
        <v>2022</v>
      </c>
      <c r="AF293" s="23"/>
      <c r="AG293" s="23">
        <v>12</v>
      </c>
      <c r="AH293" s="27">
        <f>Data!$F293/Data!$D293</f>
        <v>8.7368421052631575</v>
      </c>
      <c r="AI293" s="17" t="str">
        <f>RIGHT(Data!$O293,2)</f>
        <v>PM</v>
      </c>
      <c r="AJ293" s="23" t="str">
        <f>Data!$R293&amp;"-"&amp;WEEKNUM(Data!$C293,1)-WEEKNUM(DATE(YEAR(Data!$C293),MONTH(Data!$C293),1),1)+1</f>
        <v>4-2022-5</v>
      </c>
      <c r="AK293" s="23">
        <f>MONTH(Data!$C293)</f>
        <v>4</v>
      </c>
      <c r="AL293" s="23">
        <f>IFERROR(Data!$F293/Data!$E293,0)</f>
        <v>124.5</v>
      </c>
      <c r="AM293" s="23">
        <f>COUNTIF(Data!$N$2:$N$825,Data!$N293)</f>
        <v>218</v>
      </c>
      <c r="AN293" s="23" t="str">
        <f>VLOOKUP(Data!$N293,'Helpful Tables'!A:D,4,FALSE)</f>
        <v>Washington, DC</v>
      </c>
      <c r="AO293" s="23">
        <f>COUNTIF(AN:AN,Data!$AN293)/COUNTA(AN:AN)</f>
        <v>0.62424242424242427</v>
      </c>
      <c r="AP293" s="23">
        <v>38.934710000000003</v>
      </c>
      <c r="AQ293" s="23">
        <v>-77.058222999999998</v>
      </c>
      <c r="AR293" s="23">
        <f>COUNTIF(Data!$P$2:$P$825,Data!$P293)</f>
        <v>71</v>
      </c>
      <c r="AS293" s="23" cm="1">
        <f t="array" ref="AS293">_xlfn.IFS(Data!$E293&lt;12,((Data!$E293/Data!$D293)*60)*1,AND(Data!$E293&gt;=12,Data!$E293&lt;=15),((Data!$E293/Data!$D293)*60)*1.2,AND(Data!$E293&gt;=16,Data!$E293&lt;=19),((Data!$E293/Data!$D293)*60)*1.5,Data!$E293&gt;=20,((Data!$E293/Data!$D293)*60)*1.8)</f>
        <v>4.2105263157894735</v>
      </c>
      <c r="AT293" s="23" cm="1">
        <f t="array" ref="AT293">_xlfn.IFS(Data!$F293&lt;600,((Data!$F293/Data!$D293)*60)*1,AND(Data!$F293&gt;=600,Data!$F293&lt;=625),((Data!$F293/Data!$D293)*60)*1.2,AND(Data!$F293&gt;=626,Data!$F293&lt;=650),((Data!$F293/Data!$D293)*60)*1.5,Data!$F293&gt;=651,((Data!$F293/Data!$D293)*60)*1.8)</f>
        <v>524.21052631578948</v>
      </c>
      <c r="AU293" s="23">
        <f>(Data!$I293*-1.2)+(Data!$J293*-1.1)+(Data!$K293*1.2)+(Data!$L293*1.3)+(Data!$M293*1.5)</f>
        <v>-30.500000000000004</v>
      </c>
      <c r="AV293" s="23">
        <f>(Data!$AS293*0.4)+(Data!$AT293*0.4)+(Data!$AU293*0.2)</f>
        <v>205.2684210526316</v>
      </c>
      <c r="AW293" s="23">
        <f>PERCENTRANK(AV:AV,Data!$AV293)*100</f>
        <v>1.2</v>
      </c>
      <c r="AX293" s="23" t="str">
        <f>_xlfn.CONCAT(TEXT(C293,"mmm"),"-",Data!$AE293)</f>
        <v>Apr-2022</v>
      </c>
    </row>
    <row r="294" spans="1:50" ht="17" thickTop="1" thickBot="1" x14ac:dyDescent="0.25">
      <c r="A294" s="28">
        <v>293</v>
      </c>
      <c r="B294" s="29">
        <f t="shared" si="34"/>
        <v>15</v>
      </c>
      <c r="C294" s="41">
        <v>44679</v>
      </c>
      <c r="D294" s="30">
        <f>SUM(Data!$I294:$M294)</f>
        <v>56</v>
      </c>
      <c r="E294" s="29">
        <v>15</v>
      </c>
      <c r="F294" s="29">
        <v>613</v>
      </c>
      <c r="G294" s="29">
        <v>165</v>
      </c>
      <c r="H294" s="29">
        <v>125</v>
      </c>
      <c r="I294" s="29">
        <v>12</v>
      </c>
      <c r="J294" s="29">
        <v>20</v>
      </c>
      <c r="K294" s="29">
        <v>9</v>
      </c>
      <c r="L294" s="29">
        <v>14</v>
      </c>
      <c r="M294" s="29">
        <v>1</v>
      </c>
      <c r="N294" s="29" t="s">
        <v>101</v>
      </c>
      <c r="O294" s="29" t="s">
        <v>39</v>
      </c>
      <c r="P294" s="29" t="s">
        <v>109</v>
      </c>
      <c r="Q294" s="29">
        <f t="shared" si="40"/>
        <v>1</v>
      </c>
      <c r="R294" s="29" t="str">
        <f t="shared" si="35"/>
        <v>4-2022</v>
      </c>
      <c r="S294" s="29" t="s">
        <v>104</v>
      </c>
      <c r="T294" s="29" t="str">
        <f t="shared" si="36"/>
        <v>Thursday</v>
      </c>
      <c r="U294" s="29">
        <f t="shared" si="37"/>
        <v>1</v>
      </c>
      <c r="V294" s="31">
        <f>IFERROR(Data!$I294/Data!$D294,"")</f>
        <v>0.21428571428571427</v>
      </c>
      <c r="W294" s="31">
        <f>IFERROR(Data!$J294/Data!$D294,"")</f>
        <v>0.35714285714285715</v>
      </c>
      <c r="X294" s="31">
        <f>IFERROR(Data!$K294/Data!$D294,"")</f>
        <v>0.16071428571428573</v>
      </c>
      <c r="Y294" s="31">
        <f>IFERROR(Data!$L294/Data!$D294,"")</f>
        <v>0.25</v>
      </c>
      <c r="Z294" s="31">
        <f>IFERROR(Data!$M294/Data!$D294,"")</f>
        <v>1.7857142857142856E-2</v>
      </c>
      <c r="AA294" s="32">
        <v>232.14</v>
      </c>
      <c r="AB294" s="32">
        <f t="shared" si="41"/>
        <v>15.475999999999999</v>
      </c>
      <c r="AC294" s="29">
        <f t="shared" si="38"/>
        <v>627.13333333333333</v>
      </c>
      <c r="AD294" s="29">
        <f t="shared" si="39"/>
        <v>11.866666666666667</v>
      </c>
      <c r="AE294" s="29">
        <f>YEAR(Data!$C294)</f>
        <v>2022</v>
      </c>
      <c r="AF294" s="29"/>
      <c r="AG294" s="29">
        <v>12</v>
      </c>
      <c r="AH294" s="33">
        <f>Data!$F294/Data!$D294</f>
        <v>10.946428571428571</v>
      </c>
      <c r="AI294" s="17" t="str">
        <f>RIGHT(Data!$O294,2)</f>
        <v>PM</v>
      </c>
      <c r="AJ294" s="29" t="str">
        <f>Data!$R294&amp;"-"&amp;WEEKNUM(Data!$C294,1)-WEEKNUM(DATE(YEAR(Data!$C294),MONTH(Data!$C294),1),1)+1</f>
        <v>4-2022-5</v>
      </c>
      <c r="AK294" s="29">
        <f>MONTH(Data!$C294)</f>
        <v>4</v>
      </c>
      <c r="AL294" s="29">
        <f>IFERROR(Data!$F294/Data!$E294,0)</f>
        <v>40.866666666666667</v>
      </c>
      <c r="AM294" s="29">
        <f>COUNTIF(Data!$N$2:$N$825,Data!$N294)</f>
        <v>191</v>
      </c>
      <c r="AN294" s="29" t="str">
        <f>VLOOKUP(Data!$N294,'Helpful Tables'!A:D,4,FALSE)</f>
        <v>Washington, DC</v>
      </c>
      <c r="AO294" s="29">
        <f>COUNTIF(AN:AN,Data!$AN294)/COUNTA(AN:AN)</f>
        <v>0.62424242424242427</v>
      </c>
      <c r="AP294" s="29">
        <v>38.949649000000001</v>
      </c>
      <c r="AQ294" s="29">
        <v>-77.080878999999996</v>
      </c>
      <c r="AR294" s="29">
        <f>COUNTIF(Data!$P$2:$P$825,Data!$P294)</f>
        <v>66</v>
      </c>
      <c r="AS294" s="29" cm="1">
        <f t="array" ref="AS294">_xlfn.IFS(Data!$E294&lt;12,((Data!$E294/Data!$D294)*60)*1,AND(Data!$E294&gt;=12,Data!$E294&lt;=15),((Data!$E294/Data!$D294)*60)*1.2,AND(Data!$E294&gt;=16,Data!$E294&lt;=19),((Data!$E294/Data!$D294)*60)*1.5,Data!$E294&gt;=20,((Data!$E294/Data!$D294)*60)*1.8)</f>
        <v>19.285714285714281</v>
      </c>
      <c r="AT294" s="29" cm="1">
        <f t="array" ref="AT294">_xlfn.IFS(Data!$F294&lt;600,((Data!$F294/Data!$D294)*60)*1,AND(Data!$F294&gt;=600,Data!$F294&lt;=625),((Data!$F294/Data!$D294)*60)*1.2,AND(Data!$F294&gt;=626,Data!$F294&lt;=650),((Data!$F294/Data!$D294)*60)*1.5,Data!$F294&gt;=651,((Data!$F294/Data!$D294)*60)*1.8)</f>
        <v>788.142857142857</v>
      </c>
      <c r="AU294" s="29">
        <f>(Data!$I294*-1.2)+(Data!$J294*-1.1)+(Data!$K294*1.2)+(Data!$L294*1.3)+(Data!$M294*1.5)</f>
        <v>-5.9000000000000021</v>
      </c>
      <c r="AV294" s="29">
        <f>(Data!$AS294*0.4)+(Data!$AT294*0.4)+(Data!$AU294*0.2)</f>
        <v>321.79142857142853</v>
      </c>
      <c r="AW294" s="29">
        <f>PERCENTRANK(AV:AV,Data!$AV294)*100</f>
        <v>38.5</v>
      </c>
      <c r="AX294" s="29" t="str">
        <f>_xlfn.CONCAT(TEXT(C294,"mmm"),"-",Data!$AE294)</f>
        <v>Apr-2022</v>
      </c>
    </row>
    <row r="295" spans="1:50" ht="17" thickTop="1" thickBot="1" x14ac:dyDescent="0.25">
      <c r="A295" s="22">
        <v>294</v>
      </c>
      <c r="B295" s="23">
        <f t="shared" si="34"/>
        <v>15</v>
      </c>
      <c r="C295" s="41">
        <v>44681</v>
      </c>
      <c r="D295" s="24">
        <f>SUM(Data!$I295:$M295)</f>
        <v>59</v>
      </c>
      <c r="E295" s="23">
        <v>14</v>
      </c>
      <c r="F295" s="23">
        <v>609</v>
      </c>
      <c r="G295" s="23">
        <v>170</v>
      </c>
      <c r="H295" s="23">
        <v>122</v>
      </c>
      <c r="I295" s="23">
        <v>19</v>
      </c>
      <c r="J295" s="23">
        <v>13</v>
      </c>
      <c r="K295" s="23">
        <v>13</v>
      </c>
      <c r="L295" s="23">
        <v>9</v>
      </c>
      <c r="M295" s="23">
        <v>5</v>
      </c>
      <c r="N295" s="23" t="s">
        <v>101</v>
      </c>
      <c r="O295" s="23" t="s">
        <v>45</v>
      </c>
      <c r="P295" s="23" t="s">
        <v>109</v>
      </c>
      <c r="Q295" s="23">
        <f t="shared" si="40"/>
        <v>2</v>
      </c>
      <c r="R295" s="23" t="str">
        <f t="shared" si="35"/>
        <v>4-2022</v>
      </c>
      <c r="S295" s="23" t="s">
        <v>117</v>
      </c>
      <c r="T295" s="23" t="str">
        <f t="shared" si="36"/>
        <v>Saturday</v>
      </c>
      <c r="U295" s="23">
        <f t="shared" si="37"/>
        <v>1</v>
      </c>
      <c r="V295" s="25">
        <f>IFERROR(Data!$I295/Data!$D295,"")</f>
        <v>0.32203389830508472</v>
      </c>
      <c r="W295" s="25">
        <f>IFERROR(Data!$J295/Data!$D295,"")</f>
        <v>0.22033898305084745</v>
      </c>
      <c r="X295" s="25">
        <f>IFERROR(Data!$K295/Data!$D295,"")</f>
        <v>0.22033898305084745</v>
      </c>
      <c r="Y295" s="25">
        <f>IFERROR(Data!$L295/Data!$D295,"")</f>
        <v>0.15254237288135594</v>
      </c>
      <c r="Z295" s="25">
        <f>IFERROR(Data!$M295/Data!$D295,"")</f>
        <v>8.4745762711864403E-2</v>
      </c>
      <c r="AA295" s="26">
        <v>232.14</v>
      </c>
      <c r="AB295" s="26">
        <f t="shared" si="41"/>
        <v>15.475999999999999</v>
      </c>
      <c r="AC295" s="23">
        <f t="shared" si="38"/>
        <v>627.13333333333333</v>
      </c>
      <c r="AD295" s="23">
        <f t="shared" si="39"/>
        <v>11.866666666666667</v>
      </c>
      <c r="AE295" s="23">
        <f>YEAR(Data!$C295)</f>
        <v>2022</v>
      </c>
      <c r="AF295" s="23"/>
      <c r="AG295" s="23">
        <v>12</v>
      </c>
      <c r="AH295" s="27">
        <f>Data!$F295/Data!$D295</f>
        <v>10.322033898305085</v>
      </c>
      <c r="AI295" s="17" t="str">
        <f>RIGHT(Data!$O295,2)</f>
        <v>AM</v>
      </c>
      <c r="AJ295" s="23" t="str">
        <f>Data!$R295&amp;"-"&amp;WEEKNUM(Data!$C295,1)-WEEKNUM(DATE(YEAR(Data!$C295),MONTH(Data!$C295),1),1)+1</f>
        <v>4-2022-5</v>
      </c>
      <c r="AK295" s="23">
        <f>MONTH(Data!$C295)</f>
        <v>4</v>
      </c>
      <c r="AL295" s="23">
        <f>IFERROR(Data!$F295/Data!$E295,0)</f>
        <v>43.5</v>
      </c>
      <c r="AM295" s="23">
        <f>COUNTIF(Data!$N$2:$N$825,Data!$N295)</f>
        <v>191</v>
      </c>
      <c r="AN295" s="23" t="str">
        <f>VLOOKUP(Data!$N295,'Helpful Tables'!A:D,4,FALSE)</f>
        <v>Washington, DC</v>
      </c>
      <c r="AO295" s="23">
        <f>COUNTIF(AN:AN,Data!$AN295)/COUNTA(AN:AN)</f>
        <v>0.62424242424242427</v>
      </c>
      <c r="AP295" s="23">
        <v>38.949649000000001</v>
      </c>
      <c r="AQ295" s="23">
        <v>-77.080878999999996</v>
      </c>
      <c r="AR295" s="23">
        <f>COUNTIF(Data!$P$2:$P$825,Data!$P295)</f>
        <v>66</v>
      </c>
      <c r="AS295" s="23" cm="1">
        <f t="array" ref="AS295">_xlfn.IFS(Data!$E295&lt;12,((Data!$E295/Data!$D295)*60)*1,AND(Data!$E295&gt;=12,Data!$E295&lt;=15),((Data!$E295/Data!$D295)*60)*1.2,AND(Data!$E295&gt;=16,Data!$E295&lt;=19),((Data!$E295/Data!$D295)*60)*1.5,Data!$E295&gt;=20,((Data!$E295/Data!$D295)*60)*1.8)</f>
        <v>17.084745762711865</v>
      </c>
      <c r="AT295" s="23" cm="1">
        <f t="array" ref="AT295">_xlfn.IFS(Data!$F295&lt;600,((Data!$F295/Data!$D295)*60)*1,AND(Data!$F295&gt;=600,Data!$F295&lt;=625),((Data!$F295/Data!$D295)*60)*1.2,AND(Data!$F295&gt;=626,Data!$F295&lt;=650),((Data!$F295/Data!$D295)*60)*1.5,Data!$F295&gt;=651,((Data!$F295/Data!$D295)*60)*1.8)</f>
        <v>743.18644067796606</v>
      </c>
      <c r="AU295" s="23">
        <f>(Data!$I295*-1.2)+(Data!$J295*-1.1)+(Data!$K295*1.2)+(Data!$L295*1.3)+(Data!$M295*1.5)</f>
        <v>-2.2999999999999989</v>
      </c>
      <c r="AV295" s="23">
        <f>(Data!$AS295*0.4)+(Data!$AT295*0.4)+(Data!$AU295*0.2)</f>
        <v>303.64847457627121</v>
      </c>
      <c r="AW295" s="23">
        <f>PERCENTRANK(AV:AV,Data!$AV295)*100</f>
        <v>27.900000000000002</v>
      </c>
      <c r="AX295" s="23" t="str">
        <f>_xlfn.CONCAT(TEXT(C295,"mmm"),"-",Data!$AE295)</f>
        <v>Apr-2022</v>
      </c>
    </row>
    <row r="296" spans="1:50" ht="17" thickTop="1" thickBot="1" x14ac:dyDescent="0.25">
      <c r="A296" s="28">
        <v>295</v>
      </c>
      <c r="B296" s="29">
        <f t="shared" si="34"/>
        <v>14</v>
      </c>
      <c r="C296" s="41">
        <v>44684</v>
      </c>
      <c r="D296" s="30">
        <f>SUM(Data!$I296:$M296)</f>
        <v>60</v>
      </c>
      <c r="E296" s="29">
        <v>16</v>
      </c>
      <c r="F296" s="29">
        <v>676</v>
      </c>
      <c r="G296" s="29">
        <v>167</v>
      </c>
      <c r="H296" s="29">
        <v>129</v>
      </c>
      <c r="I296" s="29">
        <v>14</v>
      </c>
      <c r="J296" s="29">
        <v>10</v>
      </c>
      <c r="K296" s="29">
        <v>20</v>
      </c>
      <c r="L296" s="29">
        <v>14</v>
      </c>
      <c r="M296" s="29">
        <v>2</v>
      </c>
      <c r="N296" s="29" t="s">
        <v>91</v>
      </c>
      <c r="O296" s="29" t="s">
        <v>39</v>
      </c>
      <c r="P296" s="29" t="s">
        <v>94</v>
      </c>
      <c r="Q296" s="29">
        <f t="shared" si="40"/>
        <v>3</v>
      </c>
      <c r="R296" s="29" t="str">
        <f t="shared" si="35"/>
        <v>5-2022</v>
      </c>
      <c r="S296" s="29" t="s">
        <v>104</v>
      </c>
      <c r="T296" s="29" t="str">
        <f t="shared" si="36"/>
        <v>Tuesday</v>
      </c>
      <c r="U296" s="29">
        <f t="shared" si="37"/>
        <v>1</v>
      </c>
      <c r="V296" s="31">
        <f>IFERROR(Data!$I296/Data!$D296,"")</f>
        <v>0.23333333333333334</v>
      </c>
      <c r="W296" s="31">
        <f>IFERROR(Data!$J296/Data!$D296,"")</f>
        <v>0.16666666666666666</v>
      </c>
      <c r="X296" s="31">
        <f>IFERROR(Data!$K296/Data!$D296,"")</f>
        <v>0.33333333333333331</v>
      </c>
      <c r="Y296" s="31">
        <f>IFERROR(Data!$L296/Data!$D296,"")</f>
        <v>0.23333333333333334</v>
      </c>
      <c r="Z296" s="31">
        <f>IFERROR(Data!$M296/Data!$D296,"")</f>
        <v>3.3333333333333333E-2</v>
      </c>
      <c r="AA296" s="32">
        <v>232.14</v>
      </c>
      <c r="AB296" s="32">
        <f t="shared" si="41"/>
        <v>16.581428571428571</v>
      </c>
      <c r="AC296" s="29">
        <f t="shared" si="38"/>
        <v>631.5</v>
      </c>
      <c r="AD296" s="29">
        <f t="shared" si="39"/>
        <v>13.857142857142858</v>
      </c>
      <c r="AE296" s="29">
        <f>YEAR(Data!$C296)</f>
        <v>2022</v>
      </c>
      <c r="AF296" s="29"/>
      <c r="AG296" s="29">
        <v>12</v>
      </c>
      <c r="AH296" s="33">
        <f>Data!$F296/Data!$D296</f>
        <v>11.266666666666667</v>
      </c>
      <c r="AI296" s="17" t="str">
        <f>RIGHT(Data!$O296,2)</f>
        <v>PM</v>
      </c>
      <c r="AJ296" s="29" t="str">
        <f>Data!$R296&amp;"-"&amp;WEEKNUM(Data!$C296,1)-WEEKNUM(DATE(YEAR(Data!$C296),MONTH(Data!$C296),1),1)+1</f>
        <v>5-2022-1</v>
      </c>
      <c r="AK296" s="29">
        <f>MONTH(Data!$C296)</f>
        <v>5</v>
      </c>
      <c r="AL296" s="29">
        <f>IFERROR(Data!$F296/Data!$E296,0)</f>
        <v>42.25</v>
      </c>
      <c r="AM296" s="29">
        <f>COUNTIF(Data!$N$2:$N$825,Data!$N296)</f>
        <v>218</v>
      </c>
      <c r="AN296" s="29" t="str">
        <f>VLOOKUP(Data!$N296,'Helpful Tables'!A:D,4,FALSE)</f>
        <v>Washington, DC</v>
      </c>
      <c r="AO296" s="29">
        <f>COUNTIF(AN:AN,Data!$AN296)/COUNTA(AN:AN)</f>
        <v>0.62424242424242427</v>
      </c>
      <c r="AP296" s="29">
        <v>38.934710000000003</v>
      </c>
      <c r="AQ296" s="29">
        <v>-77.058222999999998</v>
      </c>
      <c r="AR296" s="29">
        <f>COUNTIF(Data!$P$2:$P$825,Data!$P296)</f>
        <v>15</v>
      </c>
      <c r="AS296" s="29" cm="1">
        <f t="array" ref="AS296">_xlfn.IFS(Data!$E296&lt;12,((Data!$E296/Data!$D296)*60)*1,AND(Data!$E296&gt;=12,Data!$E296&lt;=15),((Data!$E296/Data!$D296)*60)*1.2,AND(Data!$E296&gt;=16,Data!$E296&lt;=19),((Data!$E296/Data!$D296)*60)*1.5,Data!$E296&gt;=20,((Data!$E296/Data!$D296)*60)*1.8)</f>
        <v>24</v>
      </c>
      <c r="AT296" s="29" cm="1">
        <f t="array" ref="AT296">_xlfn.IFS(Data!$F296&lt;600,((Data!$F296/Data!$D296)*60)*1,AND(Data!$F296&gt;=600,Data!$F296&lt;=625),((Data!$F296/Data!$D296)*60)*1.2,AND(Data!$F296&gt;=626,Data!$F296&lt;=650),((Data!$F296/Data!$D296)*60)*1.5,Data!$F296&gt;=651,((Data!$F296/Data!$D296)*60)*1.8)</f>
        <v>1216.8</v>
      </c>
      <c r="AU296" s="29">
        <f>(Data!$I296*-1.2)+(Data!$J296*-1.1)+(Data!$K296*1.2)+(Data!$L296*1.3)+(Data!$M296*1.5)</f>
        <v>17.399999999999999</v>
      </c>
      <c r="AV296" s="29">
        <f>(Data!$AS296*0.4)+(Data!$AT296*0.4)+(Data!$AU296*0.2)</f>
        <v>499.80000000000007</v>
      </c>
      <c r="AW296" s="29">
        <f>PERCENTRANK(AV:AV,Data!$AV296)*100</f>
        <v>77.7</v>
      </c>
      <c r="AX296" s="29" t="str">
        <f>_xlfn.CONCAT(TEXT(C296,"mmm"),"-",Data!$AE296)</f>
        <v>May-2022</v>
      </c>
    </row>
    <row r="297" spans="1:50" ht="17" thickTop="1" thickBot="1" x14ac:dyDescent="0.25">
      <c r="A297" s="22">
        <v>296</v>
      </c>
      <c r="B297" s="23">
        <f t="shared" si="34"/>
        <v>14</v>
      </c>
      <c r="C297" s="41">
        <v>44686</v>
      </c>
      <c r="D297" s="24">
        <f>SUM(Data!$I297:$M297)</f>
        <v>55</v>
      </c>
      <c r="E297" s="23">
        <v>13</v>
      </c>
      <c r="F297" s="23">
        <v>622</v>
      </c>
      <c r="G297" s="23">
        <v>168</v>
      </c>
      <c r="H297" s="23">
        <v>128</v>
      </c>
      <c r="I297" s="23">
        <v>9</v>
      </c>
      <c r="J297" s="23">
        <v>18</v>
      </c>
      <c r="K297" s="23">
        <v>15</v>
      </c>
      <c r="L297" s="23">
        <v>12</v>
      </c>
      <c r="M297" s="23">
        <v>1</v>
      </c>
      <c r="N297" s="23" t="s">
        <v>101</v>
      </c>
      <c r="O297" s="23" t="s">
        <v>39</v>
      </c>
      <c r="P297" s="23" t="s">
        <v>109</v>
      </c>
      <c r="Q297" s="23">
        <f t="shared" si="40"/>
        <v>2</v>
      </c>
      <c r="R297" s="23" t="str">
        <f t="shared" si="35"/>
        <v>5-2022</v>
      </c>
      <c r="S297" s="23" t="s">
        <v>104</v>
      </c>
      <c r="T297" s="23" t="str">
        <f t="shared" si="36"/>
        <v>Thursday</v>
      </c>
      <c r="U297" s="23">
        <f t="shared" si="37"/>
        <v>1</v>
      </c>
      <c r="V297" s="25">
        <f>IFERROR(Data!$I297/Data!$D297,"")</f>
        <v>0.16363636363636364</v>
      </c>
      <c r="W297" s="25">
        <f>IFERROR(Data!$J297/Data!$D297,"")</f>
        <v>0.32727272727272727</v>
      </c>
      <c r="X297" s="25">
        <f>IFERROR(Data!$K297/Data!$D297,"")</f>
        <v>0.27272727272727271</v>
      </c>
      <c r="Y297" s="25">
        <f>IFERROR(Data!$L297/Data!$D297,"")</f>
        <v>0.21818181818181817</v>
      </c>
      <c r="Z297" s="25">
        <f>IFERROR(Data!$M297/Data!$D297,"")</f>
        <v>1.8181818181818181E-2</v>
      </c>
      <c r="AA297" s="26">
        <v>232.14</v>
      </c>
      <c r="AB297" s="26">
        <f t="shared" si="41"/>
        <v>16.581428571428571</v>
      </c>
      <c r="AC297" s="23">
        <f t="shared" si="38"/>
        <v>631.5</v>
      </c>
      <c r="AD297" s="23">
        <f t="shared" si="39"/>
        <v>13.857142857142858</v>
      </c>
      <c r="AE297" s="23">
        <f>YEAR(Data!$C297)</f>
        <v>2022</v>
      </c>
      <c r="AF297" s="23"/>
      <c r="AG297" s="23">
        <v>12</v>
      </c>
      <c r="AH297" s="27">
        <f>Data!$F297/Data!$D297</f>
        <v>11.309090909090909</v>
      </c>
      <c r="AI297" s="17" t="str">
        <f>RIGHT(Data!$O297,2)</f>
        <v>PM</v>
      </c>
      <c r="AJ297" s="23" t="str">
        <f>Data!$R297&amp;"-"&amp;WEEKNUM(Data!$C297,1)-WEEKNUM(DATE(YEAR(Data!$C297),MONTH(Data!$C297),1),1)+1</f>
        <v>5-2022-1</v>
      </c>
      <c r="AK297" s="23">
        <f>MONTH(Data!$C297)</f>
        <v>5</v>
      </c>
      <c r="AL297" s="23">
        <f>IFERROR(Data!$F297/Data!$E297,0)</f>
        <v>47.846153846153847</v>
      </c>
      <c r="AM297" s="23">
        <f>COUNTIF(Data!$N$2:$N$825,Data!$N297)</f>
        <v>191</v>
      </c>
      <c r="AN297" s="23" t="str">
        <f>VLOOKUP(Data!$N297,'Helpful Tables'!A:D,4,FALSE)</f>
        <v>Washington, DC</v>
      </c>
      <c r="AO297" s="23">
        <f>COUNTIF(AN:AN,Data!$AN297)/COUNTA(AN:AN)</f>
        <v>0.62424242424242427</v>
      </c>
      <c r="AP297" s="23">
        <v>38.949649000000001</v>
      </c>
      <c r="AQ297" s="23">
        <v>-77.080878999999996</v>
      </c>
      <c r="AR297" s="23">
        <f>COUNTIF(Data!$P$2:$P$825,Data!$P297)</f>
        <v>66</v>
      </c>
      <c r="AS297" s="23" cm="1">
        <f t="array" ref="AS297">_xlfn.IFS(Data!$E297&lt;12,((Data!$E297/Data!$D297)*60)*1,AND(Data!$E297&gt;=12,Data!$E297&lt;=15),((Data!$E297/Data!$D297)*60)*1.2,AND(Data!$E297&gt;=16,Data!$E297&lt;=19),((Data!$E297/Data!$D297)*60)*1.5,Data!$E297&gt;=20,((Data!$E297/Data!$D297)*60)*1.8)</f>
        <v>17.018181818181816</v>
      </c>
      <c r="AT297" s="23" cm="1">
        <f t="array" ref="AT297">_xlfn.IFS(Data!$F297&lt;600,((Data!$F297/Data!$D297)*60)*1,AND(Data!$F297&gt;=600,Data!$F297&lt;=625),((Data!$F297/Data!$D297)*60)*1.2,AND(Data!$F297&gt;=626,Data!$F297&lt;=650),((Data!$F297/Data!$D297)*60)*1.5,Data!$F297&gt;=651,((Data!$F297/Data!$D297)*60)*1.8)</f>
        <v>814.25454545454534</v>
      </c>
      <c r="AU297" s="23">
        <f>(Data!$I297*-1.2)+(Data!$J297*-1.1)+(Data!$K297*1.2)+(Data!$L297*1.3)+(Data!$M297*1.5)</f>
        <v>4.5</v>
      </c>
      <c r="AV297" s="23">
        <f>(Data!$AS297*0.4)+(Data!$AT297*0.4)+(Data!$AU297*0.2)</f>
        <v>333.40909090909088</v>
      </c>
      <c r="AW297" s="23">
        <f>PERCENTRANK(AV:AV,Data!$AV297)*100</f>
        <v>42.6</v>
      </c>
      <c r="AX297" s="23" t="str">
        <f>_xlfn.CONCAT(TEXT(C297,"mmm"),"-",Data!$AE297)</f>
        <v>May-2022</v>
      </c>
    </row>
    <row r="298" spans="1:50" ht="17" thickTop="1" thickBot="1" x14ac:dyDescent="0.25">
      <c r="A298" s="28">
        <v>297</v>
      </c>
      <c r="B298" s="29">
        <f t="shared" si="34"/>
        <v>14</v>
      </c>
      <c r="C298" s="41">
        <v>44687</v>
      </c>
      <c r="D298" s="30">
        <f>SUM(Data!$I298:$M298)</f>
        <v>57</v>
      </c>
      <c r="E298" s="29">
        <v>7</v>
      </c>
      <c r="F298" s="29">
        <v>579</v>
      </c>
      <c r="G298" s="29">
        <v>166</v>
      </c>
      <c r="H298" s="29">
        <v>120</v>
      </c>
      <c r="I298" s="29">
        <v>18</v>
      </c>
      <c r="J298" s="29">
        <v>15</v>
      </c>
      <c r="K298" s="29">
        <v>17</v>
      </c>
      <c r="L298" s="29">
        <v>6</v>
      </c>
      <c r="M298" s="29">
        <v>1</v>
      </c>
      <c r="N298" s="29" t="s">
        <v>101</v>
      </c>
      <c r="O298" s="29" t="s">
        <v>39</v>
      </c>
      <c r="P298" s="29" t="s">
        <v>133</v>
      </c>
      <c r="Q298" s="29">
        <f t="shared" si="40"/>
        <v>1</v>
      </c>
      <c r="R298" s="29" t="str">
        <f t="shared" si="35"/>
        <v>5-2022</v>
      </c>
      <c r="S298" s="29" t="s">
        <v>104</v>
      </c>
      <c r="T298" s="29" t="str">
        <f t="shared" si="36"/>
        <v>Friday</v>
      </c>
      <c r="U298" s="29">
        <f t="shared" si="37"/>
        <v>0</v>
      </c>
      <c r="V298" s="31">
        <f>IFERROR(Data!$I298/Data!$D298,"")</f>
        <v>0.31578947368421051</v>
      </c>
      <c r="W298" s="31">
        <f>IFERROR(Data!$J298/Data!$D298,"")</f>
        <v>0.26315789473684209</v>
      </c>
      <c r="X298" s="31">
        <f>IFERROR(Data!$K298/Data!$D298,"")</f>
        <v>0.2982456140350877</v>
      </c>
      <c r="Y298" s="31">
        <f>IFERROR(Data!$L298/Data!$D298,"")</f>
        <v>0.10526315789473684</v>
      </c>
      <c r="Z298" s="31">
        <f>IFERROR(Data!$M298/Data!$D298,"")</f>
        <v>1.7543859649122806E-2</v>
      </c>
      <c r="AA298" s="32">
        <v>232.14</v>
      </c>
      <c r="AB298" s="32">
        <f t="shared" si="41"/>
        <v>16.581428571428571</v>
      </c>
      <c r="AC298" s="29">
        <f t="shared" si="38"/>
        <v>631.5</v>
      </c>
      <c r="AD298" s="29">
        <f t="shared" si="39"/>
        <v>13.857142857142858</v>
      </c>
      <c r="AE298" s="29">
        <f>YEAR(Data!$C298)</f>
        <v>2022</v>
      </c>
      <c r="AF298" s="29"/>
      <c r="AG298" s="29">
        <v>12</v>
      </c>
      <c r="AH298" s="33">
        <f>Data!$F298/Data!$D298</f>
        <v>10.157894736842104</v>
      </c>
      <c r="AI298" s="17" t="str">
        <f>RIGHT(Data!$O298,2)</f>
        <v>PM</v>
      </c>
      <c r="AJ298" s="29" t="str">
        <f>Data!$R298&amp;"-"&amp;WEEKNUM(Data!$C298,1)-WEEKNUM(DATE(YEAR(Data!$C298),MONTH(Data!$C298),1),1)+1</f>
        <v>5-2022-1</v>
      </c>
      <c r="AK298" s="29">
        <f>MONTH(Data!$C298)</f>
        <v>5</v>
      </c>
      <c r="AL298" s="29">
        <f>IFERROR(Data!$F298/Data!$E298,0)</f>
        <v>82.714285714285708</v>
      </c>
      <c r="AM298" s="29">
        <f>COUNTIF(Data!$N$2:$N$825,Data!$N298)</f>
        <v>191</v>
      </c>
      <c r="AN298" s="29" t="str">
        <f>VLOOKUP(Data!$N298,'Helpful Tables'!A:D,4,FALSE)</f>
        <v>Washington, DC</v>
      </c>
      <c r="AO298" s="29">
        <f>COUNTIF(AN:AN,Data!$AN298)/COUNTA(AN:AN)</f>
        <v>0.62424242424242427</v>
      </c>
      <c r="AP298" s="29">
        <v>38.949649000000001</v>
      </c>
      <c r="AQ298" s="29">
        <v>-77.080878999999996</v>
      </c>
      <c r="AR298" s="29">
        <f>COUNTIF(Data!$P$2:$P$825,Data!$P298)</f>
        <v>25</v>
      </c>
      <c r="AS298" s="29" cm="1">
        <f t="array" ref="AS298">_xlfn.IFS(Data!$E298&lt;12,((Data!$E298/Data!$D298)*60)*1,AND(Data!$E298&gt;=12,Data!$E298&lt;=15),((Data!$E298/Data!$D298)*60)*1.2,AND(Data!$E298&gt;=16,Data!$E298&lt;=19),((Data!$E298/Data!$D298)*60)*1.5,Data!$E298&gt;=20,((Data!$E298/Data!$D298)*60)*1.8)</f>
        <v>7.3684210526315788</v>
      </c>
      <c r="AT298" s="29" cm="1">
        <f t="array" ref="AT298">_xlfn.IFS(Data!$F298&lt;600,((Data!$F298/Data!$D298)*60)*1,AND(Data!$F298&gt;=600,Data!$F298&lt;=625),((Data!$F298/Data!$D298)*60)*1.2,AND(Data!$F298&gt;=626,Data!$F298&lt;=650),((Data!$F298/Data!$D298)*60)*1.5,Data!$F298&gt;=651,((Data!$F298/Data!$D298)*60)*1.8)</f>
        <v>609.47368421052624</v>
      </c>
      <c r="AU298" s="29">
        <f>(Data!$I298*-1.2)+(Data!$J298*-1.1)+(Data!$K298*1.2)+(Data!$L298*1.3)+(Data!$M298*1.5)</f>
        <v>-8.399999999999995</v>
      </c>
      <c r="AV298" s="29">
        <f>(Data!$AS298*0.4)+(Data!$AT298*0.4)+(Data!$AU298*0.2)</f>
        <v>245.05684210526314</v>
      </c>
      <c r="AW298" s="29">
        <f>PERCENTRANK(AV:AV,Data!$AV298)*100</f>
        <v>15.2</v>
      </c>
      <c r="AX298" s="29" t="str">
        <f>_xlfn.CONCAT(TEXT(C298,"mmm"),"-",Data!$AE298)</f>
        <v>May-2022</v>
      </c>
    </row>
    <row r="299" spans="1:50" ht="17" thickTop="1" thickBot="1" x14ac:dyDescent="0.25">
      <c r="A299" s="22">
        <v>298</v>
      </c>
      <c r="B299" s="23">
        <f t="shared" si="34"/>
        <v>14</v>
      </c>
      <c r="C299" s="41">
        <v>44689</v>
      </c>
      <c r="D299" s="24">
        <f>SUM(Data!$I299:$M299)</f>
        <v>61</v>
      </c>
      <c r="E299" s="23">
        <v>16</v>
      </c>
      <c r="F299" s="23">
        <v>621</v>
      </c>
      <c r="G299" s="23">
        <v>171</v>
      </c>
      <c r="H299" s="23">
        <v>121</v>
      </c>
      <c r="I299" s="23">
        <v>24</v>
      </c>
      <c r="J299" s="23">
        <v>10</v>
      </c>
      <c r="K299" s="23">
        <v>11</v>
      </c>
      <c r="L299" s="23">
        <v>10</v>
      </c>
      <c r="M299" s="23">
        <v>6</v>
      </c>
      <c r="N299" s="23" t="s">
        <v>101</v>
      </c>
      <c r="O299" s="23" t="s">
        <v>45</v>
      </c>
      <c r="P299" s="23" t="s">
        <v>102</v>
      </c>
      <c r="Q299" s="23">
        <f t="shared" si="40"/>
        <v>2</v>
      </c>
      <c r="R299" s="23" t="str">
        <f t="shared" si="35"/>
        <v>5-2022</v>
      </c>
      <c r="S299" s="23" t="s">
        <v>104</v>
      </c>
      <c r="T299" s="23" t="str">
        <f t="shared" si="36"/>
        <v>Sunday</v>
      </c>
      <c r="U299" s="23">
        <f t="shared" si="37"/>
        <v>1</v>
      </c>
      <c r="V299" s="25">
        <f>IFERROR(Data!$I299/Data!$D299,"")</f>
        <v>0.39344262295081966</v>
      </c>
      <c r="W299" s="25">
        <f>IFERROR(Data!$J299/Data!$D299,"")</f>
        <v>0.16393442622950818</v>
      </c>
      <c r="X299" s="25">
        <f>IFERROR(Data!$K299/Data!$D299,"")</f>
        <v>0.18032786885245902</v>
      </c>
      <c r="Y299" s="25">
        <f>IFERROR(Data!$L299/Data!$D299,"")</f>
        <v>0.16393442622950818</v>
      </c>
      <c r="Z299" s="25">
        <f>IFERROR(Data!$M299/Data!$D299,"")</f>
        <v>9.8360655737704916E-2</v>
      </c>
      <c r="AA299" s="26">
        <v>232.14</v>
      </c>
      <c r="AB299" s="26">
        <f t="shared" si="41"/>
        <v>16.581428571428571</v>
      </c>
      <c r="AC299" s="23">
        <f t="shared" si="38"/>
        <v>631.5</v>
      </c>
      <c r="AD299" s="23">
        <f t="shared" si="39"/>
        <v>13.857142857142858</v>
      </c>
      <c r="AE299" s="23">
        <f>YEAR(Data!$C299)</f>
        <v>2022</v>
      </c>
      <c r="AF299" s="23"/>
      <c r="AG299" s="23">
        <v>12</v>
      </c>
      <c r="AH299" s="27">
        <f>Data!$F299/Data!$D299</f>
        <v>10.180327868852459</v>
      </c>
      <c r="AI299" s="17" t="str">
        <f>RIGHT(Data!$O299,2)</f>
        <v>AM</v>
      </c>
      <c r="AJ299" s="23" t="str">
        <f>Data!$R299&amp;"-"&amp;WEEKNUM(Data!$C299,1)-WEEKNUM(DATE(YEAR(Data!$C299),MONTH(Data!$C299),1),1)+1</f>
        <v>5-2022-2</v>
      </c>
      <c r="AK299" s="23">
        <f>MONTH(Data!$C299)</f>
        <v>5</v>
      </c>
      <c r="AL299" s="23">
        <f>IFERROR(Data!$F299/Data!$E299,0)</f>
        <v>38.8125</v>
      </c>
      <c r="AM299" s="23">
        <f>COUNTIF(Data!$N$2:$N$825,Data!$N299)</f>
        <v>191</v>
      </c>
      <c r="AN299" s="23" t="str">
        <f>VLOOKUP(Data!$N299,'Helpful Tables'!A:D,4,FALSE)</f>
        <v>Washington, DC</v>
      </c>
      <c r="AO299" s="23">
        <f>COUNTIF(AN:AN,Data!$AN299)/COUNTA(AN:AN)</f>
        <v>0.62424242424242427</v>
      </c>
      <c r="AP299" s="23">
        <v>38.949649000000001</v>
      </c>
      <c r="AQ299" s="23">
        <v>-77.080878999999996</v>
      </c>
      <c r="AR299" s="23">
        <f>COUNTIF(Data!$P$2:$P$825,Data!$P299)</f>
        <v>20</v>
      </c>
      <c r="AS299" s="23" cm="1">
        <f t="array" ref="AS299">_xlfn.IFS(Data!$E299&lt;12,((Data!$E299/Data!$D299)*60)*1,AND(Data!$E299&gt;=12,Data!$E299&lt;=15),((Data!$E299/Data!$D299)*60)*1.2,AND(Data!$E299&gt;=16,Data!$E299&lt;=19),((Data!$E299/Data!$D299)*60)*1.5,Data!$E299&gt;=20,((Data!$E299/Data!$D299)*60)*1.8)</f>
        <v>23.606557377049182</v>
      </c>
      <c r="AT299" s="23" cm="1">
        <f t="array" ref="AT299">_xlfn.IFS(Data!$F299&lt;600,((Data!$F299/Data!$D299)*60)*1,AND(Data!$F299&gt;=600,Data!$F299&lt;=625),((Data!$F299/Data!$D299)*60)*1.2,AND(Data!$F299&gt;=626,Data!$F299&lt;=650),((Data!$F299/Data!$D299)*60)*1.5,Data!$F299&gt;=651,((Data!$F299/Data!$D299)*60)*1.8)</f>
        <v>732.98360655737702</v>
      </c>
      <c r="AU299" s="23">
        <f>(Data!$I299*-1.2)+(Data!$J299*-1.1)+(Data!$K299*1.2)+(Data!$L299*1.3)+(Data!$M299*1.5)</f>
        <v>-4.5999999999999979</v>
      </c>
      <c r="AV299" s="23">
        <f>(Data!$AS299*0.4)+(Data!$AT299*0.4)+(Data!$AU299*0.2)</f>
        <v>301.71606557377049</v>
      </c>
      <c r="AW299" s="23">
        <f>PERCENTRANK(AV:AV,Data!$AV299)*100</f>
        <v>26.6</v>
      </c>
      <c r="AX299" s="23" t="str">
        <f>_xlfn.CONCAT(TEXT(C299,"mmm"),"-",Data!$AE299)</f>
        <v>May-2022</v>
      </c>
    </row>
    <row r="300" spans="1:50" ht="17" thickTop="1" thickBot="1" x14ac:dyDescent="0.25">
      <c r="A300" s="28">
        <v>299</v>
      </c>
      <c r="B300" s="29">
        <f t="shared" si="34"/>
        <v>14</v>
      </c>
      <c r="C300" s="41">
        <v>44690</v>
      </c>
      <c r="D300" s="30">
        <f>SUM(Data!$I300:$M300)</f>
        <v>58</v>
      </c>
      <c r="E300" s="29">
        <v>17</v>
      </c>
      <c r="F300" s="29">
        <v>622</v>
      </c>
      <c r="G300" s="29">
        <v>172</v>
      </c>
      <c r="H300" s="29">
        <v>125</v>
      </c>
      <c r="I300" s="29">
        <v>20</v>
      </c>
      <c r="J300" s="29">
        <v>11</v>
      </c>
      <c r="K300" s="29">
        <v>10</v>
      </c>
      <c r="L300" s="29">
        <v>16</v>
      </c>
      <c r="M300" s="29">
        <v>1</v>
      </c>
      <c r="N300" s="29" t="s">
        <v>91</v>
      </c>
      <c r="O300" s="29" t="s">
        <v>89</v>
      </c>
      <c r="P300" s="29" t="s">
        <v>97</v>
      </c>
      <c r="Q300" s="29">
        <f t="shared" si="40"/>
        <v>1</v>
      </c>
      <c r="R300" s="29" t="str">
        <f t="shared" si="35"/>
        <v>5-2022</v>
      </c>
      <c r="S300" s="29" t="s">
        <v>104</v>
      </c>
      <c r="T300" s="29" t="str">
        <f t="shared" si="36"/>
        <v>Monday</v>
      </c>
      <c r="U300" s="29">
        <f t="shared" si="37"/>
        <v>1</v>
      </c>
      <c r="V300" s="31">
        <f>IFERROR(Data!$I300/Data!$D300,"")</f>
        <v>0.34482758620689657</v>
      </c>
      <c r="W300" s="31">
        <f>IFERROR(Data!$J300/Data!$D300,"")</f>
        <v>0.18965517241379309</v>
      </c>
      <c r="X300" s="31">
        <f>IFERROR(Data!$K300/Data!$D300,"")</f>
        <v>0.17241379310344829</v>
      </c>
      <c r="Y300" s="31">
        <f>IFERROR(Data!$L300/Data!$D300,"")</f>
        <v>0.27586206896551724</v>
      </c>
      <c r="Z300" s="31">
        <f>IFERROR(Data!$M300/Data!$D300,"")</f>
        <v>1.7241379310344827E-2</v>
      </c>
      <c r="AA300" s="32">
        <v>232.14</v>
      </c>
      <c r="AB300" s="32">
        <f t="shared" si="41"/>
        <v>16.581428571428571</v>
      </c>
      <c r="AC300" s="29">
        <f t="shared" si="38"/>
        <v>631.5</v>
      </c>
      <c r="AD300" s="29">
        <f t="shared" si="39"/>
        <v>13.857142857142858</v>
      </c>
      <c r="AE300" s="29">
        <f>YEAR(Data!$C300)</f>
        <v>2022</v>
      </c>
      <c r="AF300" s="29"/>
      <c r="AG300" s="29">
        <v>12</v>
      </c>
      <c r="AH300" s="33">
        <f>Data!$F300/Data!$D300</f>
        <v>10.724137931034482</v>
      </c>
      <c r="AI300" s="17" t="str">
        <f>RIGHT(Data!$O300,2)</f>
        <v>AM</v>
      </c>
      <c r="AJ300" s="29" t="str">
        <f>Data!$R300&amp;"-"&amp;WEEKNUM(Data!$C300,1)-WEEKNUM(DATE(YEAR(Data!$C300),MONTH(Data!$C300),1),1)+1</f>
        <v>5-2022-2</v>
      </c>
      <c r="AK300" s="29">
        <f>MONTH(Data!$C300)</f>
        <v>5</v>
      </c>
      <c r="AL300" s="29">
        <f>IFERROR(Data!$F300/Data!$E300,0)</f>
        <v>36.588235294117645</v>
      </c>
      <c r="AM300" s="29">
        <f>COUNTIF(Data!$N$2:$N$825,Data!$N300)</f>
        <v>218</v>
      </c>
      <c r="AN300" s="29" t="str">
        <f>VLOOKUP(Data!$N300,'Helpful Tables'!A:D,4,FALSE)</f>
        <v>Washington, DC</v>
      </c>
      <c r="AO300" s="29">
        <f>COUNTIF(AN:AN,Data!$AN300)/COUNTA(AN:AN)</f>
        <v>0.62424242424242427</v>
      </c>
      <c r="AP300" s="29">
        <v>38.934710000000003</v>
      </c>
      <c r="AQ300" s="29">
        <v>-77.058222999999998</v>
      </c>
      <c r="AR300" s="29">
        <f>COUNTIF(Data!$P$2:$P$825,Data!$P300)</f>
        <v>14</v>
      </c>
      <c r="AS300" s="29" cm="1">
        <f t="array" ref="AS300">_xlfn.IFS(Data!$E300&lt;12,((Data!$E300/Data!$D300)*60)*1,AND(Data!$E300&gt;=12,Data!$E300&lt;=15),((Data!$E300/Data!$D300)*60)*1.2,AND(Data!$E300&gt;=16,Data!$E300&lt;=19),((Data!$E300/Data!$D300)*60)*1.5,Data!$E300&gt;=20,((Data!$E300/Data!$D300)*60)*1.8)</f>
        <v>26.379310344827584</v>
      </c>
      <c r="AT300" s="29" cm="1">
        <f t="array" ref="AT300">_xlfn.IFS(Data!$F300&lt;600,((Data!$F300/Data!$D300)*60)*1,AND(Data!$F300&gt;=600,Data!$F300&lt;=625),((Data!$F300/Data!$D300)*60)*1.2,AND(Data!$F300&gt;=626,Data!$F300&lt;=650),((Data!$F300/Data!$D300)*60)*1.5,Data!$F300&gt;=651,((Data!$F300/Data!$D300)*60)*1.8)</f>
        <v>772.13793103448268</v>
      </c>
      <c r="AU300" s="29">
        <f>(Data!$I300*-1.2)+(Data!$J300*-1.1)+(Data!$K300*1.2)+(Data!$L300*1.3)+(Data!$M300*1.5)</f>
        <v>-1.8000000000000007</v>
      </c>
      <c r="AV300" s="29">
        <f>(Data!$AS300*0.4)+(Data!$AT300*0.4)+(Data!$AU300*0.2)</f>
        <v>319.0468965517241</v>
      </c>
      <c r="AW300" s="29">
        <f>PERCENTRANK(AV:AV,Data!$AV300)*100</f>
        <v>36.700000000000003</v>
      </c>
      <c r="AX300" s="29" t="str">
        <f>_xlfn.CONCAT(TEXT(C300,"mmm"),"-",Data!$AE300)</f>
        <v>May-2022</v>
      </c>
    </row>
    <row r="301" spans="1:50" ht="17" thickTop="1" thickBot="1" x14ac:dyDescent="0.25">
      <c r="A301" s="22">
        <v>300</v>
      </c>
      <c r="B301" s="23">
        <f t="shared" si="34"/>
        <v>14</v>
      </c>
      <c r="C301" s="41">
        <v>44692</v>
      </c>
      <c r="D301" s="24">
        <f>SUM(Data!$I301:$M301)</f>
        <v>57</v>
      </c>
      <c r="E301" s="23">
        <v>15</v>
      </c>
      <c r="F301" s="23">
        <v>631</v>
      </c>
      <c r="G301" s="23">
        <v>168</v>
      </c>
      <c r="H301" s="23">
        <v>126</v>
      </c>
      <c r="I301" s="23">
        <v>15</v>
      </c>
      <c r="J301" s="23">
        <v>10</v>
      </c>
      <c r="K301" s="23">
        <v>17</v>
      </c>
      <c r="L301" s="23">
        <v>13</v>
      </c>
      <c r="M301" s="23">
        <v>2</v>
      </c>
      <c r="N301" s="23" t="s">
        <v>91</v>
      </c>
      <c r="O301" s="23" t="s">
        <v>39</v>
      </c>
      <c r="P301" s="23" t="s">
        <v>96</v>
      </c>
      <c r="Q301" s="23">
        <f t="shared" si="40"/>
        <v>2</v>
      </c>
      <c r="R301" s="23" t="str">
        <f t="shared" si="35"/>
        <v>5-2022</v>
      </c>
      <c r="S301" s="23" t="s">
        <v>117</v>
      </c>
      <c r="T301" s="23" t="str">
        <f t="shared" si="36"/>
        <v>Wednesday</v>
      </c>
      <c r="U301" s="23">
        <f t="shared" si="37"/>
        <v>1</v>
      </c>
      <c r="V301" s="25">
        <f>IFERROR(Data!$I301/Data!$D301,"")</f>
        <v>0.26315789473684209</v>
      </c>
      <c r="W301" s="25">
        <f>IFERROR(Data!$J301/Data!$D301,"")</f>
        <v>0.17543859649122806</v>
      </c>
      <c r="X301" s="25">
        <f>IFERROR(Data!$K301/Data!$D301,"")</f>
        <v>0.2982456140350877</v>
      </c>
      <c r="Y301" s="25">
        <f>IFERROR(Data!$L301/Data!$D301,"")</f>
        <v>0.22807017543859648</v>
      </c>
      <c r="Z301" s="25">
        <f>IFERROR(Data!$M301/Data!$D301,"")</f>
        <v>3.5087719298245612E-2</v>
      </c>
      <c r="AA301" s="26">
        <v>232.14</v>
      </c>
      <c r="AB301" s="26">
        <f t="shared" si="41"/>
        <v>16.581428571428571</v>
      </c>
      <c r="AC301" s="23">
        <f t="shared" si="38"/>
        <v>631.5</v>
      </c>
      <c r="AD301" s="23">
        <f t="shared" si="39"/>
        <v>13.857142857142858</v>
      </c>
      <c r="AE301" s="23">
        <f>YEAR(Data!$C301)</f>
        <v>2022</v>
      </c>
      <c r="AF301" s="23"/>
      <c r="AG301" s="23">
        <v>12</v>
      </c>
      <c r="AH301" s="27">
        <f>Data!$F301/Data!$D301</f>
        <v>11.070175438596491</v>
      </c>
      <c r="AI301" s="17" t="str">
        <f>RIGHT(Data!$O301,2)</f>
        <v>PM</v>
      </c>
      <c r="AJ301" s="23" t="str">
        <f>Data!$R301&amp;"-"&amp;WEEKNUM(Data!$C301,1)-WEEKNUM(DATE(YEAR(Data!$C301),MONTH(Data!$C301),1),1)+1</f>
        <v>5-2022-2</v>
      </c>
      <c r="AK301" s="23">
        <f>MONTH(Data!$C301)</f>
        <v>5</v>
      </c>
      <c r="AL301" s="23">
        <f>IFERROR(Data!$F301/Data!$E301,0)</f>
        <v>42.06666666666667</v>
      </c>
      <c r="AM301" s="23">
        <f>COUNTIF(Data!$N$2:$N$825,Data!$N301)</f>
        <v>218</v>
      </c>
      <c r="AN301" s="23" t="str">
        <f>VLOOKUP(Data!$N301,'Helpful Tables'!A:D,4,FALSE)</f>
        <v>Washington, DC</v>
      </c>
      <c r="AO301" s="23">
        <f>COUNTIF(AN:AN,Data!$AN301)/COUNTA(AN:AN)</f>
        <v>0.62424242424242427</v>
      </c>
      <c r="AP301" s="23">
        <v>38.934710000000003</v>
      </c>
      <c r="AQ301" s="23">
        <v>-77.058222999999998</v>
      </c>
      <c r="AR301" s="23">
        <f>COUNTIF(Data!$P$2:$P$825,Data!$P301)</f>
        <v>71</v>
      </c>
      <c r="AS301" s="23" cm="1">
        <f t="array" ref="AS301">_xlfn.IFS(Data!$E301&lt;12,((Data!$E301/Data!$D301)*60)*1,AND(Data!$E301&gt;=12,Data!$E301&lt;=15),((Data!$E301/Data!$D301)*60)*1.2,AND(Data!$E301&gt;=16,Data!$E301&lt;=19),((Data!$E301/Data!$D301)*60)*1.5,Data!$E301&gt;=20,((Data!$E301/Data!$D301)*60)*1.8)</f>
        <v>18.94736842105263</v>
      </c>
      <c r="AT301" s="23" cm="1">
        <f t="array" ref="AT301">_xlfn.IFS(Data!$F301&lt;600,((Data!$F301/Data!$D301)*60)*1,AND(Data!$F301&gt;=600,Data!$F301&lt;=625),((Data!$F301/Data!$D301)*60)*1.2,AND(Data!$F301&gt;=626,Data!$F301&lt;=650),((Data!$F301/Data!$D301)*60)*1.5,Data!$F301&gt;=651,((Data!$F301/Data!$D301)*60)*1.8)</f>
        <v>996.31578947368416</v>
      </c>
      <c r="AU301" s="23">
        <f>(Data!$I301*-1.2)+(Data!$J301*-1.1)+(Data!$K301*1.2)+(Data!$L301*1.3)+(Data!$M301*1.5)</f>
        <v>11.3</v>
      </c>
      <c r="AV301" s="23">
        <f>(Data!$AS301*0.4)+(Data!$AT301*0.4)+(Data!$AU301*0.2)</f>
        <v>408.36526315789473</v>
      </c>
      <c r="AW301" s="23">
        <f>PERCENTRANK(AV:AV,Data!$AV301)*100</f>
        <v>56.8</v>
      </c>
      <c r="AX301" s="23" t="str">
        <f>_xlfn.CONCAT(TEXT(C301,"mmm"),"-",Data!$AE301)</f>
        <v>May-2022</v>
      </c>
    </row>
    <row r="302" spans="1:50" ht="17" thickTop="1" thickBot="1" x14ac:dyDescent="0.25">
      <c r="A302" s="28">
        <v>301</v>
      </c>
      <c r="B302" s="29">
        <f t="shared" si="34"/>
        <v>14</v>
      </c>
      <c r="C302" s="41">
        <v>44693</v>
      </c>
      <c r="D302" s="30">
        <f>SUM(Data!$I302:$M302)</f>
        <v>59</v>
      </c>
      <c r="E302" s="29">
        <v>13</v>
      </c>
      <c r="F302" s="29">
        <v>617</v>
      </c>
      <c r="G302" s="29">
        <v>167</v>
      </c>
      <c r="H302" s="29">
        <v>123</v>
      </c>
      <c r="I302" s="29">
        <v>21</v>
      </c>
      <c r="J302" s="29">
        <v>11</v>
      </c>
      <c r="K302" s="29">
        <v>14</v>
      </c>
      <c r="L302" s="29">
        <v>12</v>
      </c>
      <c r="M302" s="29">
        <v>1</v>
      </c>
      <c r="N302" s="29" t="s">
        <v>101</v>
      </c>
      <c r="O302" s="29" t="s">
        <v>107</v>
      </c>
      <c r="P302" s="29" t="s">
        <v>134</v>
      </c>
      <c r="Q302" s="29">
        <f t="shared" si="40"/>
        <v>1</v>
      </c>
      <c r="R302" s="29" t="str">
        <f t="shared" si="35"/>
        <v>5-2022</v>
      </c>
      <c r="S302" s="29" t="s">
        <v>104</v>
      </c>
      <c r="T302" s="29" t="str">
        <f t="shared" si="36"/>
        <v>Thursday</v>
      </c>
      <c r="U302" s="29">
        <f t="shared" si="37"/>
        <v>1</v>
      </c>
      <c r="V302" s="31">
        <f>IFERROR(Data!$I302/Data!$D302,"")</f>
        <v>0.3559322033898305</v>
      </c>
      <c r="W302" s="31">
        <f>IFERROR(Data!$J302/Data!$D302,"")</f>
        <v>0.1864406779661017</v>
      </c>
      <c r="X302" s="31">
        <f>IFERROR(Data!$K302/Data!$D302,"")</f>
        <v>0.23728813559322035</v>
      </c>
      <c r="Y302" s="31">
        <f>IFERROR(Data!$L302/Data!$D302,"")</f>
        <v>0.20338983050847459</v>
      </c>
      <c r="Z302" s="31">
        <f>IFERROR(Data!$M302/Data!$D302,"")</f>
        <v>1.6949152542372881E-2</v>
      </c>
      <c r="AA302" s="32">
        <v>232.14</v>
      </c>
      <c r="AB302" s="32">
        <f t="shared" si="41"/>
        <v>16.581428571428571</v>
      </c>
      <c r="AC302" s="29">
        <f t="shared" si="38"/>
        <v>631.5</v>
      </c>
      <c r="AD302" s="29">
        <f t="shared" si="39"/>
        <v>13.857142857142858</v>
      </c>
      <c r="AE302" s="29">
        <f>YEAR(Data!$C302)</f>
        <v>2022</v>
      </c>
      <c r="AF302" s="29"/>
      <c r="AG302" s="29">
        <v>12</v>
      </c>
      <c r="AH302" s="33">
        <f>Data!$F302/Data!$D302</f>
        <v>10.457627118644067</v>
      </c>
      <c r="AI302" s="17" t="str">
        <f>RIGHT(Data!$O302,2)</f>
        <v>AM</v>
      </c>
      <c r="AJ302" s="29" t="str">
        <f>Data!$R302&amp;"-"&amp;WEEKNUM(Data!$C302,1)-WEEKNUM(DATE(YEAR(Data!$C302),MONTH(Data!$C302),1),1)+1</f>
        <v>5-2022-2</v>
      </c>
      <c r="AK302" s="29">
        <f>MONTH(Data!$C302)</f>
        <v>5</v>
      </c>
      <c r="AL302" s="29">
        <f>IFERROR(Data!$F302/Data!$E302,0)</f>
        <v>47.46153846153846</v>
      </c>
      <c r="AM302" s="29">
        <f>COUNTIF(Data!$N$2:$N$825,Data!$N302)</f>
        <v>191</v>
      </c>
      <c r="AN302" s="29" t="str">
        <f>VLOOKUP(Data!$N302,'Helpful Tables'!A:D,4,FALSE)</f>
        <v>Washington, DC</v>
      </c>
      <c r="AO302" s="29">
        <f>COUNTIF(AN:AN,Data!$AN302)/COUNTA(AN:AN)</f>
        <v>0.62424242424242427</v>
      </c>
      <c r="AP302" s="29">
        <v>38.949649000000001</v>
      </c>
      <c r="AQ302" s="29">
        <v>-77.080878999999996</v>
      </c>
      <c r="AR302" s="29">
        <f>COUNTIF(Data!$P$2:$P$825,Data!$P302)</f>
        <v>9</v>
      </c>
      <c r="AS302" s="29" cm="1">
        <f t="array" ref="AS302">_xlfn.IFS(Data!$E302&lt;12,((Data!$E302/Data!$D302)*60)*1,AND(Data!$E302&gt;=12,Data!$E302&lt;=15),((Data!$E302/Data!$D302)*60)*1.2,AND(Data!$E302&gt;=16,Data!$E302&lt;=19),((Data!$E302/Data!$D302)*60)*1.5,Data!$E302&gt;=20,((Data!$E302/Data!$D302)*60)*1.8)</f>
        <v>15.864406779661017</v>
      </c>
      <c r="AT302" s="29" cm="1">
        <f t="array" ref="AT302">_xlfn.IFS(Data!$F302&lt;600,((Data!$F302/Data!$D302)*60)*1,AND(Data!$F302&gt;=600,Data!$F302&lt;=625),((Data!$F302/Data!$D302)*60)*1.2,AND(Data!$F302&gt;=626,Data!$F302&lt;=650),((Data!$F302/Data!$D302)*60)*1.5,Data!$F302&gt;=651,((Data!$F302/Data!$D302)*60)*1.8)</f>
        <v>752.94915254237287</v>
      </c>
      <c r="AU302" s="29">
        <f>(Data!$I302*-1.2)+(Data!$J302*-1.1)+(Data!$K302*1.2)+(Data!$L302*1.3)+(Data!$M302*1.5)</f>
        <v>-3.399999999999995</v>
      </c>
      <c r="AV302" s="29">
        <f>(Data!$AS302*0.4)+(Data!$AT302*0.4)+(Data!$AU302*0.2)</f>
        <v>306.84542372881356</v>
      </c>
      <c r="AW302" s="29">
        <f>PERCENTRANK(AV:AV,Data!$AV302)*100</f>
        <v>29.5</v>
      </c>
      <c r="AX302" s="29" t="str">
        <f>_xlfn.CONCAT(TEXT(C302,"mmm"),"-",Data!$AE302)</f>
        <v>May-2022</v>
      </c>
    </row>
    <row r="303" spans="1:50" ht="17" thickTop="1" thickBot="1" x14ac:dyDescent="0.25">
      <c r="A303" s="22">
        <v>302</v>
      </c>
      <c r="B303" s="23">
        <f t="shared" si="34"/>
        <v>14</v>
      </c>
      <c r="C303" s="41">
        <v>44697</v>
      </c>
      <c r="D303" s="24">
        <f>SUM(Data!$I303:$M303)</f>
        <v>58</v>
      </c>
      <c r="E303" s="23">
        <v>9</v>
      </c>
      <c r="F303" s="23">
        <v>581</v>
      </c>
      <c r="G303" s="23">
        <v>159</v>
      </c>
      <c r="H303" s="23">
        <v>120</v>
      </c>
      <c r="I303" s="23">
        <v>20</v>
      </c>
      <c r="J303" s="23">
        <v>14</v>
      </c>
      <c r="K303" s="23">
        <v>15</v>
      </c>
      <c r="L303" s="23">
        <v>9</v>
      </c>
      <c r="M303" s="23">
        <v>0</v>
      </c>
      <c r="N303" s="23" t="s">
        <v>101</v>
      </c>
      <c r="O303" s="23" t="s">
        <v>39</v>
      </c>
      <c r="P303" s="23" t="s">
        <v>109</v>
      </c>
      <c r="Q303" s="23">
        <f t="shared" si="40"/>
        <v>4</v>
      </c>
      <c r="R303" s="23" t="str">
        <f t="shared" si="35"/>
        <v>5-2022</v>
      </c>
      <c r="S303" s="23" t="s">
        <v>104</v>
      </c>
      <c r="T303" s="23" t="str">
        <f t="shared" si="36"/>
        <v>Monday</v>
      </c>
      <c r="U303" s="23">
        <f t="shared" si="37"/>
        <v>0</v>
      </c>
      <c r="V303" s="25">
        <f>IFERROR(Data!$I303/Data!$D303,"")</f>
        <v>0.34482758620689657</v>
      </c>
      <c r="W303" s="25">
        <f>IFERROR(Data!$J303/Data!$D303,"")</f>
        <v>0.2413793103448276</v>
      </c>
      <c r="X303" s="25">
        <f>IFERROR(Data!$K303/Data!$D303,"")</f>
        <v>0.25862068965517243</v>
      </c>
      <c r="Y303" s="25">
        <f>IFERROR(Data!$L303/Data!$D303,"")</f>
        <v>0.15517241379310345</v>
      </c>
      <c r="Z303" s="25">
        <f>IFERROR(Data!$M303/Data!$D303,"")</f>
        <v>0</v>
      </c>
      <c r="AA303" s="26">
        <v>232.14</v>
      </c>
      <c r="AB303" s="26">
        <f t="shared" si="41"/>
        <v>16.581428571428571</v>
      </c>
      <c r="AC303" s="23">
        <f t="shared" si="38"/>
        <v>631.5</v>
      </c>
      <c r="AD303" s="23">
        <f t="shared" si="39"/>
        <v>13.857142857142858</v>
      </c>
      <c r="AE303" s="23">
        <f>YEAR(Data!$C303)</f>
        <v>2022</v>
      </c>
      <c r="AF303" s="23"/>
      <c r="AG303" s="23">
        <v>12</v>
      </c>
      <c r="AH303" s="27">
        <f>Data!$F303/Data!$D303</f>
        <v>10.017241379310345</v>
      </c>
      <c r="AI303" s="17" t="str">
        <f>RIGHT(Data!$O303,2)</f>
        <v>PM</v>
      </c>
      <c r="AJ303" s="23" t="str">
        <f>Data!$R303&amp;"-"&amp;WEEKNUM(Data!$C303,1)-WEEKNUM(DATE(YEAR(Data!$C303),MONTH(Data!$C303),1),1)+1</f>
        <v>5-2022-3</v>
      </c>
      <c r="AK303" s="23">
        <f>MONTH(Data!$C303)</f>
        <v>5</v>
      </c>
      <c r="AL303" s="23">
        <f>IFERROR(Data!$F303/Data!$E303,0)</f>
        <v>64.555555555555557</v>
      </c>
      <c r="AM303" s="23">
        <f>COUNTIF(Data!$N$2:$N$825,Data!$N303)</f>
        <v>191</v>
      </c>
      <c r="AN303" s="23" t="str">
        <f>VLOOKUP(Data!$N303,'Helpful Tables'!A:D,4,FALSE)</f>
        <v>Washington, DC</v>
      </c>
      <c r="AO303" s="23">
        <f>COUNTIF(AN:AN,Data!$AN303)/COUNTA(AN:AN)</f>
        <v>0.62424242424242427</v>
      </c>
      <c r="AP303" s="23">
        <v>38.949649000000001</v>
      </c>
      <c r="AQ303" s="23">
        <v>-77.080878999999996</v>
      </c>
      <c r="AR303" s="23">
        <f>COUNTIF(Data!$P$2:$P$825,Data!$P303)</f>
        <v>66</v>
      </c>
      <c r="AS303" s="23" cm="1">
        <f t="array" ref="AS303">_xlfn.IFS(Data!$E303&lt;12,((Data!$E303/Data!$D303)*60)*1,AND(Data!$E303&gt;=12,Data!$E303&lt;=15),((Data!$E303/Data!$D303)*60)*1.2,AND(Data!$E303&gt;=16,Data!$E303&lt;=19),((Data!$E303/Data!$D303)*60)*1.5,Data!$E303&gt;=20,((Data!$E303/Data!$D303)*60)*1.8)</f>
        <v>9.3103448275862064</v>
      </c>
      <c r="AT303" s="23" cm="1">
        <f t="array" ref="AT303">_xlfn.IFS(Data!$F303&lt;600,((Data!$F303/Data!$D303)*60)*1,AND(Data!$F303&gt;=600,Data!$F303&lt;=625),((Data!$F303/Data!$D303)*60)*1.2,AND(Data!$F303&gt;=626,Data!$F303&lt;=650),((Data!$F303/Data!$D303)*60)*1.5,Data!$F303&gt;=651,((Data!$F303/Data!$D303)*60)*1.8)</f>
        <v>601.0344827586207</v>
      </c>
      <c r="AU303" s="23">
        <f>(Data!$I303*-1.2)+(Data!$J303*-1.1)+(Data!$K303*1.2)+(Data!$L303*1.3)+(Data!$M303*1.5)</f>
        <v>-9.7000000000000046</v>
      </c>
      <c r="AV303" s="23">
        <f>(Data!$AS303*0.4)+(Data!$AT303*0.4)+(Data!$AU303*0.2)</f>
        <v>242.19793103448276</v>
      </c>
      <c r="AW303" s="23">
        <f>PERCENTRANK(AV:AV,Data!$AV303)*100</f>
        <v>13.4</v>
      </c>
      <c r="AX303" s="23" t="str">
        <f>_xlfn.CONCAT(TEXT(C303,"mmm"),"-",Data!$AE303)</f>
        <v>May-2022</v>
      </c>
    </row>
    <row r="304" spans="1:50" ht="17" thickTop="1" thickBot="1" x14ac:dyDescent="0.25">
      <c r="A304" s="28">
        <v>303</v>
      </c>
      <c r="B304" s="29">
        <f t="shared" si="34"/>
        <v>14</v>
      </c>
      <c r="C304" s="41">
        <v>44698</v>
      </c>
      <c r="D304" s="30">
        <f>SUM(Data!$I304:$M304)</f>
        <v>57</v>
      </c>
      <c r="E304" s="29">
        <v>10</v>
      </c>
      <c r="F304" s="29">
        <v>534</v>
      </c>
      <c r="G304" s="29">
        <v>165</v>
      </c>
      <c r="H304" s="29">
        <v>115</v>
      </c>
      <c r="I304" s="29">
        <v>24</v>
      </c>
      <c r="J304" s="29">
        <v>13</v>
      </c>
      <c r="K304" s="29">
        <v>10</v>
      </c>
      <c r="L304" s="29">
        <v>9</v>
      </c>
      <c r="M304" s="29">
        <v>1</v>
      </c>
      <c r="N304" s="29" t="s">
        <v>91</v>
      </c>
      <c r="O304" s="29" t="s">
        <v>39</v>
      </c>
      <c r="P304" s="29" t="s">
        <v>94</v>
      </c>
      <c r="Q304" s="29">
        <f t="shared" si="40"/>
        <v>1</v>
      </c>
      <c r="R304" s="29" t="str">
        <f t="shared" si="35"/>
        <v>5-2022</v>
      </c>
      <c r="S304" s="29" t="s">
        <v>104</v>
      </c>
      <c r="T304" s="29" t="str">
        <f t="shared" si="36"/>
        <v>Tuesday</v>
      </c>
      <c r="U304" s="29">
        <f t="shared" si="37"/>
        <v>0</v>
      </c>
      <c r="V304" s="31">
        <f>IFERROR(Data!$I304/Data!$D304,"")</f>
        <v>0.42105263157894735</v>
      </c>
      <c r="W304" s="31">
        <f>IFERROR(Data!$J304/Data!$D304,"")</f>
        <v>0.22807017543859648</v>
      </c>
      <c r="X304" s="31">
        <f>IFERROR(Data!$K304/Data!$D304,"")</f>
        <v>0.17543859649122806</v>
      </c>
      <c r="Y304" s="31">
        <f>IFERROR(Data!$L304/Data!$D304,"")</f>
        <v>0.15789473684210525</v>
      </c>
      <c r="Z304" s="31">
        <f>IFERROR(Data!$M304/Data!$D304,"")</f>
        <v>1.7543859649122806E-2</v>
      </c>
      <c r="AA304" s="32">
        <v>232.14</v>
      </c>
      <c r="AB304" s="32">
        <f t="shared" si="41"/>
        <v>16.581428571428571</v>
      </c>
      <c r="AC304" s="29">
        <f t="shared" si="38"/>
        <v>631.5</v>
      </c>
      <c r="AD304" s="29">
        <f t="shared" si="39"/>
        <v>13.857142857142858</v>
      </c>
      <c r="AE304" s="29">
        <f>YEAR(Data!$C304)</f>
        <v>2022</v>
      </c>
      <c r="AF304" s="29"/>
      <c r="AG304" s="29">
        <v>12</v>
      </c>
      <c r="AH304" s="33">
        <f>Data!$F304/Data!$D304</f>
        <v>9.3684210526315788</v>
      </c>
      <c r="AI304" s="17" t="str">
        <f>RIGHT(Data!$O304,2)</f>
        <v>PM</v>
      </c>
      <c r="AJ304" s="29" t="str">
        <f>Data!$R304&amp;"-"&amp;WEEKNUM(Data!$C304,1)-WEEKNUM(DATE(YEAR(Data!$C304),MONTH(Data!$C304),1),1)+1</f>
        <v>5-2022-3</v>
      </c>
      <c r="AK304" s="29">
        <f>MONTH(Data!$C304)</f>
        <v>5</v>
      </c>
      <c r="AL304" s="29">
        <f>IFERROR(Data!$F304/Data!$E304,0)</f>
        <v>53.4</v>
      </c>
      <c r="AM304" s="29">
        <f>COUNTIF(Data!$N$2:$N$825,Data!$N304)</f>
        <v>218</v>
      </c>
      <c r="AN304" s="29" t="str">
        <f>VLOOKUP(Data!$N304,'Helpful Tables'!A:D,4,FALSE)</f>
        <v>Washington, DC</v>
      </c>
      <c r="AO304" s="29">
        <f>COUNTIF(AN:AN,Data!$AN304)/COUNTA(AN:AN)</f>
        <v>0.62424242424242427</v>
      </c>
      <c r="AP304" s="29">
        <v>38.934710000000003</v>
      </c>
      <c r="AQ304" s="29">
        <v>-77.058222999999998</v>
      </c>
      <c r="AR304" s="29">
        <f>COUNTIF(Data!$P$2:$P$825,Data!$P304)</f>
        <v>15</v>
      </c>
      <c r="AS304" s="29" cm="1">
        <f t="array" ref="AS304">_xlfn.IFS(Data!$E304&lt;12,((Data!$E304/Data!$D304)*60)*1,AND(Data!$E304&gt;=12,Data!$E304&lt;=15),((Data!$E304/Data!$D304)*60)*1.2,AND(Data!$E304&gt;=16,Data!$E304&lt;=19),((Data!$E304/Data!$D304)*60)*1.5,Data!$E304&gt;=20,((Data!$E304/Data!$D304)*60)*1.8)</f>
        <v>10.526315789473683</v>
      </c>
      <c r="AT304" s="29" cm="1">
        <f t="array" ref="AT304">_xlfn.IFS(Data!$F304&lt;600,((Data!$F304/Data!$D304)*60)*1,AND(Data!$F304&gt;=600,Data!$F304&lt;=625),((Data!$F304/Data!$D304)*60)*1.2,AND(Data!$F304&gt;=626,Data!$F304&lt;=650),((Data!$F304/Data!$D304)*60)*1.5,Data!$F304&gt;=651,((Data!$F304/Data!$D304)*60)*1.8)</f>
        <v>562.10526315789468</v>
      </c>
      <c r="AU304" s="29">
        <f>(Data!$I304*-1.2)+(Data!$J304*-1.1)+(Data!$K304*1.2)+(Data!$L304*1.3)+(Data!$M304*1.5)</f>
        <v>-17.899999999999991</v>
      </c>
      <c r="AV304" s="29">
        <f>(Data!$AS304*0.4)+(Data!$AT304*0.4)+(Data!$AU304*0.2)</f>
        <v>225.47263157894736</v>
      </c>
      <c r="AW304" s="29">
        <f>PERCENTRANK(AV:AV,Data!$AV304)*100</f>
        <v>5.2</v>
      </c>
      <c r="AX304" s="29" t="str">
        <f>_xlfn.CONCAT(TEXT(C304,"mmm"),"-",Data!$AE304)</f>
        <v>May-2022</v>
      </c>
    </row>
    <row r="305" spans="1:50" ht="17" thickTop="1" thickBot="1" x14ac:dyDescent="0.25">
      <c r="A305" s="22">
        <v>304</v>
      </c>
      <c r="B305" s="23">
        <f t="shared" si="34"/>
        <v>14</v>
      </c>
      <c r="C305" s="41">
        <v>44701</v>
      </c>
      <c r="D305" s="24">
        <f>SUM(Data!$I305:$M305)</f>
        <v>58</v>
      </c>
      <c r="E305" s="23">
        <v>13</v>
      </c>
      <c r="F305" s="23">
        <v>658</v>
      </c>
      <c r="G305" s="23">
        <v>168</v>
      </c>
      <c r="H305" s="23">
        <v>128</v>
      </c>
      <c r="I305" s="23">
        <v>11</v>
      </c>
      <c r="J305" s="23">
        <v>17</v>
      </c>
      <c r="K305" s="23">
        <v>17</v>
      </c>
      <c r="L305" s="23">
        <v>11</v>
      </c>
      <c r="M305" s="23">
        <v>2</v>
      </c>
      <c r="N305" s="23" t="s">
        <v>91</v>
      </c>
      <c r="O305" s="23" t="s">
        <v>89</v>
      </c>
      <c r="P305" s="23" t="s">
        <v>98</v>
      </c>
      <c r="Q305" s="23">
        <f t="shared" si="40"/>
        <v>3</v>
      </c>
      <c r="R305" s="23" t="str">
        <f t="shared" si="35"/>
        <v>5-2022</v>
      </c>
      <c r="S305" s="23" t="s">
        <v>104</v>
      </c>
      <c r="T305" s="23" t="str">
        <f t="shared" si="36"/>
        <v>Friday</v>
      </c>
      <c r="U305" s="23">
        <f t="shared" si="37"/>
        <v>1</v>
      </c>
      <c r="V305" s="25">
        <f>IFERROR(Data!$I305/Data!$D305,"")</f>
        <v>0.18965517241379309</v>
      </c>
      <c r="W305" s="25">
        <f>IFERROR(Data!$J305/Data!$D305,"")</f>
        <v>0.29310344827586204</v>
      </c>
      <c r="X305" s="25">
        <f>IFERROR(Data!$K305/Data!$D305,"")</f>
        <v>0.29310344827586204</v>
      </c>
      <c r="Y305" s="25">
        <f>IFERROR(Data!$L305/Data!$D305,"")</f>
        <v>0.18965517241379309</v>
      </c>
      <c r="Z305" s="25">
        <f>IFERROR(Data!$M305/Data!$D305,"")</f>
        <v>3.4482758620689655E-2</v>
      </c>
      <c r="AA305" s="26">
        <v>232.14</v>
      </c>
      <c r="AB305" s="26">
        <f t="shared" si="41"/>
        <v>16.581428571428571</v>
      </c>
      <c r="AC305" s="23">
        <f t="shared" si="38"/>
        <v>631.5</v>
      </c>
      <c r="AD305" s="23">
        <f t="shared" si="39"/>
        <v>13.857142857142858</v>
      </c>
      <c r="AE305" s="23">
        <f>YEAR(Data!$C305)</f>
        <v>2022</v>
      </c>
      <c r="AF305" s="23"/>
      <c r="AG305" s="23">
        <v>12</v>
      </c>
      <c r="AH305" s="27">
        <f>Data!$F305/Data!$D305</f>
        <v>11.344827586206897</v>
      </c>
      <c r="AI305" s="17" t="str">
        <f>RIGHT(Data!$O305,2)</f>
        <v>AM</v>
      </c>
      <c r="AJ305" s="23" t="str">
        <f>Data!$R305&amp;"-"&amp;WEEKNUM(Data!$C305,1)-WEEKNUM(DATE(YEAR(Data!$C305),MONTH(Data!$C305),1),1)+1</f>
        <v>5-2022-3</v>
      </c>
      <c r="AK305" s="23">
        <f>MONTH(Data!$C305)</f>
        <v>5</v>
      </c>
      <c r="AL305" s="23">
        <f>IFERROR(Data!$F305/Data!$E305,0)</f>
        <v>50.615384615384613</v>
      </c>
      <c r="AM305" s="23">
        <f>COUNTIF(Data!$N$2:$N$825,Data!$N305)</f>
        <v>218</v>
      </c>
      <c r="AN305" s="23" t="str">
        <f>VLOOKUP(Data!$N305,'Helpful Tables'!A:D,4,FALSE)</f>
        <v>Washington, DC</v>
      </c>
      <c r="AO305" s="23">
        <f>COUNTIF(AN:AN,Data!$AN305)/COUNTA(AN:AN)</f>
        <v>0.62424242424242427</v>
      </c>
      <c r="AP305" s="23">
        <v>38.934710000000003</v>
      </c>
      <c r="AQ305" s="23">
        <v>-77.058222999999998</v>
      </c>
      <c r="AR305" s="23">
        <f>COUNTIF(Data!$P$2:$P$825,Data!$P305)</f>
        <v>28</v>
      </c>
      <c r="AS305" s="23" cm="1">
        <f t="array" ref="AS305">_xlfn.IFS(Data!$E305&lt;12,((Data!$E305/Data!$D305)*60)*1,AND(Data!$E305&gt;=12,Data!$E305&lt;=15),((Data!$E305/Data!$D305)*60)*1.2,AND(Data!$E305&gt;=16,Data!$E305&lt;=19),((Data!$E305/Data!$D305)*60)*1.5,Data!$E305&gt;=20,((Data!$E305/Data!$D305)*60)*1.8)</f>
        <v>16.137931034482758</v>
      </c>
      <c r="AT305" s="23" cm="1">
        <f t="array" ref="AT305">_xlfn.IFS(Data!$F305&lt;600,((Data!$F305/Data!$D305)*60)*1,AND(Data!$F305&gt;=600,Data!$F305&lt;=625),((Data!$F305/Data!$D305)*60)*1.2,AND(Data!$F305&gt;=626,Data!$F305&lt;=650),((Data!$F305/Data!$D305)*60)*1.5,Data!$F305&gt;=651,((Data!$F305/Data!$D305)*60)*1.8)</f>
        <v>1225.2413793103449</v>
      </c>
      <c r="AU305" s="23">
        <f>(Data!$I305*-1.2)+(Data!$J305*-1.1)+(Data!$K305*1.2)+(Data!$L305*1.3)+(Data!$M305*1.5)</f>
        <v>5.7999999999999972</v>
      </c>
      <c r="AV305" s="23">
        <f>(Data!$AS305*0.4)+(Data!$AT305*0.4)+(Data!$AU305*0.2)</f>
        <v>497.71172413793107</v>
      </c>
      <c r="AW305" s="23">
        <f>PERCENTRANK(AV:AV,Data!$AV305)*100</f>
        <v>76.8</v>
      </c>
      <c r="AX305" s="23" t="str">
        <f>_xlfn.CONCAT(TEXT(C305,"mmm"),"-",Data!$AE305)</f>
        <v>May-2022</v>
      </c>
    </row>
    <row r="306" spans="1:50" ht="17" thickTop="1" thickBot="1" x14ac:dyDescent="0.25">
      <c r="A306" s="28">
        <v>305</v>
      </c>
      <c r="B306" s="29">
        <f t="shared" si="34"/>
        <v>14</v>
      </c>
      <c r="C306" s="41">
        <v>44702</v>
      </c>
      <c r="D306" s="30">
        <f>SUM(Data!$I306:$M306)</f>
        <v>65</v>
      </c>
      <c r="E306" s="29">
        <v>16</v>
      </c>
      <c r="F306" s="29">
        <v>733</v>
      </c>
      <c r="G306" s="29">
        <v>173</v>
      </c>
      <c r="H306" s="29">
        <v>129</v>
      </c>
      <c r="I306" s="29">
        <v>10</v>
      </c>
      <c r="J306" s="29">
        <v>17</v>
      </c>
      <c r="K306" s="29">
        <v>22</v>
      </c>
      <c r="L306" s="29">
        <v>14</v>
      </c>
      <c r="M306" s="29">
        <v>2</v>
      </c>
      <c r="N306" s="29" t="s">
        <v>101</v>
      </c>
      <c r="O306" s="29" t="s">
        <v>45</v>
      </c>
      <c r="P306" s="29" t="s">
        <v>109</v>
      </c>
      <c r="Q306" s="29">
        <f t="shared" si="40"/>
        <v>1</v>
      </c>
      <c r="R306" s="29" t="str">
        <f t="shared" si="35"/>
        <v>5-2022</v>
      </c>
      <c r="S306" s="29" t="s">
        <v>117</v>
      </c>
      <c r="T306" s="29" t="str">
        <f t="shared" si="36"/>
        <v>Saturday</v>
      </c>
      <c r="U306" s="29">
        <f t="shared" si="37"/>
        <v>1</v>
      </c>
      <c r="V306" s="31">
        <f>IFERROR(Data!$I306/Data!$D306,"")</f>
        <v>0.15384615384615385</v>
      </c>
      <c r="W306" s="31">
        <f>IFERROR(Data!$J306/Data!$D306,"")</f>
        <v>0.26153846153846155</v>
      </c>
      <c r="X306" s="31">
        <f>IFERROR(Data!$K306/Data!$D306,"")</f>
        <v>0.33846153846153848</v>
      </c>
      <c r="Y306" s="31">
        <f>IFERROR(Data!$L306/Data!$D306,"")</f>
        <v>0.2153846153846154</v>
      </c>
      <c r="Z306" s="31">
        <f>IFERROR(Data!$M306/Data!$D306,"")</f>
        <v>3.0769230769230771E-2</v>
      </c>
      <c r="AA306" s="32">
        <v>232.14</v>
      </c>
      <c r="AB306" s="32">
        <f t="shared" si="41"/>
        <v>16.581428571428571</v>
      </c>
      <c r="AC306" s="29">
        <f t="shared" si="38"/>
        <v>631.5</v>
      </c>
      <c r="AD306" s="29">
        <f t="shared" si="39"/>
        <v>13.857142857142858</v>
      </c>
      <c r="AE306" s="29">
        <f>YEAR(Data!$C306)</f>
        <v>2022</v>
      </c>
      <c r="AF306" s="29"/>
      <c r="AG306" s="29">
        <v>12</v>
      </c>
      <c r="AH306" s="33">
        <f>Data!$F306/Data!$D306</f>
        <v>11.276923076923078</v>
      </c>
      <c r="AI306" s="17" t="str">
        <f>RIGHT(Data!$O306,2)</f>
        <v>AM</v>
      </c>
      <c r="AJ306" s="29" t="str">
        <f>Data!$R306&amp;"-"&amp;WEEKNUM(Data!$C306,1)-WEEKNUM(DATE(YEAR(Data!$C306),MONTH(Data!$C306),1),1)+1</f>
        <v>5-2022-3</v>
      </c>
      <c r="AK306" s="29">
        <f>MONTH(Data!$C306)</f>
        <v>5</v>
      </c>
      <c r="AL306" s="29">
        <f>IFERROR(Data!$F306/Data!$E306,0)</f>
        <v>45.8125</v>
      </c>
      <c r="AM306" s="29">
        <f>COUNTIF(Data!$N$2:$N$825,Data!$N306)</f>
        <v>191</v>
      </c>
      <c r="AN306" s="29" t="str">
        <f>VLOOKUP(Data!$N306,'Helpful Tables'!A:D,4,FALSE)</f>
        <v>Washington, DC</v>
      </c>
      <c r="AO306" s="29">
        <f>COUNTIF(AN:AN,Data!$AN306)/COUNTA(AN:AN)</f>
        <v>0.62424242424242427</v>
      </c>
      <c r="AP306" s="29">
        <v>38.949649000000001</v>
      </c>
      <c r="AQ306" s="29">
        <v>-77.080878999999996</v>
      </c>
      <c r="AR306" s="29">
        <f>COUNTIF(Data!$P$2:$P$825,Data!$P306)</f>
        <v>66</v>
      </c>
      <c r="AS306" s="29" cm="1">
        <f t="array" ref="AS306">_xlfn.IFS(Data!$E306&lt;12,((Data!$E306/Data!$D306)*60)*1,AND(Data!$E306&gt;=12,Data!$E306&lt;=15),((Data!$E306/Data!$D306)*60)*1.2,AND(Data!$E306&gt;=16,Data!$E306&lt;=19),((Data!$E306/Data!$D306)*60)*1.5,Data!$E306&gt;=20,((Data!$E306/Data!$D306)*60)*1.8)</f>
        <v>22.153846153846153</v>
      </c>
      <c r="AT306" s="29" cm="1">
        <f t="array" ref="AT306">_xlfn.IFS(Data!$F306&lt;600,((Data!$F306/Data!$D306)*60)*1,AND(Data!$F306&gt;=600,Data!$F306&lt;=625),((Data!$F306/Data!$D306)*60)*1.2,AND(Data!$F306&gt;=626,Data!$F306&lt;=650),((Data!$F306/Data!$D306)*60)*1.5,Data!$F306&gt;=651,((Data!$F306/Data!$D306)*60)*1.8)</f>
        <v>1217.9076923076923</v>
      </c>
      <c r="AU306" s="29">
        <f>(Data!$I306*-1.2)+(Data!$J306*-1.1)+(Data!$K306*1.2)+(Data!$L306*1.3)+(Data!$M306*1.5)</f>
        <v>16.899999999999995</v>
      </c>
      <c r="AV306" s="29">
        <f>(Data!$AS306*0.4)+(Data!$AT306*0.4)+(Data!$AU306*0.2)</f>
        <v>499.4046153846154</v>
      </c>
      <c r="AW306" s="29">
        <f>PERCENTRANK(AV:AV,Data!$AV306)*100</f>
        <v>77.3</v>
      </c>
      <c r="AX306" s="29" t="str">
        <f>_xlfn.CONCAT(TEXT(C306,"mmm"),"-",Data!$AE306)</f>
        <v>May-2022</v>
      </c>
    </row>
    <row r="307" spans="1:50" ht="17" thickTop="1" thickBot="1" x14ac:dyDescent="0.25">
      <c r="A307" s="22">
        <v>306</v>
      </c>
      <c r="B307" s="23">
        <f t="shared" si="34"/>
        <v>14</v>
      </c>
      <c r="C307" s="41">
        <v>44704</v>
      </c>
      <c r="D307" s="24">
        <f>SUM(Data!$I307:$M307)</f>
        <v>61</v>
      </c>
      <c r="E307" s="23">
        <v>12</v>
      </c>
      <c r="F307" s="23">
        <v>611</v>
      </c>
      <c r="G307" s="23">
        <v>164</v>
      </c>
      <c r="H307" s="23">
        <v>120</v>
      </c>
      <c r="I307" s="23">
        <v>19</v>
      </c>
      <c r="J307" s="23">
        <v>19</v>
      </c>
      <c r="K307" s="23">
        <v>11</v>
      </c>
      <c r="L307" s="23">
        <v>12</v>
      </c>
      <c r="M307" s="23">
        <v>0</v>
      </c>
      <c r="N307" s="23" t="s">
        <v>91</v>
      </c>
      <c r="O307" s="23" t="s">
        <v>39</v>
      </c>
      <c r="P307" s="23" t="s">
        <v>97</v>
      </c>
      <c r="Q307" s="23">
        <f t="shared" si="40"/>
        <v>2</v>
      </c>
      <c r="R307" s="23" t="str">
        <f t="shared" si="35"/>
        <v>5-2022</v>
      </c>
      <c r="S307" s="23" t="s">
        <v>117</v>
      </c>
      <c r="T307" s="23" t="str">
        <f t="shared" si="36"/>
        <v>Monday</v>
      </c>
      <c r="U307" s="23">
        <f t="shared" si="37"/>
        <v>1</v>
      </c>
      <c r="V307" s="25">
        <f>IFERROR(Data!$I307/Data!$D307,"")</f>
        <v>0.31147540983606559</v>
      </c>
      <c r="W307" s="25">
        <f>IFERROR(Data!$J307/Data!$D307,"")</f>
        <v>0.31147540983606559</v>
      </c>
      <c r="X307" s="25">
        <f>IFERROR(Data!$K307/Data!$D307,"")</f>
        <v>0.18032786885245902</v>
      </c>
      <c r="Y307" s="25">
        <f>IFERROR(Data!$L307/Data!$D307,"")</f>
        <v>0.19672131147540983</v>
      </c>
      <c r="Z307" s="25">
        <f>IFERROR(Data!$M307/Data!$D307,"")</f>
        <v>0</v>
      </c>
      <c r="AA307" s="26">
        <v>232.14</v>
      </c>
      <c r="AB307" s="26">
        <f t="shared" si="41"/>
        <v>16.581428571428571</v>
      </c>
      <c r="AC307" s="23">
        <f t="shared" si="38"/>
        <v>631.5</v>
      </c>
      <c r="AD307" s="23">
        <f t="shared" si="39"/>
        <v>13.857142857142858</v>
      </c>
      <c r="AE307" s="23">
        <f>YEAR(Data!$C307)</f>
        <v>2022</v>
      </c>
      <c r="AF307" s="23"/>
      <c r="AG307" s="23">
        <v>12</v>
      </c>
      <c r="AH307" s="27">
        <f>Data!$F307/Data!$D307</f>
        <v>10.016393442622951</v>
      </c>
      <c r="AI307" s="17" t="str">
        <f>RIGHT(Data!$O307,2)</f>
        <v>PM</v>
      </c>
      <c r="AJ307" s="23" t="str">
        <f>Data!$R307&amp;"-"&amp;WEEKNUM(Data!$C307,1)-WEEKNUM(DATE(YEAR(Data!$C307),MONTH(Data!$C307),1),1)+1</f>
        <v>5-2022-4</v>
      </c>
      <c r="AK307" s="23">
        <f>MONTH(Data!$C307)</f>
        <v>5</v>
      </c>
      <c r="AL307" s="23">
        <f>IFERROR(Data!$F307/Data!$E307,0)</f>
        <v>50.916666666666664</v>
      </c>
      <c r="AM307" s="23">
        <f>COUNTIF(Data!$N$2:$N$825,Data!$N307)</f>
        <v>218</v>
      </c>
      <c r="AN307" s="23" t="str">
        <f>VLOOKUP(Data!$N307,'Helpful Tables'!A:D,4,FALSE)</f>
        <v>Washington, DC</v>
      </c>
      <c r="AO307" s="23">
        <f>COUNTIF(AN:AN,Data!$AN307)/COUNTA(AN:AN)</f>
        <v>0.62424242424242427</v>
      </c>
      <c r="AP307" s="23">
        <v>38.934710000000003</v>
      </c>
      <c r="AQ307" s="23">
        <v>-77.058222999999998</v>
      </c>
      <c r="AR307" s="23">
        <f>COUNTIF(Data!$P$2:$P$825,Data!$P307)</f>
        <v>14</v>
      </c>
      <c r="AS307" s="23" cm="1">
        <f t="array" ref="AS307">_xlfn.IFS(Data!$E307&lt;12,((Data!$E307/Data!$D307)*60)*1,AND(Data!$E307&gt;=12,Data!$E307&lt;=15),((Data!$E307/Data!$D307)*60)*1.2,AND(Data!$E307&gt;=16,Data!$E307&lt;=19),((Data!$E307/Data!$D307)*60)*1.5,Data!$E307&gt;=20,((Data!$E307/Data!$D307)*60)*1.8)</f>
        <v>14.163934426229506</v>
      </c>
      <c r="AT307" s="23" cm="1">
        <f t="array" ref="AT307">_xlfn.IFS(Data!$F307&lt;600,((Data!$F307/Data!$D307)*60)*1,AND(Data!$F307&gt;=600,Data!$F307&lt;=625),((Data!$F307/Data!$D307)*60)*1.2,AND(Data!$F307&gt;=626,Data!$F307&lt;=650),((Data!$F307/Data!$D307)*60)*1.5,Data!$F307&gt;=651,((Data!$F307/Data!$D307)*60)*1.8)</f>
        <v>721.18032786885237</v>
      </c>
      <c r="AU307" s="23">
        <f>(Data!$I307*-1.2)+(Data!$J307*-1.1)+(Data!$K307*1.2)+(Data!$L307*1.3)+(Data!$M307*1.5)</f>
        <v>-14.900000000000002</v>
      </c>
      <c r="AV307" s="23">
        <f>(Data!$AS307*0.4)+(Data!$AT307*0.4)+(Data!$AU307*0.2)</f>
        <v>291.15770491803272</v>
      </c>
      <c r="AW307" s="23">
        <f>PERCENTRANK(AV:AV,Data!$AV307)*100</f>
        <v>23.9</v>
      </c>
      <c r="AX307" s="23" t="str">
        <f>_xlfn.CONCAT(TEXT(C307,"mmm"),"-",Data!$AE307)</f>
        <v>May-2022</v>
      </c>
    </row>
    <row r="308" spans="1:50" ht="17" thickTop="1" thickBot="1" x14ac:dyDescent="0.25">
      <c r="A308" s="28">
        <v>307</v>
      </c>
      <c r="B308" s="29">
        <f t="shared" si="34"/>
        <v>14</v>
      </c>
      <c r="C308" s="41">
        <v>44708</v>
      </c>
      <c r="D308" s="30">
        <f>SUM(Data!$I308:$M308)</f>
        <v>58</v>
      </c>
      <c r="E308" s="29">
        <v>13</v>
      </c>
      <c r="F308" s="29">
        <v>636</v>
      </c>
      <c r="G308" s="29">
        <v>170</v>
      </c>
      <c r="H308" s="29">
        <v>126</v>
      </c>
      <c r="I308" s="29">
        <v>15</v>
      </c>
      <c r="J308" s="29">
        <v>15</v>
      </c>
      <c r="K308" s="29">
        <v>15</v>
      </c>
      <c r="L308" s="29">
        <v>12</v>
      </c>
      <c r="M308" s="29">
        <v>1</v>
      </c>
      <c r="N308" s="29" t="s">
        <v>101</v>
      </c>
      <c r="O308" s="29" t="s">
        <v>39</v>
      </c>
      <c r="P308" s="29" t="s">
        <v>133</v>
      </c>
      <c r="Q308" s="29">
        <f t="shared" si="40"/>
        <v>4</v>
      </c>
      <c r="R308" s="29" t="str">
        <f t="shared" si="35"/>
        <v>5-2022</v>
      </c>
      <c r="S308" s="29" t="s">
        <v>104</v>
      </c>
      <c r="T308" s="29" t="str">
        <f t="shared" si="36"/>
        <v>Friday</v>
      </c>
      <c r="U308" s="29">
        <f t="shared" si="37"/>
        <v>1</v>
      </c>
      <c r="V308" s="31">
        <f>IFERROR(Data!$I308/Data!$D308,"")</f>
        <v>0.25862068965517243</v>
      </c>
      <c r="W308" s="31">
        <f>IFERROR(Data!$J308/Data!$D308,"")</f>
        <v>0.25862068965517243</v>
      </c>
      <c r="X308" s="31">
        <f>IFERROR(Data!$K308/Data!$D308,"")</f>
        <v>0.25862068965517243</v>
      </c>
      <c r="Y308" s="31">
        <f>IFERROR(Data!$L308/Data!$D308,"")</f>
        <v>0.20689655172413793</v>
      </c>
      <c r="Z308" s="31">
        <f>IFERROR(Data!$M308/Data!$D308,"")</f>
        <v>1.7241379310344827E-2</v>
      </c>
      <c r="AA308" s="32">
        <v>232.14</v>
      </c>
      <c r="AB308" s="32">
        <f t="shared" si="41"/>
        <v>16.581428571428571</v>
      </c>
      <c r="AC308" s="29">
        <f t="shared" si="38"/>
        <v>631.5</v>
      </c>
      <c r="AD308" s="29">
        <f t="shared" si="39"/>
        <v>13.857142857142858</v>
      </c>
      <c r="AE308" s="29">
        <f>YEAR(Data!$C308)</f>
        <v>2022</v>
      </c>
      <c r="AF308" s="29"/>
      <c r="AG308" s="29">
        <v>12</v>
      </c>
      <c r="AH308" s="33">
        <f>Data!$F308/Data!$D308</f>
        <v>10.96551724137931</v>
      </c>
      <c r="AI308" s="17" t="str">
        <f>RIGHT(Data!$O308,2)</f>
        <v>PM</v>
      </c>
      <c r="AJ308" s="29" t="str">
        <f>Data!$R308&amp;"-"&amp;WEEKNUM(Data!$C308,1)-WEEKNUM(DATE(YEAR(Data!$C308),MONTH(Data!$C308),1),1)+1</f>
        <v>5-2022-4</v>
      </c>
      <c r="AK308" s="29">
        <f>MONTH(Data!$C308)</f>
        <v>5</v>
      </c>
      <c r="AL308" s="29">
        <f>IFERROR(Data!$F308/Data!$E308,0)</f>
        <v>48.92307692307692</v>
      </c>
      <c r="AM308" s="29">
        <f>COUNTIF(Data!$N$2:$N$825,Data!$N308)</f>
        <v>191</v>
      </c>
      <c r="AN308" s="29" t="str">
        <f>VLOOKUP(Data!$N308,'Helpful Tables'!A:D,4,FALSE)</f>
        <v>Washington, DC</v>
      </c>
      <c r="AO308" s="29">
        <f>COUNTIF(AN:AN,Data!$AN308)/COUNTA(AN:AN)</f>
        <v>0.62424242424242427</v>
      </c>
      <c r="AP308" s="29">
        <v>38.949649000000001</v>
      </c>
      <c r="AQ308" s="29">
        <v>-77.080878999999996</v>
      </c>
      <c r="AR308" s="29">
        <f>COUNTIF(Data!$P$2:$P$825,Data!$P308)</f>
        <v>25</v>
      </c>
      <c r="AS308" s="29" cm="1">
        <f t="array" ref="AS308">_xlfn.IFS(Data!$E308&lt;12,((Data!$E308/Data!$D308)*60)*1,AND(Data!$E308&gt;=12,Data!$E308&lt;=15),((Data!$E308/Data!$D308)*60)*1.2,AND(Data!$E308&gt;=16,Data!$E308&lt;=19),((Data!$E308/Data!$D308)*60)*1.5,Data!$E308&gt;=20,((Data!$E308/Data!$D308)*60)*1.8)</f>
        <v>16.137931034482758</v>
      </c>
      <c r="AT308" s="29" cm="1">
        <f t="array" ref="AT308">_xlfn.IFS(Data!$F308&lt;600,((Data!$F308/Data!$D308)*60)*1,AND(Data!$F308&gt;=600,Data!$F308&lt;=625),((Data!$F308/Data!$D308)*60)*1.2,AND(Data!$F308&gt;=626,Data!$F308&lt;=650),((Data!$F308/Data!$D308)*60)*1.5,Data!$F308&gt;=651,((Data!$F308/Data!$D308)*60)*1.8)</f>
        <v>986.89655172413791</v>
      </c>
      <c r="AU308" s="29">
        <f>(Data!$I308*-1.2)+(Data!$J308*-1.1)+(Data!$K308*1.2)+(Data!$L308*1.3)+(Data!$M308*1.5)</f>
        <v>0.60000000000000142</v>
      </c>
      <c r="AV308" s="29">
        <f>(Data!$AS308*0.4)+(Data!$AT308*0.4)+(Data!$AU308*0.2)</f>
        <v>401.33379310344827</v>
      </c>
      <c r="AW308" s="29">
        <f>PERCENTRANK(AV:AV,Data!$AV308)*100</f>
        <v>53.1</v>
      </c>
      <c r="AX308" s="29" t="str">
        <f>_xlfn.CONCAT(TEXT(C308,"mmm"),"-",Data!$AE308)</f>
        <v>May-2022</v>
      </c>
    </row>
    <row r="309" spans="1:50" ht="17" thickTop="1" thickBot="1" x14ac:dyDescent="0.25">
      <c r="A309" s="22">
        <v>308</v>
      </c>
      <c r="B309" s="23">
        <f t="shared" si="34"/>
        <v>14</v>
      </c>
      <c r="C309" s="41">
        <v>44712</v>
      </c>
      <c r="D309" s="24">
        <f>SUM(Data!$I309:$M309)</f>
        <v>56</v>
      </c>
      <c r="E309" s="23">
        <v>24</v>
      </c>
      <c r="F309" s="23">
        <v>720</v>
      </c>
      <c r="G309" s="23">
        <v>168</v>
      </c>
      <c r="H309" s="23">
        <v>139</v>
      </c>
      <c r="I309" s="23">
        <v>3</v>
      </c>
      <c r="J309" s="23">
        <v>10</v>
      </c>
      <c r="K309" s="23">
        <v>19</v>
      </c>
      <c r="L309" s="23">
        <v>19</v>
      </c>
      <c r="M309" s="23">
        <v>5</v>
      </c>
      <c r="N309" s="23" t="s">
        <v>101</v>
      </c>
      <c r="O309" s="23" t="s">
        <v>39</v>
      </c>
      <c r="P309" s="23" t="s">
        <v>98</v>
      </c>
      <c r="Q309" s="23">
        <f t="shared" si="40"/>
        <v>4</v>
      </c>
      <c r="R309" s="23" t="str">
        <f t="shared" si="35"/>
        <v>5-2022</v>
      </c>
      <c r="S309" s="23" t="s">
        <v>104</v>
      </c>
      <c r="T309" s="23" t="str">
        <f t="shared" si="36"/>
        <v>Tuesday</v>
      </c>
      <c r="U309" s="23">
        <f t="shared" si="37"/>
        <v>1</v>
      </c>
      <c r="V309" s="25">
        <f>IFERROR(Data!$I309/Data!$D309,"")</f>
        <v>5.3571428571428568E-2</v>
      </c>
      <c r="W309" s="25">
        <f>IFERROR(Data!$J309/Data!$D309,"")</f>
        <v>0.17857142857142858</v>
      </c>
      <c r="X309" s="25">
        <f>IFERROR(Data!$K309/Data!$D309,"")</f>
        <v>0.3392857142857143</v>
      </c>
      <c r="Y309" s="25">
        <f>IFERROR(Data!$L309/Data!$D309,"")</f>
        <v>0.3392857142857143</v>
      </c>
      <c r="Z309" s="25">
        <f>IFERROR(Data!$M309/Data!$D309,"")</f>
        <v>8.9285714285714288E-2</v>
      </c>
      <c r="AA309" s="26">
        <v>232.14</v>
      </c>
      <c r="AB309" s="26">
        <f t="shared" si="41"/>
        <v>16.581428571428571</v>
      </c>
      <c r="AC309" s="23">
        <f t="shared" si="38"/>
        <v>631.5</v>
      </c>
      <c r="AD309" s="23">
        <f t="shared" si="39"/>
        <v>13.857142857142858</v>
      </c>
      <c r="AE309" s="23">
        <f>YEAR(Data!$C309)</f>
        <v>2022</v>
      </c>
      <c r="AF309" s="23"/>
      <c r="AG309" s="23">
        <v>12</v>
      </c>
      <c r="AH309" s="27">
        <f>Data!$F309/Data!$D309</f>
        <v>12.857142857142858</v>
      </c>
      <c r="AI309" s="17" t="str">
        <f>RIGHT(Data!$O309,2)</f>
        <v>PM</v>
      </c>
      <c r="AJ309" s="23" t="str">
        <f>Data!$R309&amp;"-"&amp;WEEKNUM(Data!$C309,1)-WEEKNUM(DATE(YEAR(Data!$C309),MONTH(Data!$C309),1),1)+1</f>
        <v>5-2022-5</v>
      </c>
      <c r="AK309" s="23">
        <f>MONTH(Data!$C309)</f>
        <v>5</v>
      </c>
      <c r="AL309" s="23">
        <f>IFERROR(Data!$F309/Data!$E309,0)</f>
        <v>30</v>
      </c>
      <c r="AM309" s="23">
        <f>COUNTIF(Data!$N$2:$N$825,Data!$N309)</f>
        <v>191</v>
      </c>
      <c r="AN309" s="23" t="str">
        <f>VLOOKUP(Data!$N309,'Helpful Tables'!A:D,4,FALSE)</f>
        <v>Washington, DC</v>
      </c>
      <c r="AO309" s="23">
        <f>COUNTIF(AN:AN,Data!$AN309)/COUNTA(AN:AN)</f>
        <v>0.62424242424242427</v>
      </c>
      <c r="AP309" s="23">
        <v>38.949649000000001</v>
      </c>
      <c r="AQ309" s="23">
        <v>-77.080878999999996</v>
      </c>
      <c r="AR309" s="23">
        <f>COUNTIF(Data!$P$2:$P$825,Data!$P309)</f>
        <v>28</v>
      </c>
      <c r="AS309" s="23" cm="1">
        <f t="array" ref="AS309">_xlfn.IFS(Data!$E309&lt;12,((Data!$E309/Data!$D309)*60)*1,AND(Data!$E309&gt;=12,Data!$E309&lt;=15),((Data!$E309/Data!$D309)*60)*1.2,AND(Data!$E309&gt;=16,Data!$E309&lt;=19),((Data!$E309/Data!$D309)*60)*1.5,Data!$E309&gt;=20,((Data!$E309/Data!$D309)*60)*1.8)</f>
        <v>46.285714285714285</v>
      </c>
      <c r="AT309" s="23" cm="1">
        <f t="array" ref="AT309">_xlfn.IFS(Data!$F309&lt;600,((Data!$F309/Data!$D309)*60)*1,AND(Data!$F309&gt;=600,Data!$F309&lt;=625),((Data!$F309/Data!$D309)*60)*1.2,AND(Data!$F309&gt;=626,Data!$F309&lt;=650),((Data!$F309/Data!$D309)*60)*1.5,Data!$F309&gt;=651,((Data!$F309/Data!$D309)*60)*1.8)</f>
        <v>1388.5714285714287</v>
      </c>
      <c r="AU309" s="23">
        <f>(Data!$I309*-1.2)+(Data!$J309*-1.1)+(Data!$K309*1.2)+(Data!$L309*1.3)+(Data!$M309*1.5)</f>
        <v>40.4</v>
      </c>
      <c r="AV309" s="23">
        <f>(Data!$AS309*0.4)+(Data!$AT309*0.4)+(Data!$AU309*0.2)</f>
        <v>582.02285714285722</v>
      </c>
      <c r="AW309" s="23">
        <f>PERCENTRANK(AV:AV,Data!$AV309)*100</f>
        <v>99.7</v>
      </c>
      <c r="AX309" s="23" t="str">
        <f>_xlfn.CONCAT(TEXT(C309,"mmm"),"-",Data!$AE309)</f>
        <v>May-2022</v>
      </c>
    </row>
    <row r="310" spans="1:50" ht="17" thickTop="1" thickBot="1" x14ac:dyDescent="0.25">
      <c r="A310" s="28">
        <v>309</v>
      </c>
      <c r="B310" s="29">
        <f t="shared" si="34"/>
        <v>14</v>
      </c>
      <c r="C310" s="41">
        <v>44713</v>
      </c>
      <c r="D310" s="30">
        <f>SUM(Data!$I310:$M310)</f>
        <v>55</v>
      </c>
      <c r="E310" s="29">
        <v>8</v>
      </c>
      <c r="F310" s="29">
        <v>537</v>
      </c>
      <c r="G310" s="29">
        <v>167</v>
      </c>
      <c r="H310" s="29">
        <v>117</v>
      </c>
      <c r="I310" s="29">
        <v>23</v>
      </c>
      <c r="J310" s="29">
        <v>11</v>
      </c>
      <c r="K310" s="29">
        <v>13</v>
      </c>
      <c r="L310" s="29">
        <v>6</v>
      </c>
      <c r="M310" s="29">
        <v>2</v>
      </c>
      <c r="N310" s="29" t="s">
        <v>91</v>
      </c>
      <c r="O310" s="29" t="s">
        <v>39</v>
      </c>
      <c r="P310" s="29" t="s">
        <v>96</v>
      </c>
      <c r="Q310" s="29">
        <f t="shared" si="40"/>
        <v>1</v>
      </c>
      <c r="R310" s="29" t="str">
        <f t="shared" si="35"/>
        <v>6-2022</v>
      </c>
      <c r="S310" s="29" t="s">
        <v>117</v>
      </c>
      <c r="T310" s="29" t="str">
        <f t="shared" si="36"/>
        <v>Wednesday</v>
      </c>
      <c r="U310" s="29">
        <f t="shared" si="37"/>
        <v>0</v>
      </c>
      <c r="V310" s="31">
        <f>IFERROR(Data!$I310/Data!$D310,"")</f>
        <v>0.41818181818181815</v>
      </c>
      <c r="W310" s="31">
        <f>IFERROR(Data!$J310/Data!$D310,"")</f>
        <v>0.2</v>
      </c>
      <c r="X310" s="31">
        <f>IFERROR(Data!$K310/Data!$D310,"")</f>
        <v>0.23636363636363636</v>
      </c>
      <c r="Y310" s="31">
        <f>IFERROR(Data!$L310/Data!$D310,"")</f>
        <v>0.10909090909090909</v>
      </c>
      <c r="Z310" s="31">
        <f>IFERROR(Data!$M310/Data!$D310,"")</f>
        <v>3.6363636363636362E-2</v>
      </c>
      <c r="AA310" s="32">
        <v>232.14</v>
      </c>
      <c r="AB310" s="32">
        <f t="shared" si="41"/>
        <v>16.581428571428571</v>
      </c>
      <c r="AC310" s="29">
        <f t="shared" si="38"/>
        <v>629.64285714285711</v>
      </c>
      <c r="AD310" s="29">
        <f t="shared" si="39"/>
        <v>14</v>
      </c>
      <c r="AE310" s="29">
        <f>YEAR(Data!$C310)</f>
        <v>2022</v>
      </c>
      <c r="AF310" s="29"/>
      <c r="AG310" s="29">
        <v>12</v>
      </c>
      <c r="AH310" s="33">
        <f>Data!$F310/Data!$D310</f>
        <v>9.7636363636363637</v>
      </c>
      <c r="AI310" s="17" t="str">
        <f>RIGHT(Data!$O310,2)</f>
        <v>PM</v>
      </c>
      <c r="AJ310" s="29" t="str">
        <f>Data!$R310&amp;"-"&amp;WEEKNUM(Data!$C310,1)-WEEKNUM(DATE(YEAR(Data!$C310),MONTH(Data!$C310),1),1)+1</f>
        <v>6-2022-1</v>
      </c>
      <c r="AK310" s="29">
        <f>MONTH(Data!$C310)</f>
        <v>6</v>
      </c>
      <c r="AL310" s="29">
        <f>IFERROR(Data!$F310/Data!$E310,0)</f>
        <v>67.125</v>
      </c>
      <c r="AM310" s="29">
        <f>COUNTIF(Data!$N$2:$N$825,Data!$N310)</f>
        <v>218</v>
      </c>
      <c r="AN310" s="29" t="str">
        <f>VLOOKUP(Data!$N310,'Helpful Tables'!A:D,4,FALSE)</f>
        <v>Washington, DC</v>
      </c>
      <c r="AO310" s="29">
        <f>COUNTIF(AN:AN,Data!$AN310)/COUNTA(AN:AN)</f>
        <v>0.62424242424242427</v>
      </c>
      <c r="AP310" s="29">
        <v>38.934710000000003</v>
      </c>
      <c r="AQ310" s="29">
        <v>-77.058222999999998</v>
      </c>
      <c r="AR310" s="29">
        <f>COUNTIF(Data!$P$2:$P$825,Data!$P310)</f>
        <v>71</v>
      </c>
      <c r="AS310" s="29" cm="1">
        <f t="array" ref="AS310">_xlfn.IFS(Data!$E310&lt;12,((Data!$E310/Data!$D310)*60)*1,AND(Data!$E310&gt;=12,Data!$E310&lt;=15),((Data!$E310/Data!$D310)*60)*1.2,AND(Data!$E310&gt;=16,Data!$E310&lt;=19),((Data!$E310/Data!$D310)*60)*1.5,Data!$E310&gt;=20,((Data!$E310/Data!$D310)*60)*1.8)</f>
        <v>8.7272727272727266</v>
      </c>
      <c r="AT310" s="29" cm="1">
        <f t="array" ref="AT310">_xlfn.IFS(Data!$F310&lt;600,((Data!$F310/Data!$D310)*60)*1,AND(Data!$F310&gt;=600,Data!$F310&lt;=625),((Data!$F310/Data!$D310)*60)*1.2,AND(Data!$F310&gt;=626,Data!$F310&lt;=650),((Data!$F310/Data!$D310)*60)*1.5,Data!$F310&gt;=651,((Data!$F310/Data!$D310)*60)*1.8)</f>
        <v>585.81818181818187</v>
      </c>
      <c r="AU310" s="29">
        <f>(Data!$I310*-1.2)+(Data!$J310*-1.1)+(Data!$K310*1.2)+(Data!$L310*1.3)+(Data!$M310*1.5)</f>
        <v>-13.3</v>
      </c>
      <c r="AV310" s="29">
        <f>(Data!$AS310*0.4)+(Data!$AT310*0.4)+(Data!$AU310*0.2)</f>
        <v>235.15818181818187</v>
      </c>
      <c r="AW310" s="29">
        <f>PERCENTRANK(AV:AV,Data!$AV310)*100</f>
        <v>10</v>
      </c>
      <c r="AX310" s="29" t="str">
        <f>_xlfn.CONCAT(TEXT(C310,"mmm"),"-",Data!$AE310)</f>
        <v>Jun-2022</v>
      </c>
    </row>
    <row r="311" spans="1:50" ht="17" thickTop="1" thickBot="1" x14ac:dyDescent="0.25">
      <c r="A311" s="22">
        <v>310</v>
      </c>
      <c r="B311" s="23">
        <f t="shared" si="34"/>
        <v>14</v>
      </c>
      <c r="C311" s="41">
        <v>44715</v>
      </c>
      <c r="D311" s="24">
        <f>SUM(Data!$I311:$M311)</f>
        <v>57</v>
      </c>
      <c r="E311" s="23">
        <v>12</v>
      </c>
      <c r="F311" s="23">
        <v>625</v>
      </c>
      <c r="G311" s="23">
        <v>166</v>
      </c>
      <c r="H311" s="23">
        <v>127</v>
      </c>
      <c r="I311" s="23">
        <v>12</v>
      </c>
      <c r="J311" s="23">
        <v>15</v>
      </c>
      <c r="K311" s="23">
        <v>18</v>
      </c>
      <c r="L311" s="23">
        <v>11</v>
      </c>
      <c r="M311" s="23">
        <v>1</v>
      </c>
      <c r="N311" s="23" t="s">
        <v>91</v>
      </c>
      <c r="O311" s="23" t="s">
        <v>42</v>
      </c>
      <c r="P311" s="23" t="s">
        <v>98</v>
      </c>
      <c r="Q311" s="23">
        <f t="shared" si="40"/>
        <v>2</v>
      </c>
      <c r="R311" s="23" t="str">
        <f t="shared" si="35"/>
        <v>6-2022</v>
      </c>
      <c r="S311" s="23" t="s">
        <v>104</v>
      </c>
      <c r="T311" s="23" t="str">
        <f t="shared" si="36"/>
        <v>Friday</v>
      </c>
      <c r="U311" s="23">
        <f t="shared" si="37"/>
        <v>1</v>
      </c>
      <c r="V311" s="25">
        <f>IFERROR(Data!$I311/Data!$D311,"")</f>
        <v>0.21052631578947367</v>
      </c>
      <c r="W311" s="25">
        <f>IFERROR(Data!$J311/Data!$D311,"")</f>
        <v>0.26315789473684209</v>
      </c>
      <c r="X311" s="25">
        <f>IFERROR(Data!$K311/Data!$D311,"")</f>
        <v>0.31578947368421051</v>
      </c>
      <c r="Y311" s="25">
        <f>IFERROR(Data!$L311/Data!$D311,"")</f>
        <v>0.19298245614035087</v>
      </c>
      <c r="Z311" s="25">
        <f>IFERROR(Data!$M311/Data!$D311,"")</f>
        <v>1.7543859649122806E-2</v>
      </c>
      <c r="AA311" s="26">
        <v>232.14</v>
      </c>
      <c r="AB311" s="26">
        <f t="shared" si="41"/>
        <v>16.581428571428571</v>
      </c>
      <c r="AC311" s="23">
        <f t="shared" si="38"/>
        <v>629.64285714285711</v>
      </c>
      <c r="AD311" s="23">
        <f t="shared" si="39"/>
        <v>14</v>
      </c>
      <c r="AE311" s="23">
        <f>YEAR(Data!$C311)</f>
        <v>2022</v>
      </c>
      <c r="AF311" s="23"/>
      <c r="AG311" s="23">
        <v>12</v>
      </c>
      <c r="AH311" s="27">
        <f>Data!$F311/Data!$D311</f>
        <v>10.964912280701755</v>
      </c>
      <c r="AI311" s="17" t="str">
        <f>RIGHT(Data!$O311,2)</f>
        <v>AM</v>
      </c>
      <c r="AJ311" s="23" t="str">
        <f>Data!$R311&amp;"-"&amp;WEEKNUM(Data!$C311,1)-WEEKNUM(DATE(YEAR(Data!$C311),MONTH(Data!$C311),1),1)+1</f>
        <v>6-2022-1</v>
      </c>
      <c r="AK311" s="23">
        <f>MONTH(Data!$C311)</f>
        <v>6</v>
      </c>
      <c r="AL311" s="23">
        <f>IFERROR(Data!$F311/Data!$E311,0)</f>
        <v>52.083333333333336</v>
      </c>
      <c r="AM311" s="23">
        <f>COUNTIF(Data!$N$2:$N$825,Data!$N311)</f>
        <v>218</v>
      </c>
      <c r="AN311" s="23" t="str">
        <f>VLOOKUP(Data!$N311,'Helpful Tables'!A:D,4,FALSE)</f>
        <v>Washington, DC</v>
      </c>
      <c r="AO311" s="23">
        <f>COUNTIF(AN:AN,Data!$AN311)/COUNTA(AN:AN)</f>
        <v>0.62424242424242427</v>
      </c>
      <c r="AP311" s="23">
        <v>38.934710000000003</v>
      </c>
      <c r="AQ311" s="23">
        <v>-77.058222999999998</v>
      </c>
      <c r="AR311" s="23">
        <f>COUNTIF(Data!$P$2:$P$825,Data!$P311)</f>
        <v>28</v>
      </c>
      <c r="AS311" s="23" cm="1">
        <f t="array" ref="AS311">_xlfn.IFS(Data!$E311&lt;12,((Data!$E311/Data!$D311)*60)*1,AND(Data!$E311&gt;=12,Data!$E311&lt;=15),((Data!$E311/Data!$D311)*60)*1.2,AND(Data!$E311&gt;=16,Data!$E311&lt;=19),((Data!$E311/Data!$D311)*60)*1.5,Data!$E311&gt;=20,((Data!$E311/Data!$D311)*60)*1.8)</f>
        <v>15.157894736842104</v>
      </c>
      <c r="AT311" s="23" cm="1">
        <f t="array" ref="AT311">_xlfn.IFS(Data!$F311&lt;600,((Data!$F311/Data!$D311)*60)*1,AND(Data!$F311&gt;=600,Data!$F311&lt;=625),((Data!$F311/Data!$D311)*60)*1.2,AND(Data!$F311&gt;=626,Data!$F311&lt;=650),((Data!$F311/Data!$D311)*60)*1.5,Data!$F311&gt;=651,((Data!$F311/Data!$D311)*60)*1.8)</f>
        <v>789.47368421052636</v>
      </c>
      <c r="AU311" s="23">
        <f>(Data!$I311*-1.2)+(Data!$J311*-1.1)+(Data!$K311*1.2)+(Data!$L311*1.3)+(Data!$M311*1.5)</f>
        <v>6.5</v>
      </c>
      <c r="AV311" s="23">
        <f>(Data!$AS311*0.4)+(Data!$AT311*0.4)+(Data!$AU311*0.2)</f>
        <v>323.15263157894742</v>
      </c>
      <c r="AW311" s="23">
        <f>PERCENTRANK(AV:AV,Data!$AV311)*100</f>
        <v>38.9</v>
      </c>
      <c r="AX311" s="23" t="str">
        <f>_xlfn.CONCAT(TEXT(C311,"mmm"),"-",Data!$AE311)</f>
        <v>Jun-2022</v>
      </c>
    </row>
    <row r="312" spans="1:50" ht="17" thickTop="1" thickBot="1" x14ac:dyDescent="0.25">
      <c r="A312" s="28">
        <v>311</v>
      </c>
      <c r="B312" s="29">
        <f t="shared" si="34"/>
        <v>14</v>
      </c>
      <c r="C312" s="41">
        <v>44719</v>
      </c>
      <c r="D312" s="30">
        <f>SUM(Data!$I312:$M312)</f>
        <v>55</v>
      </c>
      <c r="E312" s="29">
        <v>12</v>
      </c>
      <c r="F312" s="29">
        <v>618</v>
      </c>
      <c r="G312" s="29">
        <v>170</v>
      </c>
      <c r="H312" s="29">
        <v>127</v>
      </c>
      <c r="I312" s="29">
        <v>10</v>
      </c>
      <c r="J312" s="29">
        <v>19</v>
      </c>
      <c r="K312" s="29">
        <v>14</v>
      </c>
      <c r="L312" s="29">
        <v>10</v>
      </c>
      <c r="M312" s="29">
        <v>2</v>
      </c>
      <c r="N312" s="29" t="s">
        <v>101</v>
      </c>
      <c r="O312" s="29" t="s">
        <v>39</v>
      </c>
      <c r="P312" s="29" t="s">
        <v>109</v>
      </c>
      <c r="Q312" s="29">
        <f t="shared" si="40"/>
        <v>4</v>
      </c>
      <c r="R312" s="29" t="str">
        <f t="shared" si="35"/>
        <v>6-2022</v>
      </c>
      <c r="S312" s="29" t="s">
        <v>104</v>
      </c>
      <c r="T312" s="29" t="str">
        <f t="shared" si="36"/>
        <v>Tuesday</v>
      </c>
      <c r="U312" s="29">
        <f t="shared" si="37"/>
        <v>1</v>
      </c>
      <c r="V312" s="31">
        <f>IFERROR(Data!$I312/Data!$D312,"")</f>
        <v>0.18181818181818182</v>
      </c>
      <c r="W312" s="31">
        <f>IFERROR(Data!$J312/Data!$D312,"")</f>
        <v>0.34545454545454546</v>
      </c>
      <c r="X312" s="31">
        <f>IFERROR(Data!$K312/Data!$D312,"")</f>
        <v>0.25454545454545452</v>
      </c>
      <c r="Y312" s="31">
        <f>IFERROR(Data!$L312/Data!$D312,"")</f>
        <v>0.18181818181818182</v>
      </c>
      <c r="Z312" s="31">
        <f>IFERROR(Data!$M312/Data!$D312,"")</f>
        <v>3.6363636363636362E-2</v>
      </c>
      <c r="AA312" s="32">
        <v>232.14</v>
      </c>
      <c r="AB312" s="32">
        <f t="shared" si="41"/>
        <v>16.581428571428571</v>
      </c>
      <c r="AC312" s="29">
        <f t="shared" si="38"/>
        <v>629.64285714285711</v>
      </c>
      <c r="AD312" s="29">
        <f t="shared" si="39"/>
        <v>14</v>
      </c>
      <c r="AE312" s="29">
        <f>YEAR(Data!$C312)</f>
        <v>2022</v>
      </c>
      <c r="AF312" s="29"/>
      <c r="AG312" s="29">
        <v>12</v>
      </c>
      <c r="AH312" s="33">
        <f>Data!$F312/Data!$D312</f>
        <v>11.236363636363636</v>
      </c>
      <c r="AI312" s="17" t="str">
        <f>RIGHT(Data!$O312,2)</f>
        <v>PM</v>
      </c>
      <c r="AJ312" s="29" t="str">
        <f>Data!$R312&amp;"-"&amp;WEEKNUM(Data!$C312,1)-WEEKNUM(DATE(YEAR(Data!$C312),MONTH(Data!$C312),1),1)+1</f>
        <v>6-2022-2</v>
      </c>
      <c r="AK312" s="29">
        <f>MONTH(Data!$C312)</f>
        <v>6</v>
      </c>
      <c r="AL312" s="29">
        <f>IFERROR(Data!$F312/Data!$E312,0)</f>
        <v>51.5</v>
      </c>
      <c r="AM312" s="29">
        <f>COUNTIF(Data!$N$2:$N$825,Data!$N312)</f>
        <v>191</v>
      </c>
      <c r="AN312" s="29" t="str">
        <f>VLOOKUP(Data!$N312,'Helpful Tables'!A:D,4,FALSE)</f>
        <v>Washington, DC</v>
      </c>
      <c r="AO312" s="29">
        <f>COUNTIF(AN:AN,Data!$AN312)/COUNTA(AN:AN)</f>
        <v>0.62424242424242427</v>
      </c>
      <c r="AP312" s="29">
        <v>38.949649000000001</v>
      </c>
      <c r="AQ312" s="29">
        <v>-77.080878999999996</v>
      </c>
      <c r="AR312" s="29">
        <f>COUNTIF(Data!$P$2:$P$825,Data!$P312)</f>
        <v>66</v>
      </c>
      <c r="AS312" s="29" cm="1">
        <f t="array" ref="AS312">_xlfn.IFS(Data!$E312&lt;12,((Data!$E312/Data!$D312)*60)*1,AND(Data!$E312&gt;=12,Data!$E312&lt;=15),((Data!$E312/Data!$D312)*60)*1.2,AND(Data!$E312&gt;=16,Data!$E312&lt;=19),((Data!$E312/Data!$D312)*60)*1.5,Data!$E312&gt;=20,((Data!$E312/Data!$D312)*60)*1.8)</f>
        <v>15.709090909090907</v>
      </c>
      <c r="AT312" s="29" cm="1">
        <f t="array" ref="AT312">_xlfn.IFS(Data!$F312&lt;600,((Data!$F312/Data!$D312)*60)*1,AND(Data!$F312&gt;=600,Data!$F312&lt;=625),((Data!$F312/Data!$D312)*60)*1.2,AND(Data!$F312&gt;=626,Data!$F312&lt;=650),((Data!$F312/Data!$D312)*60)*1.5,Data!$F312&gt;=651,((Data!$F312/Data!$D312)*60)*1.8)</f>
        <v>809.01818181818169</v>
      </c>
      <c r="AU312" s="29">
        <f>(Data!$I312*-1.2)+(Data!$J312*-1.1)+(Data!$K312*1.2)+(Data!$L312*1.3)+(Data!$M312*1.5)</f>
        <v>-0.10000000000000497</v>
      </c>
      <c r="AV312" s="29">
        <f>(Data!$AS312*0.4)+(Data!$AT312*0.4)+(Data!$AU312*0.2)</f>
        <v>329.87090909090909</v>
      </c>
      <c r="AW312" s="29">
        <f>PERCENTRANK(AV:AV,Data!$AV312)*100</f>
        <v>41</v>
      </c>
      <c r="AX312" s="29" t="str">
        <f>_xlfn.CONCAT(TEXT(C312,"mmm"),"-",Data!$AE312)</f>
        <v>Jun-2022</v>
      </c>
    </row>
    <row r="313" spans="1:50" ht="17" thickTop="1" thickBot="1" x14ac:dyDescent="0.25">
      <c r="A313" s="22">
        <v>312</v>
      </c>
      <c r="B313" s="23">
        <f t="shared" si="34"/>
        <v>14</v>
      </c>
      <c r="C313" s="41">
        <v>44721</v>
      </c>
      <c r="D313" s="24">
        <f>SUM(Data!$I313:$M313)</f>
        <v>61</v>
      </c>
      <c r="E313" s="23">
        <v>16</v>
      </c>
      <c r="F313" s="23">
        <v>672</v>
      </c>
      <c r="G313" s="23">
        <v>169</v>
      </c>
      <c r="H313" s="23">
        <v>127</v>
      </c>
      <c r="I313" s="23">
        <v>11</v>
      </c>
      <c r="J313" s="23">
        <v>22</v>
      </c>
      <c r="K313" s="23">
        <v>12</v>
      </c>
      <c r="L313" s="23">
        <v>10</v>
      </c>
      <c r="M313" s="23">
        <v>6</v>
      </c>
      <c r="N313" s="23" t="s">
        <v>91</v>
      </c>
      <c r="O313" s="23" t="s">
        <v>39</v>
      </c>
      <c r="P313" s="23" t="s">
        <v>98</v>
      </c>
      <c r="Q313" s="23">
        <f t="shared" si="40"/>
        <v>2</v>
      </c>
      <c r="R313" s="23" t="str">
        <f t="shared" si="35"/>
        <v>6-2022</v>
      </c>
      <c r="S313" s="23" t="s">
        <v>117</v>
      </c>
      <c r="T313" s="23" t="str">
        <f t="shared" si="36"/>
        <v>Thursday</v>
      </c>
      <c r="U313" s="23">
        <f t="shared" si="37"/>
        <v>1</v>
      </c>
      <c r="V313" s="25">
        <f>IFERROR(Data!$I313/Data!$D313,"")</f>
        <v>0.18032786885245902</v>
      </c>
      <c r="W313" s="25">
        <f>IFERROR(Data!$J313/Data!$D313,"")</f>
        <v>0.36065573770491804</v>
      </c>
      <c r="X313" s="25">
        <f>IFERROR(Data!$K313/Data!$D313,"")</f>
        <v>0.19672131147540983</v>
      </c>
      <c r="Y313" s="25">
        <f>IFERROR(Data!$L313/Data!$D313,"")</f>
        <v>0.16393442622950818</v>
      </c>
      <c r="Z313" s="25">
        <f>IFERROR(Data!$M313/Data!$D313,"")</f>
        <v>9.8360655737704916E-2</v>
      </c>
      <c r="AA313" s="26">
        <v>232.14</v>
      </c>
      <c r="AB313" s="26">
        <f t="shared" si="41"/>
        <v>16.581428571428571</v>
      </c>
      <c r="AC313" s="23">
        <f t="shared" si="38"/>
        <v>629.64285714285711</v>
      </c>
      <c r="AD313" s="23">
        <f t="shared" si="39"/>
        <v>14</v>
      </c>
      <c r="AE313" s="23">
        <f>YEAR(Data!$C313)</f>
        <v>2022</v>
      </c>
      <c r="AF313" s="23"/>
      <c r="AG313" s="23">
        <v>12</v>
      </c>
      <c r="AH313" s="27">
        <f>Data!$F313/Data!$D313</f>
        <v>11.016393442622951</v>
      </c>
      <c r="AI313" s="17" t="str">
        <f>RIGHT(Data!$O313,2)</f>
        <v>PM</v>
      </c>
      <c r="AJ313" s="23" t="str">
        <f>Data!$R313&amp;"-"&amp;WEEKNUM(Data!$C313,1)-WEEKNUM(DATE(YEAR(Data!$C313),MONTH(Data!$C313),1),1)+1</f>
        <v>6-2022-2</v>
      </c>
      <c r="AK313" s="23">
        <f>MONTH(Data!$C313)</f>
        <v>6</v>
      </c>
      <c r="AL313" s="23">
        <f>IFERROR(Data!$F313/Data!$E313,0)</f>
        <v>42</v>
      </c>
      <c r="AM313" s="23">
        <f>COUNTIF(Data!$N$2:$N$825,Data!$N313)</f>
        <v>218</v>
      </c>
      <c r="AN313" s="23" t="str">
        <f>VLOOKUP(Data!$N313,'Helpful Tables'!A:D,4,FALSE)</f>
        <v>Washington, DC</v>
      </c>
      <c r="AO313" s="23">
        <f>COUNTIF(AN:AN,Data!$AN313)/COUNTA(AN:AN)</f>
        <v>0.62424242424242427</v>
      </c>
      <c r="AP313" s="23">
        <v>38.934710000000003</v>
      </c>
      <c r="AQ313" s="23">
        <v>-77.058222999999998</v>
      </c>
      <c r="AR313" s="23">
        <f>COUNTIF(Data!$P$2:$P$825,Data!$P313)</f>
        <v>28</v>
      </c>
      <c r="AS313" s="23" cm="1">
        <f t="array" ref="AS313">_xlfn.IFS(Data!$E313&lt;12,((Data!$E313/Data!$D313)*60)*1,AND(Data!$E313&gt;=12,Data!$E313&lt;=15),((Data!$E313/Data!$D313)*60)*1.2,AND(Data!$E313&gt;=16,Data!$E313&lt;=19),((Data!$E313/Data!$D313)*60)*1.5,Data!$E313&gt;=20,((Data!$E313/Data!$D313)*60)*1.8)</f>
        <v>23.606557377049182</v>
      </c>
      <c r="AT313" s="23" cm="1">
        <f t="array" ref="AT313">_xlfn.IFS(Data!$F313&lt;600,((Data!$F313/Data!$D313)*60)*1,AND(Data!$F313&gt;=600,Data!$F313&lt;=625),((Data!$F313/Data!$D313)*60)*1.2,AND(Data!$F313&gt;=626,Data!$F313&lt;=650),((Data!$F313/Data!$D313)*60)*1.5,Data!$F313&gt;=651,((Data!$F313/Data!$D313)*60)*1.8)</f>
        <v>1189.7704918032787</v>
      </c>
      <c r="AU313" s="23">
        <f>(Data!$I313*-1.2)+(Data!$J313*-1.1)+(Data!$K313*1.2)+(Data!$L313*1.3)+(Data!$M313*1.5)</f>
        <v>-1.0000000000000071</v>
      </c>
      <c r="AV313" s="23">
        <f>(Data!$AS313*0.4)+(Data!$AT313*0.4)+(Data!$AU313*0.2)</f>
        <v>485.15081967213115</v>
      </c>
      <c r="AW313" s="23">
        <f>PERCENTRANK(AV:AV,Data!$AV313)*100</f>
        <v>70.399999999999991</v>
      </c>
      <c r="AX313" s="23" t="str">
        <f>_xlfn.CONCAT(TEXT(C313,"mmm"),"-",Data!$AE313)</f>
        <v>Jun-2022</v>
      </c>
    </row>
    <row r="314" spans="1:50" ht="17" thickTop="1" thickBot="1" x14ac:dyDescent="0.25">
      <c r="A314" s="28">
        <v>313</v>
      </c>
      <c r="B314" s="29">
        <f t="shared" si="34"/>
        <v>14</v>
      </c>
      <c r="C314" s="41">
        <v>44722</v>
      </c>
      <c r="D314" s="30">
        <f>SUM(Data!$I314:$M314)</f>
        <v>57</v>
      </c>
      <c r="E314" s="29">
        <v>6</v>
      </c>
      <c r="F314" s="29">
        <v>536</v>
      </c>
      <c r="G314" s="29">
        <v>158</v>
      </c>
      <c r="H314" s="29">
        <v>116</v>
      </c>
      <c r="I314" s="29">
        <v>22</v>
      </c>
      <c r="J314" s="29">
        <v>18</v>
      </c>
      <c r="K314" s="29">
        <v>11</v>
      </c>
      <c r="L314" s="29">
        <v>6</v>
      </c>
      <c r="M314" s="29">
        <v>0</v>
      </c>
      <c r="N314" s="29" t="s">
        <v>101</v>
      </c>
      <c r="O314" s="29" t="s">
        <v>39</v>
      </c>
      <c r="P314" s="29" t="s">
        <v>133</v>
      </c>
      <c r="Q314" s="29">
        <f t="shared" si="40"/>
        <v>1</v>
      </c>
      <c r="R314" s="29" t="str">
        <f t="shared" si="35"/>
        <v>6-2022</v>
      </c>
      <c r="S314" s="29" t="s">
        <v>104</v>
      </c>
      <c r="T314" s="29" t="str">
        <f t="shared" si="36"/>
        <v>Friday</v>
      </c>
      <c r="U314" s="29">
        <f t="shared" si="37"/>
        <v>0</v>
      </c>
      <c r="V314" s="31">
        <f>IFERROR(Data!$I314/Data!$D314,"")</f>
        <v>0.38596491228070173</v>
      </c>
      <c r="W314" s="31">
        <f>IFERROR(Data!$J314/Data!$D314,"")</f>
        <v>0.31578947368421051</v>
      </c>
      <c r="X314" s="31">
        <f>IFERROR(Data!$K314/Data!$D314,"")</f>
        <v>0.19298245614035087</v>
      </c>
      <c r="Y314" s="31">
        <f>IFERROR(Data!$L314/Data!$D314,"")</f>
        <v>0.10526315789473684</v>
      </c>
      <c r="Z314" s="31">
        <f>IFERROR(Data!$M314/Data!$D314,"")</f>
        <v>0</v>
      </c>
      <c r="AA314" s="32">
        <v>232.14</v>
      </c>
      <c r="AB314" s="32">
        <f t="shared" si="41"/>
        <v>16.581428571428571</v>
      </c>
      <c r="AC314" s="29">
        <f t="shared" si="38"/>
        <v>629.64285714285711</v>
      </c>
      <c r="AD314" s="29">
        <f t="shared" si="39"/>
        <v>14</v>
      </c>
      <c r="AE314" s="29">
        <f>YEAR(Data!$C314)</f>
        <v>2022</v>
      </c>
      <c r="AF314" s="29"/>
      <c r="AG314" s="29">
        <v>12</v>
      </c>
      <c r="AH314" s="33">
        <f>Data!$F314/Data!$D314</f>
        <v>9.4035087719298254</v>
      </c>
      <c r="AI314" s="17" t="str">
        <f>RIGHT(Data!$O314,2)</f>
        <v>PM</v>
      </c>
      <c r="AJ314" s="29" t="str">
        <f>Data!$R314&amp;"-"&amp;WEEKNUM(Data!$C314,1)-WEEKNUM(DATE(YEAR(Data!$C314),MONTH(Data!$C314),1),1)+1</f>
        <v>6-2022-2</v>
      </c>
      <c r="AK314" s="29">
        <f>MONTH(Data!$C314)</f>
        <v>6</v>
      </c>
      <c r="AL314" s="29">
        <f>IFERROR(Data!$F314/Data!$E314,0)</f>
        <v>89.333333333333329</v>
      </c>
      <c r="AM314" s="29">
        <f>COUNTIF(Data!$N$2:$N$825,Data!$N314)</f>
        <v>191</v>
      </c>
      <c r="AN314" s="29" t="str">
        <f>VLOOKUP(Data!$N314,'Helpful Tables'!A:D,4,FALSE)</f>
        <v>Washington, DC</v>
      </c>
      <c r="AO314" s="29">
        <f>COUNTIF(AN:AN,Data!$AN314)/COUNTA(AN:AN)</f>
        <v>0.62424242424242427</v>
      </c>
      <c r="AP314" s="29">
        <v>38.949649000000001</v>
      </c>
      <c r="AQ314" s="29">
        <v>-77.080878999999996</v>
      </c>
      <c r="AR314" s="29">
        <f>COUNTIF(Data!$P$2:$P$825,Data!$P314)</f>
        <v>25</v>
      </c>
      <c r="AS314" s="29" cm="1">
        <f t="array" ref="AS314">_xlfn.IFS(Data!$E314&lt;12,((Data!$E314/Data!$D314)*60)*1,AND(Data!$E314&gt;=12,Data!$E314&lt;=15),((Data!$E314/Data!$D314)*60)*1.2,AND(Data!$E314&gt;=16,Data!$E314&lt;=19),((Data!$E314/Data!$D314)*60)*1.5,Data!$E314&gt;=20,((Data!$E314/Data!$D314)*60)*1.8)</f>
        <v>6.3157894736842106</v>
      </c>
      <c r="AT314" s="29" cm="1">
        <f t="array" ref="AT314">_xlfn.IFS(Data!$F314&lt;600,((Data!$F314/Data!$D314)*60)*1,AND(Data!$F314&gt;=600,Data!$F314&lt;=625),((Data!$F314/Data!$D314)*60)*1.2,AND(Data!$F314&gt;=626,Data!$F314&lt;=650),((Data!$F314/Data!$D314)*60)*1.5,Data!$F314&gt;=651,((Data!$F314/Data!$D314)*60)*1.8)</f>
        <v>564.21052631578948</v>
      </c>
      <c r="AU314" s="29">
        <f>(Data!$I314*-1.2)+(Data!$J314*-1.1)+(Data!$K314*1.2)+(Data!$L314*1.3)+(Data!$M314*1.5)</f>
        <v>-25.2</v>
      </c>
      <c r="AV314" s="29">
        <f>(Data!$AS314*0.4)+(Data!$AT314*0.4)+(Data!$AU314*0.2)</f>
        <v>223.17052631578949</v>
      </c>
      <c r="AW314" s="29">
        <f>PERCENTRANK(AV:AV,Data!$AV314)*100</f>
        <v>4.5999999999999996</v>
      </c>
      <c r="AX314" s="29" t="str">
        <f>_xlfn.CONCAT(TEXT(C314,"mmm"),"-",Data!$AE314)</f>
        <v>Jun-2022</v>
      </c>
    </row>
    <row r="315" spans="1:50" ht="17" thickTop="1" thickBot="1" x14ac:dyDescent="0.25">
      <c r="A315" s="22">
        <v>314</v>
      </c>
      <c r="B315" s="23">
        <f t="shared" si="34"/>
        <v>14</v>
      </c>
      <c r="C315" s="41">
        <v>44724</v>
      </c>
      <c r="D315" s="24">
        <f>SUM(Data!$I315:$M315)</f>
        <v>59</v>
      </c>
      <c r="E315" s="23">
        <v>15</v>
      </c>
      <c r="F315" s="23">
        <v>654</v>
      </c>
      <c r="G315" s="23">
        <v>166</v>
      </c>
      <c r="H315" s="23">
        <v>128</v>
      </c>
      <c r="I315" s="23">
        <v>11</v>
      </c>
      <c r="J315" s="23">
        <v>18</v>
      </c>
      <c r="K315" s="23">
        <v>15</v>
      </c>
      <c r="L315" s="23">
        <v>11</v>
      </c>
      <c r="M315" s="23">
        <v>4</v>
      </c>
      <c r="N315" s="23" t="s">
        <v>101</v>
      </c>
      <c r="O315" s="23" t="s">
        <v>39</v>
      </c>
      <c r="P315" s="23" t="s">
        <v>109</v>
      </c>
      <c r="Q315" s="23">
        <f t="shared" si="40"/>
        <v>2</v>
      </c>
      <c r="R315" s="23" t="str">
        <f t="shared" si="35"/>
        <v>6-2022</v>
      </c>
      <c r="S315" s="23" t="s">
        <v>104</v>
      </c>
      <c r="T315" s="23" t="str">
        <f t="shared" si="36"/>
        <v>Sunday</v>
      </c>
      <c r="U315" s="23">
        <f t="shared" si="37"/>
        <v>1</v>
      </c>
      <c r="V315" s="25">
        <f>IFERROR(Data!$I315/Data!$D315,"")</f>
        <v>0.1864406779661017</v>
      </c>
      <c r="W315" s="25">
        <f>IFERROR(Data!$J315/Data!$D315,"")</f>
        <v>0.30508474576271188</v>
      </c>
      <c r="X315" s="25">
        <f>IFERROR(Data!$K315/Data!$D315,"")</f>
        <v>0.25423728813559321</v>
      </c>
      <c r="Y315" s="25">
        <f>IFERROR(Data!$L315/Data!$D315,"")</f>
        <v>0.1864406779661017</v>
      </c>
      <c r="Z315" s="25">
        <f>IFERROR(Data!$M315/Data!$D315,"")</f>
        <v>6.7796610169491525E-2</v>
      </c>
      <c r="AA315" s="26">
        <v>232.14</v>
      </c>
      <c r="AB315" s="26">
        <f t="shared" si="41"/>
        <v>16.581428571428571</v>
      </c>
      <c r="AC315" s="23">
        <f t="shared" si="38"/>
        <v>629.64285714285711</v>
      </c>
      <c r="AD315" s="23">
        <f t="shared" si="39"/>
        <v>14</v>
      </c>
      <c r="AE315" s="23">
        <f>YEAR(Data!$C315)</f>
        <v>2022</v>
      </c>
      <c r="AF315" s="23"/>
      <c r="AG315" s="23">
        <v>12</v>
      </c>
      <c r="AH315" s="27">
        <f>Data!$F315/Data!$D315</f>
        <v>11.084745762711865</v>
      </c>
      <c r="AI315" s="17" t="str">
        <f>RIGHT(Data!$O315,2)</f>
        <v>PM</v>
      </c>
      <c r="AJ315" s="23" t="str">
        <f>Data!$R315&amp;"-"&amp;WEEKNUM(Data!$C315,1)-WEEKNUM(DATE(YEAR(Data!$C315),MONTH(Data!$C315),1),1)+1</f>
        <v>6-2022-3</v>
      </c>
      <c r="AK315" s="23">
        <f>MONTH(Data!$C315)</f>
        <v>6</v>
      </c>
      <c r="AL315" s="23">
        <f>IFERROR(Data!$F315/Data!$E315,0)</f>
        <v>43.6</v>
      </c>
      <c r="AM315" s="23">
        <f>COUNTIF(Data!$N$2:$N$825,Data!$N315)</f>
        <v>191</v>
      </c>
      <c r="AN315" s="23" t="str">
        <f>VLOOKUP(Data!$N315,'Helpful Tables'!A:D,4,FALSE)</f>
        <v>Washington, DC</v>
      </c>
      <c r="AO315" s="23">
        <f>COUNTIF(AN:AN,Data!$AN315)/COUNTA(AN:AN)</f>
        <v>0.62424242424242427</v>
      </c>
      <c r="AP315" s="23">
        <v>38.949649000000001</v>
      </c>
      <c r="AQ315" s="23">
        <v>-77.080878999999996</v>
      </c>
      <c r="AR315" s="23">
        <f>COUNTIF(Data!$P$2:$P$825,Data!$P315)</f>
        <v>66</v>
      </c>
      <c r="AS315" s="23" cm="1">
        <f t="array" ref="AS315">_xlfn.IFS(Data!$E315&lt;12,((Data!$E315/Data!$D315)*60)*1,AND(Data!$E315&gt;=12,Data!$E315&lt;=15),((Data!$E315/Data!$D315)*60)*1.2,AND(Data!$E315&gt;=16,Data!$E315&lt;=19),((Data!$E315/Data!$D315)*60)*1.5,Data!$E315&gt;=20,((Data!$E315/Data!$D315)*60)*1.8)</f>
        <v>18.305084745762709</v>
      </c>
      <c r="AT315" s="23" cm="1">
        <f t="array" ref="AT315">_xlfn.IFS(Data!$F315&lt;600,((Data!$F315/Data!$D315)*60)*1,AND(Data!$F315&gt;=600,Data!$F315&lt;=625),((Data!$F315/Data!$D315)*60)*1.2,AND(Data!$F315&gt;=626,Data!$F315&lt;=650),((Data!$F315/Data!$D315)*60)*1.5,Data!$F315&gt;=651,((Data!$F315/Data!$D315)*60)*1.8)</f>
        <v>1197.1525423728815</v>
      </c>
      <c r="AU315" s="23">
        <f>(Data!$I315*-1.2)+(Data!$J315*-1.1)+(Data!$K315*1.2)+(Data!$L315*1.3)+(Data!$M315*1.5)</f>
        <v>5.3000000000000007</v>
      </c>
      <c r="AV315" s="23">
        <f>(Data!$AS315*0.4)+(Data!$AT315*0.4)+(Data!$AU315*0.2)</f>
        <v>487.24305084745771</v>
      </c>
      <c r="AW315" s="23">
        <f>PERCENTRANK(AV:AV,Data!$AV315)*100</f>
        <v>71.2</v>
      </c>
      <c r="AX315" s="23" t="str">
        <f>_xlfn.CONCAT(TEXT(C315,"mmm"),"-",Data!$AE315)</f>
        <v>Jun-2022</v>
      </c>
    </row>
    <row r="316" spans="1:50" ht="17" thickTop="1" thickBot="1" x14ac:dyDescent="0.25">
      <c r="A316" s="28">
        <v>315</v>
      </c>
      <c r="B316" s="29">
        <f t="shared" si="34"/>
        <v>14</v>
      </c>
      <c r="C316" s="41">
        <v>44726</v>
      </c>
      <c r="D316" s="30">
        <f>SUM(Data!$I316:$M316)</f>
        <v>59</v>
      </c>
      <c r="E316" s="29">
        <v>24</v>
      </c>
      <c r="F316" s="29">
        <v>669</v>
      </c>
      <c r="G316" s="29">
        <v>168</v>
      </c>
      <c r="H316" s="29">
        <v>129</v>
      </c>
      <c r="I316" s="29">
        <v>18</v>
      </c>
      <c r="J316" s="29">
        <v>5</v>
      </c>
      <c r="K316" s="29">
        <v>12</v>
      </c>
      <c r="L316" s="29">
        <v>21</v>
      </c>
      <c r="M316" s="29">
        <v>3</v>
      </c>
      <c r="N316" s="29" t="s">
        <v>101</v>
      </c>
      <c r="O316" s="29" t="s">
        <v>39</v>
      </c>
      <c r="P316" s="29" t="s">
        <v>109</v>
      </c>
      <c r="Q316" s="29">
        <f t="shared" si="40"/>
        <v>2</v>
      </c>
      <c r="R316" s="29" t="str">
        <f t="shared" si="35"/>
        <v>6-2022</v>
      </c>
      <c r="S316" s="29" t="s">
        <v>104</v>
      </c>
      <c r="T316" s="29" t="str">
        <f t="shared" si="36"/>
        <v>Tuesday</v>
      </c>
      <c r="U316" s="29">
        <f t="shared" si="37"/>
        <v>1</v>
      </c>
      <c r="V316" s="31">
        <f>IFERROR(Data!$I316/Data!$D316,"")</f>
        <v>0.30508474576271188</v>
      </c>
      <c r="W316" s="31">
        <f>IFERROR(Data!$J316/Data!$D316,"")</f>
        <v>8.4745762711864403E-2</v>
      </c>
      <c r="X316" s="31">
        <f>IFERROR(Data!$K316/Data!$D316,"")</f>
        <v>0.20338983050847459</v>
      </c>
      <c r="Y316" s="31">
        <f>IFERROR(Data!$L316/Data!$D316,"")</f>
        <v>0.3559322033898305</v>
      </c>
      <c r="Z316" s="31">
        <f>IFERROR(Data!$M316/Data!$D316,"")</f>
        <v>5.0847457627118647E-2</v>
      </c>
      <c r="AA316" s="32">
        <v>232.14</v>
      </c>
      <c r="AB316" s="32">
        <f t="shared" si="41"/>
        <v>16.581428571428571</v>
      </c>
      <c r="AC316" s="29">
        <f t="shared" si="38"/>
        <v>629.64285714285711</v>
      </c>
      <c r="AD316" s="29">
        <f t="shared" si="39"/>
        <v>14</v>
      </c>
      <c r="AE316" s="29">
        <f>YEAR(Data!$C316)</f>
        <v>2022</v>
      </c>
      <c r="AF316" s="29"/>
      <c r="AG316" s="29">
        <v>12</v>
      </c>
      <c r="AH316" s="33">
        <f>Data!$F316/Data!$D316</f>
        <v>11.338983050847459</v>
      </c>
      <c r="AI316" s="17" t="str">
        <f>RIGHT(Data!$O316,2)</f>
        <v>PM</v>
      </c>
      <c r="AJ316" s="29" t="str">
        <f>Data!$R316&amp;"-"&amp;WEEKNUM(Data!$C316,1)-WEEKNUM(DATE(YEAR(Data!$C316),MONTH(Data!$C316),1),1)+1</f>
        <v>6-2022-3</v>
      </c>
      <c r="AK316" s="29">
        <f>MONTH(Data!$C316)</f>
        <v>6</v>
      </c>
      <c r="AL316" s="29">
        <f>IFERROR(Data!$F316/Data!$E316,0)</f>
        <v>27.875</v>
      </c>
      <c r="AM316" s="29">
        <f>COUNTIF(Data!$N$2:$N$825,Data!$N316)</f>
        <v>191</v>
      </c>
      <c r="AN316" s="29" t="str">
        <f>VLOOKUP(Data!$N316,'Helpful Tables'!A:D,4,FALSE)</f>
        <v>Washington, DC</v>
      </c>
      <c r="AO316" s="29">
        <f>COUNTIF(AN:AN,Data!$AN316)/COUNTA(AN:AN)</f>
        <v>0.62424242424242427</v>
      </c>
      <c r="AP316" s="29">
        <v>38.949649000000001</v>
      </c>
      <c r="AQ316" s="29">
        <v>-77.080878999999996</v>
      </c>
      <c r="AR316" s="29">
        <f>COUNTIF(Data!$P$2:$P$825,Data!$P316)</f>
        <v>66</v>
      </c>
      <c r="AS316" s="29" cm="1">
        <f t="array" ref="AS316">_xlfn.IFS(Data!$E316&lt;12,((Data!$E316/Data!$D316)*60)*1,AND(Data!$E316&gt;=12,Data!$E316&lt;=15),((Data!$E316/Data!$D316)*60)*1.2,AND(Data!$E316&gt;=16,Data!$E316&lt;=19),((Data!$E316/Data!$D316)*60)*1.5,Data!$E316&gt;=20,((Data!$E316/Data!$D316)*60)*1.8)</f>
        <v>43.932203389830512</v>
      </c>
      <c r="AT316" s="29" cm="1">
        <f t="array" ref="AT316">_xlfn.IFS(Data!$F316&lt;600,((Data!$F316/Data!$D316)*60)*1,AND(Data!$F316&gt;=600,Data!$F316&lt;=625),((Data!$F316/Data!$D316)*60)*1.2,AND(Data!$F316&gt;=626,Data!$F316&lt;=650),((Data!$F316/Data!$D316)*60)*1.5,Data!$F316&gt;=651,((Data!$F316/Data!$D316)*60)*1.8)</f>
        <v>1224.6101694915255</v>
      </c>
      <c r="AU316" s="29">
        <f>(Data!$I316*-1.2)+(Data!$J316*-1.1)+(Data!$K316*1.2)+(Data!$L316*1.3)+(Data!$M316*1.5)</f>
        <v>19.100000000000001</v>
      </c>
      <c r="AV316" s="29">
        <f>(Data!$AS316*0.4)+(Data!$AT316*0.4)+(Data!$AU316*0.2)</f>
        <v>511.23694915254248</v>
      </c>
      <c r="AW316" s="29">
        <f>PERCENTRANK(AV:AV,Data!$AV316)*100</f>
        <v>85.5</v>
      </c>
      <c r="AX316" s="29" t="str">
        <f>_xlfn.CONCAT(TEXT(C316,"mmm"),"-",Data!$AE316)</f>
        <v>Jun-2022</v>
      </c>
    </row>
    <row r="317" spans="1:50" ht="17" thickTop="1" thickBot="1" x14ac:dyDescent="0.25">
      <c r="A317" s="22">
        <v>316</v>
      </c>
      <c r="B317" s="23">
        <f t="shared" si="34"/>
        <v>14</v>
      </c>
      <c r="C317" s="41">
        <v>44727</v>
      </c>
      <c r="D317" s="24">
        <f>SUM(Data!$I317:$M317)</f>
        <v>59</v>
      </c>
      <c r="E317" s="23">
        <v>13</v>
      </c>
      <c r="F317" s="23">
        <v>633</v>
      </c>
      <c r="G317" s="23">
        <v>166</v>
      </c>
      <c r="H317" s="23">
        <v>124</v>
      </c>
      <c r="I317" s="23">
        <v>18</v>
      </c>
      <c r="J317" s="23">
        <v>13</v>
      </c>
      <c r="K317" s="23">
        <v>15</v>
      </c>
      <c r="L317" s="23">
        <v>12</v>
      </c>
      <c r="M317" s="23">
        <v>1</v>
      </c>
      <c r="N317" s="23" t="s">
        <v>91</v>
      </c>
      <c r="O317" s="23" t="s">
        <v>39</v>
      </c>
      <c r="P317" s="23" t="s">
        <v>96</v>
      </c>
      <c r="Q317" s="23">
        <f t="shared" si="40"/>
        <v>1</v>
      </c>
      <c r="R317" s="23" t="str">
        <f t="shared" si="35"/>
        <v>6-2022</v>
      </c>
      <c r="S317" s="23" t="s">
        <v>117</v>
      </c>
      <c r="T317" s="23" t="str">
        <f t="shared" si="36"/>
        <v>Wednesday</v>
      </c>
      <c r="U317" s="23">
        <f t="shared" si="37"/>
        <v>1</v>
      </c>
      <c r="V317" s="25">
        <f>IFERROR(Data!$I317/Data!$D317,"")</f>
        <v>0.30508474576271188</v>
      </c>
      <c r="W317" s="25">
        <f>IFERROR(Data!$J317/Data!$D317,"")</f>
        <v>0.22033898305084745</v>
      </c>
      <c r="X317" s="25">
        <f>IFERROR(Data!$K317/Data!$D317,"")</f>
        <v>0.25423728813559321</v>
      </c>
      <c r="Y317" s="25">
        <f>IFERROR(Data!$L317/Data!$D317,"")</f>
        <v>0.20338983050847459</v>
      </c>
      <c r="Z317" s="25">
        <f>IFERROR(Data!$M317/Data!$D317,"")</f>
        <v>1.6949152542372881E-2</v>
      </c>
      <c r="AA317" s="26">
        <v>232.14</v>
      </c>
      <c r="AB317" s="26">
        <f t="shared" si="41"/>
        <v>16.581428571428571</v>
      </c>
      <c r="AC317" s="23">
        <f t="shared" si="38"/>
        <v>629.64285714285711</v>
      </c>
      <c r="AD317" s="23">
        <f t="shared" si="39"/>
        <v>14</v>
      </c>
      <c r="AE317" s="23">
        <f>YEAR(Data!$C317)</f>
        <v>2022</v>
      </c>
      <c r="AF317" s="23"/>
      <c r="AG317" s="23">
        <v>12</v>
      </c>
      <c r="AH317" s="27">
        <f>Data!$F317/Data!$D317</f>
        <v>10.728813559322035</v>
      </c>
      <c r="AI317" s="17" t="str">
        <f>RIGHT(Data!$O317,2)</f>
        <v>PM</v>
      </c>
      <c r="AJ317" s="23" t="str">
        <f>Data!$R317&amp;"-"&amp;WEEKNUM(Data!$C317,1)-WEEKNUM(DATE(YEAR(Data!$C317),MONTH(Data!$C317),1),1)+1</f>
        <v>6-2022-3</v>
      </c>
      <c r="AK317" s="23">
        <f>MONTH(Data!$C317)</f>
        <v>6</v>
      </c>
      <c r="AL317" s="23">
        <f>IFERROR(Data!$F317/Data!$E317,0)</f>
        <v>48.692307692307693</v>
      </c>
      <c r="AM317" s="23">
        <f>COUNTIF(Data!$N$2:$N$825,Data!$N317)</f>
        <v>218</v>
      </c>
      <c r="AN317" s="23" t="str">
        <f>VLOOKUP(Data!$N317,'Helpful Tables'!A:D,4,FALSE)</f>
        <v>Washington, DC</v>
      </c>
      <c r="AO317" s="23">
        <f>COUNTIF(AN:AN,Data!$AN317)/COUNTA(AN:AN)</f>
        <v>0.62424242424242427</v>
      </c>
      <c r="AP317" s="23">
        <v>38.934710000000003</v>
      </c>
      <c r="AQ317" s="23">
        <v>-77.058222999999998</v>
      </c>
      <c r="AR317" s="23">
        <f>COUNTIF(Data!$P$2:$P$825,Data!$P317)</f>
        <v>71</v>
      </c>
      <c r="AS317" s="23" cm="1">
        <f t="array" ref="AS317">_xlfn.IFS(Data!$E317&lt;12,((Data!$E317/Data!$D317)*60)*1,AND(Data!$E317&gt;=12,Data!$E317&lt;=15),((Data!$E317/Data!$D317)*60)*1.2,AND(Data!$E317&gt;=16,Data!$E317&lt;=19),((Data!$E317/Data!$D317)*60)*1.5,Data!$E317&gt;=20,((Data!$E317/Data!$D317)*60)*1.8)</f>
        <v>15.864406779661017</v>
      </c>
      <c r="AT317" s="23" cm="1">
        <f t="array" ref="AT317">_xlfn.IFS(Data!$F317&lt;600,((Data!$F317/Data!$D317)*60)*1,AND(Data!$F317&gt;=600,Data!$F317&lt;=625),((Data!$F317/Data!$D317)*60)*1.2,AND(Data!$F317&gt;=626,Data!$F317&lt;=650),((Data!$F317/Data!$D317)*60)*1.5,Data!$F317&gt;=651,((Data!$F317/Data!$D317)*60)*1.8)</f>
        <v>965.5932203389832</v>
      </c>
      <c r="AU317" s="23">
        <f>(Data!$I317*-1.2)+(Data!$J317*-1.1)+(Data!$K317*1.2)+(Data!$L317*1.3)+(Data!$M317*1.5)</f>
        <v>-0.79999999999999716</v>
      </c>
      <c r="AV317" s="23">
        <f>(Data!$AS317*0.4)+(Data!$AT317*0.4)+(Data!$AU317*0.2)</f>
        <v>392.42305084745766</v>
      </c>
      <c r="AW317" s="23">
        <f>PERCENTRANK(AV:AV,Data!$AV317)*100</f>
        <v>48.4</v>
      </c>
      <c r="AX317" s="23" t="str">
        <f>_xlfn.CONCAT(TEXT(C317,"mmm"),"-",Data!$AE317)</f>
        <v>Jun-2022</v>
      </c>
    </row>
    <row r="318" spans="1:50" ht="17" thickTop="1" thickBot="1" x14ac:dyDescent="0.25">
      <c r="A318" s="28">
        <v>317</v>
      </c>
      <c r="B318" s="29">
        <f t="shared" si="34"/>
        <v>14</v>
      </c>
      <c r="C318" s="41">
        <v>44729</v>
      </c>
      <c r="D318" s="30">
        <f>SUM(Data!$I318:$M318)</f>
        <v>59</v>
      </c>
      <c r="E318" s="29">
        <v>15</v>
      </c>
      <c r="F318" s="29">
        <v>637</v>
      </c>
      <c r="G318" s="29">
        <v>165</v>
      </c>
      <c r="H318" s="29">
        <v>125</v>
      </c>
      <c r="I318" s="29">
        <v>15</v>
      </c>
      <c r="J318" s="29">
        <v>16</v>
      </c>
      <c r="K318" s="29">
        <v>13</v>
      </c>
      <c r="L318" s="29">
        <v>13</v>
      </c>
      <c r="M318" s="29">
        <v>2</v>
      </c>
      <c r="N318" s="29" t="s">
        <v>91</v>
      </c>
      <c r="O318" s="29" t="s">
        <v>89</v>
      </c>
      <c r="P318" s="29" t="s">
        <v>98</v>
      </c>
      <c r="Q318" s="29">
        <f t="shared" si="40"/>
        <v>2</v>
      </c>
      <c r="R318" s="29" t="str">
        <f t="shared" si="35"/>
        <v>6-2022</v>
      </c>
      <c r="S318" s="29" t="s">
        <v>104</v>
      </c>
      <c r="T318" s="29" t="str">
        <f t="shared" si="36"/>
        <v>Friday</v>
      </c>
      <c r="U318" s="29">
        <f t="shared" si="37"/>
        <v>1</v>
      </c>
      <c r="V318" s="31">
        <f>IFERROR(Data!$I318/Data!$D318,"")</f>
        <v>0.25423728813559321</v>
      </c>
      <c r="W318" s="31">
        <f>IFERROR(Data!$J318/Data!$D318,"")</f>
        <v>0.2711864406779661</v>
      </c>
      <c r="X318" s="31">
        <f>IFERROR(Data!$K318/Data!$D318,"")</f>
        <v>0.22033898305084745</v>
      </c>
      <c r="Y318" s="31">
        <f>IFERROR(Data!$L318/Data!$D318,"")</f>
        <v>0.22033898305084745</v>
      </c>
      <c r="Z318" s="31">
        <f>IFERROR(Data!$M318/Data!$D318,"")</f>
        <v>3.3898305084745763E-2</v>
      </c>
      <c r="AA318" s="32">
        <v>232.14</v>
      </c>
      <c r="AB318" s="32">
        <f t="shared" si="41"/>
        <v>16.581428571428571</v>
      </c>
      <c r="AC318" s="29">
        <f t="shared" si="38"/>
        <v>629.64285714285711</v>
      </c>
      <c r="AD318" s="29">
        <f t="shared" si="39"/>
        <v>14</v>
      </c>
      <c r="AE318" s="29">
        <f>YEAR(Data!$C318)</f>
        <v>2022</v>
      </c>
      <c r="AF318" s="29"/>
      <c r="AG318" s="29">
        <v>12</v>
      </c>
      <c r="AH318" s="33">
        <f>Data!$F318/Data!$D318</f>
        <v>10.796610169491526</v>
      </c>
      <c r="AI318" s="17" t="str">
        <f>RIGHT(Data!$O318,2)</f>
        <v>AM</v>
      </c>
      <c r="AJ318" s="29" t="str">
        <f>Data!$R318&amp;"-"&amp;WEEKNUM(Data!$C318,1)-WEEKNUM(DATE(YEAR(Data!$C318),MONTH(Data!$C318),1),1)+1</f>
        <v>6-2022-3</v>
      </c>
      <c r="AK318" s="29">
        <f>MONTH(Data!$C318)</f>
        <v>6</v>
      </c>
      <c r="AL318" s="29">
        <f>IFERROR(Data!$F318/Data!$E318,0)</f>
        <v>42.466666666666669</v>
      </c>
      <c r="AM318" s="29">
        <f>COUNTIF(Data!$N$2:$N$825,Data!$N318)</f>
        <v>218</v>
      </c>
      <c r="AN318" s="29" t="str">
        <f>VLOOKUP(Data!$N318,'Helpful Tables'!A:D,4,FALSE)</f>
        <v>Washington, DC</v>
      </c>
      <c r="AO318" s="29">
        <f>COUNTIF(AN:AN,Data!$AN318)/COUNTA(AN:AN)</f>
        <v>0.62424242424242427</v>
      </c>
      <c r="AP318" s="29">
        <v>38.934710000000003</v>
      </c>
      <c r="AQ318" s="29">
        <v>-77.058222999999998</v>
      </c>
      <c r="AR318" s="29">
        <f>COUNTIF(Data!$P$2:$P$825,Data!$P318)</f>
        <v>28</v>
      </c>
      <c r="AS318" s="29" cm="1">
        <f t="array" ref="AS318">_xlfn.IFS(Data!$E318&lt;12,((Data!$E318/Data!$D318)*60)*1,AND(Data!$E318&gt;=12,Data!$E318&lt;=15),((Data!$E318/Data!$D318)*60)*1.2,AND(Data!$E318&gt;=16,Data!$E318&lt;=19),((Data!$E318/Data!$D318)*60)*1.5,Data!$E318&gt;=20,((Data!$E318/Data!$D318)*60)*1.8)</f>
        <v>18.305084745762709</v>
      </c>
      <c r="AT318" s="29" cm="1">
        <f t="array" ref="AT318">_xlfn.IFS(Data!$F318&lt;600,((Data!$F318/Data!$D318)*60)*1,AND(Data!$F318&gt;=600,Data!$F318&lt;=625),((Data!$F318/Data!$D318)*60)*1.2,AND(Data!$F318&gt;=626,Data!$F318&lt;=650),((Data!$F318/Data!$D318)*60)*1.5,Data!$F318&gt;=651,((Data!$F318/Data!$D318)*60)*1.8)</f>
        <v>971.69491525423746</v>
      </c>
      <c r="AU318" s="29">
        <f>(Data!$I318*-1.2)+(Data!$J318*-1.1)+(Data!$K318*1.2)+(Data!$L318*1.3)+(Data!$M318*1.5)</f>
        <v>-9.9999999999997868E-2</v>
      </c>
      <c r="AV318" s="29">
        <f>(Data!$AS318*0.4)+(Data!$AT318*0.4)+(Data!$AU318*0.2)</f>
        <v>395.98000000000013</v>
      </c>
      <c r="AW318" s="29">
        <f>PERCENTRANK(AV:AV,Data!$AV318)*100</f>
        <v>50.2</v>
      </c>
      <c r="AX318" s="29" t="str">
        <f>_xlfn.CONCAT(TEXT(C318,"mmm"),"-",Data!$AE318)</f>
        <v>Jun-2022</v>
      </c>
    </row>
    <row r="319" spans="1:50" ht="17" thickTop="1" thickBot="1" x14ac:dyDescent="0.25">
      <c r="A319" s="22">
        <v>318</v>
      </c>
      <c r="B319" s="23">
        <f t="shared" si="34"/>
        <v>14</v>
      </c>
      <c r="C319" s="41">
        <v>44733</v>
      </c>
      <c r="D319" s="24">
        <f>SUM(Data!$I319:$M319)</f>
        <v>55</v>
      </c>
      <c r="E319" s="23">
        <v>16</v>
      </c>
      <c r="F319" s="23">
        <v>649</v>
      </c>
      <c r="G319" s="23">
        <v>167</v>
      </c>
      <c r="H319" s="23">
        <v>131</v>
      </c>
      <c r="I319" s="23">
        <v>5</v>
      </c>
      <c r="J319" s="23">
        <v>18</v>
      </c>
      <c r="K319" s="23">
        <v>16</v>
      </c>
      <c r="L319" s="23">
        <v>14</v>
      </c>
      <c r="M319" s="23">
        <v>2</v>
      </c>
      <c r="N319" s="23" t="s">
        <v>101</v>
      </c>
      <c r="O319" s="23" t="s">
        <v>39</v>
      </c>
      <c r="P319" s="23" t="s">
        <v>109</v>
      </c>
      <c r="Q319" s="23">
        <f t="shared" si="40"/>
        <v>4</v>
      </c>
      <c r="R319" s="23" t="str">
        <f t="shared" si="35"/>
        <v>6-2022</v>
      </c>
      <c r="S319" s="23" t="s">
        <v>104</v>
      </c>
      <c r="T319" s="23" t="str">
        <f t="shared" si="36"/>
        <v>Tuesday</v>
      </c>
      <c r="U319" s="23">
        <f t="shared" si="37"/>
        <v>1</v>
      </c>
      <c r="V319" s="25">
        <f>IFERROR(Data!$I319/Data!$D319,"")</f>
        <v>9.0909090909090912E-2</v>
      </c>
      <c r="W319" s="25">
        <f>IFERROR(Data!$J319/Data!$D319,"")</f>
        <v>0.32727272727272727</v>
      </c>
      <c r="X319" s="25">
        <f>IFERROR(Data!$K319/Data!$D319,"")</f>
        <v>0.29090909090909089</v>
      </c>
      <c r="Y319" s="25">
        <f>IFERROR(Data!$L319/Data!$D319,"")</f>
        <v>0.25454545454545452</v>
      </c>
      <c r="Z319" s="25">
        <f>IFERROR(Data!$M319/Data!$D319,"")</f>
        <v>3.6363636363636362E-2</v>
      </c>
      <c r="AA319" s="26">
        <v>232.14</v>
      </c>
      <c r="AB319" s="26">
        <f t="shared" si="41"/>
        <v>16.581428571428571</v>
      </c>
      <c r="AC319" s="23">
        <f t="shared" si="38"/>
        <v>629.64285714285711</v>
      </c>
      <c r="AD319" s="23">
        <f t="shared" si="39"/>
        <v>14</v>
      </c>
      <c r="AE319" s="23">
        <f>YEAR(Data!$C319)</f>
        <v>2022</v>
      </c>
      <c r="AF319" s="23"/>
      <c r="AG319" s="23">
        <v>12</v>
      </c>
      <c r="AH319" s="27">
        <f>Data!$F319/Data!$D319</f>
        <v>11.8</v>
      </c>
      <c r="AI319" s="17" t="str">
        <f>RIGHT(Data!$O319,2)</f>
        <v>PM</v>
      </c>
      <c r="AJ319" s="23" t="str">
        <f>Data!$R319&amp;"-"&amp;WEEKNUM(Data!$C319,1)-WEEKNUM(DATE(YEAR(Data!$C319),MONTH(Data!$C319),1),1)+1</f>
        <v>6-2022-4</v>
      </c>
      <c r="AK319" s="23">
        <f>MONTH(Data!$C319)</f>
        <v>6</v>
      </c>
      <c r="AL319" s="23">
        <f>IFERROR(Data!$F319/Data!$E319,0)</f>
        <v>40.5625</v>
      </c>
      <c r="AM319" s="23">
        <f>COUNTIF(Data!$N$2:$N$825,Data!$N319)</f>
        <v>191</v>
      </c>
      <c r="AN319" s="23" t="str">
        <f>VLOOKUP(Data!$N319,'Helpful Tables'!A:D,4,FALSE)</f>
        <v>Washington, DC</v>
      </c>
      <c r="AO319" s="23">
        <f>COUNTIF(AN:AN,Data!$AN319)/COUNTA(AN:AN)</f>
        <v>0.62424242424242427</v>
      </c>
      <c r="AP319" s="23">
        <v>38.949649000000001</v>
      </c>
      <c r="AQ319" s="23">
        <v>-77.080878999999996</v>
      </c>
      <c r="AR319" s="23">
        <f>COUNTIF(Data!$P$2:$P$825,Data!$P319)</f>
        <v>66</v>
      </c>
      <c r="AS319" s="23" cm="1">
        <f t="array" ref="AS319">_xlfn.IFS(Data!$E319&lt;12,((Data!$E319/Data!$D319)*60)*1,AND(Data!$E319&gt;=12,Data!$E319&lt;=15),((Data!$E319/Data!$D319)*60)*1.2,AND(Data!$E319&gt;=16,Data!$E319&lt;=19),((Data!$E319/Data!$D319)*60)*1.5,Data!$E319&gt;=20,((Data!$E319/Data!$D319)*60)*1.8)</f>
        <v>26.18181818181818</v>
      </c>
      <c r="AT319" s="23" cm="1">
        <f t="array" ref="AT319">_xlfn.IFS(Data!$F319&lt;600,((Data!$F319/Data!$D319)*60)*1,AND(Data!$F319&gt;=600,Data!$F319&lt;=625),((Data!$F319/Data!$D319)*60)*1.2,AND(Data!$F319&gt;=626,Data!$F319&lt;=650),((Data!$F319/Data!$D319)*60)*1.5,Data!$F319&gt;=651,((Data!$F319/Data!$D319)*60)*1.8)</f>
        <v>1062</v>
      </c>
      <c r="AU319" s="23">
        <f>(Data!$I319*-1.2)+(Data!$J319*-1.1)+(Data!$K319*1.2)+(Data!$L319*1.3)+(Data!$M319*1.5)</f>
        <v>14.599999999999998</v>
      </c>
      <c r="AV319" s="23">
        <f>(Data!$AS319*0.4)+(Data!$AT319*0.4)+(Data!$AU319*0.2)</f>
        <v>438.19272727272732</v>
      </c>
      <c r="AW319" s="23">
        <f>PERCENTRANK(AV:AV,Data!$AV319)*100</f>
        <v>65.100000000000009</v>
      </c>
      <c r="AX319" s="23" t="str">
        <f>_xlfn.CONCAT(TEXT(C319,"mmm"),"-",Data!$AE319)</f>
        <v>Jun-2022</v>
      </c>
    </row>
    <row r="320" spans="1:50" ht="17" thickTop="1" thickBot="1" x14ac:dyDescent="0.25">
      <c r="A320" s="28">
        <v>319</v>
      </c>
      <c r="B320" s="29">
        <f t="shared" si="34"/>
        <v>14</v>
      </c>
      <c r="C320" s="41">
        <v>44735</v>
      </c>
      <c r="D320" s="30">
        <f>SUM(Data!$I320:$M320)</f>
        <v>56</v>
      </c>
      <c r="E320" s="29">
        <v>11</v>
      </c>
      <c r="F320" s="29">
        <v>629</v>
      </c>
      <c r="G320" s="29">
        <v>160</v>
      </c>
      <c r="H320" s="29">
        <v>127</v>
      </c>
      <c r="I320" s="29">
        <v>9</v>
      </c>
      <c r="J320" s="29">
        <v>15</v>
      </c>
      <c r="K320" s="29">
        <v>21</v>
      </c>
      <c r="L320" s="29">
        <v>11</v>
      </c>
      <c r="M320" s="29">
        <v>0</v>
      </c>
      <c r="N320" s="29" t="s">
        <v>91</v>
      </c>
      <c r="O320" s="29" t="s">
        <v>57</v>
      </c>
      <c r="P320" s="29" t="s">
        <v>98</v>
      </c>
      <c r="Q320" s="29">
        <f t="shared" si="40"/>
        <v>2</v>
      </c>
      <c r="R320" s="29" t="str">
        <f t="shared" si="35"/>
        <v>6-2022</v>
      </c>
      <c r="S320" s="29" t="s">
        <v>117</v>
      </c>
      <c r="T320" s="29" t="str">
        <f t="shared" si="36"/>
        <v>Thursday</v>
      </c>
      <c r="U320" s="29">
        <f t="shared" si="37"/>
        <v>0</v>
      </c>
      <c r="V320" s="31">
        <f>IFERROR(Data!$I320/Data!$D320,"")</f>
        <v>0.16071428571428573</v>
      </c>
      <c r="W320" s="31">
        <f>IFERROR(Data!$J320/Data!$D320,"")</f>
        <v>0.26785714285714285</v>
      </c>
      <c r="X320" s="31">
        <f>IFERROR(Data!$K320/Data!$D320,"")</f>
        <v>0.375</v>
      </c>
      <c r="Y320" s="31">
        <f>IFERROR(Data!$L320/Data!$D320,"")</f>
        <v>0.19642857142857142</v>
      </c>
      <c r="Z320" s="31">
        <f>IFERROR(Data!$M320/Data!$D320,"")</f>
        <v>0</v>
      </c>
      <c r="AA320" s="32">
        <v>232.14</v>
      </c>
      <c r="AB320" s="32">
        <f t="shared" si="41"/>
        <v>16.581428571428571</v>
      </c>
      <c r="AC320" s="29">
        <f t="shared" si="38"/>
        <v>629.64285714285711</v>
      </c>
      <c r="AD320" s="29">
        <f t="shared" si="39"/>
        <v>14</v>
      </c>
      <c r="AE320" s="29">
        <f>YEAR(Data!$C320)</f>
        <v>2022</v>
      </c>
      <c r="AF320" s="29"/>
      <c r="AG320" s="29">
        <v>12</v>
      </c>
      <c r="AH320" s="33">
        <f>Data!$F320/Data!$D320</f>
        <v>11.232142857142858</v>
      </c>
      <c r="AI320" s="17" t="str">
        <f>RIGHT(Data!$O320,2)</f>
        <v>PM</v>
      </c>
      <c r="AJ320" s="29" t="str">
        <f>Data!$R320&amp;"-"&amp;WEEKNUM(Data!$C320,1)-WEEKNUM(DATE(YEAR(Data!$C320),MONTH(Data!$C320),1),1)+1</f>
        <v>6-2022-4</v>
      </c>
      <c r="AK320" s="29">
        <f>MONTH(Data!$C320)</f>
        <v>6</v>
      </c>
      <c r="AL320" s="29">
        <f>IFERROR(Data!$F320/Data!$E320,0)</f>
        <v>57.18181818181818</v>
      </c>
      <c r="AM320" s="29">
        <f>COUNTIF(Data!$N$2:$N$825,Data!$N320)</f>
        <v>218</v>
      </c>
      <c r="AN320" s="29" t="str">
        <f>VLOOKUP(Data!$N320,'Helpful Tables'!A:D,4,FALSE)</f>
        <v>Washington, DC</v>
      </c>
      <c r="AO320" s="29">
        <f>COUNTIF(AN:AN,Data!$AN320)/COUNTA(AN:AN)</f>
        <v>0.62424242424242427</v>
      </c>
      <c r="AP320" s="29">
        <v>38.934710000000003</v>
      </c>
      <c r="AQ320" s="29">
        <v>-77.058222999999998</v>
      </c>
      <c r="AR320" s="29">
        <f>COUNTIF(Data!$P$2:$P$825,Data!$P320)</f>
        <v>28</v>
      </c>
      <c r="AS320" s="29" cm="1">
        <f t="array" ref="AS320">_xlfn.IFS(Data!$E320&lt;12,((Data!$E320/Data!$D320)*60)*1,AND(Data!$E320&gt;=12,Data!$E320&lt;=15),((Data!$E320/Data!$D320)*60)*1.2,AND(Data!$E320&gt;=16,Data!$E320&lt;=19),((Data!$E320/Data!$D320)*60)*1.5,Data!$E320&gt;=20,((Data!$E320/Data!$D320)*60)*1.8)</f>
        <v>11.785714285714285</v>
      </c>
      <c r="AT320" s="29" cm="1">
        <f t="array" ref="AT320">_xlfn.IFS(Data!$F320&lt;600,((Data!$F320/Data!$D320)*60)*1,AND(Data!$F320&gt;=600,Data!$F320&lt;=625),((Data!$F320/Data!$D320)*60)*1.2,AND(Data!$F320&gt;=626,Data!$F320&lt;=650),((Data!$F320/Data!$D320)*60)*1.5,Data!$F320&gt;=651,((Data!$F320/Data!$D320)*60)*1.8)</f>
        <v>1010.8928571428571</v>
      </c>
      <c r="AU320" s="29">
        <f>(Data!$I320*-1.2)+(Data!$J320*-1.1)+(Data!$K320*1.2)+(Data!$L320*1.3)+(Data!$M320*1.5)</f>
        <v>12.200000000000003</v>
      </c>
      <c r="AV320" s="29">
        <f>(Data!$AS320*0.4)+(Data!$AT320*0.4)+(Data!$AU320*0.2)</f>
        <v>411.51142857142861</v>
      </c>
      <c r="AW320" s="29">
        <f>PERCENTRANK(AV:AV,Data!$AV320)*100</f>
        <v>57.9</v>
      </c>
      <c r="AX320" s="29" t="str">
        <f>_xlfn.CONCAT(TEXT(C320,"mmm"),"-",Data!$AE320)</f>
        <v>Jun-2022</v>
      </c>
    </row>
    <row r="321" spans="1:50" ht="17" thickTop="1" thickBot="1" x14ac:dyDescent="0.25">
      <c r="A321" s="22">
        <v>320</v>
      </c>
      <c r="B321" s="23">
        <f t="shared" si="34"/>
        <v>14</v>
      </c>
      <c r="C321" s="41">
        <v>44739</v>
      </c>
      <c r="D321" s="24">
        <f>SUM(Data!$I321:$M321)</f>
        <v>58</v>
      </c>
      <c r="E321" s="23">
        <v>16</v>
      </c>
      <c r="F321" s="23">
        <v>649</v>
      </c>
      <c r="G321" s="23">
        <v>167</v>
      </c>
      <c r="H321" s="23">
        <v>127</v>
      </c>
      <c r="I321" s="23">
        <v>14</v>
      </c>
      <c r="J321" s="23">
        <v>15</v>
      </c>
      <c r="K321" s="23">
        <v>13</v>
      </c>
      <c r="L321" s="23">
        <v>14</v>
      </c>
      <c r="M321" s="23">
        <v>2</v>
      </c>
      <c r="N321" s="23" t="s">
        <v>101</v>
      </c>
      <c r="O321" s="23" t="s">
        <v>39</v>
      </c>
      <c r="P321" s="23" t="s">
        <v>109</v>
      </c>
      <c r="Q321" s="23">
        <f t="shared" si="40"/>
        <v>4</v>
      </c>
      <c r="R321" s="23" t="str">
        <f t="shared" si="35"/>
        <v>6-2022</v>
      </c>
      <c r="S321" s="23" t="s">
        <v>104</v>
      </c>
      <c r="T321" s="23" t="str">
        <f t="shared" si="36"/>
        <v>Monday</v>
      </c>
      <c r="U321" s="23">
        <f t="shared" si="37"/>
        <v>1</v>
      </c>
      <c r="V321" s="25">
        <f>IFERROR(Data!$I321/Data!$D321,"")</f>
        <v>0.2413793103448276</v>
      </c>
      <c r="W321" s="25">
        <f>IFERROR(Data!$J321/Data!$D321,"")</f>
        <v>0.25862068965517243</v>
      </c>
      <c r="X321" s="25">
        <f>IFERROR(Data!$K321/Data!$D321,"")</f>
        <v>0.22413793103448276</v>
      </c>
      <c r="Y321" s="25">
        <f>IFERROR(Data!$L321/Data!$D321,"")</f>
        <v>0.2413793103448276</v>
      </c>
      <c r="Z321" s="25">
        <f>IFERROR(Data!$M321/Data!$D321,"")</f>
        <v>3.4482758620689655E-2</v>
      </c>
      <c r="AA321" s="26">
        <v>232.14</v>
      </c>
      <c r="AB321" s="26">
        <f t="shared" si="41"/>
        <v>16.581428571428571</v>
      </c>
      <c r="AC321" s="23">
        <f t="shared" si="38"/>
        <v>629.64285714285711</v>
      </c>
      <c r="AD321" s="23">
        <f t="shared" si="39"/>
        <v>14</v>
      </c>
      <c r="AE321" s="23">
        <f>YEAR(Data!$C321)</f>
        <v>2022</v>
      </c>
      <c r="AF321" s="23"/>
      <c r="AG321" s="23">
        <v>12</v>
      </c>
      <c r="AH321" s="27">
        <f>Data!$F321/Data!$D321</f>
        <v>11.189655172413794</v>
      </c>
      <c r="AI321" s="17" t="str">
        <f>RIGHT(Data!$O321,2)</f>
        <v>PM</v>
      </c>
      <c r="AJ321" s="23" t="str">
        <f>Data!$R321&amp;"-"&amp;WEEKNUM(Data!$C321,1)-WEEKNUM(DATE(YEAR(Data!$C321),MONTH(Data!$C321),1),1)+1</f>
        <v>6-2022-5</v>
      </c>
      <c r="AK321" s="23">
        <f>MONTH(Data!$C321)</f>
        <v>6</v>
      </c>
      <c r="AL321" s="23">
        <f>IFERROR(Data!$F321/Data!$E321,0)</f>
        <v>40.5625</v>
      </c>
      <c r="AM321" s="23">
        <f>COUNTIF(Data!$N$2:$N$825,Data!$N321)</f>
        <v>191</v>
      </c>
      <c r="AN321" s="23" t="str">
        <f>VLOOKUP(Data!$N321,'Helpful Tables'!A:D,4,FALSE)</f>
        <v>Washington, DC</v>
      </c>
      <c r="AO321" s="23">
        <f>COUNTIF(AN:AN,Data!$AN321)/COUNTA(AN:AN)</f>
        <v>0.62424242424242427</v>
      </c>
      <c r="AP321" s="23">
        <v>38.949649000000001</v>
      </c>
      <c r="AQ321" s="23">
        <v>-77.080878999999996</v>
      </c>
      <c r="AR321" s="23">
        <f>COUNTIF(Data!$P$2:$P$825,Data!$P321)</f>
        <v>66</v>
      </c>
      <c r="AS321" s="23" cm="1">
        <f t="array" ref="AS321">_xlfn.IFS(Data!$E321&lt;12,((Data!$E321/Data!$D321)*60)*1,AND(Data!$E321&gt;=12,Data!$E321&lt;=15),((Data!$E321/Data!$D321)*60)*1.2,AND(Data!$E321&gt;=16,Data!$E321&lt;=19),((Data!$E321/Data!$D321)*60)*1.5,Data!$E321&gt;=20,((Data!$E321/Data!$D321)*60)*1.8)</f>
        <v>24.827586206896555</v>
      </c>
      <c r="AT321" s="23" cm="1">
        <f t="array" ref="AT321">_xlfn.IFS(Data!$F321&lt;600,((Data!$F321/Data!$D321)*60)*1,AND(Data!$F321&gt;=600,Data!$F321&lt;=625),((Data!$F321/Data!$D321)*60)*1.2,AND(Data!$F321&gt;=626,Data!$F321&lt;=650),((Data!$F321/Data!$D321)*60)*1.5,Data!$F321&gt;=651,((Data!$F321/Data!$D321)*60)*1.8)</f>
        <v>1007.0689655172415</v>
      </c>
      <c r="AU321" s="23">
        <f>(Data!$I321*-1.2)+(Data!$J321*-1.1)+(Data!$K321*1.2)+(Data!$L321*1.3)+(Data!$M321*1.5)</f>
        <v>3.5000000000000036</v>
      </c>
      <c r="AV321" s="23">
        <f>(Data!$AS321*0.4)+(Data!$AT321*0.4)+(Data!$AU321*0.2)</f>
        <v>413.45862068965522</v>
      </c>
      <c r="AW321" s="23">
        <f>PERCENTRANK(AV:AV,Data!$AV321)*100</f>
        <v>58.9</v>
      </c>
      <c r="AX321" s="23" t="str">
        <f>_xlfn.CONCAT(TEXT(C321,"mmm"),"-",Data!$AE321)</f>
        <v>Jun-2022</v>
      </c>
    </row>
    <row r="322" spans="1:50" ht="17" thickTop="1" thickBot="1" x14ac:dyDescent="0.25">
      <c r="A322" s="28">
        <v>321</v>
      </c>
      <c r="B322" s="29">
        <f t="shared" ref="B322:B385" si="42">COUNTIF(R:R,R322)</f>
        <v>14</v>
      </c>
      <c r="C322" s="41">
        <v>44740</v>
      </c>
      <c r="D322" s="30">
        <f>SUM(Data!$I322:$M322)</f>
        <v>61</v>
      </c>
      <c r="E322" s="29">
        <v>15</v>
      </c>
      <c r="F322" s="29">
        <v>676</v>
      </c>
      <c r="G322" s="29">
        <v>167</v>
      </c>
      <c r="H322" s="29">
        <v>127</v>
      </c>
      <c r="I322" s="29">
        <v>12</v>
      </c>
      <c r="J322" s="29">
        <v>16</v>
      </c>
      <c r="K322" s="29">
        <v>18</v>
      </c>
      <c r="L322" s="29">
        <v>14</v>
      </c>
      <c r="M322" s="29">
        <v>1</v>
      </c>
      <c r="N322" s="29" t="s">
        <v>91</v>
      </c>
      <c r="O322" s="29" t="s">
        <v>57</v>
      </c>
      <c r="P322" s="29" t="s">
        <v>96</v>
      </c>
      <c r="Q322" s="29">
        <f t="shared" si="40"/>
        <v>1</v>
      </c>
      <c r="R322" s="29" t="str">
        <f t="shared" ref="R322:R385" si="43">MONTH(C322)&amp;"-"&amp;YEAR(C322)</f>
        <v>6-2022</v>
      </c>
      <c r="S322" s="29" t="s">
        <v>117</v>
      </c>
      <c r="T322" s="29" t="str">
        <f t="shared" ref="T322:T385" si="44">IF(WEEKDAY(C322)=1,"Sunday",IF(WEEKDAY(C322)=2,"Monday",IF(WEEKDAY(C322)=3,"Tuesday",IF(WEEKDAY(C322)=4,"Wednesday",IF(WEEKDAY(C322)=5,"Thursday",IF(WEEKDAY(C322)=6,"Friday","Saturday"))))))</f>
        <v>Tuesday</v>
      </c>
      <c r="U322" s="29">
        <f t="shared" ref="U322:U385" si="45">IF(E322&gt;=12,1,0)</f>
        <v>1</v>
      </c>
      <c r="V322" s="31">
        <f>IFERROR(Data!$I322/Data!$D322,"")</f>
        <v>0.19672131147540983</v>
      </c>
      <c r="W322" s="31">
        <f>IFERROR(Data!$J322/Data!$D322,"")</f>
        <v>0.26229508196721313</v>
      </c>
      <c r="X322" s="31">
        <f>IFERROR(Data!$K322/Data!$D322,"")</f>
        <v>0.29508196721311475</v>
      </c>
      <c r="Y322" s="31">
        <f>IFERROR(Data!$L322/Data!$D322,"")</f>
        <v>0.22950819672131148</v>
      </c>
      <c r="Z322" s="31">
        <f>IFERROR(Data!$M322/Data!$D322,"")</f>
        <v>1.6393442622950821E-2</v>
      </c>
      <c r="AA322" s="32">
        <v>232.14</v>
      </c>
      <c r="AB322" s="32">
        <f t="shared" si="41"/>
        <v>16.581428571428571</v>
      </c>
      <c r="AC322" s="29">
        <f t="shared" ref="AC322:AC385" si="46">AVERAGEIF(R:R,R322,F:F)</f>
        <v>629.64285714285711</v>
      </c>
      <c r="AD322" s="29">
        <f t="shared" ref="AD322:AD385" si="47">AVERAGEIF(R:R,R322,E:E)</f>
        <v>14</v>
      </c>
      <c r="AE322" s="29">
        <f>YEAR(Data!$C322)</f>
        <v>2022</v>
      </c>
      <c r="AF322" s="29"/>
      <c r="AG322" s="29">
        <v>12</v>
      </c>
      <c r="AH322" s="33">
        <f>Data!$F322/Data!$D322</f>
        <v>11.081967213114755</v>
      </c>
      <c r="AI322" s="17" t="str">
        <f>RIGHT(Data!$O322,2)</f>
        <v>PM</v>
      </c>
      <c r="AJ322" s="29" t="str">
        <f>Data!$R322&amp;"-"&amp;WEEKNUM(Data!$C322,1)-WEEKNUM(DATE(YEAR(Data!$C322),MONTH(Data!$C322),1),1)+1</f>
        <v>6-2022-5</v>
      </c>
      <c r="AK322" s="29">
        <f>MONTH(Data!$C322)</f>
        <v>6</v>
      </c>
      <c r="AL322" s="29">
        <f>IFERROR(Data!$F322/Data!$E322,0)</f>
        <v>45.06666666666667</v>
      </c>
      <c r="AM322" s="29">
        <f>COUNTIF(Data!$N$2:$N$825,Data!$N322)</f>
        <v>218</v>
      </c>
      <c r="AN322" s="29" t="str">
        <f>VLOOKUP(Data!$N322,'Helpful Tables'!A:D,4,FALSE)</f>
        <v>Washington, DC</v>
      </c>
      <c r="AO322" s="29">
        <f>COUNTIF(AN:AN,Data!$AN322)/COUNTA(AN:AN)</f>
        <v>0.62424242424242427</v>
      </c>
      <c r="AP322" s="29">
        <v>38.934710000000003</v>
      </c>
      <c r="AQ322" s="29">
        <v>-77.058222999999998</v>
      </c>
      <c r="AR322" s="29">
        <f>COUNTIF(Data!$P$2:$P$825,Data!$P322)</f>
        <v>71</v>
      </c>
      <c r="AS322" s="29" cm="1">
        <f t="array" ref="AS322">_xlfn.IFS(Data!$E322&lt;12,((Data!$E322/Data!$D322)*60)*1,AND(Data!$E322&gt;=12,Data!$E322&lt;=15),((Data!$E322/Data!$D322)*60)*1.2,AND(Data!$E322&gt;=16,Data!$E322&lt;=19),((Data!$E322/Data!$D322)*60)*1.5,Data!$E322&gt;=20,((Data!$E322/Data!$D322)*60)*1.8)</f>
        <v>17.704918032786885</v>
      </c>
      <c r="AT322" s="29" cm="1">
        <f t="array" ref="AT322">_xlfn.IFS(Data!$F322&lt;600,((Data!$F322/Data!$D322)*60)*1,AND(Data!$F322&gt;=600,Data!$F322&lt;=625),((Data!$F322/Data!$D322)*60)*1.2,AND(Data!$F322&gt;=626,Data!$F322&lt;=650),((Data!$F322/Data!$D322)*60)*1.5,Data!$F322&gt;=651,((Data!$F322/Data!$D322)*60)*1.8)</f>
        <v>1196.8524590163936</v>
      </c>
      <c r="AU322" s="29">
        <f>(Data!$I322*-1.2)+(Data!$J322*-1.1)+(Data!$K322*1.2)+(Data!$L322*1.3)+(Data!$M322*1.5)</f>
        <v>9.2999999999999972</v>
      </c>
      <c r="AV322" s="29">
        <f>(Data!$AS322*0.4)+(Data!$AT322*0.4)+(Data!$AU322*0.2)</f>
        <v>487.68295081967221</v>
      </c>
      <c r="AW322" s="29">
        <f>PERCENTRANK(AV:AV,Data!$AV322)*100</f>
        <v>71.5</v>
      </c>
      <c r="AX322" s="29" t="str">
        <f>_xlfn.CONCAT(TEXT(C322,"mmm"),"-",Data!$AE322)</f>
        <v>Jun-2022</v>
      </c>
    </row>
    <row r="323" spans="1:50" ht="17" thickTop="1" thickBot="1" x14ac:dyDescent="0.25">
      <c r="A323" s="22">
        <v>322</v>
      </c>
      <c r="B323" s="23">
        <f t="shared" si="42"/>
        <v>14</v>
      </c>
      <c r="C323" s="41">
        <v>44742</v>
      </c>
      <c r="D323" s="24">
        <f>SUM(Data!$I323:$M323)</f>
        <v>59</v>
      </c>
      <c r="E323" s="23">
        <v>17</v>
      </c>
      <c r="F323" s="23">
        <v>631</v>
      </c>
      <c r="G323" s="23">
        <v>171</v>
      </c>
      <c r="H323" s="23">
        <v>125</v>
      </c>
      <c r="I323" s="23">
        <v>18</v>
      </c>
      <c r="J323" s="23">
        <v>13</v>
      </c>
      <c r="K323" s="23">
        <v>11</v>
      </c>
      <c r="L323" s="23">
        <v>13</v>
      </c>
      <c r="M323" s="23">
        <v>4</v>
      </c>
      <c r="N323" s="23" t="s">
        <v>101</v>
      </c>
      <c r="O323" s="23" t="s">
        <v>39</v>
      </c>
      <c r="P323" s="23" t="s">
        <v>109</v>
      </c>
      <c r="Q323" s="23">
        <f t="shared" ref="Q323:Q386" si="48">C323-C322</f>
        <v>2</v>
      </c>
      <c r="R323" s="23" t="str">
        <f t="shared" si="43"/>
        <v>6-2022</v>
      </c>
      <c r="S323" s="23" t="s">
        <v>104</v>
      </c>
      <c r="T323" s="23" t="str">
        <f t="shared" si="44"/>
        <v>Thursday</v>
      </c>
      <c r="U323" s="23">
        <f t="shared" si="45"/>
        <v>1</v>
      </c>
      <c r="V323" s="25">
        <f>IFERROR(Data!$I323/Data!$D323,"")</f>
        <v>0.30508474576271188</v>
      </c>
      <c r="W323" s="25">
        <f>IFERROR(Data!$J323/Data!$D323,"")</f>
        <v>0.22033898305084745</v>
      </c>
      <c r="X323" s="25">
        <f>IFERROR(Data!$K323/Data!$D323,"")</f>
        <v>0.1864406779661017</v>
      </c>
      <c r="Y323" s="25">
        <f>IFERROR(Data!$L323/Data!$D323,"")</f>
        <v>0.22033898305084745</v>
      </c>
      <c r="Z323" s="25">
        <f>IFERROR(Data!$M323/Data!$D323,"")</f>
        <v>6.7796610169491525E-2</v>
      </c>
      <c r="AA323" s="26">
        <v>232.14</v>
      </c>
      <c r="AB323" s="26">
        <f t="shared" si="41"/>
        <v>16.581428571428571</v>
      </c>
      <c r="AC323" s="23">
        <f t="shared" si="46"/>
        <v>629.64285714285711</v>
      </c>
      <c r="AD323" s="23">
        <f t="shared" si="47"/>
        <v>14</v>
      </c>
      <c r="AE323" s="23">
        <f>YEAR(Data!$C323)</f>
        <v>2022</v>
      </c>
      <c r="AF323" s="23"/>
      <c r="AG323" s="23">
        <v>12</v>
      </c>
      <c r="AH323" s="27">
        <f>Data!$F323/Data!$D323</f>
        <v>10.694915254237289</v>
      </c>
      <c r="AI323" s="17" t="str">
        <f>RIGHT(Data!$O323,2)</f>
        <v>PM</v>
      </c>
      <c r="AJ323" s="23" t="str">
        <f>Data!$R323&amp;"-"&amp;WEEKNUM(Data!$C323,1)-WEEKNUM(DATE(YEAR(Data!$C323),MONTH(Data!$C323),1),1)+1</f>
        <v>6-2022-5</v>
      </c>
      <c r="AK323" s="23">
        <f>MONTH(Data!$C323)</f>
        <v>6</v>
      </c>
      <c r="AL323" s="23">
        <f>IFERROR(Data!$F323/Data!$E323,0)</f>
        <v>37.117647058823529</v>
      </c>
      <c r="AM323" s="23">
        <f>COUNTIF(Data!$N$2:$N$825,Data!$N323)</f>
        <v>191</v>
      </c>
      <c r="AN323" s="23" t="str">
        <f>VLOOKUP(Data!$N323,'Helpful Tables'!A:D,4,FALSE)</f>
        <v>Washington, DC</v>
      </c>
      <c r="AO323" s="23">
        <f>COUNTIF(AN:AN,Data!$AN323)/COUNTA(AN:AN)</f>
        <v>0.62424242424242427</v>
      </c>
      <c r="AP323" s="23">
        <v>38.949649000000001</v>
      </c>
      <c r="AQ323" s="23">
        <v>-77.080878999999996</v>
      </c>
      <c r="AR323" s="23">
        <f>COUNTIF(Data!$P$2:$P$825,Data!$P323)</f>
        <v>66</v>
      </c>
      <c r="AS323" s="23" cm="1">
        <f t="array" ref="AS323">_xlfn.IFS(Data!$E323&lt;12,((Data!$E323/Data!$D323)*60)*1,AND(Data!$E323&gt;=12,Data!$E323&lt;=15),((Data!$E323/Data!$D323)*60)*1.2,AND(Data!$E323&gt;=16,Data!$E323&lt;=19),((Data!$E323/Data!$D323)*60)*1.5,Data!$E323&gt;=20,((Data!$E323/Data!$D323)*60)*1.8)</f>
        <v>25.932203389830509</v>
      </c>
      <c r="AT323" s="23" cm="1">
        <f t="array" ref="AT323">_xlfn.IFS(Data!$F323&lt;600,((Data!$F323/Data!$D323)*60)*1,AND(Data!$F323&gt;=600,Data!$F323&lt;=625),((Data!$F323/Data!$D323)*60)*1.2,AND(Data!$F323&gt;=626,Data!$F323&lt;=650),((Data!$F323/Data!$D323)*60)*1.5,Data!$F323&gt;=651,((Data!$F323/Data!$D323)*60)*1.8)</f>
        <v>962.54237288135596</v>
      </c>
      <c r="AU323" s="23">
        <f>(Data!$I323*-1.2)+(Data!$J323*-1.1)+(Data!$K323*1.2)+(Data!$L323*1.3)+(Data!$M323*1.5)</f>
        <v>0.20000000000000284</v>
      </c>
      <c r="AV323" s="23">
        <f>(Data!$AS323*0.4)+(Data!$AT323*0.4)+(Data!$AU323*0.2)</f>
        <v>395.42983050847459</v>
      </c>
      <c r="AW323" s="23">
        <f>PERCENTRANK(AV:AV,Data!$AV323)*100</f>
        <v>49.7</v>
      </c>
      <c r="AX323" s="23" t="str">
        <f>_xlfn.CONCAT(TEXT(C323,"mmm"),"-",Data!$AE323)</f>
        <v>Jun-2022</v>
      </c>
    </row>
    <row r="324" spans="1:50" ht="17" thickTop="1" thickBot="1" x14ac:dyDescent="0.25">
      <c r="A324" s="28">
        <v>323</v>
      </c>
      <c r="B324" s="29">
        <f t="shared" si="42"/>
        <v>18</v>
      </c>
      <c r="C324" s="41">
        <v>44743</v>
      </c>
      <c r="D324" s="30">
        <f>SUM(Data!$I324:$M324)</f>
        <v>57</v>
      </c>
      <c r="E324" s="29">
        <v>13</v>
      </c>
      <c r="F324" s="29">
        <v>618</v>
      </c>
      <c r="G324" s="29">
        <v>164</v>
      </c>
      <c r="H324" s="29">
        <v>127</v>
      </c>
      <c r="I324" s="29">
        <v>10</v>
      </c>
      <c r="J324" s="29">
        <v>19</v>
      </c>
      <c r="K324" s="29">
        <v>15</v>
      </c>
      <c r="L324" s="29">
        <v>13</v>
      </c>
      <c r="M324" s="29">
        <v>0</v>
      </c>
      <c r="N324" s="29" t="s">
        <v>91</v>
      </c>
      <c r="O324" s="29" t="s">
        <v>89</v>
      </c>
      <c r="P324" s="29" t="s">
        <v>97</v>
      </c>
      <c r="Q324" s="29">
        <f t="shared" si="48"/>
        <v>1</v>
      </c>
      <c r="R324" s="29" t="str">
        <f t="shared" si="43"/>
        <v>7-2022</v>
      </c>
      <c r="S324" s="29" t="s">
        <v>104</v>
      </c>
      <c r="T324" s="29" t="str">
        <f t="shared" si="44"/>
        <v>Friday</v>
      </c>
      <c r="U324" s="29">
        <f t="shared" si="45"/>
        <v>1</v>
      </c>
      <c r="V324" s="31">
        <f>IFERROR(Data!$I324/Data!$D324,"")</f>
        <v>0.17543859649122806</v>
      </c>
      <c r="W324" s="31">
        <f>IFERROR(Data!$J324/Data!$D324,"")</f>
        <v>0.33333333333333331</v>
      </c>
      <c r="X324" s="31">
        <f>IFERROR(Data!$K324/Data!$D324,"")</f>
        <v>0.26315789473684209</v>
      </c>
      <c r="Y324" s="31">
        <f>IFERROR(Data!$L324/Data!$D324,"")</f>
        <v>0.22807017543859648</v>
      </c>
      <c r="Z324" s="31">
        <f>IFERROR(Data!$M324/Data!$D324,"")</f>
        <v>0</v>
      </c>
      <c r="AA324" s="32">
        <v>232.14</v>
      </c>
      <c r="AB324" s="32">
        <f t="shared" si="41"/>
        <v>12.896666666666667</v>
      </c>
      <c r="AC324" s="29">
        <f t="shared" si="46"/>
        <v>616.38888888888891</v>
      </c>
      <c r="AD324" s="29">
        <f t="shared" si="47"/>
        <v>13.444444444444445</v>
      </c>
      <c r="AE324" s="29">
        <f>YEAR(Data!$C324)</f>
        <v>2022</v>
      </c>
      <c r="AF324" s="29"/>
      <c r="AG324" s="29">
        <v>12</v>
      </c>
      <c r="AH324" s="33">
        <f>Data!$F324/Data!$D324</f>
        <v>10.842105263157896</v>
      </c>
      <c r="AI324" s="17" t="str">
        <f>RIGHT(Data!$O324,2)</f>
        <v>AM</v>
      </c>
      <c r="AJ324" s="29" t="str">
        <f>Data!$R324&amp;"-"&amp;WEEKNUM(Data!$C324,1)-WEEKNUM(DATE(YEAR(Data!$C324),MONTH(Data!$C324),1),1)+1</f>
        <v>7-2022-1</v>
      </c>
      <c r="AK324" s="29">
        <f>MONTH(Data!$C324)</f>
        <v>7</v>
      </c>
      <c r="AL324" s="29">
        <f>IFERROR(Data!$F324/Data!$E324,0)</f>
        <v>47.53846153846154</v>
      </c>
      <c r="AM324" s="29">
        <f>COUNTIF(Data!$N$2:$N$825,Data!$N324)</f>
        <v>218</v>
      </c>
      <c r="AN324" s="29" t="str">
        <f>VLOOKUP(Data!$N324,'Helpful Tables'!A:D,4,FALSE)</f>
        <v>Washington, DC</v>
      </c>
      <c r="AO324" s="29">
        <f>COUNTIF(AN:AN,Data!$AN324)/COUNTA(AN:AN)</f>
        <v>0.62424242424242427</v>
      </c>
      <c r="AP324" s="29">
        <v>38.934710000000003</v>
      </c>
      <c r="AQ324" s="29">
        <v>-77.058222999999998</v>
      </c>
      <c r="AR324" s="29">
        <f>COUNTIF(Data!$P$2:$P$825,Data!$P324)</f>
        <v>14</v>
      </c>
      <c r="AS324" s="29" cm="1">
        <f t="array" ref="AS324">_xlfn.IFS(Data!$E324&lt;12,((Data!$E324/Data!$D324)*60)*1,AND(Data!$E324&gt;=12,Data!$E324&lt;=15),((Data!$E324/Data!$D324)*60)*1.2,AND(Data!$E324&gt;=16,Data!$E324&lt;=19),((Data!$E324/Data!$D324)*60)*1.5,Data!$E324&gt;=20,((Data!$E324/Data!$D324)*60)*1.8)</f>
        <v>16.421052631578945</v>
      </c>
      <c r="AT324" s="29" cm="1">
        <f t="array" ref="AT324">_xlfn.IFS(Data!$F324&lt;600,((Data!$F324/Data!$D324)*60)*1,AND(Data!$F324&gt;=600,Data!$F324&lt;=625),((Data!$F324/Data!$D324)*60)*1.2,AND(Data!$F324&gt;=626,Data!$F324&lt;=650),((Data!$F324/Data!$D324)*60)*1.5,Data!$F324&gt;=651,((Data!$F324/Data!$D324)*60)*1.8)</f>
        <v>780.63157894736844</v>
      </c>
      <c r="AU324" s="29">
        <f>(Data!$I324*-1.2)+(Data!$J324*-1.1)+(Data!$K324*1.2)+(Data!$L324*1.3)+(Data!$M324*1.5)</f>
        <v>1.9999999999999964</v>
      </c>
      <c r="AV324" s="29">
        <f>(Data!$AS324*0.4)+(Data!$AT324*0.4)+(Data!$AU324*0.2)</f>
        <v>319.22105263157891</v>
      </c>
      <c r="AW324" s="29">
        <f>PERCENTRANK(AV:AV,Data!$AV324)*100</f>
        <v>36.9</v>
      </c>
      <c r="AX324" s="29" t="str">
        <f>_xlfn.CONCAT(TEXT(C324,"mmm"),"-",Data!$AE324)</f>
        <v>Jul-2022</v>
      </c>
    </row>
    <row r="325" spans="1:50" ht="17" thickTop="1" thickBot="1" x14ac:dyDescent="0.25">
      <c r="A325" s="22">
        <v>324</v>
      </c>
      <c r="B325" s="23">
        <f t="shared" si="42"/>
        <v>18</v>
      </c>
      <c r="C325" s="41">
        <v>44744</v>
      </c>
      <c r="D325" s="24">
        <f>SUM(Data!$I325:$M325)</f>
        <v>55</v>
      </c>
      <c r="E325" s="23">
        <v>16</v>
      </c>
      <c r="F325" s="23">
        <v>636</v>
      </c>
      <c r="G325" s="23">
        <v>162</v>
      </c>
      <c r="H325" s="23">
        <v>129</v>
      </c>
      <c r="I325" s="23">
        <v>8</v>
      </c>
      <c r="J325" s="23">
        <v>17</v>
      </c>
      <c r="K325" s="23">
        <v>14</v>
      </c>
      <c r="L325" s="23">
        <v>16</v>
      </c>
      <c r="M325" s="23">
        <v>0</v>
      </c>
      <c r="N325" s="23" t="s">
        <v>91</v>
      </c>
      <c r="O325" s="23" t="s">
        <v>79</v>
      </c>
      <c r="P325" s="23" t="s">
        <v>98</v>
      </c>
      <c r="Q325" s="23">
        <f t="shared" si="48"/>
        <v>1</v>
      </c>
      <c r="R325" s="23" t="str">
        <f t="shared" si="43"/>
        <v>7-2022</v>
      </c>
      <c r="S325" s="23" t="s">
        <v>104</v>
      </c>
      <c r="T325" s="23" t="str">
        <f t="shared" si="44"/>
        <v>Saturday</v>
      </c>
      <c r="U325" s="23">
        <f t="shared" si="45"/>
        <v>1</v>
      </c>
      <c r="V325" s="25">
        <f>IFERROR(Data!$I325/Data!$D325,"")</f>
        <v>0.14545454545454545</v>
      </c>
      <c r="W325" s="25">
        <f>IFERROR(Data!$J325/Data!$D325,"")</f>
        <v>0.30909090909090908</v>
      </c>
      <c r="X325" s="25">
        <f>IFERROR(Data!$K325/Data!$D325,"")</f>
        <v>0.25454545454545452</v>
      </c>
      <c r="Y325" s="25">
        <f>IFERROR(Data!$L325/Data!$D325,"")</f>
        <v>0.29090909090909089</v>
      </c>
      <c r="Z325" s="25">
        <f>IFERROR(Data!$M325/Data!$D325,"")</f>
        <v>0</v>
      </c>
      <c r="AA325" s="26">
        <v>232.14</v>
      </c>
      <c r="AB325" s="26">
        <f t="shared" si="41"/>
        <v>12.896666666666667</v>
      </c>
      <c r="AC325" s="23">
        <f t="shared" si="46"/>
        <v>616.38888888888891</v>
      </c>
      <c r="AD325" s="23">
        <f t="shared" si="47"/>
        <v>13.444444444444445</v>
      </c>
      <c r="AE325" s="23">
        <f>YEAR(Data!$C325)</f>
        <v>2022</v>
      </c>
      <c r="AF325" s="23"/>
      <c r="AG325" s="23">
        <v>12</v>
      </c>
      <c r="AH325" s="27">
        <f>Data!$F325/Data!$D325</f>
        <v>11.563636363636364</v>
      </c>
      <c r="AI325" s="17" t="str">
        <f>RIGHT(Data!$O325,2)</f>
        <v>AM</v>
      </c>
      <c r="AJ325" s="23" t="str">
        <f>Data!$R325&amp;"-"&amp;WEEKNUM(Data!$C325,1)-WEEKNUM(DATE(YEAR(Data!$C325),MONTH(Data!$C325),1),1)+1</f>
        <v>7-2022-1</v>
      </c>
      <c r="AK325" s="23">
        <f>MONTH(Data!$C325)</f>
        <v>7</v>
      </c>
      <c r="AL325" s="23">
        <f>IFERROR(Data!$F325/Data!$E325,0)</f>
        <v>39.75</v>
      </c>
      <c r="AM325" s="23">
        <f>COUNTIF(Data!$N$2:$N$825,Data!$N325)</f>
        <v>218</v>
      </c>
      <c r="AN325" s="23" t="str">
        <f>VLOOKUP(Data!$N325,'Helpful Tables'!A:D,4,FALSE)</f>
        <v>Washington, DC</v>
      </c>
      <c r="AO325" s="23">
        <f>COUNTIF(AN:AN,Data!$AN325)/COUNTA(AN:AN)</f>
        <v>0.62424242424242427</v>
      </c>
      <c r="AP325" s="23">
        <v>38.934710000000003</v>
      </c>
      <c r="AQ325" s="23">
        <v>-77.058222999999998</v>
      </c>
      <c r="AR325" s="23">
        <f>COUNTIF(Data!$P$2:$P$825,Data!$P325)</f>
        <v>28</v>
      </c>
      <c r="AS325" s="23" cm="1">
        <f t="array" ref="AS325">_xlfn.IFS(Data!$E325&lt;12,((Data!$E325/Data!$D325)*60)*1,AND(Data!$E325&gt;=12,Data!$E325&lt;=15),((Data!$E325/Data!$D325)*60)*1.2,AND(Data!$E325&gt;=16,Data!$E325&lt;=19),((Data!$E325/Data!$D325)*60)*1.5,Data!$E325&gt;=20,((Data!$E325/Data!$D325)*60)*1.8)</f>
        <v>26.18181818181818</v>
      </c>
      <c r="AT325" s="23" cm="1">
        <f t="array" ref="AT325">_xlfn.IFS(Data!$F325&lt;600,((Data!$F325/Data!$D325)*60)*1,AND(Data!$F325&gt;=600,Data!$F325&lt;=625),((Data!$F325/Data!$D325)*60)*1.2,AND(Data!$F325&gt;=626,Data!$F325&lt;=650),((Data!$F325/Data!$D325)*60)*1.5,Data!$F325&gt;=651,((Data!$F325/Data!$D325)*60)*1.8)</f>
        <v>1040.7272727272727</v>
      </c>
      <c r="AU325" s="23">
        <f>(Data!$I325*-1.2)+(Data!$J325*-1.1)+(Data!$K325*1.2)+(Data!$L325*1.3)+(Data!$M325*1.5)</f>
        <v>9.2999999999999972</v>
      </c>
      <c r="AV325" s="23">
        <f>(Data!$AS325*0.4)+(Data!$AT325*0.4)+(Data!$AU325*0.2)</f>
        <v>428.62363636363642</v>
      </c>
      <c r="AW325" s="23">
        <f>PERCENTRANK(AV:AV,Data!$AV325)*100</f>
        <v>63.9</v>
      </c>
      <c r="AX325" s="23" t="str">
        <f>_xlfn.CONCAT(TEXT(C325,"mmm"),"-",Data!$AE325)</f>
        <v>Jul-2022</v>
      </c>
    </row>
    <row r="326" spans="1:50" ht="17" thickTop="1" thickBot="1" x14ac:dyDescent="0.25">
      <c r="A326" s="28">
        <v>325</v>
      </c>
      <c r="B326" s="29">
        <f t="shared" si="42"/>
        <v>18</v>
      </c>
      <c r="C326" s="41">
        <v>44747</v>
      </c>
      <c r="D326" s="30">
        <f>SUM(Data!$I326:$M326)</f>
        <v>60</v>
      </c>
      <c r="E326" s="29">
        <v>12</v>
      </c>
      <c r="F326" s="29">
        <v>626</v>
      </c>
      <c r="G326" s="29">
        <v>165</v>
      </c>
      <c r="H326" s="29">
        <v>123</v>
      </c>
      <c r="I326" s="29">
        <v>18</v>
      </c>
      <c r="J326" s="29">
        <v>15</v>
      </c>
      <c r="K326" s="29">
        <v>15</v>
      </c>
      <c r="L326" s="29">
        <v>10</v>
      </c>
      <c r="M326" s="29">
        <v>2</v>
      </c>
      <c r="N326" s="29" t="s">
        <v>101</v>
      </c>
      <c r="O326" s="29" t="s">
        <v>39</v>
      </c>
      <c r="P326" s="29" t="s">
        <v>109</v>
      </c>
      <c r="Q326" s="29">
        <f t="shared" si="48"/>
        <v>3</v>
      </c>
      <c r="R326" s="29" t="str">
        <f t="shared" si="43"/>
        <v>7-2022</v>
      </c>
      <c r="S326" s="29" t="s">
        <v>104</v>
      </c>
      <c r="T326" s="29" t="str">
        <f t="shared" si="44"/>
        <v>Tuesday</v>
      </c>
      <c r="U326" s="29">
        <f t="shared" si="45"/>
        <v>1</v>
      </c>
      <c r="V326" s="31">
        <f>IFERROR(Data!$I326/Data!$D326,"")</f>
        <v>0.3</v>
      </c>
      <c r="W326" s="31">
        <f>IFERROR(Data!$J326/Data!$D326,"")</f>
        <v>0.25</v>
      </c>
      <c r="X326" s="31">
        <f>IFERROR(Data!$K326/Data!$D326,"")</f>
        <v>0.25</v>
      </c>
      <c r="Y326" s="31">
        <f>IFERROR(Data!$L326/Data!$D326,"")</f>
        <v>0.16666666666666666</v>
      </c>
      <c r="Z326" s="31">
        <f>IFERROR(Data!$M326/Data!$D326,"")</f>
        <v>3.3333333333333333E-2</v>
      </c>
      <c r="AA326" s="32">
        <v>232.14</v>
      </c>
      <c r="AB326" s="32">
        <f t="shared" si="41"/>
        <v>12.896666666666667</v>
      </c>
      <c r="AC326" s="29">
        <f t="shared" si="46"/>
        <v>616.38888888888891</v>
      </c>
      <c r="AD326" s="29">
        <f t="shared" si="47"/>
        <v>13.444444444444445</v>
      </c>
      <c r="AE326" s="29">
        <f>YEAR(Data!$C326)</f>
        <v>2022</v>
      </c>
      <c r="AF326" s="29"/>
      <c r="AG326" s="29">
        <v>12</v>
      </c>
      <c r="AH326" s="33">
        <f>Data!$F326/Data!$D326</f>
        <v>10.433333333333334</v>
      </c>
      <c r="AI326" s="17" t="str">
        <f>RIGHT(Data!$O326,2)</f>
        <v>PM</v>
      </c>
      <c r="AJ326" s="29" t="str">
        <f>Data!$R326&amp;"-"&amp;WEEKNUM(Data!$C326,1)-WEEKNUM(DATE(YEAR(Data!$C326),MONTH(Data!$C326),1),1)+1</f>
        <v>7-2022-2</v>
      </c>
      <c r="AK326" s="29">
        <f>MONTH(Data!$C326)</f>
        <v>7</v>
      </c>
      <c r="AL326" s="29">
        <f>IFERROR(Data!$F326/Data!$E326,0)</f>
        <v>52.166666666666664</v>
      </c>
      <c r="AM326" s="29">
        <f>COUNTIF(Data!$N$2:$N$825,Data!$N326)</f>
        <v>191</v>
      </c>
      <c r="AN326" s="29" t="str">
        <f>VLOOKUP(Data!$N326,'Helpful Tables'!A:D,4,FALSE)</f>
        <v>Washington, DC</v>
      </c>
      <c r="AO326" s="29">
        <f>COUNTIF(AN:AN,Data!$AN326)/COUNTA(AN:AN)</f>
        <v>0.62424242424242427</v>
      </c>
      <c r="AP326" s="29">
        <v>38.949649000000001</v>
      </c>
      <c r="AQ326" s="29">
        <v>-77.080878999999996</v>
      </c>
      <c r="AR326" s="29">
        <f>COUNTIF(Data!$P$2:$P$825,Data!$P326)</f>
        <v>66</v>
      </c>
      <c r="AS326" s="29" cm="1">
        <f t="array" ref="AS326">_xlfn.IFS(Data!$E326&lt;12,((Data!$E326/Data!$D326)*60)*1,AND(Data!$E326&gt;=12,Data!$E326&lt;=15),((Data!$E326/Data!$D326)*60)*1.2,AND(Data!$E326&gt;=16,Data!$E326&lt;=19),((Data!$E326/Data!$D326)*60)*1.5,Data!$E326&gt;=20,((Data!$E326/Data!$D326)*60)*1.8)</f>
        <v>14.399999999999999</v>
      </c>
      <c r="AT326" s="29" cm="1">
        <f t="array" ref="AT326">_xlfn.IFS(Data!$F326&lt;600,((Data!$F326/Data!$D326)*60)*1,AND(Data!$F326&gt;=600,Data!$F326&lt;=625),((Data!$F326/Data!$D326)*60)*1.2,AND(Data!$F326&gt;=626,Data!$F326&lt;=650),((Data!$F326/Data!$D326)*60)*1.5,Data!$F326&gt;=651,((Data!$F326/Data!$D326)*60)*1.8)</f>
        <v>939</v>
      </c>
      <c r="AU326" s="29">
        <f>(Data!$I326*-1.2)+(Data!$J326*-1.1)+(Data!$K326*1.2)+(Data!$L326*1.3)+(Data!$M326*1.5)</f>
        <v>-4.0999999999999943</v>
      </c>
      <c r="AV326" s="29">
        <f>(Data!$AS326*0.4)+(Data!$AT326*0.4)+(Data!$AU326*0.2)</f>
        <v>380.54</v>
      </c>
      <c r="AW326" s="29">
        <f>PERCENTRANK(AV:AV,Data!$AV326)*100</f>
        <v>45.4</v>
      </c>
      <c r="AX326" s="29" t="str">
        <f>_xlfn.CONCAT(TEXT(C326,"mmm"),"-",Data!$AE326)</f>
        <v>Jul-2022</v>
      </c>
    </row>
    <row r="327" spans="1:50" ht="17" thickTop="1" thickBot="1" x14ac:dyDescent="0.25">
      <c r="A327" s="22">
        <v>326</v>
      </c>
      <c r="B327" s="23">
        <f t="shared" si="42"/>
        <v>18</v>
      </c>
      <c r="C327" s="41">
        <v>44748</v>
      </c>
      <c r="D327" s="24">
        <f>SUM(Data!$I327:$M327)</f>
        <v>56</v>
      </c>
      <c r="E327" s="23">
        <v>10</v>
      </c>
      <c r="F327" s="23">
        <v>566</v>
      </c>
      <c r="G327" s="23">
        <v>165</v>
      </c>
      <c r="H327" s="23">
        <v>121</v>
      </c>
      <c r="I327" s="23">
        <v>19</v>
      </c>
      <c r="J327" s="23">
        <v>15</v>
      </c>
      <c r="K327" s="23">
        <v>12</v>
      </c>
      <c r="L327" s="23">
        <v>9</v>
      </c>
      <c r="M327" s="23">
        <v>1</v>
      </c>
      <c r="N327" s="23" t="s">
        <v>101</v>
      </c>
      <c r="O327" s="23" t="s">
        <v>39</v>
      </c>
      <c r="P327" s="23" t="s">
        <v>136</v>
      </c>
      <c r="Q327" s="23">
        <f t="shared" si="48"/>
        <v>1</v>
      </c>
      <c r="R327" s="23" t="str">
        <f t="shared" si="43"/>
        <v>7-2022</v>
      </c>
      <c r="S327" s="23" t="s">
        <v>104</v>
      </c>
      <c r="T327" s="23" t="str">
        <f t="shared" si="44"/>
        <v>Wednesday</v>
      </c>
      <c r="U327" s="23">
        <f t="shared" si="45"/>
        <v>0</v>
      </c>
      <c r="V327" s="25">
        <f>IFERROR(Data!$I327/Data!$D327,"")</f>
        <v>0.3392857142857143</v>
      </c>
      <c r="W327" s="25">
        <f>IFERROR(Data!$J327/Data!$D327,"")</f>
        <v>0.26785714285714285</v>
      </c>
      <c r="X327" s="25">
        <f>IFERROR(Data!$K327/Data!$D327,"")</f>
        <v>0.21428571428571427</v>
      </c>
      <c r="Y327" s="25">
        <f>IFERROR(Data!$L327/Data!$D327,"")</f>
        <v>0.16071428571428573</v>
      </c>
      <c r="Z327" s="25">
        <f>IFERROR(Data!$M327/Data!$D327,"")</f>
        <v>1.7857142857142856E-2</v>
      </c>
      <c r="AA327" s="26">
        <v>232.14</v>
      </c>
      <c r="AB327" s="26">
        <f t="shared" si="41"/>
        <v>12.896666666666667</v>
      </c>
      <c r="AC327" s="23">
        <f t="shared" si="46"/>
        <v>616.38888888888891</v>
      </c>
      <c r="AD327" s="23">
        <f t="shared" si="47"/>
        <v>13.444444444444445</v>
      </c>
      <c r="AE327" s="23">
        <f>YEAR(Data!$C327)</f>
        <v>2022</v>
      </c>
      <c r="AF327" s="23"/>
      <c r="AG327" s="23">
        <v>12</v>
      </c>
      <c r="AH327" s="27">
        <f>Data!$F327/Data!$D327</f>
        <v>10.107142857142858</v>
      </c>
      <c r="AI327" s="17" t="str">
        <f>RIGHT(Data!$O327,2)</f>
        <v>PM</v>
      </c>
      <c r="AJ327" s="23" t="str">
        <f>Data!$R327&amp;"-"&amp;WEEKNUM(Data!$C327,1)-WEEKNUM(DATE(YEAR(Data!$C327),MONTH(Data!$C327),1),1)+1</f>
        <v>7-2022-2</v>
      </c>
      <c r="AK327" s="23">
        <f>MONTH(Data!$C327)</f>
        <v>7</v>
      </c>
      <c r="AL327" s="23">
        <f>IFERROR(Data!$F327/Data!$E327,0)</f>
        <v>56.6</v>
      </c>
      <c r="AM327" s="23">
        <f>COUNTIF(Data!$N$2:$N$825,Data!$N327)</f>
        <v>191</v>
      </c>
      <c r="AN327" s="23" t="str">
        <f>VLOOKUP(Data!$N327,'Helpful Tables'!A:D,4,FALSE)</f>
        <v>Washington, DC</v>
      </c>
      <c r="AO327" s="23">
        <f>COUNTIF(AN:AN,Data!$AN327)/COUNTA(AN:AN)</f>
        <v>0.62424242424242427</v>
      </c>
      <c r="AP327" s="23">
        <v>38.949649000000001</v>
      </c>
      <c r="AQ327" s="23">
        <v>-77.080878999999996</v>
      </c>
      <c r="AR327" s="23">
        <f>COUNTIF(Data!$P$2:$P$825,Data!$P327)</f>
        <v>2</v>
      </c>
      <c r="AS327" s="23" cm="1">
        <f t="array" ref="AS327">_xlfn.IFS(Data!$E327&lt;12,((Data!$E327/Data!$D327)*60)*1,AND(Data!$E327&gt;=12,Data!$E327&lt;=15),((Data!$E327/Data!$D327)*60)*1.2,AND(Data!$E327&gt;=16,Data!$E327&lt;=19),((Data!$E327/Data!$D327)*60)*1.5,Data!$E327&gt;=20,((Data!$E327/Data!$D327)*60)*1.8)</f>
        <v>10.714285714285715</v>
      </c>
      <c r="AT327" s="23" cm="1">
        <f t="array" ref="AT327">_xlfn.IFS(Data!$F327&lt;600,((Data!$F327/Data!$D327)*60)*1,AND(Data!$F327&gt;=600,Data!$F327&lt;=625),((Data!$F327/Data!$D327)*60)*1.2,AND(Data!$F327&gt;=626,Data!$F327&lt;=650),((Data!$F327/Data!$D327)*60)*1.5,Data!$F327&gt;=651,((Data!$F327/Data!$D327)*60)*1.8)</f>
        <v>606.42857142857144</v>
      </c>
      <c r="AU327" s="23">
        <f>(Data!$I327*-1.2)+(Data!$J327*-1.1)+(Data!$K327*1.2)+(Data!$L327*1.3)+(Data!$M327*1.5)</f>
        <v>-11.699999999999998</v>
      </c>
      <c r="AV327" s="23">
        <f>(Data!$AS327*0.4)+(Data!$AT327*0.4)+(Data!$AU327*0.2)</f>
        <v>244.51714285714286</v>
      </c>
      <c r="AW327" s="23">
        <f>PERCENTRANK(AV:AV,Data!$AV327)*100</f>
        <v>14.7</v>
      </c>
      <c r="AX327" s="23" t="str">
        <f>_xlfn.CONCAT(TEXT(C327,"mmm"),"-",Data!$AE327)</f>
        <v>Jul-2022</v>
      </c>
    </row>
    <row r="328" spans="1:50" ht="17" thickTop="1" thickBot="1" x14ac:dyDescent="0.25">
      <c r="A328" s="28">
        <v>327</v>
      </c>
      <c r="B328" s="29">
        <f t="shared" si="42"/>
        <v>18</v>
      </c>
      <c r="C328" s="41">
        <v>44750</v>
      </c>
      <c r="D328" s="30">
        <f>SUM(Data!$I328:$M328)</f>
        <v>56</v>
      </c>
      <c r="E328" s="29">
        <v>9</v>
      </c>
      <c r="F328" s="29">
        <v>608</v>
      </c>
      <c r="G328" s="29">
        <v>167</v>
      </c>
      <c r="H328" s="29">
        <v>126</v>
      </c>
      <c r="I328" s="29">
        <v>9</v>
      </c>
      <c r="J328" s="29">
        <v>18</v>
      </c>
      <c r="K328" s="29">
        <v>20</v>
      </c>
      <c r="L328" s="29">
        <v>7</v>
      </c>
      <c r="M328" s="29">
        <v>2</v>
      </c>
      <c r="N328" s="29" t="s">
        <v>91</v>
      </c>
      <c r="O328" s="29" t="s">
        <v>89</v>
      </c>
      <c r="P328" s="29" t="s">
        <v>98</v>
      </c>
      <c r="Q328" s="29">
        <f t="shared" si="48"/>
        <v>2</v>
      </c>
      <c r="R328" s="29" t="str">
        <f t="shared" si="43"/>
        <v>7-2022</v>
      </c>
      <c r="S328" s="29" t="s">
        <v>104</v>
      </c>
      <c r="T328" s="29" t="str">
        <f t="shared" si="44"/>
        <v>Friday</v>
      </c>
      <c r="U328" s="29">
        <f t="shared" si="45"/>
        <v>0</v>
      </c>
      <c r="V328" s="31">
        <f>IFERROR(Data!$I328/Data!$D328,"")</f>
        <v>0.16071428571428573</v>
      </c>
      <c r="W328" s="31">
        <f>IFERROR(Data!$J328/Data!$D328,"")</f>
        <v>0.32142857142857145</v>
      </c>
      <c r="X328" s="31">
        <f>IFERROR(Data!$K328/Data!$D328,"")</f>
        <v>0.35714285714285715</v>
      </c>
      <c r="Y328" s="31">
        <f>IFERROR(Data!$L328/Data!$D328,"")</f>
        <v>0.125</v>
      </c>
      <c r="Z328" s="31">
        <f>IFERROR(Data!$M328/Data!$D328,"")</f>
        <v>3.5714285714285712E-2</v>
      </c>
      <c r="AA328" s="32">
        <v>232.14</v>
      </c>
      <c r="AB328" s="32">
        <f t="shared" si="41"/>
        <v>12.896666666666667</v>
      </c>
      <c r="AC328" s="29">
        <f t="shared" si="46"/>
        <v>616.38888888888891</v>
      </c>
      <c r="AD328" s="29">
        <f t="shared" si="47"/>
        <v>13.444444444444445</v>
      </c>
      <c r="AE328" s="29">
        <f>YEAR(Data!$C328)</f>
        <v>2022</v>
      </c>
      <c r="AF328" s="29"/>
      <c r="AG328" s="29">
        <v>12</v>
      </c>
      <c r="AH328" s="33">
        <f>Data!$F328/Data!$D328</f>
        <v>10.857142857142858</v>
      </c>
      <c r="AI328" s="17" t="str">
        <f>RIGHT(Data!$O328,2)</f>
        <v>AM</v>
      </c>
      <c r="AJ328" s="29" t="str">
        <f>Data!$R328&amp;"-"&amp;WEEKNUM(Data!$C328,1)-WEEKNUM(DATE(YEAR(Data!$C328),MONTH(Data!$C328),1),1)+1</f>
        <v>7-2022-2</v>
      </c>
      <c r="AK328" s="29">
        <f>MONTH(Data!$C328)</f>
        <v>7</v>
      </c>
      <c r="AL328" s="29">
        <f>IFERROR(Data!$F328/Data!$E328,0)</f>
        <v>67.555555555555557</v>
      </c>
      <c r="AM328" s="29">
        <f>COUNTIF(Data!$N$2:$N$825,Data!$N328)</f>
        <v>218</v>
      </c>
      <c r="AN328" s="29" t="str">
        <f>VLOOKUP(Data!$N328,'Helpful Tables'!A:D,4,FALSE)</f>
        <v>Washington, DC</v>
      </c>
      <c r="AO328" s="29">
        <f>COUNTIF(AN:AN,Data!$AN328)/COUNTA(AN:AN)</f>
        <v>0.62424242424242427</v>
      </c>
      <c r="AP328" s="29">
        <v>38.934710000000003</v>
      </c>
      <c r="AQ328" s="29">
        <v>-77.058222999999998</v>
      </c>
      <c r="AR328" s="29">
        <f>COUNTIF(Data!$P$2:$P$825,Data!$P328)</f>
        <v>28</v>
      </c>
      <c r="AS328" s="29" cm="1">
        <f t="array" ref="AS328">_xlfn.IFS(Data!$E328&lt;12,((Data!$E328/Data!$D328)*60)*1,AND(Data!$E328&gt;=12,Data!$E328&lt;=15),((Data!$E328/Data!$D328)*60)*1.2,AND(Data!$E328&gt;=16,Data!$E328&lt;=19),((Data!$E328/Data!$D328)*60)*1.5,Data!$E328&gt;=20,((Data!$E328/Data!$D328)*60)*1.8)</f>
        <v>9.6428571428571441</v>
      </c>
      <c r="AT328" s="29" cm="1">
        <f t="array" ref="AT328">_xlfn.IFS(Data!$F328&lt;600,((Data!$F328/Data!$D328)*60)*1,AND(Data!$F328&gt;=600,Data!$F328&lt;=625),((Data!$F328/Data!$D328)*60)*1.2,AND(Data!$F328&gt;=626,Data!$F328&lt;=650),((Data!$F328/Data!$D328)*60)*1.5,Data!$F328&gt;=651,((Data!$F328/Data!$D328)*60)*1.8)</f>
        <v>781.71428571428567</v>
      </c>
      <c r="AU328" s="29">
        <f>(Data!$I328*-1.2)+(Data!$J328*-1.1)+(Data!$K328*1.2)+(Data!$L328*1.3)+(Data!$M328*1.5)</f>
        <v>5.4999999999999982</v>
      </c>
      <c r="AV328" s="29">
        <f>(Data!$AS328*0.4)+(Data!$AT328*0.4)+(Data!$AU328*0.2)</f>
        <v>317.64285714285717</v>
      </c>
      <c r="AW328" s="29">
        <f>PERCENTRANK(AV:AV,Data!$AV328)*100</f>
        <v>35.9</v>
      </c>
      <c r="AX328" s="29" t="str">
        <f>_xlfn.CONCAT(TEXT(C328,"mmm"),"-",Data!$AE328)</f>
        <v>Jul-2022</v>
      </c>
    </row>
    <row r="329" spans="1:50" ht="17" thickTop="1" thickBot="1" x14ac:dyDescent="0.25">
      <c r="A329" s="22">
        <v>328</v>
      </c>
      <c r="B329" s="23">
        <f t="shared" si="42"/>
        <v>18</v>
      </c>
      <c r="C329" s="41">
        <v>44752</v>
      </c>
      <c r="D329" s="24">
        <f>SUM(Data!$I329:$M329)</f>
        <v>60</v>
      </c>
      <c r="E329" s="23">
        <v>16</v>
      </c>
      <c r="F329" s="23">
        <v>534</v>
      </c>
      <c r="G329" s="23">
        <v>166</v>
      </c>
      <c r="H329" s="23">
        <v>113</v>
      </c>
      <c r="I329" s="23">
        <v>33</v>
      </c>
      <c r="J329" s="23">
        <v>3</v>
      </c>
      <c r="K329" s="23">
        <v>8</v>
      </c>
      <c r="L329" s="23">
        <v>15</v>
      </c>
      <c r="M329" s="23">
        <v>1</v>
      </c>
      <c r="N329" s="23" t="s">
        <v>101</v>
      </c>
      <c r="O329" s="23" t="s">
        <v>45</v>
      </c>
      <c r="P329" s="23" t="s">
        <v>102</v>
      </c>
      <c r="Q329" s="23">
        <f t="shared" si="48"/>
        <v>2</v>
      </c>
      <c r="R329" s="23" t="str">
        <f t="shared" si="43"/>
        <v>7-2022</v>
      </c>
      <c r="S329" s="23" t="s">
        <v>104</v>
      </c>
      <c r="T329" s="23" t="str">
        <f t="shared" si="44"/>
        <v>Sunday</v>
      </c>
      <c r="U329" s="23">
        <f t="shared" si="45"/>
        <v>1</v>
      </c>
      <c r="V329" s="25">
        <f>IFERROR(Data!$I329/Data!$D329,"")</f>
        <v>0.55000000000000004</v>
      </c>
      <c r="W329" s="25">
        <f>IFERROR(Data!$J329/Data!$D329,"")</f>
        <v>0.05</v>
      </c>
      <c r="X329" s="25">
        <f>IFERROR(Data!$K329/Data!$D329,"")</f>
        <v>0.13333333333333333</v>
      </c>
      <c r="Y329" s="25">
        <f>IFERROR(Data!$L329/Data!$D329,"")</f>
        <v>0.25</v>
      </c>
      <c r="Z329" s="25">
        <f>IFERROR(Data!$M329/Data!$D329,"")</f>
        <v>1.6666666666666666E-2</v>
      </c>
      <c r="AA329" s="26">
        <v>232.14</v>
      </c>
      <c r="AB329" s="26">
        <f t="shared" si="41"/>
        <v>12.896666666666667</v>
      </c>
      <c r="AC329" s="23">
        <f t="shared" si="46"/>
        <v>616.38888888888891</v>
      </c>
      <c r="AD329" s="23">
        <f t="shared" si="47"/>
        <v>13.444444444444445</v>
      </c>
      <c r="AE329" s="23">
        <f>YEAR(Data!$C329)</f>
        <v>2022</v>
      </c>
      <c r="AF329" s="23"/>
      <c r="AG329" s="23">
        <v>12</v>
      </c>
      <c r="AH329" s="27">
        <f>Data!$F329/Data!$D329</f>
        <v>8.9</v>
      </c>
      <c r="AI329" s="17" t="str">
        <f>RIGHT(Data!$O329,2)</f>
        <v>AM</v>
      </c>
      <c r="AJ329" s="23" t="str">
        <f>Data!$R329&amp;"-"&amp;WEEKNUM(Data!$C329,1)-WEEKNUM(DATE(YEAR(Data!$C329),MONTH(Data!$C329),1),1)+1</f>
        <v>7-2022-3</v>
      </c>
      <c r="AK329" s="23">
        <f>MONTH(Data!$C329)</f>
        <v>7</v>
      </c>
      <c r="AL329" s="23">
        <f>IFERROR(Data!$F329/Data!$E329,0)</f>
        <v>33.375</v>
      </c>
      <c r="AM329" s="23">
        <f>COUNTIF(Data!$N$2:$N$825,Data!$N329)</f>
        <v>191</v>
      </c>
      <c r="AN329" s="23" t="str">
        <f>VLOOKUP(Data!$N329,'Helpful Tables'!A:D,4,FALSE)</f>
        <v>Washington, DC</v>
      </c>
      <c r="AO329" s="23">
        <f>COUNTIF(AN:AN,Data!$AN329)/COUNTA(AN:AN)</f>
        <v>0.62424242424242427</v>
      </c>
      <c r="AP329" s="23">
        <v>38.949649000000001</v>
      </c>
      <c r="AQ329" s="23">
        <v>-77.080878999999996</v>
      </c>
      <c r="AR329" s="23">
        <f>COUNTIF(Data!$P$2:$P$825,Data!$P329)</f>
        <v>20</v>
      </c>
      <c r="AS329" s="23" cm="1">
        <f t="array" ref="AS329">_xlfn.IFS(Data!$E329&lt;12,((Data!$E329/Data!$D329)*60)*1,AND(Data!$E329&gt;=12,Data!$E329&lt;=15),((Data!$E329/Data!$D329)*60)*1.2,AND(Data!$E329&gt;=16,Data!$E329&lt;=19),((Data!$E329/Data!$D329)*60)*1.5,Data!$E329&gt;=20,((Data!$E329/Data!$D329)*60)*1.8)</f>
        <v>24</v>
      </c>
      <c r="AT329" s="23" cm="1">
        <f t="array" ref="AT329">_xlfn.IFS(Data!$F329&lt;600,((Data!$F329/Data!$D329)*60)*1,AND(Data!$F329&gt;=600,Data!$F329&lt;=625),((Data!$F329/Data!$D329)*60)*1.2,AND(Data!$F329&gt;=626,Data!$F329&lt;=650),((Data!$F329/Data!$D329)*60)*1.5,Data!$F329&gt;=651,((Data!$F329/Data!$D329)*60)*1.8)</f>
        <v>534</v>
      </c>
      <c r="AU329" s="23">
        <f>(Data!$I329*-1.2)+(Data!$J329*-1.1)+(Data!$K329*1.2)+(Data!$L329*1.3)+(Data!$M329*1.5)</f>
        <v>-12.299999999999997</v>
      </c>
      <c r="AV329" s="23">
        <f>(Data!$AS329*0.4)+(Data!$AT329*0.4)+(Data!$AU329*0.2)</f>
        <v>220.74</v>
      </c>
      <c r="AW329" s="23">
        <f>PERCENTRANK(AV:AV,Data!$AV329)*100</f>
        <v>4.1000000000000005</v>
      </c>
      <c r="AX329" s="23" t="str">
        <f>_xlfn.CONCAT(TEXT(C329,"mmm"),"-",Data!$AE329)</f>
        <v>Jul-2022</v>
      </c>
    </row>
    <row r="330" spans="1:50" ht="17" thickTop="1" thickBot="1" x14ac:dyDescent="0.25">
      <c r="A330" s="28">
        <v>329</v>
      </c>
      <c r="B330" s="29">
        <f t="shared" si="42"/>
        <v>18</v>
      </c>
      <c r="C330" s="41">
        <v>44753</v>
      </c>
      <c r="D330" s="30">
        <f>SUM(Data!$I330:$M330)</f>
        <v>57</v>
      </c>
      <c r="E330" s="29">
        <v>14</v>
      </c>
      <c r="F330" s="29">
        <v>609</v>
      </c>
      <c r="G330" s="29">
        <v>164</v>
      </c>
      <c r="H330" s="29">
        <v>125</v>
      </c>
      <c r="I330" s="29">
        <v>13</v>
      </c>
      <c r="J330" s="29">
        <v>17</v>
      </c>
      <c r="K330" s="29">
        <v>13</v>
      </c>
      <c r="L330" s="29">
        <v>13</v>
      </c>
      <c r="M330" s="29">
        <v>1</v>
      </c>
      <c r="N330" s="29" t="s">
        <v>101</v>
      </c>
      <c r="O330" s="29" t="s">
        <v>39</v>
      </c>
      <c r="P330" s="29" t="s">
        <v>109</v>
      </c>
      <c r="Q330" s="29">
        <f t="shared" si="48"/>
        <v>1</v>
      </c>
      <c r="R330" s="29" t="str">
        <f t="shared" si="43"/>
        <v>7-2022</v>
      </c>
      <c r="S330" s="29" t="s">
        <v>104</v>
      </c>
      <c r="T330" s="29" t="str">
        <f t="shared" si="44"/>
        <v>Monday</v>
      </c>
      <c r="U330" s="29">
        <f t="shared" si="45"/>
        <v>1</v>
      </c>
      <c r="V330" s="31">
        <f>IFERROR(Data!$I330/Data!$D330,"")</f>
        <v>0.22807017543859648</v>
      </c>
      <c r="W330" s="31">
        <f>IFERROR(Data!$J330/Data!$D330,"")</f>
        <v>0.2982456140350877</v>
      </c>
      <c r="X330" s="31">
        <f>IFERROR(Data!$K330/Data!$D330,"")</f>
        <v>0.22807017543859648</v>
      </c>
      <c r="Y330" s="31">
        <f>IFERROR(Data!$L330/Data!$D330,"")</f>
        <v>0.22807017543859648</v>
      </c>
      <c r="Z330" s="31">
        <f>IFERROR(Data!$M330/Data!$D330,"")</f>
        <v>1.7543859649122806E-2</v>
      </c>
      <c r="AA330" s="32">
        <v>232.14</v>
      </c>
      <c r="AB330" s="32">
        <f t="shared" si="41"/>
        <v>12.896666666666667</v>
      </c>
      <c r="AC330" s="29">
        <f t="shared" si="46"/>
        <v>616.38888888888891</v>
      </c>
      <c r="AD330" s="29">
        <f t="shared" si="47"/>
        <v>13.444444444444445</v>
      </c>
      <c r="AE330" s="29">
        <f>YEAR(Data!$C330)</f>
        <v>2022</v>
      </c>
      <c r="AF330" s="29"/>
      <c r="AG330" s="29">
        <v>12</v>
      </c>
      <c r="AH330" s="33">
        <f>Data!$F330/Data!$D330</f>
        <v>10.684210526315789</v>
      </c>
      <c r="AI330" s="17" t="str">
        <f>RIGHT(Data!$O330,2)</f>
        <v>PM</v>
      </c>
      <c r="AJ330" s="29" t="str">
        <f>Data!$R330&amp;"-"&amp;WEEKNUM(Data!$C330,1)-WEEKNUM(DATE(YEAR(Data!$C330),MONTH(Data!$C330),1),1)+1</f>
        <v>7-2022-3</v>
      </c>
      <c r="AK330" s="29">
        <f>MONTH(Data!$C330)</f>
        <v>7</v>
      </c>
      <c r="AL330" s="29">
        <f>IFERROR(Data!$F330/Data!$E330,0)</f>
        <v>43.5</v>
      </c>
      <c r="AM330" s="29">
        <f>COUNTIF(Data!$N$2:$N$825,Data!$N330)</f>
        <v>191</v>
      </c>
      <c r="AN330" s="29" t="str">
        <f>VLOOKUP(Data!$N330,'Helpful Tables'!A:D,4,FALSE)</f>
        <v>Washington, DC</v>
      </c>
      <c r="AO330" s="29">
        <f>COUNTIF(AN:AN,Data!$AN330)/COUNTA(AN:AN)</f>
        <v>0.62424242424242427</v>
      </c>
      <c r="AP330" s="29">
        <v>38.949649000000001</v>
      </c>
      <c r="AQ330" s="29">
        <v>-77.080878999999996</v>
      </c>
      <c r="AR330" s="29">
        <f>COUNTIF(Data!$P$2:$P$825,Data!$P330)</f>
        <v>66</v>
      </c>
      <c r="AS330" s="29" cm="1">
        <f t="array" ref="AS330">_xlfn.IFS(Data!$E330&lt;12,((Data!$E330/Data!$D330)*60)*1,AND(Data!$E330&gt;=12,Data!$E330&lt;=15),((Data!$E330/Data!$D330)*60)*1.2,AND(Data!$E330&gt;=16,Data!$E330&lt;=19),((Data!$E330/Data!$D330)*60)*1.5,Data!$E330&gt;=20,((Data!$E330/Data!$D330)*60)*1.8)</f>
        <v>17.684210526315788</v>
      </c>
      <c r="AT330" s="29" cm="1">
        <f t="array" ref="AT330">_xlfn.IFS(Data!$F330&lt;600,((Data!$F330/Data!$D330)*60)*1,AND(Data!$F330&gt;=600,Data!$F330&lt;=625),((Data!$F330/Data!$D330)*60)*1.2,AND(Data!$F330&gt;=626,Data!$F330&lt;=650),((Data!$F330/Data!$D330)*60)*1.5,Data!$F330&gt;=651,((Data!$F330/Data!$D330)*60)*1.8)</f>
        <v>769.26315789473688</v>
      </c>
      <c r="AU330" s="29">
        <f>(Data!$I330*-1.2)+(Data!$J330*-1.1)+(Data!$K330*1.2)+(Data!$L330*1.3)+(Data!$M330*1.5)</f>
        <v>-0.30000000000000071</v>
      </c>
      <c r="AV330" s="29">
        <f>(Data!$AS330*0.4)+(Data!$AT330*0.4)+(Data!$AU330*0.2)</f>
        <v>314.71894736842108</v>
      </c>
      <c r="AW330" s="29">
        <f>PERCENTRANK(AV:AV,Data!$AV330)*100</f>
        <v>33.6</v>
      </c>
      <c r="AX330" s="29" t="str">
        <f>_xlfn.CONCAT(TEXT(C330,"mmm"),"-",Data!$AE330)</f>
        <v>Jul-2022</v>
      </c>
    </row>
    <row r="331" spans="1:50" ht="17" thickTop="1" thickBot="1" x14ac:dyDescent="0.25">
      <c r="A331" s="22">
        <v>330</v>
      </c>
      <c r="B331" s="23">
        <f t="shared" si="42"/>
        <v>18</v>
      </c>
      <c r="C331" s="41">
        <v>44755</v>
      </c>
      <c r="D331" s="24">
        <f>SUM(Data!$I331:$M331)</f>
        <v>57</v>
      </c>
      <c r="E331" s="23">
        <v>12</v>
      </c>
      <c r="F331" s="23">
        <v>566</v>
      </c>
      <c r="G331" s="23">
        <v>166</v>
      </c>
      <c r="H331" s="23">
        <v>120</v>
      </c>
      <c r="I331" s="23">
        <v>17</v>
      </c>
      <c r="J331" s="23">
        <v>19</v>
      </c>
      <c r="K331" s="23">
        <v>9</v>
      </c>
      <c r="L331" s="23">
        <v>11</v>
      </c>
      <c r="M331" s="23">
        <v>1</v>
      </c>
      <c r="N331" s="23" t="s">
        <v>91</v>
      </c>
      <c r="O331" s="23" t="s">
        <v>57</v>
      </c>
      <c r="P331" s="23" t="s">
        <v>96</v>
      </c>
      <c r="Q331" s="23">
        <f t="shared" si="48"/>
        <v>2</v>
      </c>
      <c r="R331" s="23" t="str">
        <f t="shared" si="43"/>
        <v>7-2022</v>
      </c>
      <c r="S331" s="23" t="s">
        <v>104</v>
      </c>
      <c r="T331" s="23" t="str">
        <f t="shared" si="44"/>
        <v>Wednesday</v>
      </c>
      <c r="U331" s="23">
        <f t="shared" si="45"/>
        <v>1</v>
      </c>
      <c r="V331" s="25">
        <f>IFERROR(Data!$I331/Data!$D331,"")</f>
        <v>0.2982456140350877</v>
      </c>
      <c r="W331" s="25">
        <f>IFERROR(Data!$J331/Data!$D331,"")</f>
        <v>0.33333333333333331</v>
      </c>
      <c r="X331" s="25">
        <f>IFERROR(Data!$K331/Data!$D331,"")</f>
        <v>0.15789473684210525</v>
      </c>
      <c r="Y331" s="25">
        <f>IFERROR(Data!$L331/Data!$D331,"")</f>
        <v>0.19298245614035087</v>
      </c>
      <c r="Z331" s="25">
        <f>IFERROR(Data!$M331/Data!$D331,"")</f>
        <v>1.7543859649122806E-2</v>
      </c>
      <c r="AA331" s="26">
        <v>232.14</v>
      </c>
      <c r="AB331" s="26">
        <f t="shared" si="41"/>
        <v>12.896666666666667</v>
      </c>
      <c r="AC331" s="23">
        <f t="shared" si="46"/>
        <v>616.38888888888891</v>
      </c>
      <c r="AD331" s="23">
        <f t="shared" si="47"/>
        <v>13.444444444444445</v>
      </c>
      <c r="AE331" s="23">
        <f>YEAR(Data!$C331)</f>
        <v>2022</v>
      </c>
      <c r="AF331" s="23"/>
      <c r="AG331" s="23">
        <v>12</v>
      </c>
      <c r="AH331" s="27">
        <f>Data!$F331/Data!$D331</f>
        <v>9.9298245614035086</v>
      </c>
      <c r="AI331" s="17" t="str">
        <f>RIGHT(Data!$O331,2)</f>
        <v>PM</v>
      </c>
      <c r="AJ331" s="23" t="str">
        <f>Data!$R331&amp;"-"&amp;WEEKNUM(Data!$C331,1)-WEEKNUM(DATE(YEAR(Data!$C331),MONTH(Data!$C331),1),1)+1</f>
        <v>7-2022-3</v>
      </c>
      <c r="AK331" s="23">
        <f>MONTH(Data!$C331)</f>
        <v>7</v>
      </c>
      <c r="AL331" s="23">
        <f>IFERROR(Data!$F331/Data!$E331,0)</f>
        <v>47.166666666666664</v>
      </c>
      <c r="AM331" s="23">
        <f>COUNTIF(Data!$N$2:$N$825,Data!$N331)</f>
        <v>218</v>
      </c>
      <c r="AN331" s="23" t="str">
        <f>VLOOKUP(Data!$N331,'Helpful Tables'!A:D,4,FALSE)</f>
        <v>Washington, DC</v>
      </c>
      <c r="AO331" s="23">
        <f>COUNTIF(AN:AN,Data!$AN331)/COUNTA(AN:AN)</f>
        <v>0.62424242424242427</v>
      </c>
      <c r="AP331" s="23">
        <v>38.934710000000003</v>
      </c>
      <c r="AQ331" s="23">
        <v>-77.058222999999998</v>
      </c>
      <c r="AR331" s="23">
        <f>COUNTIF(Data!$P$2:$P$825,Data!$P331)</f>
        <v>71</v>
      </c>
      <c r="AS331" s="23" cm="1">
        <f t="array" ref="AS331">_xlfn.IFS(Data!$E331&lt;12,((Data!$E331/Data!$D331)*60)*1,AND(Data!$E331&gt;=12,Data!$E331&lt;=15),((Data!$E331/Data!$D331)*60)*1.2,AND(Data!$E331&gt;=16,Data!$E331&lt;=19),((Data!$E331/Data!$D331)*60)*1.5,Data!$E331&gt;=20,((Data!$E331/Data!$D331)*60)*1.8)</f>
        <v>15.157894736842104</v>
      </c>
      <c r="AT331" s="23" cm="1">
        <f t="array" ref="AT331">_xlfn.IFS(Data!$F331&lt;600,((Data!$F331/Data!$D331)*60)*1,AND(Data!$F331&gt;=600,Data!$F331&lt;=625),((Data!$F331/Data!$D331)*60)*1.2,AND(Data!$F331&gt;=626,Data!$F331&lt;=650),((Data!$F331/Data!$D331)*60)*1.5,Data!$F331&gt;=651,((Data!$F331/Data!$D331)*60)*1.8)</f>
        <v>595.78947368421052</v>
      </c>
      <c r="AU331" s="23">
        <f>(Data!$I331*-1.2)+(Data!$J331*-1.1)+(Data!$K331*1.2)+(Data!$L331*1.3)+(Data!$M331*1.5)</f>
        <v>-14.7</v>
      </c>
      <c r="AV331" s="23">
        <f>(Data!$AS331*0.4)+(Data!$AT331*0.4)+(Data!$AU331*0.2)</f>
        <v>241.43894736842105</v>
      </c>
      <c r="AW331" s="23">
        <f>PERCENTRANK(AV:AV,Data!$AV331)*100</f>
        <v>13</v>
      </c>
      <c r="AX331" s="23" t="str">
        <f>_xlfn.CONCAT(TEXT(C331,"mmm"),"-",Data!$AE331)</f>
        <v>Jul-2022</v>
      </c>
    </row>
    <row r="332" spans="1:50" ht="17" thickTop="1" thickBot="1" x14ac:dyDescent="0.25">
      <c r="A332" s="28">
        <v>331</v>
      </c>
      <c r="B332" s="29">
        <f t="shared" si="42"/>
        <v>18</v>
      </c>
      <c r="C332" s="41">
        <v>44756</v>
      </c>
      <c r="D332" s="30">
        <f>SUM(Data!$I332:$M332)</f>
        <v>57</v>
      </c>
      <c r="E332" s="29">
        <v>11</v>
      </c>
      <c r="F332" s="29">
        <v>614</v>
      </c>
      <c r="G332" s="29">
        <v>168</v>
      </c>
      <c r="H332" s="29">
        <v>125</v>
      </c>
      <c r="I332" s="29">
        <v>12</v>
      </c>
      <c r="J332" s="29">
        <v>17</v>
      </c>
      <c r="K332" s="29">
        <v>17</v>
      </c>
      <c r="L332" s="29">
        <v>10</v>
      </c>
      <c r="M332" s="29">
        <v>1</v>
      </c>
      <c r="N332" s="29" t="s">
        <v>30</v>
      </c>
      <c r="O332" s="29" t="s">
        <v>144</v>
      </c>
      <c r="P332" s="29" t="s">
        <v>142</v>
      </c>
      <c r="Q332" s="29">
        <f t="shared" si="48"/>
        <v>1</v>
      </c>
      <c r="R332" s="29" t="str">
        <f t="shared" si="43"/>
        <v>7-2022</v>
      </c>
      <c r="S332" s="29" t="s">
        <v>104</v>
      </c>
      <c r="T332" s="29" t="str">
        <f t="shared" si="44"/>
        <v>Thursday</v>
      </c>
      <c r="U332" s="29">
        <f t="shared" si="45"/>
        <v>0</v>
      </c>
      <c r="V332" s="31">
        <f>IFERROR(Data!$I332/Data!$D332,"")</f>
        <v>0.21052631578947367</v>
      </c>
      <c r="W332" s="31">
        <f>IFERROR(Data!$J332/Data!$D332,"")</f>
        <v>0.2982456140350877</v>
      </c>
      <c r="X332" s="31">
        <f>IFERROR(Data!$K332/Data!$D332,"")</f>
        <v>0.2982456140350877</v>
      </c>
      <c r="Y332" s="31">
        <f>IFERROR(Data!$L332/Data!$D332,"")</f>
        <v>0.17543859649122806</v>
      </c>
      <c r="Z332" s="31">
        <f>IFERROR(Data!$M332/Data!$D332,"")</f>
        <v>1.7543859649122806E-2</v>
      </c>
      <c r="AA332" s="32">
        <v>232.14</v>
      </c>
      <c r="AB332" s="32">
        <f t="shared" si="41"/>
        <v>12.896666666666667</v>
      </c>
      <c r="AC332" s="29">
        <f t="shared" si="46"/>
        <v>616.38888888888891</v>
      </c>
      <c r="AD332" s="29">
        <f t="shared" si="47"/>
        <v>13.444444444444445</v>
      </c>
      <c r="AE332" s="29">
        <f>YEAR(Data!$C332)</f>
        <v>2022</v>
      </c>
      <c r="AF332" s="29"/>
      <c r="AG332" s="29">
        <v>12</v>
      </c>
      <c r="AH332" s="33">
        <f>Data!$F332/Data!$D332</f>
        <v>10.771929824561404</v>
      </c>
      <c r="AI332" s="17" t="str">
        <f>RIGHT(Data!$O332,2)</f>
        <v>PM</v>
      </c>
      <c r="AJ332" s="29" t="str">
        <f>Data!$R332&amp;"-"&amp;WEEKNUM(Data!$C332,1)-WEEKNUM(DATE(YEAR(Data!$C332),MONTH(Data!$C332),1),1)+1</f>
        <v>7-2022-3</v>
      </c>
      <c r="AK332" s="29">
        <f>MONTH(Data!$C332)</f>
        <v>7</v>
      </c>
      <c r="AL332" s="29">
        <f>IFERROR(Data!$F332/Data!$E332,0)</f>
        <v>55.81818181818182</v>
      </c>
      <c r="AM332" s="29">
        <f>COUNTIF(Data!$N$2:$N$825,Data!$N332)</f>
        <v>9</v>
      </c>
      <c r="AN332" s="29" t="str">
        <f>VLOOKUP(Data!$N332,'Helpful Tables'!A:D,4,FALSE)</f>
        <v>Virginia</v>
      </c>
      <c r="AO332" s="29">
        <f>COUNTIF(AN:AN,Data!$AN332)/COUNTA(AN:AN)</f>
        <v>6.424242424242424E-2</v>
      </c>
      <c r="AP332" s="29">
        <v>38.894024999999999</v>
      </c>
      <c r="AQ332" s="29">
        <v>-77.078213000000005</v>
      </c>
      <c r="AR332" s="29">
        <f>COUNTIF(Data!$P$2:$P$825,Data!$P332)</f>
        <v>2</v>
      </c>
      <c r="AS332" s="29" cm="1">
        <f t="array" ref="AS332">_xlfn.IFS(Data!$E332&lt;12,((Data!$E332/Data!$D332)*60)*1,AND(Data!$E332&gt;=12,Data!$E332&lt;=15),((Data!$E332/Data!$D332)*60)*1.2,AND(Data!$E332&gt;=16,Data!$E332&lt;=19),((Data!$E332/Data!$D332)*60)*1.5,Data!$E332&gt;=20,((Data!$E332/Data!$D332)*60)*1.8)</f>
        <v>11.578947368421051</v>
      </c>
      <c r="AT332" s="29" cm="1">
        <f t="array" ref="AT332">_xlfn.IFS(Data!$F332&lt;600,((Data!$F332/Data!$D332)*60)*1,AND(Data!$F332&gt;=600,Data!$F332&lt;=625),((Data!$F332/Data!$D332)*60)*1.2,AND(Data!$F332&gt;=626,Data!$F332&lt;=650),((Data!$F332/Data!$D332)*60)*1.5,Data!$F332&gt;=651,((Data!$F332/Data!$D332)*60)*1.8)</f>
        <v>775.57894736842115</v>
      </c>
      <c r="AU332" s="29">
        <f>(Data!$I332*-1.2)+(Data!$J332*-1.1)+(Data!$K332*1.2)+(Data!$L332*1.3)+(Data!$M332*1.5)</f>
        <v>1.7999999999999972</v>
      </c>
      <c r="AV332" s="29">
        <f>(Data!$AS332*0.4)+(Data!$AT332*0.4)+(Data!$AU332*0.2)</f>
        <v>315.22315789473691</v>
      </c>
      <c r="AW332" s="29">
        <f>PERCENTRANK(AV:AV,Data!$AV332)*100</f>
        <v>34.300000000000004</v>
      </c>
      <c r="AX332" s="29" t="str">
        <f>_xlfn.CONCAT(TEXT(C332,"mmm"),"-",Data!$AE332)</f>
        <v>Jul-2022</v>
      </c>
    </row>
    <row r="333" spans="1:50" ht="17" thickTop="1" thickBot="1" x14ac:dyDescent="0.25">
      <c r="A333" s="22">
        <v>332</v>
      </c>
      <c r="B333" s="23">
        <f t="shared" si="42"/>
        <v>18</v>
      </c>
      <c r="C333" s="41">
        <v>44758</v>
      </c>
      <c r="D333" s="24">
        <f>SUM(Data!$I333:$M333)</f>
        <v>59</v>
      </c>
      <c r="E333" s="23">
        <v>13</v>
      </c>
      <c r="F333" s="23">
        <v>658</v>
      </c>
      <c r="G333" s="23">
        <v>166</v>
      </c>
      <c r="H333" s="23">
        <v>127</v>
      </c>
      <c r="I333" s="23">
        <v>11</v>
      </c>
      <c r="J333" s="23">
        <v>19</v>
      </c>
      <c r="K333" s="23">
        <v>16</v>
      </c>
      <c r="L333" s="23">
        <v>12</v>
      </c>
      <c r="M333" s="23">
        <v>1</v>
      </c>
      <c r="N333" s="23" t="s">
        <v>101</v>
      </c>
      <c r="O333" s="23" t="s">
        <v>45</v>
      </c>
      <c r="P333" s="23" t="s">
        <v>134</v>
      </c>
      <c r="Q333" s="23">
        <f t="shared" si="48"/>
        <v>2</v>
      </c>
      <c r="R333" s="23" t="str">
        <f t="shared" si="43"/>
        <v>7-2022</v>
      </c>
      <c r="S333" s="23" t="s">
        <v>104</v>
      </c>
      <c r="T333" s="23" t="str">
        <f t="shared" si="44"/>
        <v>Saturday</v>
      </c>
      <c r="U333" s="23">
        <f t="shared" si="45"/>
        <v>1</v>
      </c>
      <c r="V333" s="25">
        <f>IFERROR(Data!$I333/Data!$D333,"")</f>
        <v>0.1864406779661017</v>
      </c>
      <c r="W333" s="25">
        <f>IFERROR(Data!$J333/Data!$D333,"")</f>
        <v>0.32203389830508472</v>
      </c>
      <c r="X333" s="25">
        <f>IFERROR(Data!$K333/Data!$D333,"")</f>
        <v>0.2711864406779661</v>
      </c>
      <c r="Y333" s="25">
        <f>IFERROR(Data!$L333/Data!$D333,"")</f>
        <v>0.20338983050847459</v>
      </c>
      <c r="Z333" s="25">
        <f>IFERROR(Data!$M333/Data!$D333,"")</f>
        <v>1.6949152542372881E-2</v>
      </c>
      <c r="AA333" s="26">
        <v>232.14</v>
      </c>
      <c r="AB333" s="26">
        <f t="shared" si="41"/>
        <v>12.896666666666667</v>
      </c>
      <c r="AC333" s="23">
        <f t="shared" si="46"/>
        <v>616.38888888888891</v>
      </c>
      <c r="AD333" s="23">
        <f t="shared" si="47"/>
        <v>13.444444444444445</v>
      </c>
      <c r="AE333" s="23">
        <f>YEAR(Data!$C333)</f>
        <v>2022</v>
      </c>
      <c r="AF333" s="23"/>
      <c r="AG333" s="23">
        <v>12</v>
      </c>
      <c r="AH333" s="27">
        <f>Data!$F333/Data!$D333</f>
        <v>11.152542372881356</v>
      </c>
      <c r="AI333" s="17" t="str">
        <f>RIGHT(Data!$O333,2)</f>
        <v>AM</v>
      </c>
      <c r="AJ333" s="23" t="str">
        <f>Data!$R333&amp;"-"&amp;WEEKNUM(Data!$C333,1)-WEEKNUM(DATE(YEAR(Data!$C333),MONTH(Data!$C333),1),1)+1</f>
        <v>7-2022-3</v>
      </c>
      <c r="AK333" s="23">
        <f>MONTH(Data!$C333)</f>
        <v>7</v>
      </c>
      <c r="AL333" s="23">
        <f>IFERROR(Data!$F333/Data!$E333,0)</f>
        <v>50.615384615384613</v>
      </c>
      <c r="AM333" s="23">
        <f>COUNTIF(Data!$N$2:$N$825,Data!$N333)</f>
        <v>191</v>
      </c>
      <c r="AN333" s="23" t="str">
        <f>VLOOKUP(Data!$N333,'Helpful Tables'!A:D,4,FALSE)</f>
        <v>Washington, DC</v>
      </c>
      <c r="AO333" s="23">
        <f>COUNTIF(AN:AN,Data!$AN333)/COUNTA(AN:AN)</f>
        <v>0.62424242424242427</v>
      </c>
      <c r="AP333" s="23">
        <v>38.949649000000001</v>
      </c>
      <c r="AQ333" s="23">
        <v>-77.080878999999996</v>
      </c>
      <c r="AR333" s="23">
        <f>COUNTIF(Data!$P$2:$P$825,Data!$P333)</f>
        <v>9</v>
      </c>
      <c r="AS333" s="23" cm="1">
        <f t="array" ref="AS333">_xlfn.IFS(Data!$E333&lt;12,((Data!$E333/Data!$D333)*60)*1,AND(Data!$E333&gt;=12,Data!$E333&lt;=15),((Data!$E333/Data!$D333)*60)*1.2,AND(Data!$E333&gt;=16,Data!$E333&lt;=19),((Data!$E333/Data!$D333)*60)*1.5,Data!$E333&gt;=20,((Data!$E333/Data!$D333)*60)*1.8)</f>
        <v>15.864406779661017</v>
      </c>
      <c r="AT333" s="23" cm="1">
        <f t="array" ref="AT333">_xlfn.IFS(Data!$F333&lt;600,((Data!$F333/Data!$D333)*60)*1,AND(Data!$F333&gt;=600,Data!$F333&lt;=625),((Data!$F333/Data!$D333)*60)*1.2,AND(Data!$F333&gt;=626,Data!$F333&lt;=650),((Data!$F333/Data!$D333)*60)*1.5,Data!$F333&gt;=651,((Data!$F333/Data!$D333)*60)*1.8)</f>
        <v>1204.4745762711866</v>
      </c>
      <c r="AU333" s="23">
        <f>(Data!$I333*-1.2)+(Data!$J333*-1.1)+(Data!$K333*1.2)+(Data!$L333*1.3)+(Data!$M333*1.5)</f>
        <v>2.1999999999999993</v>
      </c>
      <c r="AV333" s="23">
        <f>(Data!$AS333*0.4)+(Data!$AT333*0.4)+(Data!$AU333*0.2)</f>
        <v>488.57559322033904</v>
      </c>
      <c r="AW333" s="23">
        <f>PERCENTRANK(AV:AV,Data!$AV333)*100</f>
        <v>71.8</v>
      </c>
      <c r="AX333" s="23" t="str">
        <f>_xlfn.CONCAT(TEXT(C333,"mmm"),"-",Data!$AE333)</f>
        <v>Jul-2022</v>
      </c>
    </row>
    <row r="334" spans="1:50" ht="17" thickTop="1" thickBot="1" x14ac:dyDescent="0.25">
      <c r="A334" s="28">
        <v>333</v>
      </c>
      <c r="B334" s="29">
        <f t="shared" si="42"/>
        <v>18</v>
      </c>
      <c r="C334" s="41">
        <v>44760</v>
      </c>
      <c r="D334" s="30">
        <f>SUM(Data!$I334:$M334)</f>
        <v>60</v>
      </c>
      <c r="E334" s="29">
        <v>9</v>
      </c>
      <c r="F334" s="29">
        <v>532</v>
      </c>
      <c r="G334" s="29">
        <v>156</v>
      </c>
      <c r="H334" s="29">
        <v>112</v>
      </c>
      <c r="I334" s="29">
        <v>32</v>
      </c>
      <c r="J334" s="29">
        <v>8</v>
      </c>
      <c r="K334" s="29">
        <v>11</v>
      </c>
      <c r="L334" s="29">
        <v>9</v>
      </c>
      <c r="M334" s="29">
        <v>0</v>
      </c>
      <c r="N334" s="29" t="s">
        <v>101</v>
      </c>
      <c r="O334" s="29" t="s">
        <v>107</v>
      </c>
      <c r="P334" s="29" t="s">
        <v>102</v>
      </c>
      <c r="Q334" s="29">
        <f t="shared" si="48"/>
        <v>2</v>
      </c>
      <c r="R334" s="29" t="str">
        <f t="shared" si="43"/>
        <v>7-2022</v>
      </c>
      <c r="S334" s="29" t="s">
        <v>104</v>
      </c>
      <c r="T334" s="29" t="str">
        <f t="shared" si="44"/>
        <v>Monday</v>
      </c>
      <c r="U334" s="29">
        <f t="shared" si="45"/>
        <v>0</v>
      </c>
      <c r="V334" s="31">
        <f>IFERROR(Data!$I334/Data!$D334,"")</f>
        <v>0.53333333333333333</v>
      </c>
      <c r="W334" s="31">
        <f>IFERROR(Data!$J334/Data!$D334,"")</f>
        <v>0.13333333333333333</v>
      </c>
      <c r="X334" s="31">
        <f>IFERROR(Data!$K334/Data!$D334,"")</f>
        <v>0.18333333333333332</v>
      </c>
      <c r="Y334" s="31">
        <f>IFERROR(Data!$L334/Data!$D334,"")</f>
        <v>0.15</v>
      </c>
      <c r="Z334" s="31">
        <f>IFERROR(Data!$M334/Data!$D334,"")</f>
        <v>0</v>
      </c>
      <c r="AA334" s="32">
        <v>232.14</v>
      </c>
      <c r="AB334" s="32">
        <f t="shared" si="41"/>
        <v>12.896666666666667</v>
      </c>
      <c r="AC334" s="29">
        <f t="shared" si="46"/>
        <v>616.38888888888891</v>
      </c>
      <c r="AD334" s="29">
        <f t="shared" si="47"/>
        <v>13.444444444444445</v>
      </c>
      <c r="AE334" s="29">
        <f>YEAR(Data!$C334)</f>
        <v>2022</v>
      </c>
      <c r="AF334" s="29"/>
      <c r="AG334" s="29">
        <v>12</v>
      </c>
      <c r="AH334" s="33">
        <f>Data!$F334/Data!$D334</f>
        <v>8.8666666666666671</v>
      </c>
      <c r="AI334" s="17" t="str">
        <f>RIGHT(Data!$O334,2)</f>
        <v>AM</v>
      </c>
      <c r="AJ334" s="29" t="str">
        <f>Data!$R334&amp;"-"&amp;WEEKNUM(Data!$C334,1)-WEEKNUM(DATE(YEAR(Data!$C334),MONTH(Data!$C334),1),1)+1</f>
        <v>7-2022-4</v>
      </c>
      <c r="AK334" s="29">
        <f>MONTH(Data!$C334)</f>
        <v>7</v>
      </c>
      <c r="AL334" s="29">
        <f>IFERROR(Data!$F334/Data!$E334,0)</f>
        <v>59.111111111111114</v>
      </c>
      <c r="AM334" s="29">
        <f>COUNTIF(Data!$N$2:$N$825,Data!$N334)</f>
        <v>191</v>
      </c>
      <c r="AN334" s="29" t="str">
        <f>VLOOKUP(Data!$N334,'Helpful Tables'!A:D,4,FALSE)</f>
        <v>Washington, DC</v>
      </c>
      <c r="AO334" s="29">
        <f>COUNTIF(AN:AN,Data!$AN334)/COUNTA(AN:AN)</f>
        <v>0.62424242424242427</v>
      </c>
      <c r="AP334" s="29">
        <v>38.949649000000001</v>
      </c>
      <c r="AQ334" s="29">
        <v>-77.080878999999996</v>
      </c>
      <c r="AR334" s="29">
        <f>COUNTIF(Data!$P$2:$P$825,Data!$P334)</f>
        <v>20</v>
      </c>
      <c r="AS334" s="29" cm="1">
        <f t="array" ref="AS334">_xlfn.IFS(Data!$E334&lt;12,((Data!$E334/Data!$D334)*60)*1,AND(Data!$E334&gt;=12,Data!$E334&lt;=15),((Data!$E334/Data!$D334)*60)*1.2,AND(Data!$E334&gt;=16,Data!$E334&lt;=19),((Data!$E334/Data!$D334)*60)*1.5,Data!$E334&gt;=20,((Data!$E334/Data!$D334)*60)*1.8)</f>
        <v>9</v>
      </c>
      <c r="AT334" s="29" cm="1">
        <f t="array" ref="AT334">_xlfn.IFS(Data!$F334&lt;600,((Data!$F334/Data!$D334)*60)*1,AND(Data!$F334&gt;=600,Data!$F334&lt;=625),((Data!$F334/Data!$D334)*60)*1.2,AND(Data!$F334&gt;=626,Data!$F334&lt;=650),((Data!$F334/Data!$D334)*60)*1.5,Data!$F334&gt;=651,((Data!$F334/Data!$D334)*60)*1.8)</f>
        <v>532</v>
      </c>
      <c r="AU334" s="29">
        <f>(Data!$I334*-1.2)+(Data!$J334*-1.1)+(Data!$K334*1.2)+(Data!$L334*1.3)+(Data!$M334*1.5)</f>
        <v>-22.299999999999997</v>
      </c>
      <c r="AV334" s="29">
        <f>(Data!$AS334*0.4)+(Data!$AT334*0.4)+(Data!$AU334*0.2)</f>
        <v>211.94</v>
      </c>
      <c r="AW334" s="29">
        <f>PERCENTRANK(AV:AV,Data!$AV334)*100</f>
        <v>1.9</v>
      </c>
      <c r="AX334" s="29" t="str">
        <f>_xlfn.CONCAT(TEXT(C334,"mmm"),"-",Data!$AE334)</f>
        <v>Jul-2022</v>
      </c>
    </row>
    <row r="335" spans="1:50" ht="17" thickTop="1" thickBot="1" x14ac:dyDescent="0.25">
      <c r="A335" s="22">
        <v>334</v>
      </c>
      <c r="B335" s="23">
        <f t="shared" si="42"/>
        <v>18</v>
      </c>
      <c r="C335" s="41">
        <v>44762</v>
      </c>
      <c r="D335" s="24">
        <f>SUM(Data!$I335:$M335)</f>
        <v>56</v>
      </c>
      <c r="E335" s="23">
        <v>21</v>
      </c>
      <c r="F335" s="23">
        <v>695</v>
      </c>
      <c r="G335" s="23">
        <v>168</v>
      </c>
      <c r="H335" s="23">
        <v>136</v>
      </c>
      <c r="I335" s="23">
        <v>4</v>
      </c>
      <c r="J335" s="23">
        <v>12</v>
      </c>
      <c r="K335" s="23">
        <v>19</v>
      </c>
      <c r="L335" s="23">
        <v>15</v>
      </c>
      <c r="M335" s="23">
        <v>6</v>
      </c>
      <c r="N335" s="23" t="s">
        <v>91</v>
      </c>
      <c r="O335" s="23" t="s">
        <v>57</v>
      </c>
      <c r="P335" s="23" t="s">
        <v>96</v>
      </c>
      <c r="Q335" s="23">
        <f t="shared" si="48"/>
        <v>2</v>
      </c>
      <c r="R335" s="23" t="str">
        <f t="shared" si="43"/>
        <v>7-2022</v>
      </c>
      <c r="S335" s="23" t="s">
        <v>104</v>
      </c>
      <c r="T335" s="23" t="str">
        <f t="shared" si="44"/>
        <v>Wednesday</v>
      </c>
      <c r="U335" s="23">
        <f t="shared" si="45"/>
        <v>1</v>
      </c>
      <c r="V335" s="25">
        <f>IFERROR(Data!$I335/Data!$D335,"")</f>
        <v>7.1428571428571425E-2</v>
      </c>
      <c r="W335" s="25">
        <f>IFERROR(Data!$J335/Data!$D335,"")</f>
        <v>0.21428571428571427</v>
      </c>
      <c r="X335" s="25">
        <f>IFERROR(Data!$K335/Data!$D335,"")</f>
        <v>0.3392857142857143</v>
      </c>
      <c r="Y335" s="25">
        <f>IFERROR(Data!$L335/Data!$D335,"")</f>
        <v>0.26785714285714285</v>
      </c>
      <c r="Z335" s="25">
        <f>IFERROR(Data!$M335/Data!$D335,"")</f>
        <v>0.10714285714285714</v>
      </c>
      <c r="AA335" s="26">
        <v>232.14</v>
      </c>
      <c r="AB335" s="26">
        <f t="shared" si="41"/>
        <v>12.896666666666667</v>
      </c>
      <c r="AC335" s="23">
        <f t="shared" si="46"/>
        <v>616.38888888888891</v>
      </c>
      <c r="AD335" s="23">
        <f t="shared" si="47"/>
        <v>13.444444444444445</v>
      </c>
      <c r="AE335" s="23">
        <f>YEAR(Data!$C335)</f>
        <v>2022</v>
      </c>
      <c r="AF335" s="23"/>
      <c r="AG335" s="23">
        <v>12</v>
      </c>
      <c r="AH335" s="27">
        <f>Data!$F335/Data!$D335</f>
        <v>12.410714285714286</v>
      </c>
      <c r="AI335" s="17" t="str">
        <f>RIGHT(Data!$O335,2)</f>
        <v>PM</v>
      </c>
      <c r="AJ335" s="23" t="str">
        <f>Data!$R335&amp;"-"&amp;WEEKNUM(Data!$C335,1)-WEEKNUM(DATE(YEAR(Data!$C335),MONTH(Data!$C335),1),1)+1</f>
        <v>7-2022-4</v>
      </c>
      <c r="AK335" s="23">
        <f>MONTH(Data!$C335)</f>
        <v>7</v>
      </c>
      <c r="AL335" s="23">
        <f>IFERROR(Data!$F335/Data!$E335,0)</f>
        <v>33.095238095238095</v>
      </c>
      <c r="AM335" s="23">
        <f>COUNTIF(Data!$N$2:$N$825,Data!$N335)</f>
        <v>218</v>
      </c>
      <c r="AN335" s="23" t="str">
        <f>VLOOKUP(Data!$N335,'Helpful Tables'!A:D,4,FALSE)</f>
        <v>Washington, DC</v>
      </c>
      <c r="AO335" s="23">
        <f>COUNTIF(AN:AN,Data!$AN335)/COUNTA(AN:AN)</f>
        <v>0.62424242424242427</v>
      </c>
      <c r="AP335" s="23">
        <v>38.934710000000003</v>
      </c>
      <c r="AQ335" s="23">
        <v>-77.058222999999998</v>
      </c>
      <c r="AR335" s="23">
        <f>COUNTIF(Data!$P$2:$P$825,Data!$P335)</f>
        <v>71</v>
      </c>
      <c r="AS335" s="23" cm="1">
        <f t="array" ref="AS335">_xlfn.IFS(Data!$E335&lt;12,((Data!$E335/Data!$D335)*60)*1,AND(Data!$E335&gt;=12,Data!$E335&lt;=15),((Data!$E335/Data!$D335)*60)*1.2,AND(Data!$E335&gt;=16,Data!$E335&lt;=19),((Data!$E335/Data!$D335)*60)*1.5,Data!$E335&gt;=20,((Data!$E335/Data!$D335)*60)*1.8)</f>
        <v>40.5</v>
      </c>
      <c r="AT335" s="23" cm="1">
        <f t="array" ref="AT335">_xlfn.IFS(Data!$F335&lt;600,((Data!$F335/Data!$D335)*60)*1,AND(Data!$F335&gt;=600,Data!$F335&lt;=625),((Data!$F335/Data!$D335)*60)*1.2,AND(Data!$F335&gt;=626,Data!$F335&lt;=650),((Data!$F335/Data!$D335)*60)*1.5,Data!$F335&gt;=651,((Data!$F335/Data!$D335)*60)*1.8)</f>
        <v>1340.3571428571431</v>
      </c>
      <c r="AU335" s="23">
        <f>(Data!$I335*-1.2)+(Data!$J335*-1.1)+(Data!$K335*1.2)+(Data!$L335*1.3)+(Data!$M335*1.5)</f>
        <v>33.299999999999997</v>
      </c>
      <c r="AV335" s="23">
        <f>(Data!$AS335*0.4)+(Data!$AT335*0.4)+(Data!$AU335*0.2)</f>
        <v>559.00285714285724</v>
      </c>
      <c r="AW335" s="23">
        <f>PERCENTRANK(AV:AV,Data!$AV335)*100</f>
        <v>98.7</v>
      </c>
      <c r="AX335" s="23" t="str">
        <f>_xlfn.CONCAT(TEXT(C335,"mmm"),"-",Data!$AE335)</f>
        <v>Jul-2022</v>
      </c>
    </row>
    <row r="336" spans="1:50" ht="17" thickTop="1" thickBot="1" x14ac:dyDescent="0.25">
      <c r="A336" s="28">
        <v>335</v>
      </c>
      <c r="B336" s="29">
        <f t="shared" si="42"/>
        <v>18</v>
      </c>
      <c r="C336" s="41">
        <v>44764</v>
      </c>
      <c r="D336" s="30">
        <f>SUM(Data!$I336:$M336)</f>
        <v>60</v>
      </c>
      <c r="E336" s="29">
        <v>14</v>
      </c>
      <c r="F336" s="29">
        <v>664</v>
      </c>
      <c r="G336" s="29">
        <v>170</v>
      </c>
      <c r="H336" s="29">
        <v>127</v>
      </c>
      <c r="I336" s="29">
        <v>14</v>
      </c>
      <c r="J336" s="29">
        <v>14</v>
      </c>
      <c r="K336" s="29">
        <v>18</v>
      </c>
      <c r="L336" s="29">
        <v>10</v>
      </c>
      <c r="M336" s="29">
        <v>4</v>
      </c>
      <c r="N336" s="29" t="s">
        <v>91</v>
      </c>
      <c r="O336" s="29" t="s">
        <v>89</v>
      </c>
      <c r="P336" s="29" t="s">
        <v>97</v>
      </c>
      <c r="Q336" s="29">
        <f t="shared" si="48"/>
        <v>2</v>
      </c>
      <c r="R336" s="29" t="str">
        <f t="shared" si="43"/>
        <v>7-2022</v>
      </c>
      <c r="S336" s="29" t="s">
        <v>104</v>
      </c>
      <c r="T336" s="29" t="str">
        <f t="shared" si="44"/>
        <v>Friday</v>
      </c>
      <c r="U336" s="29">
        <f t="shared" si="45"/>
        <v>1</v>
      </c>
      <c r="V336" s="31">
        <f>IFERROR(Data!$I336/Data!$D336,"")</f>
        <v>0.23333333333333334</v>
      </c>
      <c r="W336" s="31">
        <f>IFERROR(Data!$J336/Data!$D336,"")</f>
        <v>0.23333333333333334</v>
      </c>
      <c r="X336" s="31">
        <f>IFERROR(Data!$K336/Data!$D336,"")</f>
        <v>0.3</v>
      </c>
      <c r="Y336" s="31">
        <f>IFERROR(Data!$L336/Data!$D336,"")</f>
        <v>0.16666666666666666</v>
      </c>
      <c r="Z336" s="31">
        <f>IFERROR(Data!$M336/Data!$D336,"")</f>
        <v>6.6666666666666666E-2</v>
      </c>
      <c r="AA336" s="32">
        <v>232.14</v>
      </c>
      <c r="AB336" s="32">
        <f t="shared" ref="AB336:AB399" si="49">AA336/B336</f>
        <v>12.896666666666667</v>
      </c>
      <c r="AC336" s="29">
        <f t="shared" si="46"/>
        <v>616.38888888888891</v>
      </c>
      <c r="AD336" s="29">
        <f t="shared" si="47"/>
        <v>13.444444444444445</v>
      </c>
      <c r="AE336" s="29">
        <f>YEAR(Data!$C336)</f>
        <v>2022</v>
      </c>
      <c r="AF336" s="29"/>
      <c r="AG336" s="29">
        <v>12</v>
      </c>
      <c r="AH336" s="33">
        <f>Data!$F336/Data!$D336</f>
        <v>11.066666666666666</v>
      </c>
      <c r="AI336" s="17" t="str">
        <f>RIGHT(Data!$O336,2)</f>
        <v>AM</v>
      </c>
      <c r="AJ336" s="29" t="str">
        <f>Data!$R336&amp;"-"&amp;WEEKNUM(Data!$C336,1)-WEEKNUM(DATE(YEAR(Data!$C336),MONTH(Data!$C336),1),1)+1</f>
        <v>7-2022-4</v>
      </c>
      <c r="AK336" s="29">
        <f>MONTH(Data!$C336)</f>
        <v>7</v>
      </c>
      <c r="AL336" s="29">
        <f>IFERROR(Data!$F336/Data!$E336,0)</f>
        <v>47.428571428571431</v>
      </c>
      <c r="AM336" s="29">
        <f>COUNTIF(Data!$N$2:$N$825,Data!$N336)</f>
        <v>218</v>
      </c>
      <c r="AN336" s="29" t="str">
        <f>VLOOKUP(Data!$N336,'Helpful Tables'!A:D,4,FALSE)</f>
        <v>Washington, DC</v>
      </c>
      <c r="AO336" s="29">
        <f>COUNTIF(AN:AN,Data!$AN336)/COUNTA(AN:AN)</f>
        <v>0.62424242424242427</v>
      </c>
      <c r="AP336" s="29">
        <v>38.934710000000003</v>
      </c>
      <c r="AQ336" s="29">
        <v>-77.058222999999998</v>
      </c>
      <c r="AR336" s="29">
        <f>COUNTIF(Data!$P$2:$P$825,Data!$P336)</f>
        <v>14</v>
      </c>
      <c r="AS336" s="29" cm="1">
        <f t="array" ref="AS336">_xlfn.IFS(Data!$E336&lt;12,((Data!$E336/Data!$D336)*60)*1,AND(Data!$E336&gt;=12,Data!$E336&lt;=15),((Data!$E336/Data!$D336)*60)*1.2,AND(Data!$E336&gt;=16,Data!$E336&lt;=19),((Data!$E336/Data!$D336)*60)*1.5,Data!$E336&gt;=20,((Data!$E336/Data!$D336)*60)*1.8)</f>
        <v>16.8</v>
      </c>
      <c r="AT336" s="29" cm="1">
        <f t="array" ref="AT336">_xlfn.IFS(Data!$F336&lt;600,((Data!$F336/Data!$D336)*60)*1,AND(Data!$F336&gt;=600,Data!$F336&lt;=625),((Data!$F336/Data!$D336)*60)*1.2,AND(Data!$F336&gt;=626,Data!$F336&lt;=650),((Data!$F336/Data!$D336)*60)*1.5,Data!$F336&gt;=651,((Data!$F336/Data!$D336)*60)*1.8)</f>
        <v>1195.2</v>
      </c>
      <c r="AU336" s="29">
        <f>(Data!$I336*-1.2)+(Data!$J336*-1.1)+(Data!$K336*1.2)+(Data!$L336*1.3)+(Data!$M336*1.5)</f>
        <v>8.399999999999995</v>
      </c>
      <c r="AV336" s="29">
        <f>(Data!$AS336*0.4)+(Data!$AT336*0.4)+(Data!$AU336*0.2)</f>
        <v>486.48000000000008</v>
      </c>
      <c r="AW336" s="29">
        <f>PERCENTRANK(AV:AV,Data!$AV336)*100</f>
        <v>71</v>
      </c>
      <c r="AX336" s="29" t="str">
        <f>_xlfn.CONCAT(TEXT(C336,"mmm"),"-",Data!$AE336)</f>
        <v>Jul-2022</v>
      </c>
    </row>
    <row r="337" spans="1:50" ht="17" thickTop="1" thickBot="1" x14ac:dyDescent="0.25">
      <c r="A337" s="22">
        <v>336</v>
      </c>
      <c r="B337" s="23">
        <f t="shared" si="42"/>
        <v>18</v>
      </c>
      <c r="C337" s="41">
        <v>44765</v>
      </c>
      <c r="D337" s="24">
        <f>SUM(Data!$I337:$M337)</f>
        <v>58</v>
      </c>
      <c r="E337" s="23">
        <v>16</v>
      </c>
      <c r="F337" s="23">
        <v>658</v>
      </c>
      <c r="G337" s="23">
        <v>168</v>
      </c>
      <c r="H337" s="23">
        <v>130</v>
      </c>
      <c r="I337" s="23">
        <v>8</v>
      </c>
      <c r="J337" s="23">
        <v>19</v>
      </c>
      <c r="K337" s="23">
        <v>15</v>
      </c>
      <c r="L337" s="23">
        <v>13</v>
      </c>
      <c r="M337" s="23">
        <v>3</v>
      </c>
      <c r="N337" s="23" t="s">
        <v>101</v>
      </c>
      <c r="O337" s="23" t="s">
        <v>45</v>
      </c>
      <c r="P337" s="23" t="s">
        <v>109</v>
      </c>
      <c r="Q337" s="23">
        <f t="shared" si="48"/>
        <v>1</v>
      </c>
      <c r="R337" s="23" t="str">
        <f t="shared" si="43"/>
        <v>7-2022</v>
      </c>
      <c r="S337" s="23" t="s">
        <v>104</v>
      </c>
      <c r="T337" s="23" t="str">
        <f t="shared" si="44"/>
        <v>Saturday</v>
      </c>
      <c r="U337" s="23">
        <f t="shared" si="45"/>
        <v>1</v>
      </c>
      <c r="V337" s="25">
        <f>IFERROR(Data!$I337/Data!$D337,"")</f>
        <v>0.13793103448275862</v>
      </c>
      <c r="W337" s="25">
        <f>IFERROR(Data!$J337/Data!$D337,"")</f>
        <v>0.32758620689655171</v>
      </c>
      <c r="X337" s="25">
        <f>IFERROR(Data!$K337/Data!$D337,"")</f>
        <v>0.25862068965517243</v>
      </c>
      <c r="Y337" s="25">
        <f>IFERROR(Data!$L337/Data!$D337,"")</f>
        <v>0.22413793103448276</v>
      </c>
      <c r="Z337" s="25">
        <f>IFERROR(Data!$M337/Data!$D337,"")</f>
        <v>5.1724137931034482E-2</v>
      </c>
      <c r="AA337" s="26">
        <v>232.14</v>
      </c>
      <c r="AB337" s="26">
        <f t="shared" si="49"/>
        <v>12.896666666666667</v>
      </c>
      <c r="AC337" s="23">
        <f t="shared" si="46"/>
        <v>616.38888888888891</v>
      </c>
      <c r="AD337" s="23">
        <f t="shared" si="47"/>
        <v>13.444444444444445</v>
      </c>
      <c r="AE337" s="23">
        <f>YEAR(Data!$C337)</f>
        <v>2022</v>
      </c>
      <c r="AF337" s="23"/>
      <c r="AG337" s="23">
        <v>12</v>
      </c>
      <c r="AH337" s="27">
        <f>Data!$F337/Data!$D337</f>
        <v>11.344827586206897</v>
      </c>
      <c r="AI337" s="17" t="str">
        <f>RIGHT(Data!$O337,2)</f>
        <v>AM</v>
      </c>
      <c r="AJ337" s="23" t="str">
        <f>Data!$R337&amp;"-"&amp;WEEKNUM(Data!$C337,1)-WEEKNUM(DATE(YEAR(Data!$C337),MONTH(Data!$C337),1),1)+1</f>
        <v>7-2022-4</v>
      </c>
      <c r="AK337" s="23">
        <f>MONTH(Data!$C337)</f>
        <v>7</v>
      </c>
      <c r="AL337" s="23">
        <f>IFERROR(Data!$F337/Data!$E337,0)</f>
        <v>41.125</v>
      </c>
      <c r="AM337" s="23">
        <f>COUNTIF(Data!$N$2:$N$825,Data!$N337)</f>
        <v>191</v>
      </c>
      <c r="AN337" s="23" t="str">
        <f>VLOOKUP(Data!$N337,'Helpful Tables'!A:D,4,FALSE)</f>
        <v>Washington, DC</v>
      </c>
      <c r="AO337" s="23">
        <f>COUNTIF(AN:AN,Data!$AN337)/COUNTA(AN:AN)</f>
        <v>0.62424242424242427</v>
      </c>
      <c r="AP337" s="23">
        <v>38.949649000000001</v>
      </c>
      <c r="AQ337" s="23">
        <v>-77.080878999999996</v>
      </c>
      <c r="AR337" s="23">
        <f>COUNTIF(Data!$P$2:$P$825,Data!$P337)</f>
        <v>66</v>
      </c>
      <c r="AS337" s="23" cm="1">
        <f t="array" ref="AS337">_xlfn.IFS(Data!$E337&lt;12,((Data!$E337/Data!$D337)*60)*1,AND(Data!$E337&gt;=12,Data!$E337&lt;=15),((Data!$E337/Data!$D337)*60)*1.2,AND(Data!$E337&gt;=16,Data!$E337&lt;=19),((Data!$E337/Data!$D337)*60)*1.5,Data!$E337&gt;=20,((Data!$E337/Data!$D337)*60)*1.8)</f>
        <v>24.827586206896555</v>
      </c>
      <c r="AT337" s="23" cm="1">
        <f t="array" ref="AT337">_xlfn.IFS(Data!$F337&lt;600,((Data!$F337/Data!$D337)*60)*1,AND(Data!$F337&gt;=600,Data!$F337&lt;=625),((Data!$F337/Data!$D337)*60)*1.2,AND(Data!$F337&gt;=626,Data!$F337&lt;=650),((Data!$F337/Data!$D337)*60)*1.5,Data!$F337&gt;=651,((Data!$F337/Data!$D337)*60)*1.8)</f>
        <v>1225.2413793103449</v>
      </c>
      <c r="AU337" s="23">
        <f>(Data!$I337*-1.2)+(Data!$J337*-1.1)+(Data!$K337*1.2)+(Data!$L337*1.3)+(Data!$M337*1.5)</f>
        <v>8.9000000000000021</v>
      </c>
      <c r="AV337" s="23">
        <f>(Data!$AS337*0.4)+(Data!$AT337*0.4)+(Data!$AU337*0.2)</f>
        <v>501.80758620689653</v>
      </c>
      <c r="AW337" s="23">
        <f>PERCENTRANK(AV:AV,Data!$AV337)*100</f>
        <v>78.8</v>
      </c>
      <c r="AX337" s="23" t="str">
        <f>_xlfn.CONCAT(TEXT(C337,"mmm"),"-",Data!$AE337)</f>
        <v>Jul-2022</v>
      </c>
    </row>
    <row r="338" spans="1:50" ht="17" thickTop="1" thickBot="1" x14ac:dyDescent="0.25">
      <c r="A338" s="28">
        <v>337</v>
      </c>
      <c r="B338" s="29">
        <f t="shared" si="42"/>
        <v>18</v>
      </c>
      <c r="C338" s="41">
        <v>44767</v>
      </c>
      <c r="D338" s="30">
        <f>SUM(Data!$I338:$M338)</f>
        <v>57</v>
      </c>
      <c r="E338" s="29">
        <v>14</v>
      </c>
      <c r="F338" s="29">
        <v>616</v>
      </c>
      <c r="G338" s="29">
        <v>165</v>
      </c>
      <c r="H338" s="29">
        <v>127</v>
      </c>
      <c r="I338" s="29">
        <v>12</v>
      </c>
      <c r="J338" s="29">
        <v>15</v>
      </c>
      <c r="K338" s="29">
        <v>16</v>
      </c>
      <c r="L338" s="29">
        <v>13</v>
      </c>
      <c r="M338" s="29">
        <v>1</v>
      </c>
      <c r="N338" s="29" t="s">
        <v>101</v>
      </c>
      <c r="O338" s="29" t="s">
        <v>39</v>
      </c>
      <c r="P338" s="29" t="s">
        <v>109</v>
      </c>
      <c r="Q338" s="29">
        <f t="shared" si="48"/>
        <v>2</v>
      </c>
      <c r="R338" s="29" t="str">
        <f t="shared" si="43"/>
        <v>7-2022</v>
      </c>
      <c r="S338" s="29" t="s">
        <v>145</v>
      </c>
      <c r="T338" s="29" t="str">
        <f t="shared" si="44"/>
        <v>Monday</v>
      </c>
      <c r="U338" s="29">
        <f t="shared" si="45"/>
        <v>1</v>
      </c>
      <c r="V338" s="31">
        <f>IFERROR(Data!$I338/Data!$D338,"")</f>
        <v>0.21052631578947367</v>
      </c>
      <c r="W338" s="31">
        <f>IFERROR(Data!$J338/Data!$D338,"")</f>
        <v>0.26315789473684209</v>
      </c>
      <c r="X338" s="31">
        <f>IFERROR(Data!$K338/Data!$D338,"")</f>
        <v>0.2807017543859649</v>
      </c>
      <c r="Y338" s="31">
        <f>IFERROR(Data!$L338/Data!$D338,"")</f>
        <v>0.22807017543859648</v>
      </c>
      <c r="Z338" s="31">
        <f>IFERROR(Data!$M338/Data!$D338,"")</f>
        <v>1.7543859649122806E-2</v>
      </c>
      <c r="AA338" s="32">
        <v>232.14</v>
      </c>
      <c r="AB338" s="32">
        <f t="shared" si="49"/>
        <v>12.896666666666667</v>
      </c>
      <c r="AC338" s="29">
        <f t="shared" si="46"/>
        <v>616.38888888888891</v>
      </c>
      <c r="AD338" s="29">
        <f t="shared" si="47"/>
        <v>13.444444444444445</v>
      </c>
      <c r="AE338" s="29">
        <f>YEAR(Data!$C338)</f>
        <v>2022</v>
      </c>
      <c r="AF338" s="29"/>
      <c r="AG338" s="29">
        <v>12</v>
      </c>
      <c r="AH338" s="33">
        <f>Data!$F338/Data!$D338</f>
        <v>10.807017543859649</v>
      </c>
      <c r="AI338" s="17" t="str">
        <f>RIGHT(Data!$O338,2)</f>
        <v>PM</v>
      </c>
      <c r="AJ338" s="29" t="str">
        <f>Data!$R338&amp;"-"&amp;WEEKNUM(Data!$C338,1)-WEEKNUM(DATE(YEAR(Data!$C338),MONTH(Data!$C338),1),1)+1</f>
        <v>7-2022-5</v>
      </c>
      <c r="AK338" s="29">
        <f>MONTH(Data!$C338)</f>
        <v>7</v>
      </c>
      <c r="AL338" s="29">
        <f>IFERROR(Data!$F338/Data!$E338,0)</f>
        <v>44</v>
      </c>
      <c r="AM338" s="29">
        <f>COUNTIF(Data!$N$2:$N$825,Data!$N338)</f>
        <v>191</v>
      </c>
      <c r="AN338" s="29" t="str">
        <f>VLOOKUP(Data!$N338,'Helpful Tables'!A:D,4,FALSE)</f>
        <v>Washington, DC</v>
      </c>
      <c r="AO338" s="29">
        <f>COUNTIF(AN:AN,Data!$AN338)/COUNTA(AN:AN)</f>
        <v>0.62424242424242427</v>
      </c>
      <c r="AP338" s="29">
        <v>38.949649000000001</v>
      </c>
      <c r="AQ338" s="29">
        <v>-77.080878999999996</v>
      </c>
      <c r="AR338" s="29">
        <f>COUNTIF(Data!$P$2:$P$825,Data!$P338)</f>
        <v>66</v>
      </c>
      <c r="AS338" s="29" cm="1">
        <f t="array" ref="AS338">_xlfn.IFS(Data!$E338&lt;12,((Data!$E338/Data!$D338)*60)*1,AND(Data!$E338&gt;=12,Data!$E338&lt;=15),((Data!$E338/Data!$D338)*60)*1.2,AND(Data!$E338&gt;=16,Data!$E338&lt;=19),((Data!$E338/Data!$D338)*60)*1.5,Data!$E338&gt;=20,((Data!$E338/Data!$D338)*60)*1.8)</f>
        <v>17.684210526315788</v>
      </c>
      <c r="AT338" s="29" cm="1">
        <f t="array" ref="AT338">_xlfn.IFS(Data!$F338&lt;600,((Data!$F338/Data!$D338)*60)*1,AND(Data!$F338&gt;=600,Data!$F338&lt;=625),((Data!$F338/Data!$D338)*60)*1.2,AND(Data!$F338&gt;=626,Data!$F338&lt;=650),((Data!$F338/Data!$D338)*60)*1.5,Data!$F338&gt;=651,((Data!$F338/Data!$D338)*60)*1.8)</f>
        <v>778.10526315789468</v>
      </c>
      <c r="AU338" s="29">
        <f>(Data!$I338*-1.2)+(Data!$J338*-1.1)+(Data!$K338*1.2)+(Data!$L338*1.3)+(Data!$M338*1.5)</f>
        <v>6.7000000000000028</v>
      </c>
      <c r="AV338" s="29">
        <f>(Data!$AS338*0.4)+(Data!$AT338*0.4)+(Data!$AU338*0.2)</f>
        <v>319.65578947368419</v>
      </c>
      <c r="AW338" s="29">
        <f>PERCENTRANK(AV:AV,Data!$AV338)*100</f>
        <v>37.4</v>
      </c>
      <c r="AX338" s="29" t="str">
        <f>_xlfn.CONCAT(TEXT(C338,"mmm"),"-",Data!$AE338)</f>
        <v>Jul-2022</v>
      </c>
    </row>
    <row r="339" spans="1:50" ht="17" thickTop="1" thickBot="1" x14ac:dyDescent="0.25">
      <c r="A339" s="22">
        <v>338</v>
      </c>
      <c r="B339" s="23">
        <f t="shared" si="42"/>
        <v>18</v>
      </c>
      <c r="C339" s="41">
        <v>44768</v>
      </c>
      <c r="D339" s="24">
        <f>SUM(Data!$I339:$M339)</f>
        <v>54</v>
      </c>
      <c r="E339" s="23">
        <v>14</v>
      </c>
      <c r="F339" s="23">
        <v>611</v>
      </c>
      <c r="G339" s="23">
        <v>166</v>
      </c>
      <c r="H339" s="23">
        <v>129</v>
      </c>
      <c r="I339" s="23">
        <v>8</v>
      </c>
      <c r="J339" s="23">
        <v>19</v>
      </c>
      <c r="K339" s="23">
        <v>13</v>
      </c>
      <c r="L339" s="23">
        <v>12</v>
      </c>
      <c r="M339" s="23">
        <v>2</v>
      </c>
      <c r="N339" s="23" t="s">
        <v>91</v>
      </c>
      <c r="O339" s="23" t="s">
        <v>57</v>
      </c>
      <c r="P339" s="23" t="s">
        <v>134</v>
      </c>
      <c r="Q339" s="23">
        <f t="shared" si="48"/>
        <v>1</v>
      </c>
      <c r="R339" s="23" t="str">
        <f t="shared" si="43"/>
        <v>7-2022</v>
      </c>
      <c r="S339" s="23" t="s">
        <v>104</v>
      </c>
      <c r="T339" s="23" t="str">
        <f t="shared" si="44"/>
        <v>Tuesday</v>
      </c>
      <c r="U339" s="23">
        <f t="shared" si="45"/>
        <v>1</v>
      </c>
      <c r="V339" s="25">
        <f>IFERROR(Data!$I339/Data!$D339,"")</f>
        <v>0.14814814814814814</v>
      </c>
      <c r="W339" s="25">
        <f>IFERROR(Data!$J339/Data!$D339,"")</f>
        <v>0.35185185185185186</v>
      </c>
      <c r="X339" s="25">
        <f>IFERROR(Data!$K339/Data!$D339,"")</f>
        <v>0.24074074074074073</v>
      </c>
      <c r="Y339" s="25">
        <f>IFERROR(Data!$L339/Data!$D339,"")</f>
        <v>0.22222222222222221</v>
      </c>
      <c r="Z339" s="25">
        <f>IFERROR(Data!$M339/Data!$D339,"")</f>
        <v>3.7037037037037035E-2</v>
      </c>
      <c r="AA339" s="26">
        <v>232.14</v>
      </c>
      <c r="AB339" s="26">
        <f t="shared" si="49"/>
        <v>12.896666666666667</v>
      </c>
      <c r="AC339" s="23">
        <f t="shared" si="46"/>
        <v>616.38888888888891</v>
      </c>
      <c r="AD339" s="23">
        <f t="shared" si="47"/>
        <v>13.444444444444445</v>
      </c>
      <c r="AE339" s="23">
        <f>YEAR(Data!$C339)</f>
        <v>2022</v>
      </c>
      <c r="AF339" s="23"/>
      <c r="AG339" s="23">
        <v>12</v>
      </c>
      <c r="AH339" s="27">
        <f>Data!$F339/Data!$D339</f>
        <v>11.314814814814815</v>
      </c>
      <c r="AI339" s="17" t="str">
        <f>RIGHT(Data!$O339,2)</f>
        <v>PM</v>
      </c>
      <c r="AJ339" s="23" t="str">
        <f>Data!$R339&amp;"-"&amp;WEEKNUM(Data!$C339,1)-WEEKNUM(DATE(YEAR(Data!$C339),MONTH(Data!$C339),1),1)+1</f>
        <v>7-2022-5</v>
      </c>
      <c r="AK339" s="23">
        <f>MONTH(Data!$C339)</f>
        <v>7</v>
      </c>
      <c r="AL339" s="23">
        <f>IFERROR(Data!$F339/Data!$E339,0)</f>
        <v>43.642857142857146</v>
      </c>
      <c r="AM339" s="23">
        <f>COUNTIF(Data!$N$2:$N$825,Data!$N339)</f>
        <v>218</v>
      </c>
      <c r="AN339" s="23" t="str">
        <f>VLOOKUP(Data!$N339,'Helpful Tables'!A:D,4,FALSE)</f>
        <v>Washington, DC</v>
      </c>
      <c r="AO339" s="23">
        <f>COUNTIF(AN:AN,Data!$AN339)/COUNTA(AN:AN)</f>
        <v>0.62424242424242427</v>
      </c>
      <c r="AP339" s="23">
        <v>38.934710000000003</v>
      </c>
      <c r="AQ339" s="23">
        <v>-77.058222999999998</v>
      </c>
      <c r="AR339" s="23">
        <f>COUNTIF(Data!$P$2:$P$825,Data!$P339)</f>
        <v>9</v>
      </c>
      <c r="AS339" s="23" cm="1">
        <f t="array" ref="AS339">_xlfn.IFS(Data!$E339&lt;12,((Data!$E339/Data!$D339)*60)*1,AND(Data!$E339&gt;=12,Data!$E339&lt;=15),((Data!$E339/Data!$D339)*60)*1.2,AND(Data!$E339&gt;=16,Data!$E339&lt;=19),((Data!$E339/Data!$D339)*60)*1.5,Data!$E339&gt;=20,((Data!$E339/Data!$D339)*60)*1.8)</f>
        <v>18.666666666666664</v>
      </c>
      <c r="AT339" s="23" cm="1">
        <f t="array" ref="AT339">_xlfn.IFS(Data!$F339&lt;600,((Data!$F339/Data!$D339)*60)*1,AND(Data!$F339&gt;=600,Data!$F339&lt;=625),((Data!$F339/Data!$D339)*60)*1.2,AND(Data!$F339&gt;=626,Data!$F339&lt;=650),((Data!$F339/Data!$D339)*60)*1.5,Data!$F339&gt;=651,((Data!$F339/Data!$D339)*60)*1.8)</f>
        <v>814.66666666666663</v>
      </c>
      <c r="AU339" s="23">
        <f>(Data!$I339*-1.2)+(Data!$J339*-1.1)+(Data!$K339*1.2)+(Data!$L339*1.3)+(Data!$M339*1.5)</f>
        <v>3.7000000000000011</v>
      </c>
      <c r="AV339" s="23">
        <f>(Data!$AS339*0.4)+(Data!$AT339*0.4)+(Data!$AU339*0.2)</f>
        <v>334.07333333333332</v>
      </c>
      <c r="AW339" s="23">
        <f>PERCENTRANK(AV:AV,Data!$AV339)*100</f>
        <v>43</v>
      </c>
      <c r="AX339" s="23" t="str">
        <f>_xlfn.CONCAT(TEXT(C339,"mmm"),"-",Data!$AE339)</f>
        <v>Jul-2022</v>
      </c>
    </row>
    <row r="340" spans="1:50" ht="17" thickTop="1" thickBot="1" x14ac:dyDescent="0.25">
      <c r="A340" s="28">
        <v>339</v>
      </c>
      <c r="B340" s="29">
        <f t="shared" si="42"/>
        <v>18</v>
      </c>
      <c r="C340" s="41">
        <v>44770</v>
      </c>
      <c r="D340" s="30">
        <f>SUM(Data!$I340:$M340)</f>
        <v>56</v>
      </c>
      <c r="E340" s="29">
        <v>14</v>
      </c>
      <c r="F340" s="29">
        <v>631</v>
      </c>
      <c r="G340" s="29">
        <v>163</v>
      </c>
      <c r="H340" s="29">
        <v>130</v>
      </c>
      <c r="I340" s="29">
        <v>8</v>
      </c>
      <c r="J340" s="29">
        <v>15</v>
      </c>
      <c r="K340" s="29">
        <v>19</v>
      </c>
      <c r="L340" s="29">
        <v>14</v>
      </c>
      <c r="M340" s="29">
        <v>0</v>
      </c>
      <c r="N340" s="29" t="s">
        <v>91</v>
      </c>
      <c r="O340" s="29" t="s">
        <v>57</v>
      </c>
      <c r="P340" s="29" t="s">
        <v>98</v>
      </c>
      <c r="Q340" s="29">
        <f t="shared" si="48"/>
        <v>2</v>
      </c>
      <c r="R340" s="29" t="str">
        <f t="shared" si="43"/>
        <v>7-2022</v>
      </c>
      <c r="S340" s="29" t="s">
        <v>117</v>
      </c>
      <c r="T340" s="29" t="str">
        <f t="shared" si="44"/>
        <v>Thursday</v>
      </c>
      <c r="U340" s="29">
        <f t="shared" si="45"/>
        <v>1</v>
      </c>
      <c r="V340" s="31">
        <f>IFERROR(Data!$I340/Data!$D340,"")</f>
        <v>0.14285714285714285</v>
      </c>
      <c r="W340" s="31">
        <f>IFERROR(Data!$J340/Data!$D340,"")</f>
        <v>0.26785714285714285</v>
      </c>
      <c r="X340" s="31">
        <f>IFERROR(Data!$K340/Data!$D340,"")</f>
        <v>0.3392857142857143</v>
      </c>
      <c r="Y340" s="31">
        <f>IFERROR(Data!$L340/Data!$D340,"")</f>
        <v>0.25</v>
      </c>
      <c r="Z340" s="31">
        <f>IFERROR(Data!$M340/Data!$D340,"")</f>
        <v>0</v>
      </c>
      <c r="AA340" s="32">
        <v>232.14</v>
      </c>
      <c r="AB340" s="32">
        <f t="shared" si="49"/>
        <v>12.896666666666667</v>
      </c>
      <c r="AC340" s="29">
        <f t="shared" si="46"/>
        <v>616.38888888888891</v>
      </c>
      <c r="AD340" s="29">
        <f t="shared" si="47"/>
        <v>13.444444444444445</v>
      </c>
      <c r="AE340" s="29">
        <f>YEAR(Data!$C340)</f>
        <v>2022</v>
      </c>
      <c r="AF340" s="29"/>
      <c r="AG340" s="29">
        <v>12</v>
      </c>
      <c r="AH340" s="33">
        <f>Data!$F340/Data!$D340</f>
        <v>11.267857142857142</v>
      </c>
      <c r="AI340" s="17" t="str">
        <f>RIGHT(Data!$O340,2)</f>
        <v>PM</v>
      </c>
      <c r="AJ340" s="29" t="str">
        <f>Data!$R340&amp;"-"&amp;WEEKNUM(Data!$C340,1)-WEEKNUM(DATE(YEAR(Data!$C340),MONTH(Data!$C340),1),1)+1</f>
        <v>7-2022-5</v>
      </c>
      <c r="AK340" s="29">
        <f>MONTH(Data!$C340)</f>
        <v>7</v>
      </c>
      <c r="AL340" s="29">
        <f>IFERROR(Data!$F340/Data!$E340,0)</f>
        <v>45.071428571428569</v>
      </c>
      <c r="AM340" s="29">
        <f>COUNTIF(Data!$N$2:$N$825,Data!$N340)</f>
        <v>218</v>
      </c>
      <c r="AN340" s="29" t="str">
        <f>VLOOKUP(Data!$N340,'Helpful Tables'!A:D,4,FALSE)</f>
        <v>Washington, DC</v>
      </c>
      <c r="AO340" s="29">
        <f>COUNTIF(AN:AN,Data!$AN340)/COUNTA(AN:AN)</f>
        <v>0.62424242424242427</v>
      </c>
      <c r="AP340" s="29">
        <v>38.934710000000003</v>
      </c>
      <c r="AQ340" s="29">
        <v>-77.058222999999998</v>
      </c>
      <c r="AR340" s="29">
        <f>COUNTIF(Data!$P$2:$P$825,Data!$P340)</f>
        <v>28</v>
      </c>
      <c r="AS340" s="29" cm="1">
        <f t="array" ref="AS340">_xlfn.IFS(Data!$E340&lt;12,((Data!$E340/Data!$D340)*60)*1,AND(Data!$E340&gt;=12,Data!$E340&lt;=15),((Data!$E340/Data!$D340)*60)*1.2,AND(Data!$E340&gt;=16,Data!$E340&lt;=19),((Data!$E340/Data!$D340)*60)*1.5,Data!$E340&gt;=20,((Data!$E340/Data!$D340)*60)*1.8)</f>
        <v>18</v>
      </c>
      <c r="AT340" s="29" cm="1">
        <f t="array" ref="AT340">_xlfn.IFS(Data!$F340&lt;600,((Data!$F340/Data!$D340)*60)*1,AND(Data!$F340&gt;=600,Data!$F340&lt;=625),((Data!$F340/Data!$D340)*60)*1.2,AND(Data!$F340&gt;=626,Data!$F340&lt;=650),((Data!$F340/Data!$D340)*60)*1.5,Data!$F340&gt;=651,((Data!$F340/Data!$D340)*60)*1.8)</f>
        <v>1014.1071428571429</v>
      </c>
      <c r="AU340" s="29">
        <f>(Data!$I340*-1.2)+(Data!$J340*-1.1)+(Data!$K340*1.2)+(Data!$L340*1.3)+(Data!$M340*1.5)</f>
        <v>14.899999999999999</v>
      </c>
      <c r="AV340" s="29">
        <f>(Data!$AS340*0.4)+(Data!$AT340*0.4)+(Data!$AU340*0.2)</f>
        <v>415.82285714285717</v>
      </c>
      <c r="AW340" s="29">
        <f>PERCENTRANK(AV:AV,Data!$AV340)*100</f>
        <v>59.5</v>
      </c>
      <c r="AX340" s="29" t="str">
        <f>_xlfn.CONCAT(TEXT(C340,"mmm"),"-",Data!$AE340)</f>
        <v>Jul-2022</v>
      </c>
    </row>
    <row r="341" spans="1:50" ht="17" thickTop="1" thickBot="1" x14ac:dyDescent="0.25">
      <c r="A341" s="22">
        <v>340</v>
      </c>
      <c r="B341" s="23">
        <f t="shared" si="42"/>
        <v>18</v>
      </c>
      <c r="C341" s="41">
        <v>44773</v>
      </c>
      <c r="D341" s="24">
        <f>SUM(Data!$I341:$M341)</f>
        <v>61</v>
      </c>
      <c r="E341" s="23">
        <v>14</v>
      </c>
      <c r="F341" s="23">
        <v>653</v>
      </c>
      <c r="G341" s="23">
        <v>167</v>
      </c>
      <c r="H341" s="23">
        <v>125</v>
      </c>
      <c r="I341" s="23">
        <v>17</v>
      </c>
      <c r="J341" s="23">
        <v>15</v>
      </c>
      <c r="K341" s="23">
        <v>15</v>
      </c>
      <c r="L341" s="23">
        <v>11</v>
      </c>
      <c r="M341" s="23">
        <v>3</v>
      </c>
      <c r="N341" s="23" t="s">
        <v>101</v>
      </c>
      <c r="O341" s="23" t="s">
        <v>45</v>
      </c>
      <c r="P341" s="23" t="s">
        <v>102</v>
      </c>
      <c r="Q341" s="23">
        <f t="shared" si="48"/>
        <v>3</v>
      </c>
      <c r="R341" s="23" t="str">
        <f t="shared" si="43"/>
        <v>7-2022</v>
      </c>
      <c r="S341" s="23" t="s">
        <v>104</v>
      </c>
      <c r="T341" s="23" t="str">
        <f t="shared" si="44"/>
        <v>Sunday</v>
      </c>
      <c r="U341" s="23">
        <f t="shared" si="45"/>
        <v>1</v>
      </c>
      <c r="V341" s="25">
        <f>IFERROR(Data!$I341/Data!$D341,"")</f>
        <v>0.27868852459016391</v>
      </c>
      <c r="W341" s="25">
        <f>IFERROR(Data!$J341/Data!$D341,"")</f>
        <v>0.24590163934426229</v>
      </c>
      <c r="X341" s="25">
        <f>IFERROR(Data!$K341/Data!$D341,"")</f>
        <v>0.24590163934426229</v>
      </c>
      <c r="Y341" s="25">
        <f>IFERROR(Data!$L341/Data!$D341,"")</f>
        <v>0.18032786885245902</v>
      </c>
      <c r="Z341" s="25">
        <f>IFERROR(Data!$M341/Data!$D341,"")</f>
        <v>4.9180327868852458E-2</v>
      </c>
      <c r="AA341" s="26">
        <v>232.14</v>
      </c>
      <c r="AB341" s="26">
        <f t="shared" si="49"/>
        <v>12.896666666666667</v>
      </c>
      <c r="AC341" s="23">
        <f t="shared" si="46"/>
        <v>616.38888888888891</v>
      </c>
      <c r="AD341" s="23">
        <f t="shared" si="47"/>
        <v>13.444444444444445</v>
      </c>
      <c r="AE341" s="23">
        <f>YEAR(Data!$C341)</f>
        <v>2022</v>
      </c>
      <c r="AF341" s="23"/>
      <c r="AG341" s="23">
        <v>12</v>
      </c>
      <c r="AH341" s="27">
        <f>Data!$F341/Data!$D341</f>
        <v>10.704918032786885</v>
      </c>
      <c r="AI341" s="17" t="str">
        <f>RIGHT(Data!$O341,2)</f>
        <v>AM</v>
      </c>
      <c r="AJ341" s="23" t="str">
        <f>Data!$R341&amp;"-"&amp;WEEKNUM(Data!$C341,1)-WEEKNUM(DATE(YEAR(Data!$C341),MONTH(Data!$C341),1),1)+1</f>
        <v>7-2022-6</v>
      </c>
      <c r="AK341" s="23">
        <f>MONTH(Data!$C341)</f>
        <v>7</v>
      </c>
      <c r="AL341" s="23">
        <f>IFERROR(Data!$F341/Data!$E341,0)</f>
        <v>46.642857142857146</v>
      </c>
      <c r="AM341" s="23">
        <f>COUNTIF(Data!$N$2:$N$825,Data!$N341)</f>
        <v>191</v>
      </c>
      <c r="AN341" s="23" t="str">
        <f>VLOOKUP(Data!$N341,'Helpful Tables'!A:D,4,FALSE)</f>
        <v>Washington, DC</v>
      </c>
      <c r="AO341" s="23">
        <f>COUNTIF(AN:AN,Data!$AN341)/COUNTA(AN:AN)</f>
        <v>0.62424242424242427</v>
      </c>
      <c r="AP341" s="23">
        <v>38.949649000000001</v>
      </c>
      <c r="AQ341" s="23">
        <v>-77.080878999999996</v>
      </c>
      <c r="AR341" s="23">
        <f>COUNTIF(Data!$P$2:$P$825,Data!$P341)</f>
        <v>20</v>
      </c>
      <c r="AS341" s="23" cm="1">
        <f t="array" ref="AS341">_xlfn.IFS(Data!$E341&lt;12,((Data!$E341/Data!$D341)*60)*1,AND(Data!$E341&gt;=12,Data!$E341&lt;=15),((Data!$E341/Data!$D341)*60)*1.2,AND(Data!$E341&gt;=16,Data!$E341&lt;=19),((Data!$E341/Data!$D341)*60)*1.5,Data!$E341&gt;=20,((Data!$E341/Data!$D341)*60)*1.8)</f>
        <v>16.524590163934427</v>
      </c>
      <c r="AT341" s="23" cm="1">
        <f t="array" ref="AT341">_xlfn.IFS(Data!$F341&lt;600,((Data!$F341/Data!$D341)*60)*1,AND(Data!$F341&gt;=600,Data!$F341&lt;=625),((Data!$F341/Data!$D341)*60)*1.2,AND(Data!$F341&gt;=626,Data!$F341&lt;=650),((Data!$F341/Data!$D341)*60)*1.5,Data!$F341&gt;=651,((Data!$F341/Data!$D341)*60)*1.8)</f>
        <v>1156.1311475409836</v>
      </c>
      <c r="AU341" s="23">
        <f>(Data!$I341*-1.2)+(Data!$J341*-1.1)+(Data!$K341*1.2)+(Data!$L341*1.3)+(Data!$M341*1.5)</f>
        <v>-9.9999999999997868E-2</v>
      </c>
      <c r="AV341" s="23">
        <f>(Data!$AS341*0.4)+(Data!$AT341*0.4)+(Data!$AU341*0.2)</f>
        <v>469.04229508196727</v>
      </c>
      <c r="AW341" s="23">
        <f>PERCENTRANK(AV:AV,Data!$AV341)*100</f>
        <v>66.7</v>
      </c>
      <c r="AX341" s="23" t="str">
        <f>_xlfn.CONCAT(TEXT(C341,"mmm"),"-",Data!$AE341)</f>
        <v>Jul-2022</v>
      </c>
    </row>
    <row r="342" spans="1:50" ht="17" thickTop="1" thickBot="1" x14ac:dyDescent="0.25">
      <c r="A342" s="28">
        <v>341</v>
      </c>
      <c r="B342" s="29">
        <f t="shared" si="42"/>
        <v>17</v>
      </c>
      <c r="C342" s="41">
        <v>44774</v>
      </c>
      <c r="D342" s="30">
        <f>SUM(Data!$I342:$M342)</f>
        <v>54</v>
      </c>
      <c r="E342" s="29">
        <v>14</v>
      </c>
      <c r="F342" s="29">
        <v>609</v>
      </c>
      <c r="G342" s="29">
        <v>173</v>
      </c>
      <c r="H342" s="29">
        <v>128</v>
      </c>
      <c r="I342" s="29">
        <v>8</v>
      </c>
      <c r="J342" s="29">
        <v>20</v>
      </c>
      <c r="K342" s="29">
        <v>12</v>
      </c>
      <c r="L342" s="29">
        <v>11</v>
      </c>
      <c r="M342" s="29">
        <v>3</v>
      </c>
      <c r="N342" s="29" t="s">
        <v>101</v>
      </c>
      <c r="O342" s="29" t="s">
        <v>39</v>
      </c>
      <c r="P342" s="29" t="s">
        <v>146</v>
      </c>
      <c r="Q342" s="29">
        <f t="shared" si="48"/>
        <v>1</v>
      </c>
      <c r="R342" s="29" t="str">
        <f t="shared" si="43"/>
        <v>8-2022</v>
      </c>
      <c r="S342" s="29" t="s">
        <v>104</v>
      </c>
      <c r="T342" s="29" t="str">
        <f t="shared" si="44"/>
        <v>Monday</v>
      </c>
      <c r="U342" s="29">
        <f t="shared" si="45"/>
        <v>1</v>
      </c>
      <c r="V342" s="31">
        <f>IFERROR(Data!$I342/Data!$D342,"")</f>
        <v>0.14814814814814814</v>
      </c>
      <c r="W342" s="31">
        <f>IFERROR(Data!$J342/Data!$D342,"")</f>
        <v>0.37037037037037035</v>
      </c>
      <c r="X342" s="31">
        <f>IFERROR(Data!$K342/Data!$D342,"")</f>
        <v>0.22222222222222221</v>
      </c>
      <c r="Y342" s="31">
        <f>IFERROR(Data!$L342/Data!$D342,"")</f>
        <v>0.20370370370370369</v>
      </c>
      <c r="Z342" s="31">
        <f>IFERROR(Data!$M342/Data!$D342,"")</f>
        <v>5.5555555555555552E-2</v>
      </c>
      <c r="AA342" s="32">
        <v>232.14</v>
      </c>
      <c r="AB342" s="32">
        <f t="shared" si="49"/>
        <v>13.655294117647058</v>
      </c>
      <c r="AC342" s="29">
        <f t="shared" si="46"/>
        <v>611.64705882352939</v>
      </c>
      <c r="AD342" s="29">
        <f t="shared" si="47"/>
        <v>14.941176470588236</v>
      </c>
      <c r="AE342" s="29">
        <f>YEAR(Data!$C342)</f>
        <v>2022</v>
      </c>
      <c r="AF342" s="29"/>
      <c r="AG342" s="29">
        <v>12</v>
      </c>
      <c r="AH342" s="33">
        <f>Data!$F342/Data!$D342</f>
        <v>11.277777777777779</v>
      </c>
      <c r="AI342" s="17" t="str">
        <f>RIGHT(Data!$O342,2)</f>
        <v>PM</v>
      </c>
      <c r="AJ342" s="29" t="str">
        <f>Data!$R342&amp;"-"&amp;WEEKNUM(Data!$C342,1)-WEEKNUM(DATE(YEAR(Data!$C342),MONTH(Data!$C342),1),1)+1</f>
        <v>8-2022-1</v>
      </c>
      <c r="AK342" s="29">
        <f>MONTH(Data!$C342)</f>
        <v>8</v>
      </c>
      <c r="AL342" s="29">
        <f>IFERROR(Data!$F342/Data!$E342,0)</f>
        <v>43.5</v>
      </c>
      <c r="AM342" s="29">
        <f>COUNTIF(Data!$N$2:$N$825,Data!$N342)</f>
        <v>191</v>
      </c>
      <c r="AN342" s="29" t="str">
        <f>VLOOKUP(Data!$N342,'Helpful Tables'!A:D,4,FALSE)</f>
        <v>Washington, DC</v>
      </c>
      <c r="AO342" s="29">
        <f>COUNTIF(AN:AN,Data!$AN342)/COUNTA(AN:AN)</f>
        <v>0.62424242424242427</v>
      </c>
      <c r="AP342" s="29">
        <v>38.949649000000001</v>
      </c>
      <c r="AQ342" s="29">
        <v>-77.080878999999996</v>
      </c>
      <c r="AR342" s="29">
        <f>COUNTIF(Data!$P$2:$P$825,Data!$P342)</f>
        <v>3</v>
      </c>
      <c r="AS342" s="29" cm="1">
        <f t="array" ref="AS342">_xlfn.IFS(Data!$E342&lt;12,((Data!$E342/Data!$D342)*60)*1,AND(Data!$E342&gt;=12,Data!$E342&lt;=15),((Data!$E342/Data!$D342)*60)*1.2,AND(Data!$E342&gt;=16,Data!$E342&lt;=19),((Data!$E342/Data!$D342)*60)*1.5,Data!$E342&gt;=20,((Data!$E342/Data!$D342)*60)*1.8)</f>
        <v>18.666666666666664</v>
      </c>
      <c r="AT342" s="29" cm="1">
        <f t="array" ref="AT342">_xlfn.IFS(Data!$F342&lt;600,((Data!$F342/Data!$D342)*60)*1,AND(Data!$F342&gt;=600,Data!$F342&lt;=625),((Data!$F342/Data!$D342)*60)*1.2,AND(Data!$F342&gt;=626,Data!$F342&lt;=650),((Data!$F342/Data!$D342)*60)*1.5,Data!$F342&gt;=651,((Data!$F342/Data!$D342)*60)*1.8)</f>
        <v>812.00000000000011</v>
      </c>
      <c r="AU342" s="29">
        <f>(Data!$I342*-1.2)+(Data!$J342*-1.1)+(Data!$K342*1.2)+(Data!$L342*1.3)+(Data!$M342*1.5)</f>
        <v>1.5999999999999979</v>
      </c>
      <c r="AV342" s="29">
        <f>(Data!$AS342*0.4)+(Data!$AT342*0.4)+(Data!$AU342*0.2)</f>
        <v>332.5866666666667</v>
      </c>
      <c r="AW342" s="29">
        <f>PERCENTRANK(AV:AV,Data!$AV342)*100</f>
        <v>42.1</v>
      </c>
      <c r="AX342" s="29" t="str">
        <f>_xlfn.CONCAT(TEXT(C342,"mmm"),"-",Data!$AE342)</f>
        <v>Aug-2022</v>
      </c>
    </row>
    <row r="343" spans="1:50" ht="17" thickTop="1" thickBot="1" x14ac:dyDescent="0.25">
      <c r="A343" s="22">
        <v>342</v>
      </c>
      <c r="B343" s="23">
        <f t="shared" si="42"/>
        <v>17</v>
      </c>
      <c r="C343" s="41">
        <v>44776</v>
      </c>
      <c r="D343" s="24">
        <f>SUM(Data!$I343:$M343)</f>
        <v>57</v>
      </c>
      <c r="E343" s="23">
        <v>10</v>
      </c>
      <c r="F343" s="23">
        <v>545</v>
      </c>
      <c r="G343" s="23">
        <v>168</v>
      </c>
      <c r="H343" s="23">
        <v>118</v>
      </c>
      <c r="I343" s="23">
        <v>23</v>
      </c>
      <c r="J343" s="23">
        <v>14</v>
      </c>
      <c r="K343" s="23">
        <v>10</v>
      </c>
      <c r="L343" s="23">
        <v>9</v>
      </c>
      <c r="M343" s="23">
        <v>1</v>
      </c>
      <c r="N343" s="23" t="s">
        <v>91</v>
      </c>
      <c r="O343" s="23" t="s">
        <v>57</v>
      </c>
      <c r="P343" s="23" t="s">
        <v>96</v>
      </c>
      <c r="Q343" s="23">
        <f t="shared" si="48"/>
        <v>2</v>
      </c>
      <c r="R343" s="23" t="str">
        <f t="shared" si="43"/>
        <v>8-2022</v>
      </c>
      <c r="S343" s="23" t="s">
        <v>104</v>
      </c>
      <c r="T343" s="23" t="str">
        <f t="shared" si="44"/>
        <v>Wednesday</v>
      </c>
      <c r="U343" s="23">
        <f t="shared" si="45"/>
        <v>0</v>
      </c>
      <c r="V343" s="25">
        <f>IFERROR(Data!$I343/Data!$D343,"")</f>
        <v>0.40350877192982454</v>
      </c>
      <c r="W343" s="25">
        <f>IFERROR(Data!$J343/Data!$D343,"")</f>
        <v>0.24561403508771928</v>
      </c>
      <c r="X343" s="25">
        <f>IFERROR(Data!$K343/Data!$D343,"")</f>
        <v>0.17543859649122806</v>
      </c>
      <c r="Y343" s="25">
        <f>IFERROR(Data!$L343/Data!$D343,"")</f>
        <v>0.15789473684210525</v>
      </c>
      <c r="Z343" s="25">
        <f>IFERROR(Data!$M343/Data!$D343,"")</f>
        <v>1.7543859649122806E-2</v>
      </c>
      <c r="AA343" s="26">
        <v>232.14</v>
      </c>
      <c r="AB343" s="26">
        <f t="shared" si="49"/>
        <v>13.655294117647058</v>
      </c>
      <c r="AC343" s="23">
        <f t="shared" si="46"/>
        <v>611.64705882352939</v>
      </c>
      <c r="AD343" s="23">
        <f t="shared" si="47"/>
        <v>14.941176470588236</v>
      </c>
      <c r="AE343" s="23">
        <f>YEAR(Data!$C343)</f>
        <v>2022</v>
      </c>
      <c r="AF343" s="23"/>
      <c r="AG343" s="23">
        <v>12</v>
      </c>
      <c r="AH343" s="27">
        <f>Data!$F343/Data!$D343</f>
        <v>9.5614035087719298</v>
      </c>
      <c r="AI343" s="17" t="str">
        <f>RIGHT(Data!$O343,2)</f>
        <v>PM</v>
      </c>
      <c r="AJ343" s="23" t="str">
        <f>Data!$R343&amp;"-"&amp;WEEKNUM(Data!$C343,1)-WEEKNUM(DATE(YEAR(Data!$C343),MONTH(Data!$C343),1),1)+1</f>
        <v>8-2022-1</v>
      </c>
      <c r="AK343" s="23">
        <f>MONTH(Data!$C343)</f>
        <v>8</v>
      </c>
      <c r="AL343" s="23">
        <f>IFERROR(Data!$F343/Data!$E343,0)</f>
        <v>54.5</v>
      </c>
      <c r="AM343" s="23">
        <f>COUNTIF(Data!$N$2:$N$825,Data!$N343)</f>
        <v>218</v>
      </c>
      <c r="AN343" s="23" t="str">
        <f>VLOOKUP(Data!$N343,'Helpful Tables'!A:D,4,FALSE)</f>
        <v>Washington, DC</v>
      </c>
      <c r="AO343" s="23">
        <f>COUNTIF(AN:AN,Data!$AN343)/COUNTA(AN:AN)</f>
        <v>0.62424242424242427</v>
      </c>
      <c r="AP343" s="23">
        <v>38.934710000000003</v>
      </c>
      <c r="AQ343" s="23">
        <v>-77.058222999999998</v>
      </c>
      <c r="AR343" s="23">
        <f>COUNTIF(Data!$P$2:$P$825,Data!$P343)</f>
        <v>71</v>
      </c>
      <c r="AS343" s="23" cm="1">
        <f t="array" ref="AS343">_xlfn.IFS(Data!$E343&lt;12,((Data!$E343/Data!$D343)*60)*1,AND(Data!$E343&gt;=12,Data!$E343&lt;=15),((Data!$E343/Data!$D343)*60)*1.2,AND(Data!$E343&gt;=16,Data!$E343&lt;=19),((Data!$E343/Data!$D343)*60)*1.5,Data!$E343&gt;=20,((Data!$E343/Data!$D343)*60)*1.8)</f>
        <v>10.526315789473683</v>
      </c>
      <c r="AT343" s="23" cm="1">
        <f t="array" ref="AT343">_xlfn.IFS(Data!$F343&lt;600,((Data!$F343/Data!$D343)*60)*1,AND(Data!$F343&gt;=600,Data!$F343&lt;=625),((Data!$F343/Data!$D343)*60)*1.2,AND(Data!$F343&gt;=626,Data!$F343&lt;=650),((Data!$F343/Data!$D343)*60)*1.5,Data!$F343&gt;=651,((Data!$F343/Data!$D343)*60)*1.8)</f>
        <v>573.68421052631584</v>
      </c>
      <c r="AU343" s="23">
        <f>(Data!$I343*-1.2)+(Data!$J343*-1.1)+(Data!$K343*1.2)+(Data!$L343*1.3)+(Data!$M343*1.5)</f>
        <v>-17.799999999999997</v>
      </c>
      <c r="AV343" s="23">
        <f>(Data!$AS343*0.4)+(Data!$AT343*0.4)+(Data!$AU343*0.2)</f>
        <v>230.12421052631584</v>
      </c>
      <c r="AW343" s="23">
        <f>PERCENTRANK(AV:AV,Data!$AV343)*100</f>
        <v>7.1999999999999993</v>
      </c>
      <c r="AX343" s="23" t="str">
        <f>_xlfn.CONCAT(TEXT(C343,"mmm"),"-",Data!$AE343)</f>
        <v>Aug-2022</v>
      </c>
    </row>
    <row r="344" spans="1:50" ht="17" thickTop="1" thickBot="1" x14ac:dyDescent="0.25">
      <c r="A344" s="28">
        <v>343</v>
      </c>
      <c r="B344" s="29">
        <f t="shared" si="42"/>
        <v>17</v>
      </c>
      <c r="C344" s="41">
        <v>44778</v>
      </c>
      <c r="D344" s="30">
        <f>SUM(Data!$I344:$M344)</f>
        <v>55</v>
      </c>
      <c r="E344" s="29">
        <v>15</v>
      </c>
      <c r="F344" s="29">
        <v>605</v>
      </c>
      <c r="G344" s="29">
        <v>174</v>
      </c>
      <c r="H344" s="29">
        <v>127</v>
      </c>
      <c r="I344" s="29">
        <v>14</v>
      </c>
      <c r="J344" s="29">
        <v>13</v>
      </c>
      <c r="K344" s="29">
        <v>13</v>
      </c>
      <c r="L344" s="29">
        <v>12</v>
      </c>
      <c r="M344" s="29">
        <v>3</v>
      </c>
      <c r="N344" s="29" t="s">
        <v>91</v>
      </c>
      <c r="O344" s="29" t="s">
        <v>89</v>
      </c>
      <c r="P344" s="29" t="s">
        <v>98</v>
      </c>
      <c r="Q344" s="29">
        <f t="shared" si="48"/>
        <v>2</v>
      </c>
      <c r="R344" s="29" t="str">
        <f t="shared" si="43"/>
        <v>8-2022</v>
      </c>
      <c r="S344" s="29" t="s">
        <v>104</v>
      </c>
      <c r="T344" s="29" t="str">
        <f t="shared" si="44"/>
        <v>Friday</v>
      </c>
      <c r="U344" s="29">
        <f t="shared" si="45"/>
        <v>1</v>
      </c>
      <c r="V344" s="31">
        <f>IFERROR(Data!$I344/Data!$D344,"")</f>
        <v>0.25454545454545452</v>
      </c>
      <c r="W344" s="31">
        <f>IFERROR(Data!$J344/Data!$D344,"")</f>
        <v>0.23636363636363636</v>
      </c>
      <c r="X344" s="31">
        <f>IFERROR(Data!$K344/Data!$D344,"")</f>
        <v>0.23636363636363636</v>
      </c>
      <c r="Y344" s="31">
        <f>IFERROR(Data!$L344/Data!$D344,"")</f>
        <v>0.21818181818181817</v>
      </c>
      <c r="Z344" s="31">
        <f>IFERROR(Data!$M344/Data!$D344,"")</f>
        <v>5.4545454545454543E-2</v>
      </c>
      <c r="AA344" s="32">
        <v>232.14</v>
      </c>
      <c r="AB344" s="32">
        <f t="shared" si="49"/>
        <v>13.655294117647058</v>
      </c>
      <c r="AC344" s="29">
        <f t="shared" si="46"/>
        <v>611.64705882352939</v>
      </c>
      <c r="AD344" s="29">
        <f t="shared" si="47"/>
        <v>14.941176470588236</v>
      </c>
      <c r="AE344" s="29">
        <f>YEAR(Data!$C344)</f>
        <v>2022</v>
      </c>
      <c r="AF344" s="29"/>
      <c r="AG344" s="29">
        <v>12</v>
      </c>
      <c r="AH344" s="33">
        <f>Data!$F344/Data!$D344</f>
        <v>11</v>
      </c>
      <c r="AI344" s="17" t="str">
        <f>RIGHT(Data!$O344,2)</f>
        <v>AM</v>
      </c>
      <c r="AJ344" s="29" t="str">
        <f>Data!$R344&amp;"-"&amp;WEEKNUM(Data!$C344,1)-WEEKNUM(DATE(YEAR(Data!$C344),MONTH(Data!$C344),1),1)+1</f>
        <v>8-2022-1</v>
      </c>
      <c r="AK344" s="29">
        <f>MONTH(Data!$C344)</f>
        <v>8</v>
      </c>
      <c r="AL344" s="29">
        <f>IFERROR(Data!$F344/Data!$E344,0)</f>
        <v>40.333333333333336</v>
      </c>
      <c r="AM344" s="29">
        <f>COUNTIF(Data!$N$2:$N$825,Data!$N344)</f>
        <v>218</v>
      </c>
      <c r="AN344" s="29" t="str">
        <f>VLOOKUP(Data!$N344,'Helpful Tables'!A:D,4,FALSE)</f>
        <v>Washington, DC</v>
      </c>
      <c r="AO344" s="29">
        <f>COUNTIF(AN:AN,Data!$AN344)/COUNTA(AN:AN)</f>
        <v>0.62424242424242427</v>
      </c>
      <c r="AP344" s="29">
        <v>38.934710000000003</v>
      </c>
      <c r="AQ344" s="29">
        <v>-77.058222999999998</v>
      </c>
      <c r="AR344" s="29">
        <f>COUNTIF(Data!$P$2:$P$825,Data!$P344)</f>
        <v>28</v>
      </c>
      <c r="AS344" s="29" cm="1">
        <f t="array" ref="AS344">_xlfn.IFS(Data!$E344&lt;12,((Data!$E344/Data!$D344)*60)*1,AND(Data!$E344&gt;=12,Data!$E344&lt;=15),((Data!$E344/Data!$D344)*60)*1.2,AND(Data!$E344&gt;=16,Data!$E344&lt;=19),((Data!$E344/Data!$D344)*60)*1.5,Data!$E344&gt;=20,((Data!$E344/Data!$D344)*60)*1.8)</f>
        <v>19.636363636363637</v>
      </c>
      <c r="AT344" s="29" cm="1">
        <f t="array" ref="AT344">_xlfn.IFS(Data!$F344&lt;600,((Data!$F344/Data!$D344)*60)*1,AND(Data!$F344&gt;=600,Data!$F344&lt;=625),((Data!$F344/Data!$D344)*60)*1.2,AND(Data!$F344&gt;=626,Data!$F344&lt;=650),((Data!$F344/Data!$D344)*60)*1.5,Data!$F344&gt;=651,((Data!$F344/Data!$D344)*60)*1.8)</f>
        <v>792</v>
      </c>
      <c r="AU344" s="29">
        <f>(Data!$I344*-1.2)+(Data!$J344*-1.1)+(Data!$K344*1.2)+(Data!$L344*1.3)+(Data!$M344*1.5)</f>
        <v>4.5999999999999996</v>
      </c>
      <c r="AV344" s="29">
        <f>(Data!$AS344*0.4)+(Data!$AT344*0.4)+(Data!$AU344*0.2)</f>
        <v>325.5745454545455</v>
      </c>
      <c r="AW344" s="29">
        <f>PERCENTRANK(AV:AV,Data!$AV344)*100</f>
        <v>39.900000000000006</v>
      </c>
      <c r="AX344" s="29" t="str">
        <f>_xlfn.CONCAT(TEXT(C344,"mmm"),"-",Data!$AE344)</f>
        <v>Aug-2022</v>
      </c>
    </row>
    <row r="345" spans="1:50" ht="17" thickTop="1" thickBot="1" x14ac:dyDescent="0.25">
      <c r="A345" s="22">
        <v>344</v>
      </c>
      <c r="B345" s="23">
        <f t="shared" si="42"/>
        <v>17</v>
      </c>
      <c r="C345" s="41">
        <v>44780</v>
      </c>
      <c r="D345" s="24">
        <f>SUM(Data!$I345:$M345)</f>
        <v>57</v>
      </c>
      <c r="E345" s="23">
        <v>19</v>
      </c>
      <c r="F345" s="23">
        <v>680</v>
      </c>
      <c r="G345" s="23">
        <v>171</v>
      </c>
      <c r="H345" s="23">
        <v>132</v>
      </c>
      <c r="I345" s="23">
        <v>6</v>
      </c>
      <c r="J345" s="23">
        <v>20</v>
      </c>
      <c r="K345" s="23">
        <v>12</v>
      </c>
      <c r="L345" s="23">
        <v>14</v>
      </c>
      <c r="M345" s="23">
        <v>5</v>
      </c>
      <c r="N345" s="23" t="s">
        <v>101</v>
      </c>
      <c r="O345" s="23" t="s">
        <v>45</v>
      </c>
      <c r="P345" s="23" t="s">
        <v>102</v>
      </c>
      <c r="Q345" s="23">
        <f t="shared" si="48"/>
        <v>2</v>
      </c>
      <c r="R345" s="23" t="str">
        <f t="shared" si="43"/>
        <v>8-2022</v>
      </c>
      <c r="S345" s="23" t="s">
        <v>104</v>
      </c>
      <c r="T345" s="23" t="str">
        <f t="shared" si="44"/>
        <v>Sunday</v>
      </c>
      <c r="U345" s="23">
        <f t="shared" si="45"/>
        <v>1</v>
      </c>
      <c r="V345" s="25">
        <f>IFERROR(Data!$I345/Data!$D345,"")</f>
        <v>0.10526315789473684</v>
      </c>
      <c r="W345" s="25">
        <f>IFERROR(Data!$J345/Data!$D345,"")</f>
        <v>0.35087719298245612</v>
      </c>
      <c r="X345" s="25">
        <f>IFERROR(Data!$K345/Data!$D345,"")</f>
        <v>0.21052631578947367</v>
      </c>
      <c r="Y345" s="25">
        <f>IFERROR(Data!$L345/Data!$D345,"")</f>
        <v>0.24561403508771928</v>
      </c>
      <c r="Z345" s="25">
        <f>IFERROR(Data!$M345/Data!$D345,"")</f>
        <v>8.771929824561403E-2</v>
      </c>
      <c r="AA345" s="26">
        <v>232.14</v>
      </c>
      <c r="AB345" s="26">
        <f t="shared" si="49"/>
        <v>13.655294117647058</v>
      </c>
      <c r="AC345" s="23">
        <f t="shared" si="46"/>
        <v>611.64705882352939</v>
      </c>
      <c r="AD345" s="23">
        <f t="shared" si="47"/>
        <v>14.941176470588236</v>
      </c>
      <c r="AE345" s="23">
        <f>YEAR(Data!$C345)</f>
        <v>2022</v>
      </c>
      <c r="AF345" s="23"/>
      <c r="AG345" s="23">
        <v>12</v>
      </c>
      <c r="AH345" s="27">
        <f>Data!$F345/Data!$D345</f>
        <v>11.929824561403509</v>
      </c>
      <c r="AI345" s="17" t="str">
        <f>RIGHT(Data!$O345,2)</f>
        <v>AM</v>
      </c>
      <c r="AJ345" s="23" t="str">
        <f>Data!$R345&amp;"-"&amp;WEEKNUM(Data!$C345,1)-WEEKNUM(DATE(YEAR(Data!$C345),MONTH(Data!$C345),1),1)+1</f>
        <v>8-2022-2</v>
      </c>
      <c r="AK345" s="23">
        <f>MONTH(Data!$C345)</f>
        <v>8</v>
      </c>
      <c r="AL345" s="23">
        <f>IFERROR(Data!$F345/Data!$E345,0)</f>
        <v>35.789473684210527</v>
      </c>
      <c r="AM345" s="23">
        <f>COUNTIF(Data!$N$2:$N$825,Data!$N345)</f>
        <v>191</v>
      </c>
      <c r="AN345" s="23" t="str">
        <f>VLOOKUP(Data!$N345,'Helpful Tables'!A:D,4,FALSE)</f>
        <v>Washington, DC</v>
      </c>
      <c r="AO345" s="23">
        <f>COUNTIF(AN:AN,Data!$AN345)/COUNTA(AN:AN)</f>
        <v>0.62424242424242427</v>
      </c>
      <c r="AP345" s="23">
        <v>38.949649000000001</v>
      </c>
      <c r="AQ345" s="23">
        <v>-77.080878999999996</v>
      </c>
      <c r="AR345" s="23">
        <f>COUNTIF(Data!$P$2:$P$825,Data!$P345)</f>
        <v>20</v>
      </c>
      <c r="AS345" s="23" cm="1">
        <f t="array" ref="AS345">_xlfn.IFS(Data!$E345&lt;12,((Data!$E345/Data!$D345)*60)*1,AND(Data!$E345&gt;=12,Data!$E345&lt;=15),((Data!$E345/Data!$D345)*60)*1.2,AND(Data!$E345&gt;=16,Data!$E345&lt;=19),((Data!$E345/Data!$D345)*60)*1.5,Data!$E345&gt;=20,((Data!$E345/Data!$D345)*60)*1.8)</f>
        <v>30</v>
      </c>
      <c r="AT345" s="23" cm="1">
        <f t="array" ref="AT345">_xlfn.IFS(Data!$F345&lt;600,((Data!$F345/Data!$D345)*60)*1,AND(Data!$F345&gt;=600,Data!$F345&lt;=625),((Data!$F345/Data!$D345)*60)*1.2,AND(Data!$F345&gt;=626,Data!$F345&lt;=650),((Data!$F345/Data!$D345)*60)*1.5,Data!$F345&gt;=651,((Data!$F345/Data!$D345)*60)*1.8)</f>
        <v>1288.421052631579</v>
      </c>
      <c r="AU345" s="23">
        <f>(Data!$I345*-1.2)+(Data!$J345*-1.1)+(Data!$K345*1.2)+(Data!$L345*1.3)+(Data!$M345*1.5)</f>
        <v>10.899999999999999</v>
      </c>
      <c r="AV345" s="23">
        <f>(Data!$AS345*0.4)+(Data!$AT345*0.4)+(Data!$AU345*0.2)</f>
        <v>529.54842105263151</v>
      </c>
      <c r="AW345" s="23">
        <f>PERCENTRANK(AV:AV,Data!$AV345)*100</f>
        <v>93.100000000000009</v>
      </c>
      <c r="AX345" s="23" t="str">
        <f>_xlfn.CONCAT(TEXT(C345,"mmm"),"-",Data!$AE345)</f>
        <v>Aug-2022</v>
      </c>
    </row>
    <row r="346" spans="1:50" ht="17" thickTop="1" thickBot="1" x14ac:dyDescent="0.25">
      <c r="A346" s="28">
        <v>345</v>
      </c>
      <c r="B346" s="29">
        <f t="shared" si="42"/>
        <v>17</v>
      </c>
      <c r="C346" s="41">
        <v>44781</v>
      </c>
      <c r="D346" s="30">
        <f>SUM(Data!$I346:$M346)</f>
        <v>60</v>
      </c>
      <c r="E346" s="29">
        <v>14</v>
      </c>
      <c r="F346" s="29">
        <v>626</v>
      </c>
      <c r="G346" s="29">
        <v>166</v>
      </c>
      <c r="H346" s="29">
        <v>124</v>
      </c>
      <c r="I346" s="29">
        <v>16</v>
      </c>
      <c r="J346" s="29">
        <v>16</v>
      </c>
      <c r="K346" s="29">
        <v>14</v>
      </c>
      <c r="L346" s="29">
        <v>12</v>
      </c>
      <c r="M346" s="29">
        <v>2</v>
      </c>
      <c r="N346" s="29" t="s">
        <v>101</v>
      </c>
      <c r="O346" s="29" t="s">
        <v>39</v>
      </c>
      <c r="P346" s="29" t="s">
        <v>109</v>
      </c>
      <c r="Q346" s="29">
        <f t="shared" si="48"/>
        <v>1</v>
      </c>
      <c r="R346" s="29" t="str">
        <f t="shared" si="43"/>
        <v>8-2022</v>
      </c>
      <c r="S346" s="29" t="s">
        <v>104</v>
      </c>
      <c r="T346" s="29" t="str">
        <f t="shared" si="44"/>
        <v>Monday</v>
      </c>
      <c r="U346" s="29">
        <f t="shared" si="45"/>
        <v>1</v>
      </c>
      <c r="V346" s="31">
        <f>IFERROR(Data!$I346/Data!$D346,"")</f>
        <v>0.26666666666666666</v>
      </c>
      <c r="W346" s="31">
        <f>IFERROR(Data!$J346/Data!$D346,"")</f>
        <v>0.26666666666666666</v>
      </c>
      <c r="X346" s="31">
        <f>IFERROR(Data!$K346/Data!$D346,"")</f>
        <v>0.23333333333333334</v>
      </c>
      <c r="Y346" s="31">
        <f>IFERROR(Data!$L346/Data!$D346,"")</f>
        <v>0.2</v>
      </c>
      <c r="Z346" s="31">
        <f>IFERROR(Data!$M346/Data!$D346,"")</f>
        <v>3.3333333333333333E-2</v>
      </c>
      <c r="AA346" s="32">
        <v>232.14</v>
      </c>
      <c r="AB346" s="32">
        <f t="shared" si="49"/>
        <v>13.655294117647058</v>
      </c>
      <c r="AC346" s="29">
        <f t="shared" si="46"/>
        <v>611.64705882352939</v>
      </c>
      <c r="AD346" s="29">
        <f t="shared" si="47"/>
        <v>14.941176470588236</v>
      </c>
      <c r="AE346" s="29">
        <f>YEAR(Data!$C346)</f>
        <v>2022</v>
      </c>
      <c r="AF346" s="29"/>
      <c r="AG346" s="29">
        <v>12</v>
      </c>
      <c r="AH346" s="33">
        <f>Data!$F346/Data!$D346</f>
        <v>10.433333333333334</v>
      </c>
      <c r="AI346" s="17" t="str">
        <f>RIGHT(Data!$O346,2)</f>
        <v>PM</v>
      </c>
      <c r="AJ346" s="29" t="str">
        <f>Data!$R346&amp;"-"&amp;WEEKNUM(Data!$C346,1)-WEEKNUM(DATE(YEAR(Data!$C346),MONTH(Data!$C346),1),1)+1</f>
        <v>8-2022-2</v>
      </c>
      <c r="AK346" s="29">
        <f>MONTH(Data!$C346)</f>
        <v>8</v>
      </c>
      <c r="AL346" s="29">
        <f>IFERROR(Data!$F346/Data!$E346,0)</f>
        <v>44.714285714285715</v>
      </c>
      <c r="AM346" s="29">
        <f>COUNTIF(Data!$N$2:$N$825,Data!$N346)</f>
        <v>191</v>
      </c>
      <c r="AN346" s="29" t="str">
        <f>VLOOKUP(Data!$N346,'Helpful Tables'!A:D,4,FALSE)</f>
        <v>Washington, DC</v>
      </c>
      <c r="AO346" s="29">
        <f>COUNTIF(AN:AN,Data!$AN346)/COUNTA(AN:AN)</f>
        <v>0.62424242424242427</v>
      </c>
      <c r="AP346" s="29">
        <v>38.949649000000001</v>
      </c>
      <c r="AQ346" s="29">
        <v>-77.080878999999996</v>
      </c>
      <c r="AR346" s="29">
        <f>COUNTIF(Data!$P$2:$P$825,Data!$P346)</f>
        <v>66</v>
      </c>
      <c r="AS346" s="29" cm="1">
        <f t="array" ref="AS346">_xlfn.IFS(Data!$E346&lt;12,((Data!$E346/Data!$D346)*60)*1,AND(Data!$E346&gt;=12,Data!$E346&lt;=15),((Data!$E346/Data!$D346)*60)*1.2,AND(Data!$E346&gt;=16,Data!$E346&lt;=19),((Data!$E346/Data!$D346)*60)*1.5,Data!$E346&gt;=20,((Data!$E346/Data!$D346)*60)*1.8)</f>
        <v>16.8</v>
      </c>
      <c r="AT346" s="29" cm="1">
        <f t="array" ref="AT346">_xlfn.IFS(Data!$F346&lt;600,((Data!$F346/Data!$D346)*60)*1,AND(Data!$F346&gt;=600,Data!$F346&lt;=625),((Data!$F346/Data!$D346)*60)*1.2,AND(Data!$F346&gt;=626,Data!$F346&lt;=650),((Data!$F346/Data!$D346)*60)*1.5,Data!$F346&gt;=651,((Data!$F346/Data!$D346)*60)*1.8)</f>
        <v>939</v>
      </c>
      <c r="AU346" s="29">
        <f>(Data!$I346*-1.2)+(Data!$J346*-1.1)+(Data!$K346*1.2)+(Data!$L346*1.3)+(Data!$M346*1.5)</f>
        <v>-1.399999999999995</v>
      </c>
      <c r="AV346" s="29">
        <f>(Data!$AS346*0.4)+(Data!$AT346*0.4)+(Data!$AU346*0.2)</f>
        <v>382.04000000000008</v>
      </c>
      <c r="AW346" s="29">
        <f>PERCENTRANK(AV:AV,Data!$AV346)*100</f>
        <v>46</v>
      </c>
      <c r="AX346" s="29" t="str">
        <f>_xlfn.CONCAT(TEXT(C346,"mmm"),"-",Data!$AE346)</f>
        <v>Aug-2022</v>
      </c>
    </row>
    <row r="347" spans="1:50" ht="17" thickTop="1" thickBot="1" x14ac:dyDescent="0.25">
      <c r="A347" s="22">
        <v>346</v>
      </c>
      <c r="B347" s="23">
        <f t="shared" si="42"/>
        <v>17</v>
      </c>
      <c r="C347" s="41">
        <v>44783</v>
      </c>
      <c r="D347" s="24">
        <f>SUM(Data!$I347:$M347)</f>
        <v>57</v>
      </c>
      <c r="E347" s="23">
        <v>17</v>
      </c>
      <c r="F347" s="23">
        <v>660</v>
      </c>
      <c r="G347" s="23">
        <v>166</v>
      </c>
      <c r="H347" s="23">
        <v>129</v>
      </c>
      <c r="I347" s="23">
        <v>6</v>
      </c>
      <c r="J347" s="23">
        <v>16</v>
      </c>
      <c r="K347" s="23">
        <v>18</v>
      </c>
      <c r="L347" s="23">
        <v>13</v>
      </c>
      <c r="M347" s="23">
        <v>4</v>
      </c>
      <c r="N347" s="23" t="s">
        <v>91</v>
      </c>
      <c r="O347" s="23" t="s">
        <v>57</v>
      </c>
      <c r="P347" s="23" t="s">
        <v>96</v>
      </c>
      <c r="Q347" s="23">
        <f t="shared" si="48"/>
        <v>2</v>
      </c>
      <c r="R347" s="23" t="str">
        <f t="shared" si="43"/>
        <v>8-2022</v>
      </c>
      <c r="S347" s="23" t="s">
        <v>104</v>
      </c>
      <c r="T347" s="23" t="str">
        <f t="shared" si="44"/>
        <v>Wednesday</v>
      </c>
      <c r="U347" s="23">
        <f t="shared" si="45"/>
        <v>1</v>
      </c>
      <c r="V347" s="25">
        <f>IFERROR(Data!$I347/Data!$D347,"")</f>
        <v>0.10526315789473684</v>
      </c>
      <c r="W347" s="25">
        <f>IFERROR(Data!$J347/Data!$D347,"")</f>
        <v>0.2807017543859649</v>
      </c>
      <c r="X347" s="25">
        <f>IFERROR(Data!$K347/Data!$D347,"")</f>
        <v>0.31578947368421051</v>
      </c>
      <c r="Y347" s="25">
        <f>IFERROR(Data!$L347/Data!$D347,"")</f>
        <v>0.22807017543859648</v>
      </c>
      <c r="Z347" s="25">
        <f>IFERROR(Data!$M347/Data!$D347,"")</f>
        <v>7.0175438596491224E-2</v>
      </c>
      <c r="AA347" s="26">
        <v>232.14</v>
      </c>
      <c r="AB347" s="26">
        <f t="shared" si="49"/>
        <v>13.655294117647058</v>
      </c>
      <c r="AC347" s="23">
        <f t="shared" si="46"/>
        <v>611.64705882352939</v>
      </c>
      <c r="AD347" s="23">
        <f t="shared" si="47"/>
        <v>14.941176470588236</v>
      </c>
      <c r="AE347" s="23">
        <f>YEAR(Data!$C347)</f>
        <v>2022</v>
      </c>
      <c r="AF347" s="23"/>
      <c r="AG347" s="23">
        <v>12</v>
      </c>
      <c r="AH347" s="27">
        <f>Data!$F347/Data!$D347</f>
        <v>11.578947368421053</v>
      </c>
      <c r="AI347" s="17" t="str">
        <f>RIGHT(Data!$O347,2)</f>
        <v>PM</v>
      </c>
      <c r="AJ347" s="23" t="str">
        <f>Data!$R347&amp;"-"&amp;WEEKNUM(Data!$C347,1)-WEEKNUM(DATE(YEAR(Data!$C347),MONTH(Data!$C347),1),1)+1</f>
        <v>8-2022-2</v>
      </c>
      <c r="AK347" s="23">
        <f>MONTH(Data!$C347)</f>
        <v>8</v>
      </c>
      <c r="AL347" s="23">
        <f>IFERROR(Data!$F347/Data!$E347,0)</f>
        <v>38.823529411764703</v>
      </c>
      <c r="AM347" s="23">
        <f>COUNTIF(Data!$N$2:$N$825,Data!$N347)</f>
        <v>218</v>
      </c>
      <c r="AN347" s="23" t="str">
        <f>VLOOKUP(Data!$N347,'Helpful Tables'!A:D,4,FALSE)</f>
        <v>Washington, DC</v>
      </c>
      <c r="AO347" s="23">
        <f>COUNTIF(AN:AN,Data!$AN347)/COUNTA(AN:AN)</f>
        <v>0.62424242424242427</v>
      </c>
      <c r="AP347" s="23">
        <v>38.934710000000003</v>
      </c>
      <c r="AQ347" s="23">
        <v>-77.058222999999998</v>
      </c>
      <c r="AR347" s="23">
        <f>COUNTIF(Data!$P$2:$P$825,Data!$P347)</f>
        <v>71</v>
      </c>
      <c r="AS347" s="23" cm="1">
        <f t="array" ref="AS347">_xlfn.IFS(Data!$E347&lt;12,((Data!$E347/Data!$D347)*60)*1,AND(Data!$E347&gt;=12,Data!$E347&lt;=15),((Data!$E347/Data!$D347)*60)*1.2,AND(Data!$E347&gt;=16,Data!$E347&lt;=19),((Data!$E347/Data!$D347)*60)*1.5,Data!$E347&gt;=20,((Data!$E347/Data!$D347)*60)*1.8)</f>
        <v>26.842105263157897</v>
      </c>
      <c r="AT347" s="23" cm="1">
        <f t="array" ref="AT347">_xlfn.IFS(Data!$F347&lt;600,((Data!$F347/Data!$D347)*60)*1,AND(Data!$F347&gt;=600,Data!$F347&lt;=625),((Data!$F347/Data!$D347)*60)*1.2,AND(Data!$F347&gt;=626,Data!$F347&lt;=650),((Data!$F347/Data!$D347)*60)*1.5,Data!$F347&gt;=651,((Data!$F347/Data!$D347)*60)*1.8)</f>
        <v>1250.5263157894738</v>
      </c>
      <c r="AU347" s="23">
        <f>(Data!$I347*-1.2)+(Data!$J347*-1.1)+(Data!$K347*1.2)+(Data!$L347*1.3)+(Data!$M347*1.5)</f>
        <v>19.7</v>
      </c>
      <c r="AV347" s="23">
        <f>(Data!$AS347*0.4)+(Data!$AT347*0.4)+(Data!$AU347*0.2)</f>
        <v>514.88736842105277</v>
      </c>
      <c r="AW347" s="23">
        <f>PERCENTRANK(AV:AV,Data!$AV347)*100</f>
        <v>86.9</v>
      </c>
      <c r="AX347" s="23" t="str">
        <f>_xlfn.CONCAT(TEXT(C347,"mmm"),"-",Data!$AE347)</f>
        <v>Aug-2022</v>
      </c>
    </row>
    <row r="348" spans="1:50" ht="17" thickTop="1" thickBot="1" x14ac:dyDescent="0.25">
      <c r="A348" s="28">
        <v>347</v>
      </c>
      <c r="B348" s="29">
        <f t="shared" si="42"/>
        <v>17</v>
      </c>
      <c r="C348" s="41">
        <v>44785</v>
      </c>
      <c r="D348" s="30">
        <f>SUM(Data!$I348:$M348)</f>
        <v>55</v>
      </c>
      <c r="E348" s="29">
        <v>11</v>
      </c>
      <c r="F348" s="29">
        <v>567</v>
      </c>
      <c r="G348" s="29">
        <v>167</v>
      </c>
      <c r="H348" s="29">
        <v>122</v>
      </c>
      <c r="I348" s="29">
        <v>14</v>
      </c>
      <c r="J348" s="29">
        <v>14</v>
      </c>
      <c r="K348" s="29">
        <v>16</v>
      </c>
      <c r="L348" s="29">
        <v>9</v>
      </c>
      <c r="M348" s="29">
        <v>2</v>
      </c>
      <c r="N348" s="29" t="s">
        <v>91</v>
      </c>
      <c r="O348" s="29" t="s">
        <v>89</v>
      </c>
      <c r="P348" s="29" t="s">
        <v>97</v>
      </c>
      <c r="Q348" s="29">
        <f t="shared" si="48"/>
        <v>2</v>
      </c>
      <c r="R348" s="29" t="str">
        <f t="shared" si="43"/>
        <v>8-2022</v>
      </c>
      <c r="S348" s="29" t="s">
        <v>104</v>
      </c>
      <c r="T348" s="29" t="str">
        <f t="shared" si="44"/>
        <v>Friday</v>
      </c>
      <c r="U348" s="29">
        <f t="shared" si="45"/>
        <v>0</v>
      </c>
      <c r="V348" s="31">
        <f>IFERROR(Data!$I348/Data!$D348,"")</f>
        <v>0.25454545454545452</v>
      </c>
      <c r="W348" s="31">
        <f>IFERROR(Data!$J348/Data!$D348,"")</f>
        <v>0.25454545454545452</v>
      </c>
      <c r="X348" s="31">
        <f>IFERROR(Data!$K348/Data!$D348,"")</f>
        <v>0.29090909090909089</v>
      </c>
      <c r="Y348" s="31">
        <f>IFERROR(Data!$L348/Data!$D348,"")</f>
        <v>0.16363636363636364</v>
      </c>
      <c r="Z348" s="31">
        <f>IFERROR(Data!$M348/Data!$D348,"")</f>
        <v>3.6363636363636362E-2</v>
      </c>
      <c r="AA348" s="32">
        <v>232.14</v>
      </c>
      <c r="AB348" s="32">
        <f t="shared" si="49"/>
        <v>13.655294117647058</v>
      </c>
      <c r="AC348" s="29">
        <f t="shared" si="46"/>
        <v>611.64705882352939</v>
      </c>
      <c r="AD348" s="29">
        <f t="shared" si="47"/>
        <v>14.941176470588236</v>
      </c>
      <c r="AE348" s="29">
        <f>YEAR(Data!$C348)</f>
        <v>2022</v>
      </c>
      <c r="AF348" s="29"/>
      <c r="AG348" s="29">
        <v>12</v>
      </c>
      <c r="AH348" s="33">
        <f>Data!$F348/Data!$D348</f>
        <v>10.309090909090909</v>
      </c>
      <c r="AI348" s="17" t="str">
        <f>RIGHT(Data!$O348,2)</f>
        <v>AM</v>
      </c>
      <c r="AJ348" s="29" t="str">
        <f>Data!$R348&amp;"-"&amp;WEEKNUM(Data!$C348,1)-WEEKNUM(DATE(YEAR(Data!$C348),MONTH(Data!$C348),1),1)+1</f>
        <v>8-2022-2</v>
      </c>
      <c r="AK348" s="29">
        <f>MONTH(Data!$C348)</f>
        <v>8</v>
      </c>
      <c r="AL348" s="29">
        <f>IFERROR(Data!$F348/Data!$E348,0)</f>
        <v>51.545454545454547</v>
      </c>
      <c r="AM348" s="29">
        <f>COUNTIF(Data!$N$2:$N$825,Data!$N348)</f>
        <v>218</v>
      </c>
      <c r="AN348" s="29" t="str">
        <f>VLOOKUP(Data!$N348,'Helpful Tables'!A:D,4,FALSE)</f>
        <v>Washington, DC</v>
      </c>
      <c r="AO348" s="29">
        <f>COUNTIF(AN:AN,Data!$AN348)/COUNTA(AN:AN)</f>
        <v>0.62424242424242427</v>
      </c>
      <c r="AP348" s="29">
        <v>38.934710000000003</v>
      </c>
      <c r="AQ348" s="29">
        <v>-77.058222999999998</v>
      </c>
      <c r="AR348" s="29">
        <f>COUNTIF(Data!$P$2:$P$825,Data!$P348)</f>
        <v>14</v>
      </c>
      <c r="AS348" s="29" cm="1">
        <f t="array" ref="AS348">_xlfn.IFS(Data!$E348&lt;12,((Data!$E348/Data!$D348)*60)*1,AND(Data!$E348&gt;=12,Data!$E348&lt;=15),((Data!$E348/Data!$D348)*60)*1.2,AND(Data!$E348&gt;=16,Data!$E348&lt;=19),((Data!$E348/Data!$D348)*60)*1.5,Data!$E348&gt;=20,((Data!$E348/Data!$D348)*60)*1.8)</f>
        <v>12</v>
      </c>
      <c r="AT348" s="29" cm="1">
        <f t="array" ref="AT348">_xlfn.IFS(Data!$F348&lt;600,((Data!$F348/Data!$D348)*60)*1,AND(Data!$F348&gt;=600,Data!$F348&lt;=625),((Data!$F348/Data!$D348)*60)*1.2,AND(Data!$F348&gt;=626,Data!$F348&lt;=650),((Data!$F348/Data!$D348)*60)*1.5,Data!$F348&gt;=651,((Data!$F348/Data!$D348)*60)*1.8)</f>
        <v>618.5454545454545</v>
      </c>
      <c r="AU348" s="29">
        <f>(Data!$I348*-1.2)+(Data!$J348*-1.1)+(Data!$K348*1.2)+(Data!$L348*1.3)+(Data!$M348*1.5)</f>
        <v>1.6999999999999975</v>
      </c>
      <c r="AV348" s="29">
        <f>(Data!$AS348*0.4)+(Data!$AT348*0.4)+(Data!$AU348*0.2)</f>
        <v>252.55818181818182</v>
      </c>
      <c r="AW348" s="29">
        <f>PERCENTRANK(AV:AV,Data!$AV348)*100</f>
        <v>18</v>
      </c>
      <c r="AX348" s="29" t="str">
        <f>_xlfn.CONCAT(TEXT(C348,"mmm"),"-",Data!$AE348)</f>
        <v>Aug-2022</v>
      </c>
    </row>
    <row r="349" spans="1:50" ht="17" thickTop="1" thickBot="1" x14ac:dyDescent="0.25">
      <c r="A349" s="22">
        <v>348</v>
      </c>
      <c r="B349" s="23">
        <f t="shared" si="42"/>
        <v>17</v>
      </c>
      <c r="C349" s="41">
        <v>44786</v>
      </c>
      <c r="D349" s="24">
        <f>SUM(Data!$I349:$M349)</f>
        <v>57</v>
      </c>
      <c r="E349" s="23">
        <v>20</v>
      </c>
      <c r="F349" s="23">
        <v>645</v>
      </c>
      <c r="G349" s="23">
        <v>167</v>
      </c>
      <c r="H349" s="23">
        <v>128</v>
      </c>
      <c r="I349" s="23">
        <v>8</v>
      </c>
      <c r="J349" s="23">
        <v>19</v>
      </c>
      <c r="K349" s="23">
        <v>10</v>
      </c>
      <c r="L349" s="23">
        <v>16</v>
      </c>
      <c r="M349" s="23">
        <v>4</v>
      </c>
      <c r="N349" s="23" t="s">
        <v>101</v>
      </c>
      <c r="O349" s="23" t="s">
        <v>45</v>
      </c>
      <c r="P349" s="23" t="s">
        <v>109</v>
      </c>
      <c r="Q349" s="23">
        <f t="shared" si="48"/>
        <v>1</v>
      </c>
      <c r="R349" s="23" t="str">
        <f t="shared" si="43"/>
        <v>8-2022</v>
      </c>
      <c r="S349" s="23" t="s">
        <v>104</v>
      </c>
      <c r="T349" s="23" t="str">
        <f t="shared" si="44"/>
        <v>Saturday</v>
      </c>
      <c r="U349" s="23">
        <f t="shared" si="45"/>
        <v>1</v>
      </c>
      <c r="V349" s="25">
        <f>IFERROR(Data!$I349/Data!$D349,"")</f>
        <v>0.14035087719298245</v>
      </c>
      <c r="W349" s="25">
        <f>IFERROR(Data!$J349/Data!$D349,"")</f>
        <v>0.33333333333333331</v>
      </c>
      <c r="X349" s="25">
        <f>IFERROR(Data!$K349/Data!$D349,"")</f>
        <v>0.17543859649122806</v>
      </c>
      <c r="Y349" s="25">
        <f>IFERROR(Data!$L349/Data!$D349,"")</f>
        <v>0.2807017543859649</v>
      </c>
      <c r="Z349" s="25">
        <f>IFERROR(Data!$M349/Data!$D349,"")</f>
        <v>7.0175438596491224E-2</v>
      </c>
      <c r="AA349" s="26">
        <v>232.14</v>
      </c>
      <c r="AB349" s="26">
        <f t="shared" si="49"/>
        <v>13.655294117647058</v>
      </c>
      <c r="AC349" s="23">
        <f t="shared" si="46"/>
        <v>611.64705882352939</v>
      </c>
      <c r="AD349" s="23">
        <f t="shared" si="47"/>
        <v>14.941176470588236</v>
      </c>
      <c r="AE349" s="23">
        <f>YEAR(Data!$C349)</f>
        <v>2022</v>
      </c>
      <c r="AF349" s="23"/>
      <c r="AG349" s="23">
        <v>12</v>
      </c>
      <c r="AH349" s="27">
        <f>Data!$F349/Data!$D349</f>
        <v>11.315789473684211</v>
      </c>
      <c r="AI349" s="17" t="str">
        <f>RIGHT(Data!$O349,2)</f>
        <v>AM</v>
      </c>
      <c r="AJ349" s="23" t="str">
        <f>Data!$R349&amp;"-"&amp;WEEKNUM(Data!$C349,1)-WEEKNUM(DATE(YEAR(Data!$C349),MONTH(Data!$C349),1),1)+1</f>
        <v>8-2022-2</v>
      </c>
      <c r="AK349" s="23">
        <f>MONTH(Data!$C349)</f>
        <v>8</v>
      </c>
      <c r="AL349" s="23">
        <f>IFERROR(Data!$F349/Data!$E349,0)</f>
        <v>32.25</v>
      </c>
      <c r="AM349" s="23">
        <f>COUNTIF(Data!$N$2:$N$825,Data!$N349)</f>
        <v>191</v>
      </c>
      <c r="AN349" s="23" t="str">
        <f>VLOOKUP(Data!$N349,'Helpful Tables'!A:D,4,FALSE)</f>
        <v>Washington, DC</v>
      </c>
      <c r="AO349" s="23">
        <f>COUNTIF(AN:AN,Data!$AN349)/COUNTA(AN:AN)</f>
        <v>0.62424242424242427</v>
      </c>
      <c r="AP349" s="23">
        <v>38.949649000000001</v>
      </c>
      <c r="AQ349" s="23">
        <v>-77.080878999999996</v>
      </c>
      <c r="AR349" s="23">
        <f>COUNTIF(Data!$P$2:$P$825,Data!$P349)</f>
        <v>66</v>
      </c>
      <c r="AS349" s="23" cm="1">
        <f t="array" ref="AS349">_xlfn.IFS(Data!$E349&lt;12,((Data!$E349/Data!$D349)*60)*1,AND(Data!$E349&gt;=12,Data!$E349&lt;=15),((Data!$E349/Data!$D349)*60)*1.2,AND(Data!$E349&gt;=16,Data!$E349&lt;=19),((Data!$E349/Data!$D349)*60)*1.5,Data!$E349&gt;=20,((Data!$E349/Data!$D349)*60)*1.8)</f>
        <v>37.89473684210526</v>
      </c>
      <c r="AT349" s="23" cm="1">
        <f t="array" ref="AT349">_xlfn.IFS(Data!$F349&lt;600,((Data!$F349/Data!$D349)*60)*1,AND(Data!$F349&gt;=600,Data!$F349&lt;=625),((Data!$F349/Data!$D349)*60)*1.2,AND(Data!$F349&gt;=626,Data!$F349&lt;=650),((Data!$F349/Data!$D349)*60)*1.5,Data!$F349&gt;=651,((Data!$F349/Data!$D349)*60)*1.8)</f>
        <v>1018.421052631579</v>
      </c>
      <c r="AU349" s="23">
        <f>(Data!$I349*-1.2)+(Data!$J349*-1.1)+(Data!$K349*1.2)+(Data!$L349*1.3)+(Data!$M349*1.5)</f>
        <v>8.3000000000000007</v>
      </c>
      <c r="AV349" s="23">
        <f>(Data!$AS349*0.4)+(Data!$AT349*0.4)+(Data!$AU349*0.2)</f>
        <v>424.18631578947372</v>
      </c>
      <c r="AW349" s="23">
        <f>PERCENTRANK(AV:AV,Data!$AV349)*100</f>
        <v>62.7</v>
      </c>
      <c r="AX349" s="23" t="str">
        <f>_xlfn.CONCAT(TEXT(C349,"mmm"),"-",Data!$AE349)</f>
        <v>Aug-2022</v>
      </c>
    </row>
    <row r="350" spans="1:50" ht="17" thickTop="1" thickBot="1" x14ac:dyDescent="0.25">
      <c r="A350" s="28">
        <v>349</v>
      </c>
      <c r="B350" s="29">
        <f t="shared" si="42"/>
        <v>17</v>
      </c>
      <c r="C350" s="41">
        <v>44789</v>
      </c>
      <c r="D350" s="30">
        <f>SUM(Data!$I350:$M350)</f>
        <v>55</v>
      </c>
      <c r="E350" s="29">
        <v>16</v>
      </c>
      <c r="F350" s="29">
        <v>581</v>
      </c>
      <c r="G350" s="29">
        <v>166</v>
      </c>
      <c r="H350" s="29">
        <v>124</v>
      </c>
      <c r="I350" s="29">
        <v>14</v>
      </c>
      <c r="J350" s="29">
        <v>13</v>
      </c>
      <c r="K350" s="29">
        <v>12</v>
      </c>
      <c r="L350" s="29">
        <v>13</v>
      </c>
      <c r="M350" s="29">
        <v>3</v>
      </c>
      <c r="N350" s="29" t="s">
        <v>91</v>
      </c>
      <c r="O350" s="29" t="s">
        <v>89</v>
      </c>
      <c r="P350" s="29" t="s">
        <v>97</v>
      </c>
      <c r="Q350" s="29">
        <f t="shared" si="48"/>
        <v>3</v>
      </c>
      <c r="R350" s="29" t="str">
        <f t="shared" si="43"/>
        <v>8-2022</v>
      </c>
      <c r="S350" s="29" t="s">
        <v>104</v>
      </c>
      <c r="T350" s="29" t="str">
        <f t="shared" si="44"/>
        <v>Tuesday</v>
      </c>
      <c r="U350" s="29">
        <f t="shared" si="45"/>
        <v>1</v>
      </c>
      <c r="V350" s="31">
        <f>IFERROR(Data!$I350/Data!$D350,"")</f>
        <v>0.25454545454545452</v>
      </c>
      <c r="W350" s="31">
        <f>IFERROR(Data!$J350/Data!$D350,"")</f>
        <v>0.23636363636363636</v>
      </c>
      <c r="X350" s="31">
        <f>IFERROR(Data!$K350/Data!$D350,"")</f>
        <v>0.21818181818181817</v>
      </c>
      <c r="Y350" s="31">
        <f>IFERROR(Data!$L350/Data!$D350,"")</f>
        <v>0.23636363636363636</v>
      </c>
      <c r="Z350" s="31">
        <f>IFERROR(Data!$M350/Data!$D350,"")</f>
        <v>5.4545454545454543E-2</v>
      </c>
      <c r="AA350" s="32">
        <v>232.14</v>
      </c>
      <c r="AB350" s="32">
        <f t="shared" si="49"/>
        <v>13.655294117647058</v>
      </c>
      <c r="AC350" s="29">
        <f t="shared" si="46"/>
        <v>611.64705882352939</v>
      </c>
      <c r="AD350" s="29">
        <f t="shared" si="47"/>
        <v>14.941176470588236</v>
      </c>
      <c r="AE350" s="29">
        <f>YEAR(Data!$C350)</f>
        <v>2022</v>
      </c>
      <c r="AF350" s="29"/>
      <c r="AG350" s="29">
        <v>12</v>
      </c>
      <c r="AH350" s="33">
        <f>Data!$F350/Data!$D350</f>
        <v>10.563636363636364</v>
      </c>
      <c r="AI350" s="17" t="str">
        <f>RIGHT(Data!$O350,2)</f>
        <v>AM</v>
      </c>
      <c r="AJ350" s="29" t="str">
        <f>Data!$R350&amp;"-"&amp;WEEKNUM(Data!$C350,1)-WEEKNUM(DATE(YEAR(Data!$C350),MONTH(Data!$C350),1),1)+1</f>
        <v>8-2022-3</v>
      </c>
      <c r="AK350" s="29">
        <f>MONTH(Data!$C350)</f>
        <v>8</v>
      </c>
      <c r="AL350" s="29">
        <f>IFERROR(Data!$F350/Data!$E350,0)</f>
        <v>36.3125</v>
      </c>
      <c r="AM350" s="29">
        <f>COUNTIF(Data!$N$2:$N$825,Data!$N350)</f>
        <v>218</v>
      </c>
      <c r="AN350" s="29" t="str">
        <f>VLOOKUP(Data!$N350,'Helpful Tables'!A:D,4,FALSE)</f>
        <v>Washington, DC</v>
      </c>
      <c r="AO350" s="29">
        <f>COUNTIF(AN:AN,Data!$AN350)/COUNTA(AN:AN)</f>
        <v>0.62424242424242427</v>
      </c>
      <c r="AP350" s="29">
        <v>38.934710000000003</v>
      </c>
      <c r="AQ350" s="29">
        <v>-77.058222999999998</v>
      </c>
      <c r="AR350" s="29">
        <f>COUNTIF(Data!$P$2:$P$825,Data!$P350)</f>
        <v>14</v>
      </c>
      <c r="AS350" s="29" cm="1">
        <f t="array" ref="AS350">_xlfn.IFS(Data!$E350&lt;12,((Data!$E350/Data!$D350)*60)*1,AND(Data!$E350&gt;=12,Data!$E350&lt;=15),((Data!$E350/Data!$D350)*60)*1.2,AND(Data!$E350&gt;=16,Data!$E350&lt;=19),((Data!$E350/Data!$D350)*60)*1.5,Data!$E350&gt;=20,((Data!$E350/Data!$D350)*60)*1.8)</f>
        <v>26.18181818181818</v>
      </c>
      <c r="AT350" s="29" cm="1">
        <f t="array" ref="AT350">_xlfn.IFS(Data!$F350&lt;600,((Data!$F350/Data!$D350)*60)*1,AND(Data!$F350&gt;=600,Data!$F350&lt;=625),((Data!$F350/Data!$D350)*60)*1.2,AND(Data!$F350&gt;=626,Data!$F350&lt;=650),((Data!$F350/Data!$D350)*60)*1.5,Data!$F350&gt;=651,((Data!$F350/Data!$D350)*60)*1.8)</f>
        <v>633.81818181818187</v>
      </c>
      <c r="AU350" s="29">
        <f>(Data!$I350*-1.2)+(Data!$J350*-1.1)+(Data!$K350*1.2)+(Data!$L350*1.3)+(Data!$M350*1.5)</f>
        <v>4.6999999999999993</v>
      </c>
      <c r="AV350" s="29">
        <f>(Data!$AS350*0.4)+(Data!$AT350*0.4)+(Data!$AU350*0.2)</f>
        <v>264.94000000000005</v>
      </c>
      <c r="AW350" s="29">
        <f>PERCENTRANK(AV:AV,Data!$AV350)*100</f>
        <v>21.5</v>
      </c>
      <c r="AX350" s="29" t="str">
        <f>_xlfn.CONCAT(TEXT(C350,"mmm"),"-",Data!$AE350)</f>
        <v>Aug-2022</v>
      </c>
    </row>
    <row r="351" spans="1:50" ht="17" thickTop="1" thickBot="1" x14ac:dyDescent="0.25">
      <c r="A351" s="22">
        <v>350</v>
      </c>
      <c r="B351" s="23">
        <f t="shared" si="42"/>
        <v>17</v>
      </c>
      <c r="C351" s="41">
        <v>44790</v>
      </c>
      <c r="D351" s="24">
        <f>SUM(Data!$I351:$M351)</f>
        <v>57</v>
      </c>
      <c r="E351" s="23">
        <v>16</v>
      </c>
      <c r="F351" s="23">
        <v>653</v>
      </c>
      <c r="G351" s="23">
        <v>172</v>
      </c>
      <c r="H351" s="23">
        <v>130</v>
      </c>
      <c r="I351" s="23">
        <v>7</v>
      </c>
      <c r="J351" s="23">
        <v>14</v>
      </c>
      <c r="K351" s="23">
        <v>20</v>
      </c>
      <c r="L351" s="23">
        <v>11</v>
      </c>
      <c r="M351" s="23">
        <v>5</v>
      </c>
      <c r="N351" s="23" t="s">
        <v>91</v>
      </c>
      <c r="O351" s="23" t="s">
        <v>57</v>
      </c>
      <c r="P351" s="23" t="s">
        <v>96</v>
      </c>
      <c r="Q351" s="23">
        <f t="shared" si="48"/>
        <v>1</v>
      </c>
      <c r="R351" s="23" t="str">
        <f t="shared" si="43"/>
        <v>8-2022</v>
      </c>
      <c r="S351" s="23" t="s">
        <v>104</v>
      </c>
      <c r="T351" s="23" t="str">
        <f t="shared" si="44"/>
        <v>Wednesday</v>
      </c>
      <c r="U351" s="23">
        <f t="shared" si="45"/>
        <v>1</v>
      </c>
      <c r="V351" s="25">
        <f>IFERROR(Data!$I351/Data!$D351,"")</f>
        <v>0.12280701754385964</v>
      </c>
      <c r="W351" s="25">
        <f>IFERROR(Data!$J351/Data!$D351,"")</f>
        <v>0.24561403508771928</v>
      </c>
      <c r="X351" s="25">
        <f>IFERROR(Data!$K351/Data!$D351,"")</f>
        <v>0.35087719298245612</v>
      </c>
      <c r="Y351" s="25">
        <f>IFERROR(Data!$L351/Data!$D351,"")</f>
        <v>0.19298245614035087</v>
      </c>
      <c r="Z351" s="25">
        <f>IFERROR(Data!$M351/Data!$D351,"")</f>
        <v>8.771929824561403E-2</v>
      </c>
      <c r="AA351" s="26">
        <v>232.14</v>
      </c>
      <c r="AB351" s="26">
        <f t="shared" si="49"/>
        <v>13.655294117647058</v>
      </c>
      <c r="AC351" s="23">
        <f t="shared" si="46"/>
        <v>611.64705882352939</v>
      </c>
      <c r="AD351" s="23">
        <f t="shared" si="47"/>
        <v>14.941176470588236</v>
      </c>
      <c r="AE351" s="23">
        <f>YEAR(Data!$C351)</f>
        <v>2022</v>
      </c>
      <c r="AF351" s="23"/>
      <c r="AG351" s="23">
        <v>12</v>
      </c>
      <c r="AH351" s="27">
        <f>Data!$F351/Data!$D351</f>
        <v>11.456140350877194</v>
      </c>
      <c r="AI351" s="17" t="str">
        <f>RIGHT(Data!$O351,2)</f>
        <v>PM</v>
      </c>
      <c r="AJ351" s="23" t="str">
        <f>Data!$R351&amp;"-"&amp;WEEKNUM(Data!$C351,1)-WEEKNUM(DATE(YEAR(Data!$C351),MONTH(Data!$C351),1),1)+1</f>
        <v>8-2022-3</v>
      </c>
      <c r="AK351" s="23">
        <f>MONTH(Data!$C351)</f>
        <v>8</v>
      </c>
      <c r="AL351" s="23">
        <f>IFERROR(Data!$F351/Data!$E351,0)</f>
        <v>40.8125</v>
      </c>
      <c r="AM351" s="23">
        <f>COUNTIF(Data!$N$2:$N$825,Data!$N351)</f>
        <v>218</v>
      </c>
      <c r="AN351" s="23" t="str">
        <f>VLOOKUP(Data!$N351,'Helpful Tables'!A:D,4,FALSE)</f>
        <v>Washington, DC</v>
      </c>
      <c r="AO351" s="23">
        <f>COUNTIF(AN:AN,Data!$AN351)/COUNTA(AN:AN)</f>
        <v>0.62424242424242427</v>
      </c>
      <c r="AP351" s="23">
        <v>38.934710000000003</v>
      </c>
      <c r="AQ351" s="23">
        <v>-77.058222999999998</v>
      </c>
      <c r="AR351" s="23">
        <f>COUNTIF(Data!$P$2:$P$825,Data!$P351)</f>
        <v>71</v>
      </c>
      <c r="AS351" s="23" cm="1">
        <f t="array" ref="AS351">_xlfn.IFS(Data!$E351&lt;12,((Data!$E351/Data!$D351)*60)*1,AND(Data!$E351&gt;=12,Data!$E351&lt;=15),((Data!$E351/Data!$D351)*60)*1.2,AND(Data!$E351&gt;=16,Data!$E351&lt;=19),((Data!$E351/Data!$D351)*60)*1.5,Data!$E351&gt;=20,((Data!$E351/Data!$D351)*60)*1.8)</f>
        <v>25.263157894736842</v>
      </c>
      <c r="AT351" s="23" cm="1">
        <f t="array" ref="AT351">_xlfn.IFS(Data!$F351&lt;600,((Data!$F351/Data!$D351)*60)*1,AND(Data!$F351&gt;=600,Data!$F351&lt;=625),((Data!$F351/Data!$D351)*60)*1.2,AND(Data!$F351&gt;=626,Data!$F351&lt;=650),((Data!$F351/Data!$D351)*60)*1.5,Data!$F351&gt;=651,((Data!$F351/Data!$D351)*60)*1.8)</f>
        <v>1237.2631578947369</v>
      </c>
      <c r="AU351" s="23">
        <f>(Data!$I351*-1.2)+(Data!$J351*-1.1)+(Data!$K351*1.2)+(Data!$L351*1.3)+(Data!$M351*1.5)</f>
        <v>21.999999999999996</v>
      </c>
      <c r="AV351" s="23">
        <f>(Data!$AS351*0.4)+(Data!$AT351*0.4)+(Data!$AU351*0.2)</f>
        <v>509.41052631578947</v>
      </c>
      <c r="AW351" s="23">
        <f>PERCENTRANK(AV:AV,Data!$AV351)*100</f>
        <v>84.1</v>
      </c>
      <c r="AX351" s="23" t="str">
        <f>_xlfn.CONCAT(TEXT(C351,"mmm"),"-",Data!$AE351)</f>
        <v>Aug-2022</v>
      </c>
    </row>
    <row r="352" spans="1:50" ht="17" thickTop="1" thickBot="1" x14ac:dyDescent="0.25">
      <c r="A352" s="28">
        <v>351</v>
      </c>
      <c r="B352" s="29">
        <f t="shared" si="42"/>
        <v>17</v>
      </c>
      <c r="C352" s="41">
        <v>44792</v>
      </c>
      <c r="D352" s="30">
        <f>SUM(Data!$I352:$M352)</f>
        <v>61</v>
      </c>
      <c r="E352" s="29">
        <v>19</v>
      </c>
      <c r="F352" s="29">
        <v>682</v>
      </c>
      <c r="G352" s="29">
        <v>166</v>
      </c>
      <c r="H352" s="29">
        <v>128</v>
      </c>
      <c r="I352" s="29">
        <v>9</v>
      </c>
      <c r="J352" s="29">
        <v>16</v>
      </c>
      <c r="K352" s="29">
        <v>17</v>
      </c>
      <c r="L352" s="29">
        <v>17</v>
      </c>
      <c r="M352" s="29">
        <v>2</v>
      </c>
      <c r="N352" s="29" t="s">
        <v>101</v>
      </c>
      <c r="O352" s="29" t="s">
        <v>39</v>
      </c>
      <c r="P352" s="29" t="s">
        <v>133</v>
      </c>
      <c r="Q352" s="29">
        <f t="shared" si="48"/>
        <v>2</v>
      </c>
      <c r="R352" s="29" t="str">
        <f t="shared" si="43"/>
        <v>8-2022</v>
      </c>
      <c r="S352" s="29" t="s">
        <v>104</v>
      </c>
      <c r="T352" s="29" t="str">
        <f t="shared" si="44"/>
        <v>Friday</v>
      </c>
      <c r="U352" s="29">
        <f t="shared" si="45"/>
        <v>1</v>
      </c>
      <c r="V352" s="31">
        <f>IFERROR(Data!$I352/Data!$D352,"")</f>
        <v>0.14754098360655737</v>
      </c>
      <c r="W352" s="31">
        <f>IFERROR(Data!$J352/Data!$D352,"")</f>
        <v>0.26229508196721313</v>
      </c>
      <c r="X352" s="31">
        <f>IFERROR(Data!$K352/Data!$D352,"")</f>
        <v>0.27868852459016391</v>
      </c>
      <c r="Y352" s="31">
        <f>IFERROR(Data!$L352/Data!$D352,"")</f>
        <v>0.27868852459016391</v>
      </c>
      <c r="Z352" s="31">
        <f>IFERROR(Data!$M352/Data!$D352,"")</f>
        <v>3.2786885245901641E-2</v>
      </c>
      <c r="AA352" s="32">
        <v>232.14</v>
      </c>
      <c r="AB352" s="32">
        <f t="shared" si="49"/>
        <v>13.655294117647058</v>
      </c>
      <c r="AC352" s="29">
        <f t="shared" si="46"/>
        <v>611.64705882352939</v>
      </c>
      <c r="AD352" s="29">
        <f t="shared" si="47"/>
        <v>14.941176470588236</v>
      </c>
      <c r="AE352" s="29">
        <f>YEAR(Data!$C352)</f>
        <v>2022</v>
      </c>
      <c r="AF352" s="29"/>
      <c r="AG352" s="29">
        <v>12</v>
      </c>
      <c r="AH352" s="33">
        <f>Data!$F352/Data!$D352</f>
        <v>11.180327868852459</v>
      </c>
      <c r="AI352" s="17" t="str">
        <f>RIGHT(Data!$O352,2)</f>
        <v>PM</v>
      </c>
      <c r="AJ352" s="29" t="str">
        <f>Data!$R352&amp;"-"&amp;WEEKNUM(Data!$C352,1)-WEEKNUM(DATE(YEAR(Data!$C352),MONTH(Data!$C352),1),1)+1</f>
        <v>8-2022-3</v>
      </c>
      <c r="AK352" s="29">
        <f>MONTH(Data!$C352)</f>
        <v>8</v>
      </c>
      <c r="AL352" s="29">
        <f>IFERROR(Data!$F352/Data!$E352,0)</f>
        <v>35.89473684210526</v>
      </c>
      <c r="AM352" s="29">
        <f>COUNTIF(Data!$N$2:$N$825,Data!$N352)</f>
        <v>191</v>
      </c>
      <c r="AN352" s="29" t="str">
        <f>VLOOKUP(Data!$N352,'Helpful Tables'!A:D,4,FALSE)</f>
        <v>Washington, DC</v>
      </c>
      <c r="AO352" s="29">
        <f>COUNTIF(AN:AN,Data!$AN352)/COUNTA(AN:AN)</f>
        <v>0.62424242424242427</v>
      </c>
      <c r="AP352" s="29">
        <v>38.949649000000001</v>
      </c>
      <c r="AQ352" s="29">
        <v>-77.080878999999996</v>
      </c>
      <c r="AR352" s="29">
        <f>COUNTIF(Data!$P$2:$P$825,Data!$P352)</f>
        <v>25</v>
      </c>
      <c r="AS352" s="29" cm="1">
        <f t="array" ref="AS352">_xlfn.IFS(Data!$E352&lt;12,((Data!$E352/Data!$D352)*60)*1,AND(Data!$E352&gt;=12,Data!$E352&lt;=15),((Data!$E352/Data!$D352)*60)*1.2,AND(Data!$E352&gt;=16,Data!$E352&lt;=19),((Data!$E352/Data!$D352)*60)*1.5,Data!$E352&gt;=20,((Data!$E352/Data!$D352)*60)*1.8)</f>
        <v>28.032786885245905</v>
      </c>
      <c r="AT352" s="29" cm="1">
        <f t="array" ref="AT352">_xlfn.IFS(Data!$F352&lt;600,((Data!$F352/Data!$D352)*60)*1,AND(Data!$F352&gt;=600,Data!$F352&lt;=625),((Data!$F352/Data!$D352)*60)*1.2,AND(Data!$F352&gt;=626,Data!$F352&lt;=650),((Data!$F352/Data!$D352)*60)*1.5,Data!$F352&gt;=651,((Data!$F352/Data!$D352)*60)*1.8)</f>
        <v>1207.4754098360656</v>
      </c>
      <c r="AU352" s="29">
        <f>(Data!$I352*-1.2)+(Data!$J352*-1.1)+(Data!$K352*1.2)+(Data!$L352*1.3)+(Data!$M352*1.5)</f>
        <v>17.100000000000001</v>
      </c>
      <c r="AV352" s="29">
        <f>(Data!$AS352*0.4)+(Data!$AT352*0.4)+(Data!$AU352*0.2)</f>
        <v>497.62327868852464</v>
      </c>
      <c r="AW352" s="29">
        <f>PERCENTRANK(AV:AV,Data!$AV352)*100</f>
        <v>76.7</v>
      </c>
      <c r="AX352" s="29" t="str">
        <f>_xlfn.CONCAT(TEXT(C352,"mmm"),"-",Data!$AE352)</f>
        <v>Aug-2022</v>
      </c>
    </row>
    <row r="353" spans="1:50" ht="17" thickTop="1" thickBot="1" x14ac:dyDescent="0.25">
      <c r="A353" s="22">
        <v>352</v>
      </c>
      <c r="B353" s="23">
        <f t="shared" si="42"/>
        <v>17</v>
      </c>
      <c r="C353" s="41">
        <v>44794</v>
      </c>
      <c r="D353" s="24">
        <f>SUM(Data!$I353:$M353)</f>
        <v>57</v>
      </c>
      <c r="E353" s="23">
        <v>10</v>
      </c>
      <c r="F353" s="23">
        <v>540</v>
      </c>
      <c r="G353" s="23">
        <v>166</v>
      </c>
      <c r="H353" s="23">
        <v>116</v>
      </c>
      <c r="I353" s="23">
        <v>21</v>
      </c>
      <c r="J353" s="23">
        <v>14</v>
      </c>
      <c r="K353" s="23">
        <v>12</v>
      </c>
      <c r="L353" s="23">
        <v>8</v>
      </c>
      <c r="M353" s="23">
        <v>2</v>
      </c>
      <c r="N353" s="23" t="s">
        <v>101</v>
      </c>
      <c r="O353" s="23" t="s">
        <v>45</v>
      </c>
      <c r="P353" s="23" t="s">
        <v>133</v>
      </c>
      <c r="Q353" s="23">
        <f t="shared" si="48"/>
        <v>2</v>
      </c>
      <c r="R353" s="23" t="str">
        <f t="shared" si="43"/>
        <v>8-2022</v>
      </c>
      <c r="S353" s="23" t="s">
        <v>104</v>
      </c>
      <c r="T353" s="23" t="str">
        <f t="shared" si="44"/>
        <v>Sunday</v>
      </c>
      <c r="U353" s="23">
        <f t="shared" si="45"/>
        <v>0</v>
      </c>
      <c r="V353" s="25">
        <f>IFERROR(Data!$I353/Data!$D353,"")</f>
        <v>0.36842105263157893</v>
      </c>
      <c r="W353" s="25">
        <f>IFERROR(Data!$J353/Data!$D353,"")</f>
        <v>0.24561403508771928</v>
      </c>
      <c r="X353" s="25">
        <f>IFERROR(Data!$K353/Data!$D353,"")</f>
        <v>0.21052631578947367</v>
      </c>
      <c r="Y353" s="25">
        <f>IFERROR(Data!$L353/Data!$D353,"")</f>
        <v>0.14035087719298245</v>
      </c>
      <c r="Z353" s="25">
        <f>IFERROR(Data!$M353/Data!$D353,"")</f>
        <v>3.5087719298245612E-2</v>
      </c>
      <c r="AA353" s="26">
        <v>232.14</v>
      </c>
      <c r="AB353" s="26">
        <f t="shared" si="49"/>
        <v>13.655294117647058</v>
      </c>
      <c r="AC353" s="23">
        <f t="shared" si="46"/>
        <v>611.64705882352939</v>
      </c>
      <c r="AD353" s="23">
        <f t="shared" si="47"/>
        <v>14.941176470588236</v>
      </c>
      <c r="AE353" s="23">
        <f>YEAR(Data!$C353)</f>
        <v>2022</v>
      </c>
      <c r="AF353" s="23"/>
      <c r="AG353" s="23">
        <v>12</v>
      </c>
      <c r="AH353" s="27">
        <f>Data!$F353/Data!$D353</f>
        <v>9.473684210526315</v>
      </c>
      <c r="AI353" s="17" t="str">
        <f>RIGHT(Data!$O353,2)</f>
        <v>AM</v>
      </c>
      <c r="AJ353" s="23" t="str">
        <f>Data!$R353&amp;"-"&amp;WEEKNUM(Data!$C353,1)-WEEKNUM(DATE(YEAR(Data!$C353),MONTH(Data!$C353),1),1)+1</f>
        <v>8-2022-4</v>
      </c>
      <c r="AK353" s="23">
        <f>MONTH(Data!$C353)</f>
        <v>8</v>
      </c>
      <c r="AL353" s="23">
        <f>IFERROR(Data!$F353/Data!$E353,0)</f>
        <v>54</v>
      </c>
      <c r="AM353" s="23">
        <f>COUNTIF(Data!$N$2:$N$825,Data!$N353)</f>
        <v>191</v>
      </c>
      <c r="AN353" s="23" t="str">
        <f>VLOOKUP(Data!$N353,'Helpful Tables'!A:D,4,FALSE)</f>
        <v>Washington, DC</v>
      </c>
      <c r="AO353" s="23">
        <f>COUNTIF(AN:AN,Data!$AN353)/COUNTA(AN:AN)</f>
        <v>0.62424242424242427</v>
      </c>
      <c r="AP353" s="23">
        <v>38.949649000000001</v>
      </c>
      <c r="AQ353" s="23">
        <v>-77.080878999999996</v>
      </c>
      <c r="AR353" s="23">
        <f>COUNTIF(Data!$P$2:$P$825,Data!$P353)</f>
        <v>25</v>
      </c>
      <c r="AS353" s="23" cm="1">
        <f t="array" ref="AS353">_xlfn.IFS(Data!$E353&lt;12,((Data!$E353/Data!$D353)*60)*1,AND(Data!$E353&gt;=12,Data!$E353&lt;=15),((Data!$E353/Data!$D353)*60)*1.2,AND(Data!$E353&gt;=16,Data!$E353&lt;=19),((Data!$E353/Data!$D353)*60)*1.5,Data!$E353&gt;=20,((Data!$E353/Data!$D353)*60)*1.8)</f>
        <v>10.526315789473683</v>
      </c>
      <c r="AT353" s="23" cm="1">
        <f t="array" ref="AT353">_xlfn.IFS(Data!$F353&lt;600,((Data!$F353/Data!$D353)*60)*1,AND(Data!$F353&gt;=600,Data!$F353&lt;=625),((Data!$F353/Data!$D353)*60)*1.2,AND(Data!$F353&gt;=626,Data!$F353&lt;=650),((Data!$F353/Data!$D353)*60)*1.5,Data!$F353&gt;=651,((Data!$F353/Data!$D353)*60)*1.8)</f>
        <v>568.42105263157896</v>
      </c>
      <c r="AU353" s="23">
        <f>(Data!$I353*-1.2)+(Data!$J353*-1.1)+(Data!$K353*1.2)+(Data!$L353*1.3)+(Data!$M353*1.5)</f>
        <v>-12.800000000000002</v>
      </c>
      <c r="AV353" s="23">
        <f>(Data!$AS353*0.4)+(Data!$AT353*0.4)+(Data!$AU353*0.2)</f>
        <v>229.01894736842107</v>
      </c>
      <c r="AW353" s="23">
        <f>PERCENTRANK(AV:AV,Data!$AV353)*100</f>
        <v>6.4</v>
      </c>
      <c r="AX353" s="23" t="str">
        <f>_xlfn.CONCAT(TEXT(C353,"mmm"),"-",Data!$AE353)</f>
        <v>Aug-2022</v>
      </c>
    </row>
    <row r="354" spans="1:50" ht="17" thickTop="1" thickBot="1" x14ac:dyDescent="0.25">
      <c r="A354" s="28">
        <v>353</v>
      </c>
      <c r="B354" s="29">
        <f t="shared" si="42"/>
        <v>17</v>
      </c>
      <c r="C354" s="41">
        <v>44796</v>
      </c>
      <c r="D354" s="30">
        <f>SUM(Data!$I354:$M354)</f>
        <v>61</v>
      </c>
      <c r="E354" s="29">
        <v>9</v>
      </c>
      <c r="F354" s="29">
        <v>579</v>
      </c>
      <c r="G354" s="29">
        <v>168</v>
      </c>
      <c r="H354" s="29">
        <v>116</v>
      </c>
      <c r="I354" s="29">
        <v>21</v>
      </c>
      <c r="J354" s="29">
        <v>19</v>
      </c>
      <c r="K354" s="29">
        <v>12</v>
      </c>
      <c r="L354" s="29">
        <v>8</v>
      </c>
      <c r="M354" s="29">
        <v>1</v>
      </c>
      <c r="N354" s="29" t="s">
        <v>91</v>
      </c>
      <c r="O354" s="29" t="s">
        <v>57</v>
      </c>
      <c r="P354" s="29" t="s">
        <v>134</v>
      </c>
      <c r="Q354" s="29">
        <f t="shared" si="48"/>
        <v>2</v>
      </c>
      <c r="R354" s="29" t="str">
        <f t="shared" si="43"/>
        <v>8-2022</v>
      </c>
      <c r="S354" s="29" t="s">
        <v>104</v>
      </c>
      <c r="T354" s="29" t="str">
        <f t="shared" si="44"/>
        <v>Tuesday</v>
      </c>
      <c r="U354" s="29">
        <f t="shared" si="45"/>
        <v>0</v>
      </c>
      <c r="V354" s="31">
        <f>IFERROR(Data!$I354/Data!$D354,"")</f>
        <v>0.34426229508196721</v>
      </c>
      <c r="W354" s="31">
        <f>IFERROR(Data!$J354/Data!$D354,"")</f>
        <v>0.31147540983606559</v>
      </c>
      <c r="X354" s="31">
        <f>IFERROR(Data!$K354/Data!$D354,"")</f>
        <v>0.19672131147540983</v>
      </c>
      <c r="Y354" s="31">
        <f>IFERROR(Data!$L354/Data!$D354,"")</f>
        <v>0.13114754098360656</v>
      </c>
      <c r="Z354" s="31">
        <f>IFERROR(Data!$M354/Data!$D354,"")</f>
        <v>1.6393442622950821E-2</v>
      </c>
      <c r="AA354" s="32">
        <v>232.14</v>
      </c>
      <c r="AB354" s="32">
        <f t="shared" si="49"/>
        <v>13.655294117647058</v>
      </c>
      <c r="AC354" s="29">
        <f t="shared" si="46"/>
        <v>611.64705882352939</v>
      </c>
      <c r="AD354" s="29">
        <f t="shared" si="47"/>
        <v>14.941176470588236</v>
      </c>
      <c r="AE354" s="29">
        <f>YEAR(Data!$C354)</f>
        <v>2022</v>
      </c>
      <c r="AF354" s="29"/>
      <c r="AG354" s="29">
        <v>12</v>
      </c>
      <c r="AH354" s="33">
        <f>Data!$F354/Data!$D354</f>
        <v>9.4918032786885238</v>
      </c>
      <c r="AI354" s="17" t="str">
        <f>RIGHT(Data!$O354,2)</f>
        <v>PM</v>
      </c>
      <c r="AJ354" s="29" t="str">
        <f>Data!$R354&amp;"-"&amp;WEEKNUM(Data!$C354,1)-WEEKNUM(DATE(YEAR(Data!$C354),MONTH(Data!$C354),1),1)+1</f>
        <v>8-2022-4</v>
      </c>
      <c r="AK354" s="29">
        <f>MONTH(Data!$C354)</f>
        <v>8</v>
      </c>
      <c r="AL354" s="29">
        <f>IFERROR(Data!$F354/Data!$E354,0)</f>
        <v>64.333333333333329</v>
      </c>
      <c r="AM354" s="29">
        <f>COUNTIF(Data!$N$2:$N$825,Data!$N354)</f>
        <v>218</v>
      </c>
      <c r="AN354" s="29" t="str">
        <f>VLOOKUP(Data!$N354,'Helpful Tables'!A:D,4,FALSE)</f>
        <v>Washington, DC</v>
      </c>
      <c r="AO354" s="29">
        <f>COUNTIF(AN:AN,Data!$AN354)/COUNTA(AN:AN)</f>
        <v>0.62424242424242427</v>
      </c>
      <c r="AP354" s="29">
        <v>38.934710000000003</v>
      </c>
      <c r="AQ354" s="29">
        <v>-77.058222999999998</v>
      </c>
      <c r="AR354" s="29">
        <f>COUNTIF(Data!$P$2:$P$825,Data!$P354)</f>
        <v>9</v>
      </c>
      <c r="AS354" s="29" cm="1">
        <f t="array" ref="AS354">_xlfn.IFS(Data!$E354&lt;12,((Data!$E354/Data!$D354)*60)*1,AND(Data!$E354&gt;=12,Data!$E354&lt;=15),((Data!$E354/Data!$D354)*60)*1.2,AND(Data!$E354&gt;=16,Data!$E354&lt;=19),((Data!$E354/Data!$D354)*60)*1.5,Data!$E354&gt;=20,((Data!$E354/Data!$D354)*60)*1.8)</f>
        <v>8.8524590163934427</v>
      </c>
      <c r="AT354" s="29" cm="1">
        <f t="array" ref="AT354">_xlfn.IFS(Data!$F354&lt;600,((Data!$F354/Data!$D354)*60)*1,AND(Data!$F354&gt;=600,Data!$F354&lt;=625),((Data!$F354/Data!$D354)*60)*1.2,AND(Data!$F354&gt;=626,Data!$F354&lt;=650),((Data!$F354/Data!$D354)*60)*1.5,Data!$F354&gt;=651,((Data!$F354/Data!$D354)*60)*1.8)</f>
        <v>569.50819672131138</v>
      </c>
      <c r="AU354" s="29">
        <f>(Data!$I354*-1.2)+(Data!$J354*-1.1)+(Data!$K354*1.2)+(Data!$L354*1.3)+(Data!$M354*1.5)</f>
        <v>-19.800000000000004</v>
      </c>
      <c r="AV354" s="29">
        <f>(Data!$AS354*0.4)+(Data!$AT354*0.4)+(Data!$AU354*0.2)</f>
        <v>227.38426229508192</v>
      </c>
      <c r="AW354" s="29">
        <f>PERCENTRANK(AV:AV,Data!$AV354)*100</f>
        <v>5.8999999999999995</v>
      </c>
      <c r="AX354" s="29" t="str">
        <f>_xlfn.CONCAT(TEXT(C354,"mmm"),"-",Data!$AE354)</f>
        <v>Aug-2022</v>
      </c>
    </row>
    <row r="355" spans="1:50" ht="17" thickTop="1" thickBot="1" x14ac:dyDescent="0.25">
      <c r="A355" s="22">
        <v>354</v>
      </c>
      <c r="B355" s="23">
        <f t="shared" si="42"/>
        <v>17</v>
      </c>
      <c r="C355" s="41">
        <v>44798</v>
      </c>
      <c r="D355" s="24">
        <f>SUM(Data!$I355:$M355)</f>
        <v>64</v>
      </c>
      <c r="E355" s="23">
        <v>8</v>
      </c>
      <c r="F355" s="23">
        <v>601</v>
      </c>
      <c r="G355" s="23">
        <v>161</v>
      </c>
      <c r="H355" s="23">
        <v>117</v>
      </c>
      <c r="I355" s="23">
        <v>20</v>
      </c>
      <c r="J355" s="23">
        <v>17</v>
      </c>
      <c r="K355" s="23">
        <v>19</v>
      </c>
      <c r="L355" s="23">
        <v>8</v>
      </c>
      <c r="M355" s="23">
        <v>0</v>
      </c>
      <c r="N355" s="23" t="s">
        <v>101</v>
      </c>
      <c r="O355" s="23" t="s">
        <v>39</v>
      </c>
      <c r="P355" s="23" t="s">
        <v>118</v>
      </c>
      <c r="Q355" s="23">
        <f t="shared" si="48"/>
        <v>2</v>
      </c>
      <c r="R355" s="23" t="str">
        <f t="shared" si="43"/>
        <v>8-2022</v>
      </c>
      <c r="S355" s="23" t="s">
        <v>145</v>
      </c>
      <c r="T355" s="23" t="str">
        <f t="shared" si="44"/>
        <v>Thursday</v>
      </c>
      <c r="U355" s="23">
        <f t="shared" si="45"/>
        <v>0</v>
      </c>
      <c r="V355" s="25">
        <f>IFERROR(Data!$I355/Data!$D355,"")</f>
        <v>0.3125</v>
      </c>
      <c r="W355" s="25">
        <f>IFERROR(Data!$J355/Data!$D355,"")</f>
        <v>0.265625</v>
      </c>
      <c r="X355" s="25">
        <f>IFERROR(Data!$K355/Data!$D355,"")</f>
        <v>0.296875</v>
      </c>
      <c r="Y355" s="25">
        <f>IFERROR(Data!$L355/Data!$D355,"")</f>
        <v>0.125</v>
      </c>
      <c r="Z355" s="25">
        <f>IFERROR(Data!$M355/Data!$D355,"")</f>
        <v>0</v>
      </c>
      <c r="AA355" s="26">
        <v>232.14</v>
      </c>
      <c r="AB355" s="26">
        <f t="shared" si="49"/>
        <v>13.655294117647058</v>
      </c>
      <c r="AC355" s="23">
        <f t="shared" si="46"/>
        <v>611.64705882352939</v>
      </c>
      <c r="AD355" s="23">
        <f t="shared" si="47"/>
        <v>14.941176470588236</v>
      </c>
      <c r="AE355" s="23">
        <f>YEAR(Data!$C355)</f>
        <v>2022</v>
      </c>
      <c r="AF355" s="23"/>
      <c r="AG355" s="23">
        <v>12</v>
      </c>
      <c r="AH355" s="27">
        <f>Data!$F355/Data!$D355</f>
        <v>9.390625</v>
      </c>
      <c r="AI355" s="17" t="str">
        <f>RIGHT(Data!$O355,2)</f>
        <v>PM</v>
      </c>
      <c r="AJ355" s="23" t="str">
        <f>Data!$R355&amp;"-"&amp;WEEKNUM(Data!$C355,1)-WEEKNUM(DATE(YEAR(Data!$C355),MONTH(Data!$C355),1),1)+1</f>
        <v>8-2022-4</v>
      </c>
      <c r="AK355" s="23">
        <f>MONTH(Data!$C355)</f>
        <v>8</v>
      </c>
      <c r="AL355" s="23">
        <f>IFERROR(Data!$F355/Data!$E355,0)</f>
        <v>75.125</v>
      </c>
      <c r="AM355" s="23">
        <f>COUNTIF(Data!$N$2:$N$825,Data!$N355)</f>
        <v>191</v>
      </c>
      <c r="AN355" s="23" t="str">
        <f>VLOOKUP(Data!$N355,'Helpful Tables'!A:D,4,FALSE)</f>
        <v>Washington, DC</v>
      </c>
      <c r="AO355" s="23">
        <f>COUNTIF(AN:AN,Data!$AN355)/COUNTA(AN:AN)</f>
        <v>0.62424242424242427</v>
      </c>
      <c r="AP355" s="23">
        <v>38.949649000000001</v>
      </c>
      <c r="AQ355" s="23">
        <v>-77.080878999999996</v>
      </c>
      <c r="AR355" s="23">
        <f>COUNTIF(Data!$P$2:$P$825,Data!$P355)</f>
        <v>16</v>
      </c>
      <c r="AS355" s="23" cm="1">
        <f t="array" ref="AS355">_xlfn.IFS(Data!$E355&lt;12,((Data!$E355/Data!$D355)*60)*1,AND(Data!$E355&gt;=12,Data!$E355&lt;=15),((Data!$E355/Data!$D355)*60)*1.2,AND(Data!$E355&gt;=16,Data!$E355&lt;=19),((Data!$E355/Data!$D355)*60)*1.5,Data!$E355&gt;=20,((Data!$E355/Data!$D355)*60)*1.8)</f>
        <v>7.5</v>
      </c>
      <c r="AT355" s="23" cm="1">
        <f t="array" ref="AT355">_xlfn.IFS(Data!$F355&lt;600,((Data!$F355/Data!$D355)*60)*1,AND(Data!$F355&gt;=600,Data!$F355&lt;=625),((Data!$F355/Data!$D355)*60)*1.2,AND(Data!$F355&gt;=626,Data!$F355&lt;=650),((Data!$F355/Data!$D355)*60)*1.5,Data!$F355&gt;=651,((Data!$F355/Data!$D355)*60)*1.8)</f>
        <v>676.125</v>
      </c>
      <c r="AU355" s="23">
        <f>(Data!$I355*-1.2)+(Data!$J355*-1.1)+(Data!$K355*1.2)+(Data!$L355*1.3)+(Data!$M355*1.5)</f>
        <v>-9.5000000000000018</v>
      </c>
      <c r="AV355" s="23">
        <f>(Data!$AS355*0.4)+(Data!$AT355*0.4)+(Data!$AU355*0.2)</f>
        <v>271.55</v>
      </c>
      <c r="AW355" s="23">
        <f>PERCENTRANK(AV:AV,Data!$AV355)*100</f>
        <v>22.7</v>
      </c>
      <c r="AX355" s="23" t="str">
        <f>_xlfn.CONCAT(TEXT(C355,"mmm"),"-",Data!$AE355)</f>
        <v>Aug-2022</v>
      </c>
    </row>
    <row r="356" spans="1:50" ht="17" thickTop="1" thickBot="1" x14ac:dyDescent="0.25">
      <c r="A356" s="28">
        <v>355</v>
      </c>
      <c r="B356" s="29">
        <f t="shared" si="42"/>
        <v>17</v>
      </c>
      <c r="C356" s="41">
        <v>44800</v>
      </c>
      <c r="D356" s="30">
        <f>SUM(Data!$I356:$M356)</f>
        <v>61</v>
      </c>
      <c r="E356" s="29">
        <v>18</v>
      </c>
      <c r="F356" s="29">
        <v>542</v>
      </c>
      <c r="G356" s="29">
        <v>164</v>
      </c>
      <c r="H356" s="29">
        <v>113</v>
      </c>
      <c r="I356" s="29">
        <v>28</v>
      </c>
      <c r="J356" s="29">
        <v>7</v>
      </c>
      <c r="K356" s="29">
        <v>8</v>
      </c>
      <c r="L356" s="29">
        <v>13</v>
      </c>
      <c r="M356" s="29">
        <v>5</v>
      </c>
      <c r="N356" s="29" t="s">
        <v>101</v>
      </c>
      <c r="O356" s="29" t="s">
        <v>45</v>
      </c>
      <c r="P356" s="29" t="s">
        <v>109</v>
      </c>
      <c r="Q356" s="29">
        <f t="shared" si="48"/>
        <v>2</v>
      </c>
      <c r="R356" s="29" t="str">
        <f t="shared" si="43"/>
        <v>8-2022</v>
      </c>
      <c r="S356" s="29" t="s">
        <v>104</v>
      </c>
      <c r="T356" s="29" t="str">
        <f t="shared" si="44"/>
        <v>Saturday</v>
      </c>
      <c r="U356" s="29">
        <f t="shared" si="45"/>
        <v>1</v>
      </c>
      <c r="V356" s="31">
        <f>IFERROR(Data!$I356/Data!$D356,"")</f>
        <v>0.45901639344262296</v>
      </c>
      <c r="W356" s="31">
        <f>IFERROR(Data!$J356/Data!$D356,"")</f>
        <v>0.11475409836065574</v>
      </c>
      <c r="X356" s="31">
        <f>IFERROR(Data!$K356/Data!$D356,"")</f>
        <v>0.13114754098360656</v>
      </c>
      <c r="Y356" s="31">
        <f>IFERROR(Data!$L356/Data!$D356,"")</f>
        <v>0.21311475409836064</v>
      </c>
      <c r="Z356" s="31">
        <f>IFERROR(Data!$M356/Data!$D356,"")</f>
        <v>8.1967213114754092E-2</v>
      </c>
      <c r="AA356" s="32">
        <v>232.14</v>
      </c>
      <c r="AB356" s="32">
        <f t="shared" si="49"/>
        <v>13.655294117647058</v>
      </c>
      <c r="AC356" s="29">
        <f t="shared" si="46"/>
        <v>611.64705882352939</v>
      </c>
      <c r="AD356" s="29">
        <f t="shared" si="47"/>
        <v>14.941176470588236</v>
      </c>
      <c r="AE356" s="29">
        <f>YEAR(Data!$C356)</f>
        <v>2022</v>
      </c>
      <c r="AF356" s="29"/>
      <c r="AG356" s="29">
        <v>12</v>
      </c>
      <c r="AH356" s="33">
        <f>Data!$F356/Data!$D356</f>
        <v>8.8852459016393439</v>
      </c>
      <c r="AI356" s="17" t="str">
        <f>RIGHT(Data!$O356,2)</f>
        <v>AM</v>
      </c>
      <c r="AJ356" s="29" t="str">
        <f>Data!$R356&amp;"-"&amp;WEEKNUM(Data!$C356,1)-WEEKNUM(DATE(YEAR(Data!$C356),MONTH(Data!$C356),1),1)+1</f>
        <v>8-2022-4</v>
      </c>
      <c r="AK356" s="29">
        <f>MONTH(Data!$C356)</f>
        <v>8</v>
      </c>
      <c r="AL356" s="29">
        <f>IFERROR(Data!$F356/Data!$E356,0)</f>
        <v>30.111111111111111</v>
      </c>
      <c r="AM356" s="29">
        <f>COUNTIF(Data!$N$2:$N$825,Data!$N356)</f>
        <v>191</v>
      </c>
      <c r="AN356" s="29" t="str">
        <f>VLOOKUP(Data!$N356,'Helpful Tables'!A:D,4,FALSE)</f>
        <v>Washington, DC</v>
      </c>
      <c r="AO356" s="29">
        <f>COUNTIF(AN:AN,Data!$AN356)/COUNTA(AN:AN)</f>
        <v>0.62424242424242427</v>
      </c>
      <c r="AP356" s="29">
        <v>38.949649000000001</v>
      </c>
      <c r="AQ356" s="29">
        <v>-77.080878999999996</v>
      </c>
      <c r="AR356" s="29">
        <f>COUNTIF(Data!$P$2:$P$825,Data!$P356)</f>
        <v>66</v>
      </c>
      <c r="AS356" s="29" cm="1">
        <f t="array" ref="AS356">_xlfn.IFS(Data!$E356&lt;12,((Data!$E356/Data!$D356)*60)*1,AND(Data!$E356&gt;=12,Data!$E356&lt;=15),((Data!$E356/Data!$D356)*60)*1.2,AND(Data!$E356&gt;=16,Data!$E356&lt;=19),((Data!$E356/Data!$D356)*60)*1.5,Data!$E356&gt;=20,((Data!$E356/Data!$D356)*60)*1.8)</f>
        <v>26.557377049180328</v>
      </c>
      <c r="AT356" s="29" cm="1">
        <f t="array" ref="AT356">_xlfn.IFS(Data!$F356&lt;600,((Data!$F356/Data!$D356)*60)*1,AND(Data!$F356&gt;=600,Data!$F356&lt;=625),((Data!$F356/Data!$D356)*60)*1.2,AND(Data!$F356&gt;=626,Data!$F356&lt;=650),((Data!$F356/Data!$D356)*60)*1.5,Data!$F356&gt;=651,((Data!$F356/Data!$D356)*60)*1.8)</f>
        <v>533.11475409836066</v>
      </c>
      <c r="AU356" s="29">
        <f>(Data!$I356*-1.2)+(Data!$J356*-1.1)+(Data!$K356*1.2)+(Data!$L356*1.3)+(Data!$M356*1.5)</f>
        <v>-7.3000000000000007</v>
      </c>
      <c r="AV356" s="29">
        <f>(Data!$AS356*0.4)+(Data!$AT356*0.4)+(Data!$AU356*0.2)</f>
        <v>222.4088524590164</v>
      </c>
      <c r="AW356" s="29">
        <f>PERCENTRANK(AV:AV,Data!$AV356)*100</f>
        <v>4.5</v>
      </c>
      <c r="AX356" s="29" t="str">
        <f>_xlfn.CONCAT(TEXT(C356,"mmm"),"-",Data!$AE356)</f>
        <v>Aug-2022</v>
      </c>
    </row>
    <row r="357" spans="1:50" ht="17" thickTop="1" thickBot="1" x14ac:dyDescent="0.25">
      <c r="A357" s="22">
        <v>356</v>
      </c>
      <c r="B357" s="23">
        <f t="shared" si="42"/>
        <v>17</v>
      </c>
      <c r="C357" s="41">
        <v>44803</v>
      </c>
      <c r="D357" s="24">
        <f>SUM(Data!$I357:$M357)</f>
        <v>60</v>
      </c>
      <c r="E357" s="23">
        <v>15</v>
      </c>
      <c r="F357" s="23">
        <v>629</v>
      </c>
      <c r="G357" s="23">
        <v>168</v>
      </c>
      <c r="H357" s="23">
        <v>123</v>
      </c>
      <c r="I357" s="23">
        <v>11</v>
      </c>
      <c r="J357" s="23">
        <v>24</v>
      </c>
      <c r="K357" s="23">
        <v>10</v>
      </c>
      <c r="L357" s="23">
        <v>12</v>
      </c>
      <c r="M357" s="23">
        <v>3</v>
      </c>
      <c r="N357" s="23" t="s">
        <v>91</v>
      </c>
      <c r="O357" s="23" t="s">
        <v>57</v>
      </c>
      <c r="P357" s="23" t="s">
        <v>134</v>
      </c>
      <c r="Q357" s="23">
        <f t="shared" si="48"/>
        <v>3</v>
      </c>
      <c r="R357" s="23" t="str">
        <f t="shared" si="43"/>
        <v>8-2022</v>
      </c>
      <c r="S357" s="23" t="s">
        <v>104</v>
      </c>
      <c r="T357" s="23" t="str">
        <f t="shared" si="44"/>
        <v>Tuesday</v>
      </c>
      <c r="U357" s="23">
        <f t="shared" si="45"/>
        <v>1</v>
      </c>
      <c r="V357" s="25">
        <f>IFERROR(Data!$I357/Data!$D357,"")</f>
        <v>0.18333333333333332</v>
      </c>
      <c r="W357" s="25">
        <f>IFERROR(Data!$J357/Data!$D357,"")</f>
        <v>0.4</v>
      </c>
      <c r="X357" s="25">
        <f>IFERROR(Data!$K357/Data!$D357,"")</f>
        <v>0.16666666666666666</v>
      </c>
      <c r="Y357" s="25">
        <f>IFERROR(Data!$L357/Data!$D357,"")</f>
        <v>0.2</v>
      </c>
      <c r="Z357" s="25">
        <f>IFERROR(Data!$M357/Data!$D357,"")</f>
        <v>0.05</v>
      </c>
      <c r="AA357" s="26">
        <v>232.14</v>
      </c>
      <c r="AB357" s="26">
        <f t="shared" si="49"/>
        <v>13.655294117647058</v>
      </c>
      <c r="AC357" s="23">
        <f t="shared" si="46"/>
        <v>611.64705882352939</v>
      </c>
      <c r="AD357" s="23">
        <f t="shared" si="47"/>
        <v>14.941176470588236</v>
      </c>
      <c r="AE357" s="23">
        <f>YEAR(Data!$C357)</f>
        <v>2022</v>
      </c>
      <c r="AF357" s="23"/>
      <c r="AG357" s="23">
        <v>12</v>
      </c>
      <c r="AH357" s="27">
        <f>Data!$F357/Data!$D357</f>
        <v>10.483333333333333</v>
      </c>
      <c r="AI357" s="17" t="str">
        <f>RIGHT(Data!$O357,2)</f>
        <v>PM</v>
      </c>
      <c r="AJ357" s="23" t="str">
        <f>Data!$R357&amp;"-"&amp;WEEKNUM(Data!$C357,1)-WEEKNUM(DATE(YEAR(Data!$C357),MONTH(Data!$C357),1),1)+1</f>
        <v>8-2022-5</v>
      </c>
      <c r="AK357" s="23">
        <f>MONTH(Data!$C357)</f>
        <v>8</v>
      </c>
      <c r="AL357" s="23">
        <f>IFERROR(Data!$F357/Data!$E357,0)</f>
        <v>41.93333333333333</v>
      </c>
      <c r="AM357" s="23">
        <f>COUNTIF(Data!$N$2:$N$825,Data!$N357)</f>
        <v>218</v>
      </c>
      <c r="AN357" s="23" t="str">
        <f>VLOOKUP(Data!$N357,'Helpful Tables'!A:D,4,FALSE)</f>
        <v>Washington, DC</v>
      </c>
      <c r="AO357" s="23">
        <f>COUNTIF(AN:AN,Data!$AN357)/COUNTA(AN:AN)</f>
        <v>0.62424242424242427</v>
      </c>
      <c r="AP357" s="23">
        <v>38.934710000000003</v>
      </c>
      <c r="AQ357" s="23">
        <v>-77.058222999999998</v>
      </c>
      <c r="AR357" s="23">
        <f>COUNTIF(Data!$P$2:$P$825,Data!$P357)</f>
        <v>9</v>
      </c>
      <c r="AS357" s="23" cm="1">
        <f t="array" ref="AS357">_xlfn.IFS(Data!$E357&lt;12,((Data!$E357/Data!$D357)*60)*1,AND(Data!$E357&gt;=12,Data!$E357&lt;=15),((Data!$E357/Data!$D357)*60)*1.2,AND(Data!$E357&gt;=16,Data!$E357&lt;=19),((Data!$E357/Data!$D357)*60)*1.5,Data!$E357&gt;=20,((Data!$E357/Data!$D357)*60)*1.8)</f>
        <v>18</v>
      </c>
      <c r="AT357" s="23" cm="1">
        <f t="array" ref="AT357">_xlfn.IFS(Data!$F357&lt;600,((Data!$F357/Data!$D357)*60)*1,AND(Data!$F357&gt;=600,Data!$F357&lt;=625),((Data!$F357/Data!$D357)*60)*1.2,AND(Data!$F357&gt;=626,Data!$F357&lt;=650),((Data!$F357/Data!$D357)*60)*1.5,Data!$F357&gt;=651,((Data!$F357/Data!$D357)*60)*1.8)</f>
        <v>943.5</v>
      </c>
      <c r="AU357" s="23">
        <f>(Data!$I357*-1.2)+(Data!$J357*-1.1)+(Data!$K357*1.2)+(Data!$L357*1.3)+(Data!$M357*1.5)</f>
        <v>-7.5</v>
      </c>
      <c r="AV357" s="23">
        <f>(Data!$AS357*0.4)+(Data!$AT357*0.4)+(Data!$AU357*0.2)</f>
        <v>383.1</v>
      </c>
      <c r="AW357" s="23">
        <f>PERCENTRANK(AV:AV,Data!$AV357)*100</f>
        <v>46.300000000000004</v>
      </c>
      <c r="AX357" s="23" t="str">
        <f>_xlfn.CONCAT(TEXT(C357,"mmm"),"-",Data!$AE357)</f>
        <v>Aug-2022</v>
      </c>
    </row>
    <row r="358" spans="1:50" ht="17" thickTop="1" thickBot="1" x14ac:dyDescent="0.25">
      <c r="A358" s="28">
        <v>357</v>
      </c>
      <c r="B358" s="29">
        <f t="shared" si="42"/>
        <v>17</v>
      </c>
      <c r="C358" s="41">
        <v>44804</v>
      </c>
      <c r="D358" s="30">
        <f>SUM(Data!$I358:$M358)</f>
        <v>62</v>
      </c>
      <c r="E358" s="29">
        <v>23</v>
      </c>
      <c r="F358" s="29">
        <v>654</v>
      </c>
      <c r="G358" s="29">
        <v>166</v>
      </c>
      <c r="H358" s="29">
        <v>125</v>
      </c>
      <c r="I358" s="29">
        <v>9</v>
      </c>
      <c r="J358" s="29">
        <v>21</v>
      </c>
      <c r="K358" s="29">
        <v>9</v>
      </c>
      <c r="L358" s="29">
        <v>22</v>
      </c>
      <c r="M358" s="29">
        <v>1</v>
      </c>
      <c r="N358" s="29" t="s">
        <v>91</v>
      </c>
      <c r="O358" s="29" t="s">
        <v>57</v>
      </c>
      <c r="P358" s="29" t="s">
        <v>96</v>
      </c>
      <c r="Q358" s="29">
        <f t="shared" si="48"/>
        <v>1</v>
      </c>
      <c r="R358" s="29" t="str">
        <f t="shared" si="43"/>
        <v>8-2022</v>
      </c>
      <c r="S358" s="29" t="s">
        <v>104</v>
      </c>
      <c r="T358" s="29" t="str">
        <f t="shared" si="44"/>
        <v>Wednesday</v>
      </c>
      <c r="U358" s="29">
        <f t="shared" si="45"/>
        <v>1</v>
      </c>
      <c r="V358" s="31">
        <f>IFERROR(Data!$I358/Data!$D358,"")</f>
        <v>0.14516129032258066</v>
      </c>
      <c r="W358" s="31">
        <f>IFERROR(Data!$J358/Data!$D358,"")</f>
        <v>0.33870967741935482</v>
      </c>
      <c r="X358" s="31">
        <f>IFERROR(Data!$K358/Data!$D358,"")</f>
        <v>0.14516129032258066</v>
      </c>
      <c r="Y358" s="31">
        <f>IFERROR(Data!$L358/Data!$D358,"")</f>
        <v>0.35483870967741937</v>
      </c>
      <c r="Z358" s="31">
        <f>IFERROR(Data!$M358/Data!$D358,"")</f>
        <v>1.6129032258064516E-2</v>
      </c>
      <c r="AA358" s="32">
        <v>232.14</v>
      </c>
      <c r="AB358" s="32">
        <f t="shared" si="49"/>
        <v>13.655294117647058</v>
      </c>
      <c r="AC358" s="29">
        <f t="shared" si="46"/>
        <v>611.64705882352939</v>
      </c>
      <c r="AD358" s="29">
        <f t="shared" si="47"/>
        <v>14.941176470588236</v>
      </c>
      <c r="AE358" s="29">
        <f>YEAR(Data!$C358)</f>
        <v>2022</v>
      </c>
      <c r="AF358" s="29"/>
      <c r="AG358" s="29">
        <v>12</v>
      </c>
      <c r="AH358" s="33">
        <f>Data!$F358/Data!$D358</f>
        <v>10.548387096774194</v>
      </c>
      <c r="AI358" s="17" t="str">
        <f>RIGHT(Data!$O358,2)</f>
        <v>PM</v>
      </c>
      <c r="AJ358" s="29" t="str">
        <f>Data!$R358&amp;"-"&amp;WEEKNUM(Data!$C358,1)-WEEKNUM(DATE(YEAR(Data!$C358),MONTH(Data!$C358),1),1)+1</f>
        <v>8-2022-5</v>
      </c>
      <c r="AK358" s="29">
        <f>MONTH(Data!$C358)</f>
        <v>8</v>
      </c>
      <c r="AL358" s="29">
        <f>IFERROR(Data!$F358/Data!$E358,0)</f>
        <v>28.434782608695652</v>
      </c>
      <c r="AM358" s="29">
        <f>COUNTIF(Data!$N$2:$N$825,Data!$N358)</f>
        <v>218</v>
      </c>
      <c r="AN358" s="29" t="str">
        <f>VLOOKUP(Data!$N358,'Helpful Tables'!A:D,4,FALSE)</f>
        <v>Washington, DC</v>
      </c>
      <c r="AO358" s="29">
        <f>COUNTIF(AN:AN,Data!$AN358)/COUNTA(AN:AN)</f>
        <v>0.62424242424242427</v>
      </c>
      <c r="AP358" s="29">
        <v>38.934710000000003</v>
      </c>
      <c r="AQ358" s="29">
        <v>-77.058222999999998</v>
      </c>
      <c r="AR358" s="29">
        <f>COUNTIF(Data!$P$2:$P$825,Data!$P358)</f>
        <v>71</v>
      </c>
      <c r="AS358" s="29" cm="1">
        <f t="array" ref="AS358">_xlfn.IFS(Data!$E358&lt;12,((Data!$E358/Data!$D358)*60)*1,AND(Data!$E358&gt;=12,Data!$E358&lt;=15),((Data!$E358/Data!$D358)*60)*1.2,AND(Data!$E358&gt;=16,Data!$E358&lt;=19),((Data!$E358/Data!$D358)*60)*1.5,Data!$E358&gt;=20,((Data!$E358/Data!$D358)*60)*1.8)</f>
        <v>40.064516129032256</v>
      </c>
      <c r="AT358" s="29" cm="1">
        <f t="array" ref="AT358">_xlfn.IFS(Data!$F358&lt;600,((Data!$F358/Data!$D358)*60)*1,AND(Data!$F358&gt;=600,Data!$F358&lt;=625),((Data!$F358/Data!$D358)*60)*1.2,AND(Data!$F358&gt;=626,Data!$F358&lt;=650),((Data!$F358/Data!$D358)*60)*1.5,Data!$F358&gt;=651,((Data!$F358/Data!$D358)*60)*1.8)</f>
        <v>1139.2258064516129</v>
      </c>
      <c r="AU358" s="29">
        <f>(Data!$I358*-1.2)+(Data!$J358*-1.1)+(Data!$K358*1.2)+(Data!$L358*1.3)+(Data!$M358*1.5)</f>
        <v>7</v>
      </c>
      <c r="AV358" s="29">
        <f>(Data!$AS358*0.4)+(Data!$AT358*0.4)+(Data!$AU358*0.2)</f>
        <v>473.11612903225807</v>
      </c>
      <c r="AW358" s="29">
        <f>PERCENTRANK(AV:AV,Data!$AV358)*100</f>
        <v>67.2</v>
      </c>
      <c r="AX358" s="29" t="str">
        <f>_xlfn.CONCAT(TEXT(C358,"mmm"),"-",Data!$AE358)</f>
        <v>Aug-2022</v>
      </c>
    </row>
    <row r="359" spans="1:50" ht="17" thickTop="1" thickBot="1" x14ac:dyDescent="0.25">
      <c r="A359" s="22">
        <v>358</v>
      </c>
      <c r="B359" s="23">
        <f t="shared" si="42"/>
        <v>14</v>
      </c>
      <c r="C359" s="41">
        <v>44806</v>
      </c>
      <c r="D359" s="24">
        <f>SUM(Data!$I359:$M359)</f>
        <v>59</v>
      </c>
      <c r="E359" s="23">
        <v>12</v>
      </c>
      <c r="F359" s="23">
        <v>518</v>
      </c>
      <c r="G359" s="23">
        <v>168</v>
      </c>
      <c r="H359" s="23">
        <v>112</v>
      </c>
      <c r="I359" s="23">
        <v>27</v>
      </c>
      <c r="J359" s="23">
        <v>9</v>
      </c>
      <c r="K359" s="23">
        <v>11</v>
      </c>
      <c r="L359" s="23">
        <v>11</v>
      </c>
      <c r="M359" s="23">
        <v>1</v>
      </c>
      <c r="N359" s="23" t="s">
        <v>101</v>
      </c>
      <c r="O359" s="23" t="s">
        <v>107</v>
      </c>
      <c r="P359" s="23" t="s">
        <v>118</v>
      </c>
      <c r="Q359" s="23">
        <f t="shared" si="48"/>
        <v>2</v>
      </c>
      <c r="R359" s="23" t="str">
        <f t="shared" si="43"/>
        <v>9-2022</v>
      </c>
      <c r="S359" s="23" t="s">
        <v>104</v>
      </c>
      <c r="T359" s="23" t="str">
        <f t="shared" si="44"/>
        <v>Friday</v>
      </c>
      <c r="U359" s="23">
        <f t="shared" si="45"/>
        <v>1</v>
      </c>
      <c r="V359" s="25">
        <f>IFERROR(Data!$I359/Data!$D359,"")</f>
        <v>0.4576271186440678</v>
      </c>
      <c r="W359" s="25">
        <f>IFERROR(Data!$J359/Data!$D359,"")</f>
        <v>0.15254237288135594</v>
      </c>
      <c r="X359" s="25">
        <f>IFERROR(Data!$K359/Data!$D359,"")</f>
        <v>0.1864406779661017</v>
      </c>
      <c r="Y359" s="25">
        <f>IFERROR(Data!$L359/Data!$D359,"")</f>
        <v>0.1864406779661017</v>
      </c>
      <c r="Z359" s="25">
        <f>IFERROR(Data!$M359/Data!$D359,"")</f>
        <v>1.6949152542372881E-2</v>
      </c>
      <c r="AA359" s="26">
        <v>232.14</v>
      </c>
      <c r="AB359" s="26">
        <f t="shared" si="49"/>
        <v>16.581428571428571</v>
      </c>
      <c r="AC359" s="23">
        <f t="shared" si="46"/>
        <v>609.92857142857144</v>
      </c>
      <c r="AD359" s="23">
        <f t="shared" si="47"/>
        <v>15.071428571428571</v>
      </c>
      <c r="AE359" s="23">
        <f>YEAR(Data!$C359)</f>
        <v>2022</v>
      </c>
      <c r="AF359" s="23"/>
      <c r="AG359" s="23">
        <v>12</v>
      </c>
      <c r="AH359" s="27">
        <f>Data!$F359/Data!$D359</f>
        <v>8.7796610169491522</v>
      </c>
      <c r="AI359" s="17" t="str">
        <f>RIGHT(Data!$O359,2)</f>
        <v>AM</v>
      </c>
      <c r="AJ359" s="23" t="str">
        <f>Data!$R359&amp;"-"&amp;WEEKNUM(Data!$C359,1)-WEEKNUM(DATE(YEAR(Data!$C359),MONTH(Data!$C359),1),1)+1</f>
        <v>9-2022-1</v>
      </c>
      <c r="AK359" s="23">
        <f>MONTH(Data!$C359)</f>
        <v>9</v>
      </c>
      <c r="AL359" s="23">
        <f>IFERROR(Data!$F359/Data!$E359,0)</f>
        <v>43.166666666666664</v>
      </c>
      <c r="AM359" s="23">
        <f>COUNTIF(Data!$N$2:$N$825,Data!$N359)</f>
        <v>191</v>
      </c>
      <c r="AN359" s="23" t="str">
        <f>VLOOKUP(Data!$N359,'Helpful Tables'!A:D,4,FALSE)</f>
        <v>Washington, DC</v>
      </c>
      <c r="AO359" s="23">
        <f>COUNTIF(AN:AN,Data!$AN359)/COUNTA(AN:AN)</f>
        <v>0.62424242424242427</v>
      </c>
      <c r="AP359" s="23">
        <v>38.949649000000001</v>
      </c>
      <c r="AQ359" s="23">
        <v>-77.080878999999996</v>
      </c>
      <c r="AR359" s="23">
        <f>COUNTIF(Data!$P$2:$P$825,Data!$P359)</f>
        <v>16</v>
      </c>
      <c r="AS359" s="23" cm="1">
        <f t="array" ref="AS359">_xlfn.IFS(Data!$E359&lt;12,((Data!$E359/Data!$D359)*60)*1,AND(Data!$E359&gt;=12,Data!$E359&lt;=15),((Data!$E359/Data!$D359)*60)*1.2,AND(Data!$E359&gt;=16,Data!$E359&lt;=19),((Data!$E359/Data!$D359)*60)*1.5,Data!$E359&gt;=20,((Data!$E359/Data!$D359)*60)*1.8)</f>
        <v>14.64406779661017</v>
      </c>
      <c r="AT359" s="23" cm="1">
        <f t="array" ref="AT359">_xlfn.IFS(Data!$F359&lt;600,((Data!$F359/Data!$D359)*60)*1,AND(Data!$F359&gt;=600,Data!$F359&lt;=625),((Data!$F359/Data!$D359)*60)*1.2,AND(Data!$F359&gt;=626,Data!$F359&lt;=650),((Data!$F359/Data!$D359)*60)*1.5,Data!$F359&gt;=651,((Data!$F359/Data!$D359)*60)*1.8)</f>
        <v>526.77966101694915</v>
      </c>
      <c r="AU359" s="23">
        <f>(Data!$I359*-1.2)+(Data!$J359*-1.1)+(Data!$K359*1.2)+(Data!$L359*1.3)+(Data!$M359*1.5)</f>
        <v>-13.299999999999997</v>
      </c>
      <c r="AV359" s="23">
        <f>(Data!$AS359*0.4)+(Data!$AT359*0.4)+(Data!$AU359*0.2)</f>
        <v>213.90949152542376</v>
      </c>
      <c r="AW359" s="23">
        <f>PERCENTRANK(AV:AV,Data!$AV359)*100</f>
        <v>2.1999999999999997</v>
      </c>
      <c r="AX359" s="23" t="str">
        <f>_xlfn.CONCAT(TEXT(C359,"mmm"),"-",Data!$AE359)</f>
        <v>Sep-2022</v>
      </c>
    </row>
    <row r="360" spans="1:50" ht="17" thickTop="1" thickBot="1" x14ac:dyDescent="0.25">
      <c r="A360" s="28">
        <v>359</v>
      </c>
      <c r="B360" s="29">
        <f t="shared" si="42"/>
        <v>14</v>
      </c>
      <c r="C360" s="41">
        <v>44808</v>
      </c>
      <c r="D360" s="30">
        <f>SUM(Data!$I360:$M360)</f>
        <v>58</v>
      </c>
      <c r="E360" s="29">
        <v>15</v>
      </c>
      <c r="F360" s="29">
        <v>614</v>
      </c>
      <c r="G360" s="29">
        <v>162</v>
      </c>
      <c r="H360" s="29">
        <v>124</v>
      </c>
      <c r="I360" s="29">
        <v>9</v>
      </c>
      <c r="J360" s="29">
        <v>16</v>
      </c>
      <c r="K360" s="29">
        <v>18</v>
      </c>
      <c r="L360" s="29">
        <v>11</v>
      </c>
      <c r="M360" s="29">
        <v>4</v>
      </c>
      <c r="N360" s="29" t="s">
        <v>101</v>
      </c>
      <c r="O360" s="29" t="s">
        <v>45</v>
      </c>
      <c r="P360" s="29" t="s">
        <v>102</v>
      </c>
      <c r="Q360" s="29">
        <f t="shared" si="48"/>
        <v>2</v>
      </c>
      <c r="R360" s="29" t="str">
        <f t="shared" si="43"/>
        <v>9-2022</v>
      </c>
      <c r="S360" s="29" t="s">
        <v>104</v>
      </c>
      <c r="T360" s="29" t="str">
        <f t="shared" si="44"/>
        <v>Sunday</v>
      </c>
      <c r="U360" s="29">
        <f t="shared" si="45"/>
        <v>1</v>
      </c>
      <c r="V360" s="31">
        <f>IFERROR(Data!$I360/Data!$D360,"")</f>
        <v>0.15517241379310345</v>
      </c>
      <c r="W360" s="31">
        <f>IFERROR(Data!$J360/Data!$D360,"")</f>
        <v>0.27586206896551724</v>
      </c>
      <c r="X360" s="31">
        <f>IFERROR(Data!$K360/Data!$D360,"")</f>
        <v>0.31034482758620691</v>
      </c>
      <c r="Y360" s="31">
        <f>IFERROR(Data!$L360/Data!$D360,"")</f>
        <v>0.18965517241379309</v>
      </c>
      <c r="Z360" s="31">
        <f>IFERROR(Data!$M360/Data!$D360,"")</f>
        <v>6.8965517241379309E-2</v>
      </c>
      <c r="AA360" s="32">
        <v>232.14</v>
      </c>
      <c r="AB360" s="32">
        <f t="shared" si="49"/>
        <v>16.581428571428571</v>
      </c>
      <c r="AC360" s="29">
        <f t="shared" si="46"/>
        <v>609.92857142857144</v>
      </c>
      <c r="AD360" s="29">
        <f t="shared" si="47"/>
        <v>15.071428571428571</v>
      </c>
      <c r="AE360" s="29">
        <f>YEAR(Data!$C360)</f>
        <v>2022</v>
      </c>
      <c r="AF360" s="29"/>
      <c r="AG360" s="29">
        <v>12</v>
      </c>
      <c r="AH360" s="33">
        <f>Data!$F360/Data!$D360</f>
        <v>10.586206896551724</v>
      </c>
      <c r="AI360" s="17" t="str">
        <f>RIGHT(Data!$O360,2)</f>
        <v>AM</v>
      </c>
      <c r="AJ360" s="29" t="str">
        <f>Data!$R360&amp;"-"&amp;WEEKNUM(Data!$C360,1)-WEEKNUM(DATE(YEAR(Data!$C360),MONTH(Data!$C360),1),1)+1</f>
        <v>9-2022-2</v>
      </c>
      <c r="AK360" s="29">
        <f>MONTH(Data!$C360)</f>
        <v>9</v>
      </c>
      <c r="AL360" s="29">
        <f>IFERROR(Data!$F360/Data!$E360,0)</f>
        <v>40.93333333333333</v>
      </c>
      <c r="AM360" s="29">
        <f>COUNTIF(Data!$N$2:$N$825,Data!$N360)</f>
        <v>191</v>
      </c>
      <c r="AN360" s="29" t="str">
        <f>VLOOKUP(Data!$N360,'Helpful Tables'!A:D,4,FALSE)</f>
        <v>Washington, DC</v>
      </c>
      <c r="AO360" s="29">
        <f>COUNTIF(AN:AN,Data!$AN360)/COUNTA(AN:AN)</f>
        <v>0.62424242424242427</v>
      </c>
      <c r="AP360" s="29">
        <v>38.949649000000001</v>
      </c>
      <c r="AQ360" s="29">
        <v>-77.080878999999996</v>
      </c>
      <c r="AR360" s="29">
        <f>COUNTIF(Data!$P$2:$P$825,Data!$P360)</f>
        <v>20</v>
      </c>
      <c r="AS360" s="29" cm="1">
        <f t="array" ref="AS360">_xlfn.IFS(Data!$E360&lt;12,((Data!$E360/Data!$D360)*60)*1,AND(Data!$E360&gt;=12,Data!$E360&lt;=15),((Data!$E360/Data!$D360)*60)*1.2,AND(Data!$E360&gt;=16,Data!$E360&lt;=19),((Data!$E360/Data!$D360)*60)*1.5,Data!$E360&gt;=20,((Data!$E360/Data!$D360)*60)*1.8)</f>
        <v>18.620689655172413</v>
      </c>
      <c r="AT360" s="29" cm="1">
        <f t="array" ref="AT360">_xlfn.IFS(Data!$F360&lt;600,((Data!$F360/Data!$D360)*60)*1,AND(Data!$F360&gt;=600,Data!$F360&lt;=625),((Data!$F360/Data!$D360)*60)*1.2,AND(Data!$F360&gt;=626,Data!$F360&lt;=650),((Data!$F360/Data!$D360)*60)*1.5,Data!$F360&gt;=651,((Data!$F360/Data!$D360)*60)*1.8)</f>
        <v>762.20689655172418</v>
      </c>
      <c r="AU360" s="29">
        <f>(Data!$I360*-1.2)+(Data!$J360*-1.1)+(Data!$K360*1.2)+(Data!$L360*1.3)+(Data!$M360*1.5)</f>
        <v>13.5</v>
      </c>
      <c r="AV360" s="29">
        <f>(Data!$AS360*0.4)+(Data!$AT360*0.4)+(Data!$AU360*0.2)</f>
        <v>315.03103448275863</v>
      </c>
      <c r="AW360" s="29">
        <f>PERCENTRANK(AV:AV,Data!$AV360)*100</f>
        <v>34.1</v>
      </c>
      <c r="AX360" s="29" t="str">
        <f>_xlfn.CONCAT(TEXT(C360,"mmm"),"-",Data!$AE360)</f>
        <v>Sep-2022</v>
      </c>
    </row>
    <row r="361" spans="1:50" ht="17" thickTop="1" thickBot="1" x14ac:dyDescent="0.25">
      <c r="A361" s="22">
        <v>360</v>
      </c>
      <c r="B361" s="23">
        <f t="shared" si="42"/>
        <v>14</v>
      </c>
      <c r="C361" s="41">
        <v>44810</v>
      </c>
      <c r="D361" s="24">
        <f>SUM(Data!$I361:$M361)</f>
        <v>60</v>
      </c>
      <c r="E361" s="23">
        <v>13</v>
      </c>
      <c r="F361" s="23">
        <v>634</v>
      </c>
      <c r="G361" s="23">
        <v>168</v>
      </c>
      <c r="H361" s="23">
        <v>124</v>
      </c>
      <c r="I361" s="23">
        <v>9</v>
      </c>
      <c r="J361" s="23">
        <v>14</v>
      </c>
      <c r="K361" s="23">
        <v>24</v>
      </c>
      <c r="L361" s="23">
        <v>8</v>
      </c>
      <c r="M361" s="23">
        <v>5</v>
      </c>
      <c r="N361" s="23" t="s">
        <v>91</v>
      </c>
      <c r="O361" s="23" t="s">
        <v>57</v>
      </c>
      <c r="P361" s="23" t="s">
        <v>134</v>
      </c>
      <c r="Q361" s="23">
        <f t="shared" si="48"/>
        <v>2</v>
      </c>
      <c r="R361" s="23" t="str">
        <f t="shared" si="43"/>
        <v>9-2022</v>
      </c>
      <c r="S361" s="23" t="s">
        <v>104</v>
      </c>
      <c r="T361" s="23" t="str">
        <f t="shared" si="44"/>
        <v>Tuesday</v>
      </c>
      <c r="U361" s="23">
        <f t="shared" si="45"/>
        <v>1</v>
      </c>
      <c r="V361" s="25">
        <f>IFERROR(Data!$I361/Data!$D361,"")</f>
        <v>0.15</v>
      </c>
      <c r="W361" s="25">
        <f>IFERROR(Data!$J361/Data!$D361,"")</f>
        <v>0.23333333333333334</v>
      </c>
      <c r="X361" s="25">
        <f>IFERROR(Data!$K361/Data!$D361,"")</f>
        <v>0.4</v>
      </c>
      <c r="Y361" s="25">
        <f>IFERROR(Data!$L361/Data!$D361,"")</f>
        <v>0.13333333333333333</v>
      </c>
      <c r="Z361" s="25">
        <f>IFERROR(Data!$M361/Data!$D361,"")</f>
        <v>8.3333333333333329E-2</v>
      </c>
      <c r="AA361" s="26">
        <v>232.14</v>
      </c>
      <c r="AB361" s="26">
        <f t="shared" si="49"/>
        <v>16.581428571428571</v>
      </c>
      <c r="AC361" s="23">
        <f t="shared" si="46"/>
        <v>609.92857142857144</v>
      </c>
      <c r="AD361" s="23">
        <f t="shared" si="47"/>
        <v>15.071428571428571</v>
      </c>
      <c r="AE361" s="23">
        <f>YEAR(Data!$C361)</f>
        <v>2022</v>
      </c>
      <c r="AF361" s="23"/>
      <c r="AG361" s="23">
        <v>12</v>
      </c>
      <c r="AH361" s="27">
        <f>Data!$F361/Data!$D361</f>
        <v>10.566666666666666</v>
      </c>
      <c r="AI361" s="17" t="str">
        <f>RIGHT(Data!$O361,2)</f>
        <v>PM</v>
      </c>
      <c r="AJ361" s="23" t="str">
        <f>Data!$R361&amp;"-"&amp;WEEKNUM(Data!$C361,1)-WEEKNUM(DATE(YEAR(Data!$C361),MONTH(Data!$C361),1),1)+1</f>
        <v>9-2022-2</v>
      </c>
      <c r="AK361" s="23">
        <f>MONTH(Data!$C361)</f>
        <v>9</v>
      </c>
      <c r="AL361" s="23">
        <f>IFERROR(Data!$F361/Data!$E361,0)</f>
        <v>48.769230769230766</v>
      </c>
      <c r="AM361" s="23">
        <f>COUNTIF(Data!$N$2:$N$825,Data!$N361)</f>
        <v>218</v>
      </c>
      <c r="AN361" s="23" t="str">
        <f>VLOOKUP(Data!$N361,'Helpful Tables'!A:D,4,FALSE)</f>
        <v>Washington, DC</v>
      </c>
      <c r="AO361" s="23">
        <f>COUNTIF(AN:AN,Data!$AN361)/COUNTA(AN:AN)</f>
        <v>0.62424242424242427</v>
      </c>
      <c r="AP361" s="23">
        <v>38.934710000000003</v>
      </c>
      <c r="AQ361" s="23">
        <v>-77.058222999999998</v>
      </c>
      <c r="AR361" s="23">
        <f>COUNTIF(Data!$P$2:$P$825,Data!$P361)</f>
        <v>9</v>
      </c>
      <c r="AS361" s="23" cm="1">
        <f t="array" ref="AS361">_xlfn.IFS(Data!$E361&lt;12,((Data!$E361/Data!$D361)*60)*1,AND(Data!$E361&gt;=12,Data!$E361&lt;=15),((Data!$E361/Data!$D361)*60)*1.2,AND(Data!$E361&gt;=16,Data!$E361&lt;=19),((Data!$E361/Data!$D361)*60)*1.5,Data!$E361&gt;=20,((Data!$E361/Data!$D361)*60)*1.8)</f>
        <v>15.6</v>
      </c>
      <c r="AT361" s="23" cm="1">
        <f t="array" ref="AT361">_xlfn.IFS(Data!$F361&lt;600,((Data!$F361/Data!$D361)*60)*1,AND(Data!$F361&gt;=600,Data!$F361&lt;=625),((Data!$F361/Data!$D361)*60)*1.2,AND(Data!$F361&gt;=626,Data!$F361&lt;=650),((Data!$F361/Data!$D361)*60)*1.5,Data!$F361&gt;=651,((Data!$F361/Data!$D361)*60)*1.8)</f>
        <v>951</v>
      </c>
      <c r="AU361" s="23">
        <f>(Data!$I361*-1.2)+(Data!$J361*-1.1)+(Data!$K361*1.2)+(Data!$L361*1.3)+(Data!$M361*1.5)</f>
        <v>20.499999999999993</v>
      </c>
      <c r="AV361" s="23">
        <f>(Data!$AS361*0.4)+(Data!$AT361*0.4)+(Data!$AU361*0.2)</f>
        <v>390.74000000000007</v>
      </c>
      <c r="AW361" s="23">
        <f>PERCENTRANK(AV:AV,Data!$AV361)*100</f>
        <v>48.1</v>
      </c>
      <c r="AX361" s="23" t="str">
        <f>_xlfn.CONCAT(TEXT(C361,"mmm"),"-",Data!$AE361)</f>
        <v>Sep-2022</v>
      </c>
    </row>
    <row r="362" spans="1:50" ht="17" thickTop="1" thickBot="1" x14ac:dyDescent="0.25">
      <c r="A362" s="28">
        <v>361</v>
      </c>
      <c r="B362" s="29">
        <f t="shared" si="42"/>
        <v>14</v>
      </c>
      <c r="C362" s="41">
        <v>44811</v>
      </c>
      <c r="D362" s="30">
        <f>SUM(Data!$I362:$M362)</f>
        <v>59</v>
      </c>
      <c r="E362" s="29">
        <v>15</v>
      </c>
      <c r="F362" s="29">
        <v>580</v>
      </c>
      <c r="G362" s="29">
        <v>163</v>
      </c>
      <c r="H362" s="29">
        <v>119</v>
      </c>
      <c r="I362" s="29">
        <v>17</v>
      </c>
      <c r="J362" s="29">
        <v>16</v>
      </c>
      <c r="K362" s="29">
        <v>11</v>
      </c>
      <c r="L362" s="29">
        <v>13</v>
      </c>
      <c r="M362" s="29">
        <v>2</v>
      </c>
      <c r="N362" s="29" t="s">
        <v>101</v>
      </c>
      <c r="O362" s="29" t="s">
        <v>39</v>
      </c>
      <c r="P362" s="29" t="s">
        <v>147</v>
      </c>
      <c r="Q362" s="29">
        <f t="shared" si="48"/>
        <v>1</v>
      </c>
      <c r="R362" s="29" t="str">
        <f t="shared" si="43"/>
        <v>9-2022</v>
      </c>
      <c r="S362" s="29" t="s">
        <v>104</v>
      </c>
      <c r="T362" s="29" t="str">
        <f t="shared" si="44"/>
        <v>Wednesday</v>
      </c>
      <c r="U362" s="29">
        <f t="shared" si="45"/>
        <v>1</v>
      </c>
      <c r="V362" s="31">
        <f>IFERROR(Data!$I362/Data!$D362,"")</f>
        <v>0.28813559322033899</v>
      </c>
      <c r="W362" s="31">
        <f>IFERROR(Data!$J362/Data!$D362,"")</f>
        <v>0.2711864406779661</v>
      </c>
      <c r="X362" s="31">
        <f>IFERROR(Data!$K362/Data!$D362,"")</f>
        <v>0.1864406779661017</v>
      </c>
      <c r="Y362" s="31">
        <f>IFERROR(Data!$L362/Data!$D362,"")</f>
        <v>0.22033898305084745</v>
      </c>
      <c r="Z362" s="31">
        <f>IFERROR(Data!$M362/Data!$D362,"")</f>
        <v>3.3898305084745763E-2</v>
      </c>
      <c r="AA362" s="32">
        <v>232.14</v>
      </c>
      <c r="AB362" s="32">
        <f t="shared" si="49"/>
        <v>16.581428571428571</v>
      </c>
      <c r="AC362" s="29">
        <f t="shared" si="46"/>
        <v>609.92857142857144</v>
      </c>
      <c r="AD362" s="29">
        <f t="shared" si="47"/>
        <v>15.071428571428571</v>
      </c>
      <c r="AE362" s="29">
        <f>YEAR(Data!$C362)</f>
        <v>2022</v>
      </c>
      <c r="AF362" s="29"/>
      <c r="AG362" s="29">
        <v>12</v>
      </c>
      <c r="AH362" s="33">
        <f>Data!$F362/Data!$D362</f>
        <v>9.8305084745762716</v>
      </c>
      <c r="AI362" s="17" t="str">
        <f>RIGHT(Data!$O362,2)</f>
        <v>PM</v>
      </c>
      <c r="AJ362" s="29" t="str">
        <f>Data!$R362&amp;"-"&amp;WEEKNUM(Data!$C362,1)-WEEKNUM(DATE(YEAR(Data!$C362),MONTH(Data!$C362),1),1)+1</f>
        <v>9-2022-2</v>
      </c>
      <c r="AK362" s="29">
        <f>MONTH(Data!$C362)</f>
        <v>9</v>
      </c>
      <c r="AL362" s="29">
        <f>IFERROR(Data!$F362/Data!$E362,0)</f>
        <v>38.666666666666664</v>
      </c>
      <c r="AM362" s="29">
        <f>COUNTIF(Data!$N$2:$N$825,Data!$N362)</f>
        <v>191</v>
      </c>
      <c r="AN362" s="29" t="str">
        <f>VLOOKUP(Data!$N362,'Helpful Tables'!A:D,4,FALSE)</f>
        <v>Washington, DC</v>
      </c>
      <c r="AO362" s="29">
        <f>COUNTIF(AN:AN,Data!$AN362)/COUNTA(AN:AN)</f>
        <v>0.62424242424242427</v>
      </c>
      <c r="AP362" s="29">
        <v>38.949649000000001</v>
      </c>
      <c r="AQ362" s="29">
        <v>-77.080878999999996</v>
      </c>
      <c r="AR362" s="29">
        <f>COUNTIF(Data!$P$2:$P$825,Data!$P362)</f>
        <v>17</v>
      </c>
      <c r="AS362" s="29" cm="1">
        <f t="array" ref="AS362">_xlfn.IFS(Data!$E362&lt;12,((Data!$E362/Data!$D362)*60)*1,AND(Data!$E362&gt;=12,Data!$E362&lt;=15),((Data!$E362/Data!$D362)*60)*1.2,AND(Data!$E362&gt;=16,Data!$E362&lt;=19),((Data!$E362/Data!$D362)*60)*1.5,Data!$E362&gt;=20,((Data!$E362/Data!$D362)*60)*1.8)</f>
        <v>18.305084745762709</v>
      </c>
      <c r="AT362" s="29" cm="1">
        <f t="array" ref="AT362">_xlfn.IFS(Data!$F362&lt;600,((Data!$F362/Data!$D362)*60)*1,AND(Data!$F362&gt;=600,Data!$F362&lt;=625),((Data!$F362/Data!$D362)*60)*1.2,AND(Data!$F362&gt;=626,Data!$F362&lt;=650),((Data!$F362/Data!$D362)*60)*1.5,Data!$F362&gt;=651,((Data!$F362/Data!$D362)*60)*1.8)</f>
        <v>589.83050847457628</v>
      </c>
      <c r="AU362" s="29">
        <f>(Data!$I362*-1.2)+(Data!$J362*-1.1)+(Data!$K362*1.2)+(Data!$L362*1.3)+(Data!$M362*1.5)</f>
        <v>-4.8999999999999986</v>
      </c>
      <c r="AV362" s="29">
        <f>(Data!$AS362*0.4)+(Data!$AT362*0.4)+(Data!$AU362*0.2)</f>
        <v>242.27423728813562</v>
      </c>
      <c r="AW362" s="29">
        <f>PERCENTRANK(AV:AV,Data!$AV362)*100</f>
        <v>13.5</v>
      </c>
      <c r="AX362" s="29" t="str">
        <f>_xlfn.CONCAT(TEXT(C362,"mmm"),"-",Data!$AE362)</f>
        <v>Sep-2022</v>
      </c>
    </row>
    <row r="363" spans="1:50" ht="17" thickTop="1" thickBot="1" x14ac:dyDescent="0.25">
      <c r="A363" s="22">
        <v>362</v>
      </c>
      <c r="B363" s="23">
        <f t="shared" si="42"/>
        <v>14</v>
      </c>
      <c r="C363" s="41">
        <v>44813</v>
      </c>
      <c r="D363" s="24">
        <f>SUM(Data!$I363:$M363)</f>
        <v>55</v>
      </c>
      <c r="E363" s="23">
        <v>11</v>
      </c>
      <c r="F363" s="23">
        <v>538</v>
      </c>
      <c r="G363" s="23">
        <v>161</v>
      </c>
      <c r="H363" s="23">
        <v>119</v>
      </c>
      <c r="I363" s="23">
        <v>15</v>
      </c>
      <c r="J363" s="23">
        <v>15</v>
      </c>
      <c r="K363" s="23">
        <v>14</v>
      </c>
      <c r="L363" s="23">
        <v>10</v>
      </c>
      <c r="M363" s="23">
        <v>1</v>
      </c>
      <c r="N363" s="23" t="s">
        <v>91</v>
      </c>
      <c r="O363" s="23" t="s">
        <v>89</v>
      </c>
      <c r="P363" s="23" t="s">
        <v>148</v>
      </c>
      <c r="Q363" s="23">
        <f t="shared" si="48"/>
        <v>2</v>
      </c>
      <c r="R363" s="23" t="str">
        <f t="shared" si="43"/>
        <v>9-2022</v>
      </c>
      <c r="S363" s="23" t="s">
        <v>104</v>
      </c>
      <c r="T363" s="23" t="str">
        <f t="shared" si="44"/>
        <v>Friday</v>
      </c>
      <c r="U363" s="23">
        <f t="shared" si="45"/>
        <v>0</v>
      </c>
      <c r="V363" s="25">
        <f>IFERROR(Data!$I363/Data!$D363,"")</f>
        <v>0.27272727272727271</v>
      </c>
      <c r="W363" s="25">
        <f>IFERROR(Data!$J363/Data!$D363,"")</f>
        <v>0.27272727272727271</v>
      </c>
      <c r="X363" s="25">
        <f>IFERROR(Data!$K363/Data!$D363,"")</f>
        <v>0.25454545454545452</v>
      </c>
      <c r="Y363" s="25">
        <f>IFERROR(Data!$L363/Data!$D363,"")</f>
        <v>0.18181818181818182</v>
      </c>
      <c r="Z363" s="25">
        <f>IFERROR(Data!$M363/Data!$D363,"")</f>
        <v>1.8181818181818181E-2</v>
      </c>
      <c r="AA363" s="26">
        <v>232.14</v>
      </c>
      <c r="AB363" s="26">
        <f t="shared" si="49"/>
        <v>16.581428571428571</v>
      </c>
      <c r="AC363" s="23">
        <f t="shared" si="46"/>
        <v>609.92857142857144</v>
      </c>
      <c r="AD363" s="23">
        <f t="shared" si="47"/>
        <v>15.071428571428571</v>
      </c>
      <c r="AE363" s="23">
        <f>YEAR(Data!$C363)</f>
        <v>2022</v>
      </c>
      <c r="AF363" s="23"/>
      <c r="AG363" s="23">
        <v>12</v>
      </c>
      <c r="AH363" s="27">
        <f>Data!$F363/Data!$D363</f>
        <v>9.7818181818181813</v>
      </c>
      <c r="AI363" s="17" t="str">
        <f>RIGHT(Data!$O363,2)</f>
        <v>AM</v>
      </c>
      <c r="AJ363" s="23" t="str">
        <f>Data!$R363&amp;"-"&amp;WEEKNUM(Data!$C363,1)-WEEKNUM(DATE(YEAR(Data!$C363),MONTH(Data!$C363),1),1)+1</f>
        <v>9-2022-2</v>
      </c>
      <c r="AK363" s="23">
        <f>MONTH(Data!$C363)</f>
        <v>9</v>
      </c>
      <c r="AL363" s="23">
        <f>IFERROR(Data!$F363/Data!$E363,0)</f>
        <v>48.909090909090907</v>
      </c>
      <c r="AM363" s="23">
        <f>COUNTIF(Data!$N$2:$N$825,Data!$N363)</f>
        <v>218</v>
      </c>
      <c r="AN363" s="23" t="str">
        <f>VLOOKUP(Data!$N363,'Helpful Tables'!A:D,4,FALSE)</f>
        <v>Washington, DC</v>
      </c>
      <c r="AO363" s="23">
        <f>COUNTIF(AN:AN,Data!$AN363)/COUNTA(AN:AN)</f>
        <v>0.62424242424242427</v>
      </c>
      <c r="AP363" s="23">
        <v>38.934710000000003</v>
      </c>
      <c r="AQ363" s="23">
        <v>-77.058222999999998</v>
      </c>
      <c r="AR363" s="23">
        <f>COUNTIF(Data!$P$2:$P$825,Data!$P363)</f>
        <v>14</v>
      </c>
      <c r="AS363" s="23" cm="1">
        <f t="array" ref="AS363">_xlfn.IFS(Data!$E363&lt;12,((Data!$E363/Data!$D363)*60)*1,AND(Data!$E363&gt;=12,Data!$E363&lt;=15),((Data!$E363/Data!$D363)*60)*1.2,AND(Data!$E363&gt;=16,Data!$E363&lt;=19),((Data!$E363/Data!$D363)*60)*1.5,Data!$E363&gt;=20,((Data!$E363/Data!$D363)*60)*1.8)</f>
        <v>12</v>
      </c>
      <c r="AT363" s="23" cm="1">
        <f t="array" ref="AT363">_xlfn.IFS(Data!$F363&lt;600,((Data!$F363/Data!$D363)*60)*1,AND(Data!$F363&gt;=600,Data!$F363&lt;=625),((Data!$F363/Data!$D363)*60)*1.2,AND(Data!$F363&gt;=626,Data!$F363&lt;=650),((Data!$F363/Data!$D363)*60)*1.5,Data!$F363&gt;=651,((Data!$F363/Data!$D363)*60)*1.8)</f>
        <v>586.90909090909088</v>
      </c>
      <c r="AU363" s="23">
        <f>(Data!$I363*-1.2)+(Data!$J363*-1.1)+(Data!$K363*1.2)+(Data!$L363*1.3)+(Data!$M363*1.5)</f>
        <v>-3.1999999999999993</v>
      </c>
      <c r="AV363" s="23">
        <f>(Data!$AS363*0.4)+(Data!$AT363*0.4)+(Data!$AU363*0.2)</f>
        <v>238.92363636363638</v>
      </c>
      <c r="AW363" s="23">
        <f>PERCENTRANK(AV:AV,Data!$AV363)*100</f>
        <v>11.4</v>
      </c>
      <c r="AX363" s="23" t="str">
        <f>_xlfn.CONCAT(TEXT(C363,"mmm"),"-",Data!$AE363)</f>
        <v>Sep-2022</v>
      </c>
    </row>
    <row r="364" spans="1:50" ht="17" thickTop="1" thickBot="1" x14ac:dyDescent="0.25">
      <c r="A364" s="28">
        <v>363</v>
      </c>
      <c r="B364" s="29">
        <f t="shared" si="42"/>
        <v>14</v>
      </c>
      <c r="C364" s="41">
        <v>44814</v>
      </c>
      <c r="D364" s="30">
        <f>SUM(Data!$I364:$M364)</f>
        <v>60</v>
      </c>
      <c r="E364" s="29">
        <v>17</v>
      </c>
      <c r="F364" s="29">
        <v>653</v>
      </c>
      <c r="G364" s="29">
        <v>162</v>
      </c>
      <c r="H364" s="29">
        <v>126</v>
      </c>
      <c r="I364" s="29">
        <v>11</v>
      </c>
      <c r="J364" s="29">
        <v>19</v>
      </c>
      <c r="K364" s="29">
        <v>13</v>
      </c>
      <c r="L364" s="29">
        <v>13</v>
      </c>
      <c r="M364" s="29">
        <v>4</v>
      </c>
      <c r="N364" s="29" t="s">
        <v>101</v>
      </c>
      <c r="O364" s="29" t="s">
        <v>45</v>
      </c>
      <c r="P364" s="29" t="s">
        <v>109</v>
      </c>
      <c r="Q364" s="29">
        <f t="shared" si="48"/>
        <v>1</v>
      </c>
      <c r="R364" s="29" t="str">
        <f t="shared" si="43"/>
        <v>9-2022</v>
      </c>
      <c r="S364" s="29" t="s">
        <v>104</v>
      </c>
      <c r="T364" s="29" t="str">
        <f t="shared" si="44"/>
        <v>Saturday</v>
      </c>
      <c r="U364" s="29">
        <f t="shared" si="45"/>
        <v>1</v>
      </c>
      <c r="V364" s="31">
        <f>IFERROR(Data!$I364/Data!$D364,"")</f>
        <v>0.18333333333333332</v>
      </c>
      <c r="W364" s="31">
        <f>IFERROR(Data!$J364/Data!$D364,"")</f>
        <v>0.31666666666666665</v>
      </c>
      <c r="X364" s="31">
        <f>IFERROR(Data!$K364/Data!$D364,"")</f>
        <v>0.21666666666666667</v>
      </c>
      <c r="Y364" s="31">
        <f>IFERROR(Data!$L364/Data!$D364,"")</f>
        <v>0.21666666666666667</v>
      </c>
      <c r="Z364" s="31">
        <f>IFERROR(Data!$M364/Data!$D364,"")</f>
        <v>6.6666666666666666E-2</v>
      </c>
      <c r="AA364" s="32">
        <v>232.14</v>
      </c>
      <c r="AB364" s="32">
        <f t="shared" si="49"/>
        <v>16.581428571428571</v>
      </c>
      <c r="AC364" s="29">
        <f t="shared" si="46"/>
        <v>609.92857142857144</v>
      </c>
      <c r="AD364" s="29">
        <f t="shared" si="47"/>
        <v>15.071428571428571</v>
      </c>
      <c r="AE364" s="29">
        <f>YEAR(Data!$C364)</f>
        <v>2022</v>
      </c>
      <c r="AF364" s="29"/>
      <c r="AG364" s="29">
        <v>12</v>
      </c>
      <c r="AH364" s="33">
        <f>Data!$F364/Data!$D364</f>
        <v>10.883333333333333</v>
      </c>
      <c r="AI364" s="17" t="str">
        <f>RIGHT(Data!$O364,2)</f>
        <v>AM</v>
      </c>
      <c r="AJ364" s="29" t="str">
        <f>Data!$R364&amp;"-"&amp;WEEKNUM(Data!$C364,1)-WEEKNUM(DATE(YEAR(Data!$C364),MONTH(Data!$C364),1),1)+1</f>
        <v>9-2022-2</v>
      </c>
      <c r="AK364" s="29">
        <f>MONTH(Data!$C364)</f>
        <v>9</v>
      </c>
      <c r="AL364" s="29">
        <f>IFERROR(Data!$F364/Data!$E364,0)</f>
        <v>38.411764705882355</v>
      </c>
      <c r="AM364" s="29">
        <f>COUNTIF(Data!$N$2:$N$825,Data!$N364)</f>
        <v>191</v>
      </c>
      <c r="AN364" s="29" t="str">
        <f>VLOOKUP(Data!$N364,'Helpful Tables'!A:D,4,FALSE)</f>
        <v>Washington, DC</v>
      </c>
      <c r="AO364" s="29">
        <f>COUNTIF(AN:AN,Data!$AN364)/COUNTA(AN:AN)</f>
        <v>0.62424242424242427</v>
      </c>
      <c r="AP364" s="29">
        <v>38.949649000000001</v>
      </c>
      <c r="AQ364" s="29">
        <v>-77.080878999999996</v>
      </c>
      <c r="AR364" s="29">
        <f>COUNTIF(Data!$P$2:$P$825,Data!$P364)</f>
        <v>66</v>
      </c>
      <c r="AS364" s="29" cm="1">
        <f t="array" ref="AS364">_xlfn.IFS(Data!$E364&lt;12,((Data!$E364/Data!$D364)*60)*1,AND(Data!$E364&gt;=12,Data!$E364&lt;=15),((Data!$E364/Data!$D364)*60)*1.2,AND(Data!$E364&gt;=16,Data!$E364&lt;=19),((Data!$E364/Data!$D364)*60)*1.5,Data!$E364&gt;=20,((Data!$E364/Data!$D364)*60)*1.8)</f>
        <v>25.5</v>
      </c>
      <c r="AT364" s="29" cm="1">
        <f t="array" ref="AT364">_xlfn.IFS(Data!$F364&lt;600,((Data!$F364/Data!$D364)*60)*1,AND(Data!$F364&gt;=600,Data!$F364&lt;=625),((Data!$F364/Data!$D364)*60)*1.2,AND(Data!$F364&gt;=626,Data!$F364&lt;=650),((Data!$F364/Data!$D364)*60)*1.5,Data!$F364&gt;=651,((Data!$F364/Data!$D364)*60)*1.8)</f>
        <v>1175.4000000000001</v>
      </c>
      <c r="AU364" s="29">
        <f>(Data!$I364*-1.2)+(Data!$J364*-1.1)+(Data!$K364*1.2)+(Data!$L364*1.3)+(Data!$M364*1.5)</f>
        <v>4.4000000000000021</v>
      </c>
      <c r="AV364" s="29">
        <f>(Data!$AS364*0.4)+(Data!$AT364*0.4)+(Data!$AU364*0.2)</f>
        <v>481.24000000000007</v>
      </c>
      <c r="AW364" s="29">
        <f>PERCENTRANK(AV:AV,Data!$AV364)*100</f>
        <v>69.399999999999991</v>
      </c>
      <c r="AX364" s="29" t="str">
        <f>_xlfn.CONCAT(TEXT(C364,"mmm"),"-",Data!$AE364)</f>
        <v>Sep-2022</v>
      </c>
    </row>
    <row r="365" spans="1:50" ht="17" thickTop="1" thickBot="1" x14ac:dyDescent="0.25">
      <c r="A365" s="22">
        <v>364</v>
      </c>
      <c r="B365" s="23">
        <f t="shared" si="42"/>
        <v>14</v>
      </c>
      <c r="C365" s="41">
        <v>44817</v>
      </c>
      <c r="D365" s="24">
        <f>SUM(Data!$I365:$M365)</f>
        <v>60</v>
      </c>
      <c r="E365" s="23">
        <v>16</v>
      </c>
      <c r="F365" s="23">
        <v>633</v>
      </c>
      <c r="G365" s="23">
        <v>168</v>
      </c>
      <c r="H365" s="23">
        <v>124</v>
      </c>
      <c r="I365" s="23">
        <v>11</v>
      </c>
      <c r="J365" s="23">
        <v>16</v>
      </c>
      <c r="K365" s="23">
        <v>17</v>
      </c>
      <c r="L365" s="23">
        <v>15</v>
      </c>
      <c r="M365" s="23">
        <v>1</v>
      </c>
      <c r="N365" s="23" t="s">
        <v>91</v>
      </c>
      <c r="O365" s="23" t="s">
        <v>57</v>
      </c>
      <c r="P365" s="23" t="s">
        <v>134</v>
      </c>
      <c r="Q365" s="23">
        <f t="shared" si="48"/>
        <v>3</v>
      </c>
      <c r="R365" s="23" t="str">
        <f t="shared" si="43"/>
        <v>9-2022</v>
      </c>
      <c r="S365" s="23" t="s">
        <v>104</v>
      </c>
      <c r="T365" s="23" t="str">
        <f t="shared" si="44"/>
        <v>Tuesday</v>
      </c>
      <c r="U365" s="23">
        <f t="shared" si="45"/>
        <v>1</v>
      </c>
      <c r="V365" s="25">
        <f>IFERROR(Data!$I365/Data!$D365,"")</f>
        <v>0.18333333333333332</v>
      </c>
      <c r="W365" s="25">
        <f>IFERROR(Data!$J365/Data!$D365,"")</f>
        <v>0.26666666666666666</v>
      </c>
      <c r="X365" s="25">
        <f>IFERROR(Data!$K365/Data!$D365,"")</f>
        <v>0.28333333333333333</v>
      </c>
      <c r="Y365" s="25">
        <f>IFERROR(Data!$L365/Data!$D365,"")</f>
        <v>0.25</v>
      </c>
      <c r="Z365" s="25">
        <f>IFERROR(Data!$M365/Data!$D365,"")</f>
        <v>1.6666666666666666E-2</v>
      </c>
      <c r="AA365" s="26">
        <v>232.14</v>
      </c>
      <c r="AB365" s="26">
        <f t="shared" si="49"/>
        <v>16.581428571428571</v>
      </c>
      <c r="AC365" s="23">
        <f t="shared" si="46"/>
        <v>609.92857142857144</v>
      </c>
      <c r="AD365" s="23">
        <f t="shared" si="47"/>
        <v>15.071428571428571</v>
      </c>
      <c r="AE365" s="23">
        <f>YEAR(Data!$C365)</f>
        <v>2022</v>
      </c>
      <c r="AF365" s="23"/>
      <c r="AG365" s="23">
        <v>12</v>
      </c>
      <c r="AH365" s="27">
        <f>Data!$F365/Data!$D365</f>
        <v>10.55</v>
      </c>
      <c r="AI365" s="17" t="str">
        <f>RIGHT(Data!$O365,2)</f>
        <v>PM</v>
      </c>
      <c r="AJ365" s="23" t="str">
        <f>Data!$R365&amp;"-"&amp;WEEKNUM(Data!$C365,1)-WEEKNUM(DATE(YEAR(Data!$C365),MONTH(Data!$C365),1),1)+1</f>
        <v>9-2022-3</v>
      </c>
      <c r="AK365" s="23">
        <f>MONTH(Data!$C365)</f>
        <v>9</v>
      </c>
      <c r="AL365" s="23">
        <f>IFERROR(Data!$F365/Data!$E365,0)</f>
        <v>39.5625</v>
      </c>
      <c r="AM365" s="23">
        <f>COUNTIF(Data!$N$2:$N$825,Data!$N365)</f>
        <v>218</v>
      </c>
      <c r="AN365" s="23" t="str">
        <f>VLOOKUP(Data!$N365,'Helpful Tables'!A:D,4,FALSE)</f>
        <v>Washington, DC</v>
      </c>
      <c r="AO365" s="23">
        <f>COUNTIF(AN:AN,Data!$AN365)/COUNTA(AN:AN)</f>
        <v>0.62424242424242427</v>
      </c>
      <c r="AP365" s="23">
        <v>38.934710000000003</v>
      </c>
      <c r="AQ365" s="23">
        <v>-77.058222999999998</v>
      </c>
      <c r="AR365" s="23">
        <f>COUNTIF(Data!$P$2:$P$825,Data!$P365)</f>
        <v>9</v>
      </c>
      <c r="AS365" s="23" cm="1">
        <f t="array" ref="AS365">_xlfn.IFS(Data!$E365&lt;12,((Data!$E365/Data!$D365)*60)*1,AND(Data!$E365&gt;=12,Data!$E365&lt;=15),((Data!$E365/Data!$D365)*60)*1.2,AND(Data!$E365&gt;=16,Data!$E365&lt;=19),((Data!$E365/Data!$D365)*60)*1.5,Data!$E365&gt;=20,((Data!$E365/Data!$D365)*60)*1.8)</f>
        <v>24</v>
      </c>
      <c r="AT365" s="23" cm="1">
        <f t="array" ref="AT365">_xlfn.IFS(Data!$F365&lt;600,((Data!$F365/Data!$D365)*60)*1,AND(Data!$F365&gt;=600,Data!$F365&lt;=625),((Data!$F365/Data!$D365)*60)*1.2,AND(Data!$F365&gt;=626,Data!$F365&lt;=650),((Data!$F365/Data!$D365)*60)*1.5,Data!$F365&gt;=651,((Data!$F365/Data!$D365)*60)*1.8)</f>
        <v>949.5</v>
      </c>
      <c r="AU365" s="23">
        <f>(Data!$I365*-1.2)+(Data!$J365*-1.1)+(Data!$K365*1.2)+(Data!$L365*1.3)+(Data!$M365*1.5)</f>
        <v>10.599999999999998</v>
      </c>
      <c r="AV365" s="23">
        <f>(Data!$AS365*0.4)+(Data!$AT365*0.4)+(Data!$AU365*0.2)</f>
        <v>391.52000000000004</v>
      </c>
      <c r="AW365" s="23">
        <f>PERCENTRANK(AV:AV,Data!$AV365)*100</f>
        <v>48.199999999999996</v>
      </c>
      <c r="AX365" s="23" t="str">
        <f>_xlfn.CONCAT(TEXT(C365,"mmm"),"-",Data!$AE365)</f>
        <v>Sep-2022</v>
      </c>
    </row>
    <row r="366" spans="1:50" ht="17" thickTop="1" thickBot="1" x14ac:dyDescent="0.25">
      <c r="A366" s="28">
        <v>365</v>
      </c>
      <c r="B366" s="29">
        <f t="shared" si="42"/>
        <v>14</v>
      </c>
      <c r="C366" s="41">
        <v>44819</v>
      </c>
      <c r="D366" s="30">
        <f>SUM(Data!$I366:$M366)</f>
        <v>56</v>
      </c>
      <c r="E366" s="29">
        <v>14</v>
      </c>
      <c r="F366" s="29">
        <v>601</v>
      </c>
      <c r="G366" s="29">
        <v>163</v>
      </c>
      <c r="H366" s="29">
        <v>125</v>
      </c>
      <c r="I366" s="29">
        <v>9</v>
      </c>
      <c r="J366" s="29">
        <v>20</v>
      </c>
      <c r="K366" s="29">
        <v>13</v>
      </c>
      <c r="L366" s="29">
        <v>10</v>
      </c>
      <c r="M366" s="29">
        <v>4</v>
      </c>
      <c r="N366" s="29" t="s">
        <v>101</v>
      </c>
      <c r="O366" s="29" t="s">
        <v>107</v>
      </c>
      <c r="P366" s="29" t="s">
        <v>134</v>
      </c>
      <c r="Q366" s="29">
        <f t="shared" si="48"/>
        <v>2</v>
      </c>
      <c r="R366" s="29" t="str">
        <f t="shared" si="43"/>
        <v>9-2022</v>
      </c>
      <c r="S366" s="29" t="s">
        <v>104</v>
      </c>
      <c r="T366" s="29" t="str">
        <f t="shared" si="44"/>
        <v>Thursday</v>
      </c>
      <c r="U366" s="29">
        <f t="shared" si="45"/>
        <v>1</v>
      </c>
      <c r="V366" s="31">
        <f>IFERROR(Data!$I366/Data!$D366,"")</f>
        <v>0.16071428571428573</v>
      </c>
      <c r="W366" s="31">
        <f>IFERROR(Data!$J366/Data!$D366,"")</f>
        <v>0.35714285714285715</v>
      </c>
      <c r="X366" s="31">
        <f>IFERROR(Data!$K366/Data!$D366,"")</f>
        <v>0.23214285714285715</v>
      </c>
      <c r="Y366" s="31">
        <f>IFERROR(Data!$L366/Data!$D366,"")</f>
        <v>0.17857142857142858</v>
      </c>
      <c r="Z366" s="31">
        <f>IFERROR(Data!$M366/Data!$D366,"")</f>
        <v>7.1428571428571425E-2</v>
      </c>
      <c r="AA366" s="32">
        <v>232.14</v>
      </c>
      <c r="AB366" s="32">
        <f t="shared" si="49"/>
        <v>16.581428571428571</v>
      </c>
      <c r="AC366" s="29">
        <f t="shared" si="46"/>
        <v>609.92857142857144</v>
      </c>
      <c r="AD366" s="29">
        <f t="shared" si="47"/>
        <v>15.071428571428571</v>
      </c>
      <c r="AE366" s="29">
        <f>YEAR(Data!$C366)</f>
        <v>2022</v>
      </c>
      <c r="AF366" s="29"/>
      <c r="AG366" s="29">
        <v>12</v>
      </c>
      <c r="AH366" s="33">
        <f>Data!$F366/Data!$D366</f>
        <v>10.732142857142858</v>
      </c>
      <c r="AI366" s="17" t="str">
        <f>RIGHT(Data!$O366,2)</f>
        <v>AM</v>
      </c>
      <c r="AJ366" s="29" t="str">
        <f>Data!$R366&amp;"-"&amp;WEEKNUM(Data!$C366,1)-WEEKNUM(DATE(YEAR(Data!$C366),MONTH(Data!$C366),1),1)+1</f>
        <v>9-2022-3</v>
      </c>
      <c r="AK366" s="29">
        <f>MONTH(Data!$C366)</f>
        <v>9</v>
      </c>
      <c r="AL366" s="29">
        <f>IFERROR(Data!$F366/Data!$E366,0)</f>
        <v>42.928571428571431</v>
      </c>
      <c r="AM366" s="29">
        <f>COUNTIF(Data!$N$2:$N$825,Data!$N366)</f>
        <v>191</v>
      </c>
      <c r="AN366" s="29" t="str">
        <f>VLOOKUP(Data!$N366,'Helpful Tables'!A:D,4,FALSE)</f>
        <v>Washington, DC</v>
      </c>
      <c r="AO366" s="29">
        <f>COUNTIF(AN:AN,Data!$AN366)/COUNTA(AN:AN)</f>
        <v>0.62424242424242427</v>
      </c>
      <c r="AP366" s="29">
        <v>38.949649000000001</v>
      </c>
      <c r="AQ366" s="29">
        <v>-77.080878999999996</v>
      </c>
      <c r="AR366" s="29">
        <f>COUNTIF(Data!$P$2:$P$825,Data!$P366)</f>
        <v>9</v>
      </c>
      <c r="AS366" s="29" cm="1">
        <f t="array" ref="AS366">_xlfn.IFS(Data!$E366&lt;12,((Data!$E366/Data!$D366)*60)*1,AND(Data!$E366&gt;=12,Data!$E366&lt;=15),((Data!$E366/Data!$D366)*60)*1.2,AND(Data!$E366&gt;=16,Data!$E366&lt;=19),((Data!$E366/Data!$D366)*60)*1.5,Data!$E366&gt;=20,((Data!$E366/Data!$D366)*60)*1.8)</f>
        <v>18</v>
      </c>
      <c r="AT366" s="29" cm="1">
        <f t="array" ref="AT366">_xlfn.IFS(Data!$F366&lt;600,((Data!$F366/Data!$D366)*60)*1,AND(Data!$F366&gt;=600,Data!$F366&lt;=625),((Data!$F366/Data!$D366)*60)*1.2,AND(Data!$F366&gt;=626,Data!$F366&lt;=650),((Data!$F366/Data!$D366)*60)*1.5,Data!$F366&gt;=651,((Data!$F366/Data!$D366)*60)*1.8)</f>
        <v>772.71428571428567</v>
      </c>
      <c r="AU366" s="29">
        <f>(Data!$I366*-1.2)+(Data!$J366*-1.1)+(Data!$K366*1.2)+(Data!$L366*1.3)+(Data!$M366*1.5)</f>
        <v>1.8000000000000043</v>
      </c>
      <c r="AV366" s="29">
        <f>(Data!$AS366*0.4)+(Data!$AT366*0.4)+(Data!$AU366*0.2)</f>
        <v>316.64571428571429</v>
      </c>
      <c r="AW366" s="29">
        <f>PERCENTRANK(AV:AV,Data!$AV366)*100</f>
        <v>35.299999999999997</v>
      </c>
      <c r="AX366" s="29" t="str">
        <f>_xlfn.CONCAT(TEXT(C366,"mmm"),"-",Data!$AE366)</f>
        <v>Sep-2022</v>
      </c>
    </row>
    <row r="367" spans="1:50" ht="17" thickTop="1" thickBot="1" x14ac:dyDescent="0.25">
      <c r="A367" s="22">
        <v>366</v>
      </c>
      <c r="B367" s="23">
        <f t="shared" si="42"/>
        <v>14</v>
      </c>
      <c r="C367" s="41">
        <v>44821</v>
      </c>
      <c r="D367" s="24">
        <f>SUM(Data!$I367:$M367)</f>
        <v>59</v>
      </c>
      <c r="E367" s="23">
        <v>20</v>
      </c>
      <c r="F367" s="23">
        <v>696</v>
      </c>
      <c r="G367" s="23">
        <v>171</v>
      </c>
      <c r="H367" s="23">
        <v>131</v>
      </c>
      <c r="I367" s="23">
        <v>6</v>
      </c>
      <c r="J367" s="23">
        <v>14</v>
      </c>
      <c r="K367" s="23">
        <v>19</v>
      </c>
      <c r="L367" s="23">
        <v>16</v>
      </c>
      <c r="M367" s="23">
        <v>4</v>
      </c>
      <c r="N367" s="23" t="s">
        <v>149</v>
      </c>
      <c r="O367" s="23" t="s">
        <v>81</v>
      </c>
      <c r="P367" s="23" t="s">
        <v>150</v>
      </c>
      <c r="Q367" s="23">
        <f t="shared" si="48"/>
        <v>2</v>
      </c>
      <c r="R367" s="23" t="str">
        <f t="shared" si="43"/>
        <v>9-2022</v>
      </c>
      <c r="S367" s="23" t="s">
        <v>104</v>
      </c>
      <c r="T367" s="23" t="str">
        <f t="shared" si="44"/>
        <v>Saturday</v>
      </c>
      <c r="U367" s="23">
        <f t="shared" si="45"/>
        <v>1</v>
      </c>
      <c r="V367" s="25">
        <f>IFERROR(Data!$I367/Data!$D367,"")</f>
        <v>0.10169491525423729</v>
      </c>
      <c r="W367" s="25">
        <f>IFERROR(Data!$J367/Data!$D367,"")</f>
        <v>0.23728813559322035</v>
      </c>
      <c r="X367" s="25">
        <f>IFERROR(Data!$K367/Data!$D367,"")</f>
        <v>0.32203389830508472</v>
      </c>
      <c r="Y367" s="25">
        <f>IFERROR(Data!$L367/Data!$D367,"")</f>
        <v>0.2711864406779661</v>
      </c>
      <c r="Z367" s="25">
        <f>IFERROR(Data!$M367/Data!$D367,"")</f>
        <v>6.7796610169491525E-2</v>
      </c>
      <c r="AA367" s="26">
        <v>232.14</v>
      </c>
      <c r="AB367" s="26">
        <f t="shared" si="49"/>
        <v>16.581428571428571</v>
      </c>
      <c r="AC367" s="23">
        <f t="shared" si="46"/>
        <v>609.92857142857144</v>
      </c>
      <c r="AD367" s="23">
        <f t="shared" si="47"/>
        <v>15.071428571428571</v>
      </c>
      <c r="AE367" s="23">
        <f>YEAR(Data!$C367)</f>
        <v>2022</v>
      </c>
      <c r="AF367" s="23"/>
      <c r="AG367" s="23">
        <v>12</v>
      </c>
      <c r="AH367" s="27">
        <f>Data!$F367/Data!$D367</f>
        <v>11.796610169491526</v>
      </c>
      <c r="AI367" s="17" t="str">
        <f>RIGHT(Data!$O367,2)</f>
        <v>AM</v>
      </c>
      <c r="AJ367" s="23" t="str">
        <f>Data!$R367&amp;"-"&amp;WEEKNUM(Data!$C367,1)-WEEKNUM(DATE(YEAR(Data!$C367),MONTH(Data!$C367),1),1)+1</f>
        <v>9-2022-3</v>
      </c>
      <c r="AK367" s="23">
        <f>MONTH(Data!$C367)</f>
        <v>9</v>
      </c>
      <c r="AL367" s="23">
        <f>IFERROR(Data!$F367/Data!$E367,0)</f>
        <v>34.799999999999997</v>
      </c>
      <c r="AM367" s="23">
        <f>COUNTIF(Data!$N$2:$N$825,Data!$N367)</f>
        <v>1</v>
      </c>
      <c r="AN367" s="23" t="str">
        <f>VLOOKUP(Data!$N367,'Helpful Tables'!A:D,4,FALSE)</f>
        <v>Missouri</v>
      </c>
      <c r="AO367" s="23">
        <f>COUNTIF(AN:AN,Data!$AN367)/COUNTA(AN:AN)</f>
        <v>1.2121212121212121E-3</v>
      </c>
      <c r="AP367" s="23">
        <v>38.643540000000002</v>
      </c>
      <c r="AQ367" s="23">
        <v>-90.261263999999997</v>
      </c>
      <c r="AR367" s="23">
        <f>COUNTIF(Data!$P$2:$P$825,Data!$P367)</f>
        <v>1</v>
      </c>
      <c r="AS367" s="23" cm="1">
        <f t="array" ref="AS367">_xlfn.IFS(Data!$E367&lt;12,((Data!$E367/Data!$D367)*60)*1,AND(Data!$E367&gt;=12,Data!$E367&lt;=15),((Data!$E367/Data!$D367)*60)*1.2,AND(Data!$E367&gt;=16,Data!$E367&lt;=19),((Data!$E367/Data!$D367)*60)*1.5,Data!$E367&gt;=20,((Data!$E367/Data!$D367)*60)*1.8)</f>
        <v>36.610169491525426</v>
      </c>
      <c r="AT367" s="23" cm="1">
        <f t="array" ref="AT367">_xlfn.IFS(Data!$F367&lt;600,((Data!$F367/Data!$D367)*60)*1,AND(Data!$F367&gt;=600,Data!$F367&lt;=625),((Data!$F367/Data!$D367)*60)*1.2,AND(Data!$F367&gt;=626,Data!$F367&lt;=650),((Data!$F367/Data!$D367)*60)*1.5,Data!$F367&gt;=651,((Data!$F367/Data!$D367)*60)*1.8)</f>
        <v>1274.0338983050849</v>
      </c>
      <c r="AU367" s="23">
        <f>(Data!$I367*-1.2)+(Data!$J367*-1.1)+(Data!$K367*1.2)+(Data!$L367*1.3)+(Data!$M367*1.5)</f>
        <v>27</v>
      </c>
      <c r="AV367" s="23">
        <f>(Data!$AS367*0.4)+(Data!$AT367*0.4)+(Data!$AU367*0.2)</f>
        <v>529.6576271186442</v>
      </c>
      <c r="AW367" s="23">
        <f>PERCENTRANK(AV:AV,Data!$AV367)*100</f>
        <v>93.2</v>
      </c>
      <c r="AX367" s="23" t="str">
        <f>_xlfn.CONCAT(TEXT(C367,"mmm"),"-",Data!$AE367)</f>
        <v>Sep-2022</v>
      </c>
    </row>
    <row r="368" spans="1:50" ht="17" thickTop="1" thickBot="1" x14ac:dyDescent="0.25">
      <c r="A368" s="28">
        <v>367</v>
      </c>
      <c r="B368" s="29">
        <f t="shared" si="42"/>
        <v>14</v>
      </c>
      <c r="C368" s="41">
        <v>44824</v>
      </c>
      <c r="D368" s="30">
        <f>SUM(Data!$I368:$M368)</f>
        <v>53</v>
      </c>
      <c r="E368" s="29">
        <v>15</v>
      </c>
      <c r="F368" s="29">
        <v>630</v>
      </c>
      <c r="G368" s="29">
        <v>168</v>
      </c>
      <c r="H368" s="29">
        <v>133</v>
      </c>
      <c r="I368" s="29">
        <v>2</v>
      </c>
      <c r="J368" s="29">
        <v>10</v>
      </c>
      <c r="K368" s="29">
        <v>26</v>
      </c>
      <c r="L368" s="29">
        <v>10</v>
      </c>
      <c r="M368" s="29">
        <v>5</v>
      </c>
      <c r="N368" s="29" t="s">
        <v>152</v>
      </c>
      <c r="O368" s="29" t="s">
        <v>76</v>
      </c>
      <c r="P368" s="29" t="s">
        <v>153</v>
      </c>
      <c r="Q368" s="29">
        <f t="shared" si="48"/>
        <v>3</v>
      </c>
      <c r="R368" s="29" t="str">
        <f t="shared" si="43"/>
        <v>9-2022</v>
      </c>
      <c r="S368" s="29" t="s">
        <v>104</v>
      </c>
      <c r="T368" s="29" t="str">
        <f t="shared" si="44"/>
        <v>Tuesday</v>
      </c>
      <c r="U368" s="29">
        <f t="shared" si="45"/>
        <v>1</v>
      </c>
      <c r="V368" s="31">
        <f>IFERROR(Data!$I368/Data!$D368,"")</f>
        <v>3.7735849056603772E-2</v>
      </c>
      <c r="W368" s="31">
        <f>IFERROR(Data!$J368/Data!$D368,"")</f>
        <v>0.18867924528301888</v>
      </c>
      <c r="X368" s="31">
        <f>IFERROR(Data!$K368/Data!$D368,"")</f>
        <v>0.49056603773584906</v>
      </c>
      <c r="Y368" s="31">
        <f>IFERROR(Data!$L368/Data!$D368,"")</f>
        <v>0.18867924528301888</v>
      </c>
      <c r="Z368" s="31">
        <f>IFERROR(Data!$M368/Data!$D368,"")</f>
        <v>9.4339622641509441E-2</v>
      </c>
      <c r="AA368" s="32">
        <v>232.14</v>
      </c>
      <c r="AB368" s="32">
        <f t="shared" si="49"/>
        <v>16.581428571428571</v>
      </c>
      <c r="AC368" s="29">
        <f t="shared" si="46"/>
        <v>609.92857142857144</v>
      </c>
      <c r="AD368" s="29">
        <f t="shared" si="47"/>
        <v>15.071428571428571</v>
      </c>
      <c r="AE368" s="29">
        <f>YEAR(Data!$C368)</f>
        <v>2022</v>
      </c>
      <c r="AF368" s="29"/>
      <c r="AG368" s="29">
        <v>12</v>
      </c>
      <c r="AH368" s="33">
        <f>Data!$F368/Data!$D368</f>
        <v>11.886792452830189</v>
      </c>
      <c r="AI368" s="17" t="str">
        <f>RIGHT(Data!$O368,2)</f>
        <v>AM</v>
      </c>
      <c r="AJ368" s="29" t="str">
        <f>Data!$R368&amp;"-"&amp;WEEKNUM(Data!$C368,1)-WEEKNUM(DATE(YEAR(Data!$C368),MONTH(Data!$C368),1),1)+1</f>
        <v>9-2022-4</v>
      </c>
      <c r="AK368" s="29">
        <f>MONTH(Data!$C368)</f>
        <v>9</v>
      </c>
      <c r="AL368" s="29">
        <f>IFERROR(Data!$F368/Data!$E368,0)</f>
        <v>42</v>
      </c>
      <c r="AM368" s="29">
        <f>COUNTIF(Data!$N$2:$N$825,Data!$N368)</f>
        <v>1</v>
      </c>
      <c r="AN368" s="29" t="str">
        <f>VLOOKUP(Data!$N368,'Helpful Tables'!A:D,4,FALSE)</f>
        <v>Tennessee</v>
      </c>
      <c r="AO368" s="29">
        <f>COUNTIF(AN:AN,Data!$AN368)/COUNTA(AN:AN)</f>
        <v>1.2121212121212121E-3</v>
      </c>
      <c r="AP368" s="29">
        <v>36.152177000000002</v>
      </c>
      <c r="AQ368" s="29">
        <v>-86.793220000000005</v>
      </c>
      <c r="AR368" s="29">
        <f>COUNTIF(Data!$P$2:$P$825,Data!$P368)</f>
        <v>1</v>
      </c>
      <c r="AS368" s="29" cm="1">
        <f t="array" ref="AS368">_xlfn.IFS(Data!$E368&lt;12,((Data!$E368/Data!$D368)*60)*1,AND(Data!$E368&gt;=12,Data!$E368&lt;=15),((Data!$E368/Data!$D368)*60)*1.2,AND(Data!$E368&gt;=16,Data!$E368&lt;=19),((Data!$E368/Data!$D368)*60)*1.5,Data!$E368&gt;=20,((Data!$E368/Data!$D368)*60)*1.8)</f>
        <v>20.377358490566039</v>
      </c>
      <c r="AT368" s="29" cm="1">
        <f t="array" ref="AT368">_xlfn.IFS(Data!$F368&lt;600,((Data!$F368/Data!$D368)*60)*1,AND(Data!$F368&gt;=600,Data!$F368&lt;=625),((Data!$F368/Data!$D368)*60)*1.2,AND(Data!$F368&gt;=626,Data!$F368&lt;=650),((Data!$F368/Data!$D368)*60)*1.5,Data!$F368&gt;=651,((Data!$F368/Data!$D368)*60)*1.8)</f>
        <v>1069.8113207547171</v>
      </c>
      <c r="AU368" s="29">
        <f>(Data!$I368*-1.2)+(Data!$J368*-1.1)+(Data!$K368*1.2)+(Data!$L368*1.3)+(Data!$M368*1.5)</f>
        <v>38.299999999999997</v>
      </c>
      <c r="AV368" s="29">
        <f>(Data!$AS368*0.4)+(Data!$AT368*0.4)+(Data!$AU368*0.2)</f>
        <v>443.73547169811332</v>
      </c>
      <c r="AW368" s="29">
        <f>PERCENTRANK(AV:AV,Data!$AV368)*100</f>
        <v>65.2</v>
      </c>
      <c r="AX368" s="29" t="str">
        <f>_xlfn.CONCAT(TEXT(C368,"mmm"),"-",Data!$AE368)</f>
        <v>Sep-2022</v>
      </c>
    </row>
    <row r="369" spans="1:50" ht="17" thickTop="1" thickBot="1" x14ac:dyDescent="0.25">
      <c r="A369" s="22">
        <v>368</v>
      </c>
      <c r="B369" s="23">
        <f t="shared" si="42"/>
        <v>14</v>
      </c>
      <c r="C369" s="41">
        <v>44826</v>
      </c>
      <c r="D369" s="24">
        <f>SUM(Data!$I369:$M369)</f>
        <v>54</v>
      </c>
      <c r="E369" s="23">
        <v>21</v>
      </c>
      <c r="F369" s="23">
        <v>643</v>
      </c>
      <c r="G369" s="23">
        <v>163</v>
      </c>
      <c r="H369" s="23">
        <v>132</v>
      </c>
      <c r="I369" s="23">
        <v>4</v>
      </c>
      <c r="J369" s="23">
        <v>12</v>
      </c>
      <c r="K369" s="23">
        <v>17</v>
      </c>
      <c r="L369" s="23">
        <v>17</v>
      </c>
      <c r="M369" s="23">
        <v>4</v>
      </c>
      <c r="N369" s="23" t="s">
        <v>91</v>
      </c>
      <c r="O369" s="23" t="s">
        <v>57</v>
      </c>
      <c r="P369" s="23" t="s">
        <v>98</v>
      </c>
      <c r="Q369" s="23">
        <f t="shared" si="48"/>
        <v>2</v>
      </c>
      <c r="R369" s="23" t="str">
        <f t="shared" si="43"/>
        <v>9-2022</v>
      </c>
      <c r="S369" s="23" t="s">
        <v>104</v>
      </c>
      <c r="T369" s="23" t="str">
        <f t="shared" si="44"/>
        <v>Thursday</v>
      </c>
      <c r="U369" s="23">
        <f t="shared" si="45"/>
        <v>1</v>
      </c>
      <c r="V369" s="25">
        <f>IFERROR(Data!$I369/Data!$D369,"")</f>
        <v>7.407407407407407E-2</v>
      </c>
      <c r="W369" s="25">
        <f>IFERROR(Data!$J369/Data!$D369,"")</f>
        <v>0.22222222222222221</v>
      </c>
      <c r="X369" s="25">
        <f>IFERROR(Data!$K369/Data!$D369,"")</f>
        <v>0.31481481481481483</v>
      </c>
      <c r="Y369" s="25">
        <f>IFERROR(Data!$L369/Data!$D369,"")</f>
        <v>0.31481481481481483</v>
      </c>
      <c r="Z369" s="25">
        <f>IFERROR(Data!$M369/Data!$D369,"")</f>
        <v>7.407407407407407E-2</v>
      </c>
      <c r="AA369" s="26">
        <v>232.14</v>
      </c>
      <c r="AB369" s="26">
        <f t="shared" si="49"/>
        <v>16.581428571428571</v>
      </c>
      <c r="AC369" s="23">
        <f t="shared" si="46"/>
        <v>609.92857142857144</v>
      </c>
      <c r="AD369" s="23">
        <f t="shared" si="47"/>
        <v>15.071428571428571</v>
      </c>
      <c r="AE369" s="23">
        <f>YEAR(Data!$C369)</f>
        <v>2022</v>
      </c>
      <c r="AF369" s="23"/>
      <c r="AG369" s="23">
        <v>12</v>
      </c>
      <c r="AH369" s="27">
        <f>Data!$F369/Data!$D369</f>
        <v>11.907407407407407</v>
      </c>
      <c r="AI369" s="17" t="str">
        <f>RIGHT(Data!$O369,2)</f>
        <v>PM</v>
      </c>
      <c r="AJ369" s="23" t="str">
        <f>Data!$R369&amp;"-"&amp;WEEKNUM(Data!$C369,1)-WEEKNUM(DATE(YEAR(Data!$C369),MONTH(Data!$C369),1),1)+1</f>
        <v>9-2022-4</v>
      </c>
      <c r="AK369" s="23">
        <f>MONTH(Data!$C369)</f>
        <v>9</v>
      </c>
      <c r="AL369" s="23">
        <f>IFERROR(Data!$F369/Data!$E369,0)</f>
        <v>30.61904761904762</v>
      </c>
      <c r="AM369" s="23">
        <f>COUNTIF(Data!$N$2:$N$825,Data!$N369)</f>
        <v>218</v>
      </c>
      <c r="AN369" s="23" t="str">
        <f>VLOOKUP(Data!$N369,'Helpful Tables'!A:D,4,FALSE)</f>
        <v>Washington, DC</v>
      </c>
      <c r="AO369" s="23">
        <f>COUNTIF(AN:AN,Data!$AN369)/COUNTA(AN:AN)</f>
        <v>0.62424242424242427</v>
      </c>
      <c r="AP369" s="23">
        <v>38.934710000000003</v>
      </c>
      <c r="AQ369" s="23">
        <v>-77.058222999999998</v>
      </c>
      <c r="AR369" s="23">
        <f>COUNTIF(Data!$P$2:$P$825,Data!$P369)</f>
        <v>28</v>
      </c>
      <c r="AS369" s="23" cm="1">
        <f t="array" ref="AS369">_xlfn.IFS(Data!$E369&lt;12,((Data!$E369/Data!$D369)*60)*1,AND(Data!$E369&gt;=12,Data!$E369&lt;=15),((Data!$E369/Data!$D369)*60)*1.2,AND(Data!$E369&gt;=16,Data!$E369&lt;=19),((Data!$E369/Data!$D369)*60)*1.5,Data!$E369&gt;=20,((Data!$E369/Data!$D369)*60)*1.8)</f>
        <v>42</v>
      </c>
      <c r="AT369" s="23" cm="1">
        <f t="array" ref="AT369">_xlfn.IFS(Data!$F369&lt;600,((Data!$F369/Data!$D369)*60)*1,AND(Data!$F369&gt;=600,Data!$F369&lt;=625),((Data!$F369/Data!$D369)*60)*1.2,AND(Data!$F369&gt;=626,Data!$F369&lt;=650),((Data!$F369/Data!$D369)*60)*1.5,Data!$F369&gt;=651,((Data!$F369/Data!$D369)*60)*1.8)</f>
        <v>1071.6666666666665</v>
      </c>
      <c r="AU369" s="23">
        <f>(Data!$I369*-1.2)+(Data!$J369*-1.1)+(Data!$K369*1.2)+(Data!$L369*1.3)+(Data!$M369*1.5)</f>
        <v>30.5</v>
      </c>
      <c r="AV369" s="23">
        <f>(Data!$AS369*0.4)+(Data!$AT369*0.4)+(Data!$AU369*0.2)</f>
        <v>451.56666666666666</v>
      </c>
      <c r="AW369" s="23">
        <f>PERCENTRANK(AV:AV,Data!$AV369)*100</f>
        <v>65.5</v>
      </c>
      <c r="AX369" s="23" t="str">
        <f>_xlfn.CONCAT(TEXT(C369,"mmm"),"-",Data!$AE369)</f>
        <v>Sep-2022</v>
      </c>
    </row>
    <row r="370" spans="1:50" ht="17" thickTop="1" thickBot="1" x14ac:dyDescent="0.25">
      <c r="A370" s="28">
        <v>369</v>
      </c>
      <c r="B370" s="29">
        <f t="shared" si="42"/>
        <v>14</v>
      </c>
      <c r="C370" s="41">
        <v>44829</v>
      </c>
      <c r="D370" s="30">
        <f>SUM(Data!$I370:$M370)</f>
        <v>56</v>
      </c>
      <c r="E370" s="29">
        <v>15</v>
      </c>
      <c r="F370" s="29">
        <v>584</v>
      </c>
      <c r="G370" s="29">
        <v>165</v>
      </c>
      <c r="H370" s="29">
        <v>122</v>
      </c>
      <c r="I370" s="29">
        <v>15</v>
      </c>
      <c r="J370" s="29">
        <v>14</v>
      </c>
      <c r="K370" s="29">
        <v>12</v>
      </c>
      <c r="L370" s="29">
        <v>12</v>
      </c>
      <c r="M370" s="29">
        <v>3</v>
      </c>
      <c r="N370" s="29" t="s">
        <v>91</v>
      </c>
      <c r="O370" s="29" t="s">
        <v>79</v>
      </c>
      <c r="P370" s="29" t="s">
        <v>100</v>
      </c>
      <c r="Q370" s="29">
        <f t="shared" si="48"/>
        <v>3</v>
      </c>
      <c r="R370" s="29" t="str">
        <f t="shared" si="43"/>
        <v>9-2022</v>
      </c>
      <c r="S370" s="29" t="s">
        <v>104</v>
      </c>
      <c r="T370" s="29" t="str">
        <f t="shared" si="44"/>
        <v>Sunday</v>
      </c>
      <c r="U370" s="29">
        <f t="shared" si="45"/>
        <v>1</v>
      </c>
      <c r="V370" s="31">
        <f>IFERROR(Data!$I370/Data!$D370,"")</f>
        <v>0.26785714285714285</v>
      </c>
      <c r="W370" s="31">
        <f>IFERROR(Data!$J370/Data!$D370,"")</f>
        <v>0.25</v>
      </c>
      <c r="X370" s="31">
        <f>IFERROR(Data!$K370/Data!$D370,"")</f>
        <v>0.21428571428571427</v>
      </c>
      <c r="Y370" s="31">
        <f>IFERROR(Data!$L370/Data!$D370,"")</f>
        <v>0.21428571428571427</v>
      </c>
      <c r="Z370" s="31">
        <f>IFERROR(Data!$M370/Data!$D370,"")</f>
        <v>5.3571428571428568E-2</v>
      </c>
      <c r="AA370" s="32">
        <v>232.14</v>
      </c>
      <c r="AB370" s="32">
        <f t="shared" si="49"/>
        <v>16.581428571428571</v>
      </c>
      <c r="AC370" s="29">
        <f t="shared" si="46"/>
        <v>609.92857142857144</v>
      </c>
      <c r="AD370" s="29">
        <f t="shared" si="47"/>
        <v>15.071428571428571</v>
      </c>
      <c r="AE370" s="29">
        <f>YEAR(Data!$C370)</f>
        <v>2022</v>
      </c>
      <c r="AF370" s="29"/>
      <c r="AG370" s="29">
        <v>12</v>
      </c>
      <c r="AH370" s="33">
        <f>Data!$F370/Data!$D370</f>
        <v>10.428571428571429</v>
      </c>
      <c r="AI370" s="17" t="str">
        <f>RIGHT(Data!$O370,2)</f>
        <v>AM</v>
      </c>
      <c r="AJ370" s="29" t="str">
        <f>Data!$R370&amp;"-"&amp;WEEKNUM(Data!$C370,1)-WEEKNUM(DATE(YEAR(Data!$C370),MONTH(Data!$C370),1),1)+1</f>
        <v>9-2022-5</v>
      </c>
      <c r="AK370" s="29">
        <f>MONTH(Data!$C370)</f>
        <v>9</v>
      </c>
      <c r="AL370" s="29">
        <f>IFERROR(Data!$F370/Data!$E370,0)</f>
        <v>38.93333333333333</v>
      </c>
      <c r="AM370" s="29">
        <f>COUNTIF(Data!$N$2:$N$825,Data!$N370)</f>
        <v>218</v>
      </c>
      <c r="AN370" s="29" t="str">
        <f>VLOOKUP(Data!$N370,'Helpful Tables'!A:D,4,FALSE)</f>
        <v>Washington, DC</v>
      </c>
      <c r="AO370" s="29">
        <f>COUNTIF(AN:AN,Data!$AN370)/COUNTA(AN:AN)</f>
        <v>0.62424242424242427</v>
      </c>
      <c r="AP370" s="29">
        <v>38.934710000000003</v>
      </c>
      <c r="AQ370" s="29">
        <v>-77.058222999999998</v>
      </c>
      <c r="AR370" s="29">
        <f>COUNTIF(Data!$P$2:$P$825,Data!$P370)</f>
        <v>35</v>
      </c>
      <c r="AS370" s="29" cm="1">
        <f t="array" ref="AS370">_xlfn.IFS(Data!$E370&lt;12,((Data!$E370/Data!$D370)*60)*1,AND(Data!$E370&gt;=12,Data!$E370&lt;=15),((Data!$E370/Data!$D370)*60)*1.2,AND(Data!$E370&gt;=16,Data!$E370&lt;=19),((Data!$E370/Data!$D370)*60)*1.5,Data!$E370&gt;=20,((Data!$E370/Data!$D370)*60)*1.8)</f>
        <v>19.285714285714281</v>
      </c>
      <c r="AT370" s="29" cm="1">
        <f t="array" ref="AT370">_xlfn.IFS(Data!$F370&lt;600,((Data!$F370/Data!$D370)*60)*1,AND(Data!$F370&gt;=600,Data!$F370&lt;=625),((Data!$F370/Data!$D370)*60)*1.2,AND(Data!$F370&gt;=626,Data!$F370&lt;=650),((Data!$F370/Data!$D370)*60)*1.5,Data!$F370&gt;=651,((Data!$F370/Data!$D370)*60)*1.8)</f>
        <v>625.71428571428578</v>
      </c>
      <c r="AU370" s="29">
        <f>(Data!$I370*-1.2)+(Data!$J370*-1.1)+(Data!$K370*1.2)+(Data!$L370*1.3)+(Data!$M370*1.5)</f>
        <v>1.0999999999999943</v>
      </c>
      <c r="AV370" s="29">
        <f>(Data!$AS370*0.4)+(Data!$AT370*0.4)+(Data!$AU370*0.2)</f>
        <v>258.22000000000003</v>
      </c>
      <c r="AW370" s="29">
        <f>PERCENTRANK(AV:AV,Data!$AV370)*100</f>
        <v>20.200000000000003</v>
      </c>
      <c r="AX370" s="29" t="str">
        <f>_xlfn.CONCAT(TEXT(C370,"mmm"),"-",Data!$AE370)</f>
        <v>Sep-2022</v>
      </c>
    </row>
    <row r="371" spans="1:50" ht="17" thickTop="1" thickBot="1" x14ac:dyDescent="0.25">
      <c r="A371" s="22">
        <v>370</v>
      </c>
      <c r="B371" s="23">
        <f t="shared" si="42"/>
        <v>14</v>
      </c>
      <c r="C371" s="41">
        <v>44830</v>
      </c>
      <c r="D371" s="24">
        <f>SUM(Data!$I371:$M371)</f>
        <v>56</v>
      </c>
      <c r="E371" s="23">
        <v>15</v>
      </c>
      <c r="F371" s="23">
        <v>608</v>
      </c>
      <c r="G371" s="23">
        <v>169</v>
      </c>
      <c r="H371" s="23">
        <v>125</v>
      </c>
      <c r="I371" s="23">
        <v>10</v>
      </c>
      <c r="J371" s="23">
        <v>17</v>
      </c>
      <c r="K371" s="23">
        <v>14</v>
      </c>
      <c r="L371" s="23">
        <v>11</v>
      </c>
      <c r="M371" s="23">
        <v>4</v>
      </c>
      <c r="N371" s="23" t="s">
        <v>91</v>
      </c>
      <c r="O371" s="23" t="s">
        <v>57</v>
      </c>
      <c r="P371" s="23" t="s">
        <v>155</v>
      </c>
      <c r="Q371" s="23">
        <f t="shared" si="48"/>
        <v>1</v>
      </c>
      <c r="R371" s="23" t="str">
        <f t="shared" si="43"/>
        <v>9-2022</v>
      </c>
      <c r="S371" s="23" t="s">
        <v>117</v>
      </c>
      <c r="T371" s="23" t="str">
        <f t="shared" si="44"/>
        <v>Monday</v>
      </c>
      <c r="U371" s="23">
        <f t="shared" si="45"/>
        <v>1</v>
      </c>
      <c r="V371" s="25">
        <f>IFERROR(Data!$I371/Data!$D371,"")</f>
        <v>0.17857142857142858</v>
      </c>
      <c r="W371" s="25">
        <f>IFERROR(Data!$J371/Data!$D371,"")</f>
        <v>0.30357142857142855</v>
      </c>
      <c r="X371" s="25">
        <f>IFERROR(Data!$K371/Data!$D371,"")</f>
        <v>0.25</v>
      </c>
      <c r="Y371" s="25">
        <f>IFERROR(Data!$L371/Data!$D371,"")</f>
        <v>0.19642857142857142</v>
      </c>
      <c r="Z371" s="25">
        <f>IFERROR(Data!$M371/Data!$D371,"")</f>
        <v>7.1428571428571425E-2</v>
      </c>
      <c r="AA371" s="26">
        <v>232.14</v>
      </c>
      <c r="AB371" s="26">
        <f t="shared" si="49"/>
        <v>16.581428571428571</v>
      </c>
      <c r="AC371" s="23">
        <f t="shared" si="46"/>
        <v>609.92857142857144</v>
      </c>
      <c r="AD371" s="23">
        <f t="shared" si="47"/>
        <v>15.071428571428571</v>
      </c>
      <c r="AE371" s="23">
        <f>YEAR(Data!$C371)</f>
        <v>2022</v>
      </c>
      <c r="AF371" s="23"/>
      <c r="AG371" s="23">
        <v>12</v>
      </c>
      <c r="AH371" s="27">
        <f>Data!$F371/Data!$D371</f>
        <v>10.857142857142858</v>
      </c>
      <c r="AI371" s="17" t="str">
        <f>RIGHT(Data!$O371,2)</f>
        <v>PM</v>
      </c>
      <c r="AJ371" s="23" t="str">
        <f>Data!$R371&amp;"-"&amp;WEEKNUM(Data!$C371,1)-WEEKNUM(DATE(YEAR(Data!$C371),MONTH(Data!$C371),1),1)+1</f>
        <v>9-2022-5</v>
      </c>
      <c r="AK371" s="23">
        <f>MONTH(Data!$C371)</f>
        <v>9</v>
      </c>
      <c r="AL371" s="23">
        <f>IFERROR(Data!$F371/Data!$E371,0)</f>
        <v>40.533333333333331</v>
      </c>
      <c r="AM371" s="23">
        <f>COUNTIF(Data!$N$2:$N$825,Data!$N371)</f>
        <v>218</v>
      </c>
      <c r="AN371" s="23" t="str">
        <f>VLOOKUP(Data!$N371,'Helpful Tables'!A:D,4,FALSE)</f>
        <v>Washington, DC</v>
      </c>
      <c r="AO371" s="23">
        <f>COUNTIF(AN:AN,Data!$AN371)/COUNTA(AN:AN)</f>
        <v>0.62424242424242427</v>
      </c>
      <c r="AP371" s="23">
        <v>38.934710000000003</v>
      </c>
      <c r="AQ371" s="23">
        <v>-77.058222999999998</v>
      </c>
      <c r="AR371" s="23">
        <f>COUNTIF(Data!$P$2:$P$825,Data!$P371)</f>
        <v>13</v>
      </c>
      <c r="AS371" s="23" cm="1">
        <f t="array" ref="AS371">_xlfn.IFS(Data!$E371&lt;12,((Data!$E371/Data!$D371)*60)*1,AND(Data!$E371&gt;=12,Data!$E371&lt;=15),((Data!$E371/Data!$D371)*60)*1.2,AND(Data!$E371&gt;=16,Data!$E371&lt;=19),((Data!$E371/Data!$D371)*60)*1.5,Data!$E371&gt;=20,((Data!$E371/Data!$D371)*60)*1.8)</f>
        <v>19.285714285714281</v>
      </c>
      <c r="AT371" s="23" cm="1">
        <f t="array" ref="AT371">_xlfn.IFS(Data!$F371&lt;600,((Data!$F371/Data!$D371)*60)*1,AND(Data!$F371&gt;=600,Data!$F371&lt;=625),((Data!$F371/Data!$D371)*60)*1.2,AND(Data!$F371&gt;=626,Data!$F371&lt;=650),((Data!$F371/Data!$D371)*60)*1.5,Data!$F371&gt;=651,((Data!$F371/Data!$D371)*60)*1.8)</f>
        <v>781.71428571428567</v>
      </c>
      <c r="AU371" s="23">
        <f>(Data!$I371*-1.2)+(Data!$J371*-1.1)+(Data!$K371*1.2)+(Data!$L371*1.3)+(Data!$M371*1.5)</f>
        <v>6.3999999999999986</v>
      </c>
      <c r="AV371" s="23">
        <f>(Data!$AS371*0.4)+(Data!$AT371*0.4)+(Data!$AU371*0.2)</f>
        <v>321.68</v>
      </c>
      <c r="AW371" s="23">
        <f>PERCENTRANK(AV:AV,Data!$AV371)*100</f>
        <v>38.299999999999997</v>
      </c>
      <c r="AX371" s="23" t="str">
        <f>_xlfn.CONCAT(TEXT(C371,"mmm"),"-",Data!$AE371)</f>
        <v>Sep-2022</v>
      </c>
    </row>
    <row r="372" spans="1:50" ht="17" thickTop="1" thickBot="1" x14ac:dyDescent="0.25">
      <c r="A372" s="28">
        <v>371</v>
      </c>
      <c r="B372" s="29">
        <f t="shared" si="42"/>
        <v>14</v>
      </c>
      <c r="C372" s="41">
        <v>44834</v>
      </c>
      <c r="D372" s="30">
        <f>SUM(Data!$I372:$M372)</f>
        <v>59</v>
      </c>
      <c r="E372" s="29">
        <v>12</v>
      </c>
      <c r="F372" s="29">
        <v>607</v>
      </c>
      <c r="G372" s="29">
        <v>162</v>
      </c>
      <c r="H372" s="29">
        <v>121</v>
      </c>
      <c r="I372" s="29">
        <v>14</v>
      </c>
      <c r="J372" s="29">
        <v>17</v>
      </c>
      <c r="K372" s="29">
        <v>16</v>
      </c>
      <c r="L372" s="29">
        <v>11</v>
      </c>
      <c r="M372" s="29">
        <v>1</v>
      </c>
      <c r="N372" s="29" t="s">
        <v>101</v>
      </c>
      <c r="O372" s="29" t="s">
        <v>107</v>
      </c>
      <c r="P372" s="29" t="s">
        <v>155</v>
      </c>
      <c r="Q372" s="29">
        <f t="shared" si="48"/>
        <v>4</v>
      </c>
      <c r="R372" s="29" t="str">
        <f t="shared" si="43"/>
        <v>9-2022</v>
      </c>
      <c r="S372" s="29" t="s">
        <v>104</v>
      </c>
      <c r="T372" s="29" t="str">
        <f t="shared" si="44"/>
        <v>Friday</v>
      </c>
      <c r="U372" s="29">
        <f t="shared" si="45"/>
        <v>1</v>
      </c>
      <c r="V372" s="31">
        <f>IFERROR(Data!$I372/Data!$D372,"")</f>
        <v>0.23728813559322035</v>
      </c>
      <c r="W372" s="31">
        <f>IFERROR(Data!$J372/Data!$D372,"")</f>
        <v>0.28813559322033899</v>
      </c>
      <c r="X372" s="31">
        <f>IFERROR(Data!$K372/Data!$D372,"")</f>
        <v>0.2711864406779661</v>
      </c>
      <c r="Y372" s="31">
        <f>IFERROR(Data!$L372/Data!$D372,"")</f>
        <v>0.1864406779661017</v>
      </c>
      <c r="Z372" s="31">
        <f>IFERROR(Data!$M372/Data!$D372,"")</f>
        <v>1.6949152542372881E-2</v>
      </c>
      <c r="AA372" s="32">
        <v>232.14</v>
      </c>
      <c r="AB372" s="32">
        <f t="shared" si="49"/>
        <v>16.581428571428571</v>
      </c>
      <c r="AC372" s="29">
        <f t="shared" si="46"/>
        <v>609.92857142857144</v>
      </c>
      <c r="AD372" s="29">
        <f t="shared" si="47"/>
        <v>15.071428571428571</v>
      </c>
      <c r="AE372" s="29">
        <f>YEAR(Data!$C372)</f>
        <v>2022</v>
      </c>
      <c r="AF372" s="29"/>
      <c r="AG372" s="29">
        <v>12</v>
      </c>
      <c r="AH372" s="33">
        <f>Data!$F372/Data!$D372</f>
        <v>10.288135593220339</v>
      </c>
      <c r="AI372" s="17" t="str">
        <f>RIGHT(Data!$O372,2)</f>
        <v>AM</v>
      </c>
      <c r="AJ372" s="29" t="str">
        <f>Data!$R372&amp;"-"&amp;WEEKNUM(Data!$C372,1)-WEEKNUM(DATE(YEAR(Data!$C372),MONTH(Data!$C372),1),1)+1</f>
        <v>9-2022-5</v>
      </c>
      <c r="AK372" s="29">
        <f>MONTH(Data!$C372)</f>
        <v>9</v>
      </c>
      <c r="AL372" s="29">
        <f>IFERROR(Data!$F372/Data!$E372,0)</f>
        <v>50.583333333333336</v>
      </c>
      <c r="AM372" s="29">
        <f>COUNTIF(Data!$N$2:$N$825,Data!$N372)</f>
        <v>191</v>
      </c>
      <c r="AN372" s="29" t="str">
        <f>VLOOKUP(Data!$N372,'Helpful Tables'!A:D,4,FALSE)</f>
        <v>Washington, DC</v>
      </c>
      <c r="AO372" s="29">
        <f>COUNTIF(AN:AN,Data!$AN372)/COUNTA(AN:AN)</f>
        <v>0.62424242424242427</v>
      </c>
      <c r="AP372" s="29">
        <v>38.949649000000001</v>
      </c>
      <c r="AQ372" s="29">
        <v>-77.080878999999996</v>
      </c>
      <c r="AR372" s="29">
        <f>COUNTIF(Data!$P$2:$P$825,Data!$P372)</f>
        <v>13</v>
      </c>
      <c r="AS372" s="29" cm="1">
        <f t="array" ref="AS372">_xlfn.IFS(Data!$E372&lt;12,((Data!$E372/Data!$D372)*60)*1,AND(Data!$E372&gt;=12,Data!$E372&lt;=15),((Data!$E372/Data!$D372)*60)*1.2,AND(Data!$E372&gt;=16,Data!$E372&lt;=19),((Data!$E372/Data!$D372)*60)*1.5,Data!$E372&gt;=20,((Data!$E372/Data!$D372)*60)*1.8)</f>
        <v>14.64406779661017</v>
      </c>
      <c r="AT372" s="29" cm="1">
        <f t="array" ref="AT372">_xlfn.IFS(Data!$F372&lt;600,((Data!$F372/Data!$D372)*60)*1,AND(Data!$F372&gt;=600,Data!$F372&lt;=625),((Data!$F372/Data!$D372)*60)*1.2,AND(Data!$F372&gt;=626,Data!$F372&lt;=650),((Data!$F372/Data!$D372)*60)*1.5,Data!$F372&gt;=651,((Data!$F372/Data!$D372)*60)*1.8)</f>
        <v>740.74576271186436</v>
      </c>
      <c r="AU372" s="29">
        <f>(Data!$I372*-1.2)+(Data!$J372*-1.1)+(Data!$K372*1.2)+(Data!$L372*1.3)+(Data!$M372*1.5)</f>
        <v>-0.5</v>
      </c>
      <c r="AV372" s="29">
        <f>(Data!$AS372*0.4)+(Data!$AT372*0.4)+(Data!$AU372*0.2)</f>
        <v>302.05593220338983</v>
      </c>
      <c r="AW372" s="29">
        <f>PERCENTRANK(AV:AV,Data!$AV372)*100</f>
        <v>27</v>
      </c>
      <c r="AX372" s="29" t="str">
        <f>_xlfn.CONCAT(TEXT(C372,"mmm"),"-",Data!$AE372)</f>
        <v>Sep-2022</v>
      </c>
    </row>
    <row r="373" spans="1:50" ht="17" thickTop="1" thickBot="1" x14ac:dyDescent="0.25">
      <c r="A373" s="22">
        <v>372</v>
      </c>
      <c r="B373" s="23">
        <f t="shared" si="42"/>
        <v>15</v>
      </c>
      <c r="C373" s="41">
        <v>44836</v>
      </c>
      <c r="D373" s="24">
        <f>SUM(Data!$I373:$M373)</f>
        <v>57</v>
      </c>
      <c r="E373" s="23">
        <v>15</v>
      </c>
      <c r="F373" s="23">
        <v>629</v>
      </c>
      <c r="G373" s="23">
        <v>160</v>
      </c>
      <c r="H373" s="23">
        <v>127</v>
      </c>
      <c r="I373" s="23">
        <v>10</v>
      </c>
      <c r="J373" s="23">
        <v>13</v>
      </c>
      <c r="K373" s="23">
        <v>19</v>
      </c>
      <c r="L373" s="23">
        <v>13</v>
      </c>
      <c r="M373" s="23">
        <v>2</v>
      </c>
      <c r="N373" s="23" t="s">
        <v>101</v>
      </c>
      <c r="O373" s="23" t="s">
        <v>45</v>
      </c>
      <c r="P373" s="23" t="s">
        <v>102</v>
      </c>
      <c r="Q373" s="23">
        <f t="shared" si="48"/>
        <v>2</v>
      </c>
      <c r="R373" s="23" t="str">
        <f t="shared" si="43"/>
        <v>10-2022</v>
      </c>
      <c r="S373" s="23" t="s">
        <v>104</v>
      </c>
      <c r="T373" s="23" t="str">
        <f t="shared" si="44"/>
        <v>Sunday</v>
      </c>
      <c r="U373" s="23">
        <f t="shared" si="45"/>
        <v>1</v>
      </c>
      <c r="V373" s="25">
        <f>IFERROR(Data!$I373/Data!$D373,"")</f>
        <v>0.17543859649122806</v>
      </c>
      <c r="W373" s="25">
        <f>IFERROR(Data!$J373/Data!$D373,"")</f>
        <v>0.22807017543859648</v>
      </c>
      <c r="X373" s="25">
        <f>IFERROR(Data!$K373/Data!$D373,"")</f>
        <v>0.33333333333333331</v>
      </c>
      <c r="Y373" s="25">
        <f>IFERROR(Data!$L373/Data!$D373,"")</f>
        <v>0.22807017543859648</v>
      </c>
      <c r="Z373" s="25">
        <f>IFERROR(Data!$M373/Data!$D373,"")</f>
        <v>3.5087719298245612E-2</v>
      </c>
      <c r="AA373" s="26">
        <v>232.14</v>
      </c>
      <c r="AB373" s="26">
        <f t="shared" si="49"/>
        <v>15.475999999999999</v>
      </c>
      <c r="AC373" s="23">
        <f t="shared" si="46"/>
        <v>612.13333333333333</v>
      </c>
      <c r="AD373" s="23">
        <f t="shared" si="47"/>
        <v>14.4</v>
      </c>
      <c r="AE373" s="23">
        <f>YEAR(Data!$C373)</f>
        <v>2022</v>
      </c>
      <c r="AF373" s="23"/>
      <c r="AG373" s="23">
        <v>12</v>
      </c>
      <c r="AH373" s="27">
        <f>Data!$F373/Data!$D373</f>
        <v>11.035087719298245</v>
      </c>
      <c r="AI373" s="17" t="str">
        <f>RIGHT(Data!$O373,2)</f>
        <v>AM</v>
      </c>
      <c r="AJ373" s="23" t="str">
        <f>Data!$R373&amp;"-"&amp;WEEKNUM(Data!$C373,1)-WEEKNUM(DATE(YEAR(Data!$C373),MONTH(Data!$C373),1),1)+1</f>
        <v>10-2022-2</v>
      </c>
      <c r="AK373" s="23">
        <f>MONTH(Data!$C373)</f>
        <v>10</v>
      </c>
      <c r="AL373" s="23">
        <f>IFERROR(Data!$F373/Data!$E373,0)</f>
        <v>41.93333333333333</v>
      </c>
      <c r="AM373" s="23">
        <f>COUNTIF(Data!$N$2:$N$825,Data!$N373)</f>
        <v>191</v>
      </c>
      <c r="AN373" s="23" t="str">
        <f>VLOOKUP(Data!$N373,'Helpful Tables'!A:D,4,FALSE)</f>
        <v>Washington, DC</v>
      </c>
      <c r="AO373" s="23">
        <f>COUNTIF(AN:AN,Data!$AN373)/COUNTA(AN:AN)</f>
        <v>0.62424242424242427</v>
      </c>
      <c r="AP373" s="23">
        <v>38.949649000000001</v>
      </c>
      <c r="AQ373" s="23">
        <v>-77.080878999999996</v>
      </c>
      <c r="AR373" s="23">
        <f>COUNTIF(Data!$P$2:$P$825,Data!$P373)</f>
        <v>20</v>
      </c>
      <c r="AS373" s="23" cm="1">
        <f t="array" ref="AS373">_xlfn.IFS(Data!$E373&lt;12,((Data!$E373/Data!$D373)*60)*1,AND(Data!$E373&gt;=12,Data!$E373&lt;=15),((Data!$E373/Data!$D373)*60)*1.2,AND(Data!$E373&gt;=16,Data!$E373&lt;=19),((Data!$E373/Data!$D373)*60)*1.5,Data!$E373&gt;=20,((Data!$E373/Data!$D373)*60)*1.8)</f>
        <v>18.94736842105263</v>
      </c>
      <c r="AT373" s="23" cm="1">
        <f t="array" ref="AT373">_xlfn.IFS(Data!$F373&lt;600,((Data!$F373/Data!$D373)*60)*1,AND(Data!$F373&gt;=600,Data!$F373&lt;=625),((Data!$F373/Data!$D373)*60)*1.2,AND(Data!$F373&gt;=626,Data!$F373&lt;=650),((Data!$F373/Data!$D373)*60)*1.5,Data!$F373&gt;=651,((Data!$F373/Data!$D373)*60)*1.8)</f>
        <v>993.15789473684208</v>
      </c>
      <c r="AU373" s="23">
        <f>(Data!$I373*-1.2)+(Data!$J373*-1.1)+(Data!$K373*1.2)+(Data!$L373*1.3)+(Data!$M373*1.5)</f>
        <v>16.400000000000002</v>
      </c>
      <c r="AV373" s="23">
        <f>(Data!$AS373*0.4)+(Data!$AT373*0.4)+(Data!$AU373*0.2)</f>
        <v>408.12210526315789</v>
      </c>
      <c r="AW373" s="23">
        <f>PERCENTRANK(AV:AV,Data!$AV373)*100</f>
        <v>56.599999999999994</v>
      </c>
      <c r="AX373" s="23" t="str">
        <f>_xlfn.CONCAT(TEXT(C373,"mmm"),"-",Data!$AE373)</f>
        <v>Oct-2022</v>
      </c>
    </row>
    <row r="374" spans="1:50" ht="17" thickTop="1" thickBot="1" x14ac:dyDescent="0.25">
      <c r="A374" s="28">
        <v>373</v>
      </c>
      <c r="B374" s="29">
        <f t="shared" si="42"/>
        <v>15</v>
      </c>
      <c r="C374" s="41">
        <v>44837</v>
      </c>
      <c r="D374" s="30">
        <f>SUM(Data!$I374:$M374)</f>
        <v>63</v>
      </c>
      <c r="E374" s="29">
        <v>9</v>
      </c>
      <c r="F374" s="29">
        <v>497</v>
      </c>
      <c r="G374" s="29">
        <v>163</v>
      </c>
      <c r="H374" s="29">
        <v>106</v>
      </c>
      <c r="I374" s="29">
        <v>31</v>
      </c>
      <c r="J374" s="29">
        <v>9</v>
      </c>
      <c r="K374" s="29">
        <v>14</v>
      </c>
      <c r="L374" s="29">
        <v>8</v>
      </c>
      <c r="M374" s="29">
        <v>1</v>
      </c>
      <c r="N374" s="29" t="s">
        <v>91</v>
      </c>
      <c r="O374" s="29" t="s">
        <v>57</v>
      </c>
      <c r="P374" s="29" t="s">
        <v>148</v>
      </c>
      <c r="Q374" s="29">
        <f t="shared" si="48"/>
        <v>1</v>
      </c>
      <c r="R374" s="29" t="str">
        <f t="shared" si="43"/>
        <v>10-2022</v>
      </c>
      <c r="S374" s="29" t="s">
        <v>117</v>
      </c>
      <c r="T374" s="29" t="str">
        <f t="shared" si="44"/>
        <v>Monday</v>
      </c>
      <c r="U374" s="29">
        <f t="shared" si="45"/>
        <v>0</v>
      </c>
      <c r="V374" s="31">
        <f>IFERROR(Data!$I374/Data!$D374,"")</f>
        <v>0.49206349206349204</v>
      </c>
      <c r="W374" s="31">
        <f>IFERROR(Data!$J374/Data!$D374,"")</f>
        <v>0.14285714285714285</v>
      </c>
      <c r="X374" s="31">
        <f>IFERROR(Data!$K374/Data!$D374,"")</f>
        <v>0.22222222222222221</v>
      </c>
      <c r="Y374" s="31">
        <f>IFERROR(Data!$L374/Data!$D374,"")</f>
        <v>0.12698412698412698</v>
      </c>
      <c r="Z374" s="31">
        <f>IFERROR(Data!$M374/Data!$D374,"")</f>
        <v>1.5873015873015872E-2</v>
      </c>
      <c r="AA374" s="32">
        <v>232.14</v>
      </c>
      <c r="AB374" s="32">
        <f t="shared" si="49"/>
        <v>15.475999999999999</v>
      </c>
      <c r="AC374" s="29">
        <f t="shared" si="46"/>
        <v>612.13333333333333</v>
      </c>
      <c r="AD374" s="29">
        <f t="shared" si="47"/>
        <v>14.4</v>
      </c>
      <c r="AE374" s="29">
        <f>YEAR(Data!$C374)</f>
        <v>2022</v>
      </c>
      <c r="AF374" s="29"/>
      <c r="AG374" s="29">
        <v>12</v>
      </c>
      <c r="AH374" s="33">
        <f>Data!$F374/Data!$D374</f>
        <v>7.8888888888888893</v>
      </c>
      <c r="AI374" s="17" t="str">
        <f>RIGHT(Data!$O374,2)</f>
        <v>PM</v>
      </c>
      <c r="AJ374" s="29" t="str">
        <f>Data!$R374&amp;"-"&amp;WEEKNUM(Data!$C374,1)-WEEKNUM(DATE(YEAR(Data!$C374),MONTH(Data!$C374),1),1)+1</f>
        <v>10-2022-2</v>
      </c>
      <c r="AK374" s="29">
        <f>MONTH(Data!$C374)</f>
        <v>10</v>
      </c>
      <c r="AL374" s="29">
        <f>IFERROR(Data!$F374/Data!$E374,0)</f>
        <v>55.222222222222221</v>
      </c>
      <c r="AM374" s="29">
        <f>COUNTIF(Data!$N$2:$N$825,Data!$N374)</f>
        <v>218</v>
      </c>
      <c r="AN374" s="29" t="str">
        <f>VLOOKUP(Data!$N374,'Helpful Tables'!A:D,4,FALSE)</f>
        <v>Washington, DC</v>
      </c>
      <c r="AO374" s="29">
        <f>COUNTIF(AN:AN,Data!$AN374)/COUNTA(AN:AN)</f>
        <v>0.62424242424242427</v>
      </c>
      <c r="AP374" s="29">
        <v>38.934710000000003</v>
      </c>
      <c r="AQ374" s="29">
        <v>-77.058222999999998</v>
      </c>
      <c r="AR374" s="29">
        <f>COUNTIF(Data!$P$2:$P$825,Data!$P374)</f>
        <v>14</v>
      </c>
      <c r="AS374" s="29" cm="1">
        <f t="array" ref="AS374">_xlfn.IFS(Data!$E374&lt;12,((Data!$E374/Data!$D374)*60)*1,AND(Data!$E374&gt;=12,Data!$E374&lt;=15),((Data!$E374/Data!$D374)*60)*1.2,AND(Data!$E374&gt;=16,Data!$E374&lt;=19),((Data!$E374/Data!$D374)*60)*1.5,Data!$E374&gt;=20,((Data!$E374/Data!$D374)*60)*1.8)</f>
        <v>8.5714285714285712</v>
      </c>
      <c r="AT374" s="29" cm="1">
        <f t="array" ref="AT374">_xlfn.IFS(Data!$F374&lt;600,((Data!$F374/Data!$D374)*60)*1,AND(Data!$F374&gt;=600,Data!$F374&lt;=625),((Data!$F374/Data!$D374)*60)*1.2,AND(Data!$F374&gt;=626,Data!$F374&lt;=650),((Data!$F374/Data!$D374)*60)*1.5,Data!$F374&gt;=651,((Data!$F374/Data!$D374)*60)*1.8)</f>
        <v>473.33333333333337</v>
      </c>
      <c r="AU374" s="29">
        <f>(Data!$I374*-1.2)+(Data!$J374*-1.1)+(Data!$K374*1.2)+(Data!$L374*1.3)+(Data!$M374*1.5)</f>
        <v>-18.399999999999991</v>
      </c>
      <c r="AV374" s="29">
        <f>(Data!$AS374*0.4)+(Data!$AT374*0.4)+(Data!$AU374*0.2)</f>
        <v>189.08190476190478</v>
      </c>
      <c r="AW374" s="29">
        <f>PERCENTRANK(AV:AV,Data!$AV374)*100</f>
        <v>0.2</v>
      </c>
      <c r="AX374" s="29" t="str">
        <f>_xlfn.CONCAT(TEXT(C374,"mmm"),"-",Data!$AE374)</f>
        <v>Oct-2022</v>
      </c>
    </row>
    <row r="375" spans="1:50" ht="17" thickTop="1" thickBot="1" x14ac:dyDescent="0.25">
      <c r="A375" s="22">
        <v>374</v>
      </c>
      <c r="B375" s="23">
        <f t="shared" si="42"/>
        <v>15</v>
      </c>
      <c r="C375" s="41">
        <v>44840</v>
      </c>
      <c r="D375" s="24">
        <f>SUM(Data!$I375:$M375)</f>
        <v>62</v>
      </c>
      <c r="E375" s="23">
        <v>10</v>
      </c>
      <c r="F375" s="23">
        <v>593</v>
      </c>
      <c r="G375" s="23">
        <v>164</v>
      </c>
      <c r="H375" s="23">
        <v>117</v>
      </c>
      <c r="I375" s="23">
        <v>18</v>
      </c>
      <c r="J375" s="23">
        <v>18</v>
      </c>
      <c r="K375" s="23">
        <v>16</v>
      </c>
      <c r="L375" s="23">
        <v>8</v>
      </c>
      <c r="M375" s="23">
        <v>2</v>
      </c>
      <c r="N375" s="23" t="s">
        <v>101</v>
      </c>
      <c r="O375" s="23" t="s">
        <v>39</v>
      </c>
      <c r="P375" s="23" t="s">
        <v>118</v>
      </c>
      <c r="Q375" s="23">
        <f t="shared" si="48"/>
        <v>3</v>
      </c>
      <c r="R375" s="23" t="str">
        <f t="shared" si="43"/>
        <v>10-2022</v>
      </c>
      <c r="S375" s="23" t="s">
        <v>104</v>
      </c>
      <c r="T375" s="23" t="str">
        <f t="shared" si="44"/>
        <v>Thursday</v>
      </c>
      <c r="U375" s="23">
        <f t="shared" si="45"/>
        <v>0</v>
      </c>
      <c r="V375" s="25">
        <f>IFERROR(Data!$I375/Data!$D375,"")</f>
        <v>0.29032258064516131</v>
      </c>
      <c r="W375" s="25">
        <f>IFERROR(Data!$J375/Data!$D375,"")</f>
        <v>0.29032258064516131</v>
      </c>
      <c r="X375" s="25">
        <f>IFERROR(Data!$K375/Data!$D375,"")</f>
        <v>0.25806451612903225</v>
      </c>
      <c r="Y375" s="25">
        <f>IFERROR(Data!$L375/Data!$D375,"")</f>
        <v>0.12903225806451613</v>
      </c>
      <c r="Z375" s="25">
        <f>IFERROR(Data!$M375/Data!$D375,"")</f>
        <v>3.2258064516129031E-2</v>
      </c>
      <c r="AA375" s="26">
        <v>232.14</v>
      </c>
      <c r="AB375" s="26">
        <f t="shared" si="49"/>
        <v>15.475999999999999</v>
      </c>
      <c r="AC375" s="23">
        <f t="shared" si="46"/>
        <v>612.13333333333333</v>
      </c>
      <c r="AD375" s="23">
        <f t="shared" si="47"/>
        <v>14.4</v>
      </c>
      <c r="AE375" s="23">
        <f>YEAR(Data!$C375)</f>
        <v>2022</v>
      </c>
      <c r="AF375" s="23"/>
      <c r="AG375" s="23">
        <v>12</v>
      </c>
      <c r="AH375" s="27">
        <f>Data!$F375/Data!$D375</f>
        <v>9.564516129032258</v>
      </c>
      <c r="AI375" s="17" t="str">
        <f>RIGHT(Data!$O375,2)</f>
        <v>PM</v>
      </c>
      <c r="AJ375" s="23" t="str">
        <f>Data!$R375&amp;"-"&amp;WEEKNUM(Data!$C375,1)-WEEKNUM(DATE(YEAR(Data!$C375),MONTH(Data!$C375),1),1)+1</f>
        <v>10-2022-2</v>
      </c>
      <c r="AK375" s="23">
        <f>MONTH(Data!$C375)</f>
        <v>10</v>
      </c>
      <c r="AL375" s="23">
        <f>IFERROR(Data!$F375/Data!$E375,0)</f>
        <v>59.3</v>
      </c>
      <c r="AM375" s="23">
        <f>COUNTIF(Data!$N$2:$N$825,Data!$N375)</f>
        <v>191</v>
      </c>
      <c r="AN375" s="23" t="str">
        <f>VLOOKUP(Data!$N375,'Helpful Tables'!A:D,4,FALSE)</f>
        <v>Washington, DC</v>
      </c>
      <c r="AO375" s="23">
        <f>COUNTIF(AN:AN,Data!$AN375)/COUNTA(AN:AN)</f>
        <v>0.62424242424242427</v>
      </c>
      <c r="AP375" s="23">
        <v>38.949649000000001</v>
      </c>
      <c r="AQ375" s="23">
        <v>-77.080878999999996</v>
      </c>
      <c r="AR375" s="23">
        <f>COUNTIF(Data!$P$2:$P$825,Data!$P375)</f>
        <v>16</v>
      </c>
      <c r="AS375" s="23" cm="1">
        <f t="array" ref="AS375">_xlfn.IFS(Data!$E375&lt;12,((Data!$E375/Data!$D375)*60)*1,AND(Data!$E375&gt;=12,Data!$E375&lt;=15),((Data!$E375/Data!$D375)*60)*1.2,AND(Data!$E375&gt;=16,Data!$E375&lt;=19),((Data!$E375/Data!$D375)*60)*1.5,Data!$E375&gt;=20,((Data!$E375/Data!$D375)*60)*1.8)</f>
        <v>9.67741935483871</v>
      </c>
      <c r="AT375" s="23" cm="1">
        <f t="array" ref="AT375">_xlfn.IFS(Data!$F375&lt;600,((Data!$F375/Data!$D375)*60)*1,AND(Data!$F375&gt;=600,Data!$F375&lt;=625),((Data!$F375/Data!$D375)*60)*1.2,AND(Data!$F375&gt;=626,Data!$F375&lt;=650),((Data!$F375/Data!$D375)*60)*1.5,Data!$F375&gt;=651,((Data!$F375/Data!$D375)*60)*1.8)</f>
        <v>573.87096774193549</v>
      </c>
      <c r="AU375" s="23">
        <f>(Data!$I375*-1.2)+(Data!$J375*-1.1)+(Data!$K375*1.2)+(Data!$L375*1.3)+(Data!$M375*1.5)</f>
        <v>-8.7999999999999989</v>
      </c>
      <c r="AV375" s="23">
        <f>(Data!$AS375*0.4)+(Data!$AT375*0.4)+(Data!$AU375*0.2)</f>
        <v>231.6593548387097</v>
      </c>
      <c r="AW375" s="23">
        <f>PERCENTRANK(AV:AV,Data!$AV375)*100</f>
        <v>7.8</v>
      </c>
      <c r="AX375" s="23" t="str">
        <f>_xlfn.CONCAT(TEXT(C375,"mmm"),"-",Data!$AE375)</f>
        <v>Oct-2022</v>
      </c>
    </row>
    <row r="376" spans="1:50" ht="17" thickTop="1" thickBot="1" x14ac:dyDescent="0.25">
      <c r="A376" s="28">
        <v>375</v>
      </c>
      <c r="B376" s="29">
        <f t="shared" si="42"/>
        <v>15</v>
      </c>
      <c r="C376" s="41">
        <v>44842</v>
      </c>
      <c r="D376" s="30">
        <f>SUM(Data!$I376:$M376)</f>
        <v>58</v>
      </c>
      <c r="E376" s="29">
        <v>13</v>
      </c>
      <c r="F376" s="29">
        <v>627</v>
      </c>
      <c r="G376" s="29">
        <v>165</v>
      </c>
      <c r="H376" s="29">
        <v>126</v>
      </c>
      <c r="I376" s="29">
        <v>8</v>
      </c>
      <c r="J376" s="29">
        <v>15</v>
      </c>
      <c r="K376" s="29">
        <v>22</v>
      </c>
      <c r="L376" s="29">
        <v>10</v>
      </c>
      <c r="M376" s="29">
        <v>3</v>
      </c>
      <c r="N376" s="29" t="s">
        <v>156</v>
      </c>
      <c r="O376" s="29" t="s">
        <v>76</v>
      </c>
      <c r="P376" s="29" t="s">
        <v>157</v>
      </c>
      <c r="Q376" s="29">
        <f t="shared" si="48"/>
        <v>2</v>
      </c>
      <c r="R376" s="29" t="str">
        <f t="shared" si="43"/>
        <v>10-2022</v>
      </c>
      <c r="S376" s="29" t="s">
        <v>117</v>
      </c>
      <c r="T376" s="29" t="str">
        <f t="shared" si="44"/>
        <v>Saturday</v>
      </c>
      <c r="U376" s="29">
        <f t="shared" si="45"/>
        <v>1</v>
      </c>
      <c r="V376" s="31">
        <f>IFERROR(Data!$I376/Data!$D376,"")</f>
        <v>0.13793103448275862</v>
      </c>
      <c r="W376" s="31">
        <f>IFERROR(Data!$J376/Data!$D376,"")</f>
        <v>0.25862068965517243</v>
      </c>
      <c r="X376" s="31">
        <f>IFERROR(Data!$K376/Data!$D376,"")</f>
        <v>0.37931034482758619</v>
      </c>
      <c r="Y376" s="31">
        <f>IFERROR(Data!$L376/Data!$D376,"")</f>
        <v>0.17241379310344829</v>
      </c>
      <c r="Z376" s="31">
        <f>IFERROR(Data!$M376/Data!$D376,"")</f>
        <v>5.1724137931034482E-2</v>
      </c>
      <c r="AA376" s="32">
        <v>232.14</v>
      </c>
      <c r="AB376" s="32">
        <f t="shared" si="49"/>
        <v>15.475999999999999</v>
      </c>
      <c r="AC376" s="29">
        <f t="shared" si="46"/>
        <v>612.13333333333333</v>
      </c>
      <c r="AD376" s="29">
        <f t="shared" si="47"/>
        <v>14.4</v>
      </c>
      <c r="AE376" s="29">
        <f>YEAR(Data!$C376)</f>
        <v>2022</v>
      </c>
      <c r="AF376" s="29"/>
      <c r="AG376" s="29">
        <v>12</v>
      </c>
      <c r="AH376" s="33">
        <f>Data!$F376/Data!$D376</f>
        <v>10.810344827586206</v>
      </c>
      <c r="AI376" s="17" t="str">
        <f>RIGHT(Data!$O376,2)</f>
        <v>AM</v>
      </c>
      <c r="AJ376" s="29" t="str">
        <f>Data!$R376&amp;"-"&amp;WEEKNUM(Data!$C376,1)-WEEKNUM(DATE(YEAR(Data!$C376),MONTH(Data!$C376),1),1)+1</f>
        <v>10-2022-2</v>
      </c>
      <c r="AK376" s="29">
        <f>MONTH(Data!$C376)</f>
        <v>10</v>
      </c>
      <c r="AL376" s="29">
        <f>IFERROR(Data!$F376/Data!$E376,0)</f>
        <v>48.230769230769234</v>
      </c>
      <c r="AM376" s="29">
        <f>COUNTIF(Data!$N$2:$N$825,Data!$N376)</f>
        <v>1</v>
      </c>
      <c r="AN376" s="29" t="str">
        <f>VLOOKUP(Data!$N376,'Helpful Tables'!A:D,4,FALSE)</f>
        <v>Texas</v>
      </c>
      <c r="AO376" s="29">
        <f>COUNTIF(AN:AN,Data!$AN376)/COUNTA(AN:AN)</f>
        <v>1.2121212121212121E-3</v>
      </c>
      <c r="AP376" s="29">
        <v>32.752273000000002</v>
      </c>
      <c r="AQ376" s="29">
        <v>-97.354583000000005</v>
      </c>
      <c r="AR376" s="29">
        <f>COUNTIF(Data!$P$2:$P$825,Data!$P376)</f>
        <v>1</v>
      </c>
      <c r="AS376" s="29" cm="1">
        <f t="array" ref="AS376">_xlfn.IFS(Data!$E376&lt;12,((Data!$E376/Data!$D376)*60)*1,AND(Data!$E376&gt;=12,Data!$E376&lt;=15),((Data!$E376/Data!$D376)*60)*1.2,AND(Data!$E376&gt;=16,Data!$E376&lt;=19),((Data!$E376/Data!$D376)*60)*1.5,Data!$E376&gt;=20,((Data!$E376/Data!$D376)*60)*1.8)</f>
        <v>16.137931034482758</v>
      </c>
      <c r="AT376" s="29" cm="1">
        <f t="array" ref="AT376">_xlfn.IFS(Data!$F376&lt;600,((Data!$F376/Data!$D376)*60)*1,AND(Data!$F376&gt;=600,Data!$F376&lt;=625),((Data!$F376/Data!$D376)*60)*1.2,AND(Data!$F376&gt;=626,Data!$F376&lt;=650),((Data!$F376/Data!$D376)*60)*1.5,Data!$F376&gt;=651,((Data!$F376/Data!$D376)*60)*1.8)</f>
        <v>972.93103448275849</v>
      </c>
      <c r="AU376" s="29">
        <f>(Data!$I376*-1.2)+(Data!$J376*-1.1)+(Data!$K376*1.2)+(Data!$L376*1.3)+(Data!$M376*1.5)</f>
        <v>17.799999999999997</v>
      </c>
      <c r="AV376" s="29">
        <f>(Data!$AS376*0.4)+(Data!$AT376*0.4)+(Data!$AU376*0.2)</f>
        <v>399.18758620689653</v>
      </c>
      <c r="AW376" s="29">
        <f>PERCENTRANK(AV:AV,Data!$AV376)*100</f>
        <v>52</v>
      </c>
      <c r="AX376" s="29" t="str">
        <f>_xlfn.CONCAT(TEXT(C376,"mmm"),"-",Data!$AE376)</f>
        <v>Oct-2022</v>
      </c>
    </row>
    <row r="377" spans="1:50" ht="17" thickTop="1" thickBot="1" x14ac:dyDescent="0.25">
      <c r="A377" s="22">
        <v>376</v>
      </c>
      <c r="B377" s="23">
        <f t="shared" si="42"/>
        <v>15</v>
      </c>
      <c r="C377" s="41">
        <v>44845</v>
      </c>
      <c r="D377" s="24">
        <f>SUM(Data!$I377:$M377)</f>
        <v>58</v>
      </c>
      <c r="E377" s="23">
        <v>14</v>
      </c>
      <c r="F377" s="23">
        <v>632</v>
      </c>
      <c r="G377" s="23">
        <v>166</v>
      </c>
      <c r="H377" s="23">
        <v>126</v>
      </c>
      <c r="I377" s="23">
        <v>8</v>
      </c>
      <c r="J377" s="23">
        <v>18</v>
      </c>
      <c r="K377" s="23">
        <v>18</v>
      </c>
      <c r="L377" s="23">
        <v>9</v>
      </c>
      <c r="M377" s="23">
        <v>5</v>
      </c>
      <c r="N377" s="23" t="s">
        <v>101</v>
      </c>
      <c r="O377" s="23" t="s">
        <v>39</v>
      </c>
      <c r="P377" s="23" t="s">
        <v>109</v>
      </c>
      <c r="Q377" s="23">
        <f t="shared" si="48"/>
        <v>3</v>
      </c>
      <c r="R377" s="23" t="str">
        <f t="shared" si="43"/>
        <v>10-2022</v>
      </c>
      <c r="S377" s="23" t="s">
        <v>145</v>
      </c>
      <c r="T377" s="23" t="str">
        <f t="shared" si="44"/>
        <v>Tuesday</v>
      </c>
      <c r="U377" s="23">
        <f t="shared" si="45"/>
        <v>1</v>
      </c>
      <c r="V377" s="25">
        <f>IFERROR(Data!$I377/Data!$D377,"")</f>
        <v>0.13793103448275862</v>
      </c>
      <c r="W377" s="25">
        <f>IFERROR(Data!$J377/Data!$D377,"")</f>
        <v>0.31034482758620691</v>
      </c>
      <c r="X377" s="25">
        <f>IFERROR(Data!$K377/Data!$D377,"")</f>
        <v>0.31034482758620691</v>
      </c>
      <c r="Y377" s="25">
        <f>IFERROR(Data!$L377/Data!$D377,"")</f>
        <v>0.15517241379310345</v>
      </c>
      <c r="Z377" s="25">
        <f>IFERROR(Data!$M377/Data!$D377,"")</f>
        <v>8.6206896551724144E-2</v>
      </c>
      <c r="AA377" s="26">
        <v>232.14</v>
      </c>
      <c r="AB377" s="26">
        <f t="shared" si="49"/>
        <v>15.475999999999999</v>
      </c>
      <c r="AC377" s="23">
        <f t="shared" si="46"/>
        <v>612.13333333333333</v>
      </c>
      <c r="AD377" s="23">
        <f t="shared" si="47"/>
        <v>14.4</v>
      </c>
      <c r="AE377" s="23">
        <f>YEAR(Data!$C377)</f>
        <v>2022</v>
      </c>
      <c r="AF377" s="23"/>
      <c r="AG377" s="23">
        <v>12</v>
      </c>
      <c r="AH377" s="27">
        <f>Data!$F377/Data!$D377</f>
        <v>10.896551724137931</v>
      </c>
      <c r="AI377" s="17" t="str">
        <f>RIGHT(Data!$O377,2)</f>
        <v>PM</v>
      </c>
      <c r="AJ377" s="23" t="str">
        <f>Data!$R377&amp;"-"&amp;WEEKNUM(Data!$C377,1)-WEEKNUM(DATE(YEAR(Data!$C377),MONTH(Data!$C377),1),1)+1</f>
        <v>10-2022-3</v>
      </c>
      <c r="AK377" s="23">
        <f>MONTH(Data!$C377)</f>
        <v>10</v>
      </c>
      <c r="AL377" s="23">
        <f>IFERROR(Data!$F377/Data!$E377,0)</f>
        <v>45.142857142857146</v>
      </c>
      <c r="AM377" s="23">
        <f>COUNTIF(Data!$N$2:$N$825,Data!$N377)</f>
        <v>191</v>
      </c>
      <c r="AN377" s="23" t="str">
        <f>VLOOKUP(Data!$N377,'Helpful Tables'!A:D,4,FALSE)</f>
        <v>Washington, DC</v>
      </c>
      <c r="AO377" s="23">
        <f>COUNTIF(AN:AN,Data!$AN377)/COUNTA(AN:AN)</f>
        <v>0.62424242424242427</v>
      </c>
      <c r="AP377" s="23">
        <v>38.949649000000001</v>
      </c>
      <c r="AQ377" s="23">
        <v>-77.080878999999996</v>
      </c>
      <c r="AR377" s="23">
        <f>COUNTIF(Data!$P$2:$P$825,Data!$P377)</f>
        <v>66</v>
      </c>
      <c r="AS377" s="23" cm="1">
        <f t="array" ref="AS377">_xlfn.IFS(Data!$E377&lt;12,((Data!$E377/Data!$D377)*60)*1,AND(Data!$E377&gt;=12,Data!$E377&lt;=15),((Data!$E377/Data!$D377)*60)*1.2,AND(Data!$E377&gt;=16,Data!$E377&lt;=19),((Data!$E377/Data!$D377)*60)*1.5,Data!$E377&gt;=20,((Data!$E377/Data!$D377)*60)*1.8)</f>
        <v>17.379310344827587</v>
      </c>
      <c r="AT377" s="23" cm="1">
        <f t="array" ref="AT377">_xlfn.IFS(Data!$F377&lt;600,((Data!$F377/Data!$D377)*60)*1,AND(Data!$F377&gt;=600,Data!$F377&lt;=625),((Data!$F377/Data!$D377)*60)*1.2,AND(Data!$F377&gt;=626,Data!$F377&lt;=650),((Data!$F377/Data!$D377)*60)*1.5,Data!$F377&gt;=651,((Data!$F377/Data!$D377)*60)*1.8)</f>
        <v>980.68965517241372</v>
      </c>
      <c r="AU377" s="23">
        <f>(Data!$I377*-1.2)+(Data!$J377*-1.1)+(Data!$K377*1.2)+(Data!$L377*1.3)+(Data!$M377*1.5)</f>
        <v>11.4</v>
      </c>
      <c r="AV377" s="23">
        <f>(Data!$AS377*0.4)+(Data!$AT377*0.4)+(Data!$AU377*0.2)</f>
        <v>401.50758620689652</v>
      </c>
      <c r="AW377" s="23">
        <f>PERCENTRANK(AV:AV,Data!$AV377)*100</f>
        <v>53.300000000000004</v>
      </c>
      <c r="AX377" s="23" t="str">
        <f>_xlfn.CONCAT(TEXT(C377,"mmm"),"-",Data!$AE377)</f>
        <v>Oct-2022</v>
      </c>
    </row>
    <row r="378" spans="1:50" ht="17" thickTop="1" thickBot="1" x14ac:dyDescent="0.25">
      <c r="A378" s="28">
        <v>377</v>
      </c>
      <c r="B378" s="29">
        <f t="shared" si="42"/>
        <v>15</v>
      </c>
      <c r="C378" s="41">
        <v>44846</v>
      </c>
      <c r="D378" s="30">
        <f>SUM(Data!$I378:$M378)</f>
        <v>58</v>
      </c>
      <c r="E378" s="29">
        <v>12</v>
      </c>
      <c r="F378" s="29">
        <v>591</v>
      </c>
      <c r="G378" s="29">
        <v>163</v>
      </c>
      <c r="H378" s="29">
        <v>122</v>
      </c>
      <c r="I378" s="29">
        <v>11</v>
      </c>
      <c r="J378" s="29">
        <v>22</v>
      </c>
      <c r="K378" s="29">
        <v>13</v>
      </c>
      <c r="L378" s="29">
        <v>9</v>
      </c>
      <c r="M378" s="29">
        <v>3</v>
      </c>
      <c r="N378" s="29" t="s">
        <v>91</v>
      </c>
      <c r="O378" s="29" t="s">
        <v>57</v>
      </c>
      <c r="P378" s="29" t="s">
        <v>96</v>
      </c>
      <c r="Q378" s="29">
        <f t="shared" si="48"/>
        <v>1</v>
      </c>
      <c r="R378" s="29" t="str">
        <f t="shared" si="43"/>
        <v>10-2022</v>
      </c>
      <c r="S378" s="29" t="s">
        <v>117</v>
      </c>
      <c r="T378" s="29" t="str">
        <f t="shared" si="44"/>
        <v>Wednesday</v>
      </c>
      <c r="U378" s="29">
        <f t="shared" si="45"/>
        <v>1</v>
      </c>
      <c r="V378" s="31">
        <f>IFERROR(Data!$I378/Data!$D378,"")</f>
        <v>0.18965517241379309</v>
      </c>
      <c r="W378" s="31">
        <f>IFERROR(Data!$J378/Data!$D378,"")</f>
        <v>0.37931034482758619</v>
      </c>
      <c r="X378" s="31">
        <f>IFERROR(Data!$K378/Data!$D378,"")</f>
        <v>0.22413793103448276</v>
      </c>
      <c r="Y378" s="31">
        <f>IFERROR(Data!$L378/Data!$D378,"")</f>
        <v>0.15517241379310345</v>
      </c>
      <c r="Z378" s="31">
        <f>IFERROR(Data!$M378/Data!$D378,"")</f>
        <v>5.1724137931034482E-2</v>
      </c>
      <c r="AA378" s="32">
        <v>232.14</v>
      </c>
      <c r="AB378" s="32">
        <f t="shared" si="49"/>
        <v>15.475999999999999</v>
      </c>
      <c r="AC378" s="29">
        <f t="shared" si="46"/>
        <v>612.13333333333333</v>
      </c>
      <c r="AD378" s="29">
        <f t="shared" si="47"/>
        <v>14.4</v>
      </c>
      <c r="AE378" s="29">
        <f>YEAR(Data!$C378)</f>
        <v>2022</v>
      </c>
      <c r="AF378" s="29"/>
      <c r="AG378" s="29">
        <v>12</v>
      </c>
      <c r="AH378" s="33">
        <f>Data!$F378/Data!$D378</f>
        <v>10.189655172413794</v>
      </c>
      <c r="AI378" s="17" t="str">
        <f>RIGHT(Data!$O378,2)</f>
        <v>PM</v>
      </c>
      <c r="AJ378" s="29" t="str">
        <f>Data!$R378&amp;"-"&amp;WEEKNUM(Data!$C378,1)-WEEKNUM(DATE(YEAR(Data!$C378),MONTH(Data!$C378),1),1)+1</f>
        <v>10-2022-3</v>
      </c>
      <c r="AK378" s="29">
        <f>MONTH(Data!$C378)</f>
        <v>10</v>
      </c>
      <c r="AL378" s="29">
        <f>IFERROR(Data!$F378/Data!$E378,0)</f>
        <v>49.25</v>
      </c>
      <c r="AM378" s="29">
        <f>COUNTIF(Data!$N$2:$N$825,Data!$N378)</f>
        <v>218</v>
      </c>
      <c r="AN378" s="29" t="str">
        <f>VLOOKUP(Data!$N378,'Helpful Tables'!A:D,4,FALSE)</f>
        <v>Washington, DC</v>
      </c>
      <c r="AO378" s="29">
        <f>COUNTIF(AN:AN,Data!$AN378)/COUNTA(AN:AN)</f>
        <v>0.62424242424242427</v>
      </c>
      <c r="AP378" s="29">
        <v>38.934710000000003</v>
      </c>
      <c r="AQ378" s="29">
        <v>-77.058222999999998</v>
      </c>
      <c r="AR378" s="29">
        <f>COUNTIF(Data!$P$2:$P$825,Data!$P378)</f>
        <v>71</v>
      </c>
      <c r="AS378" s="29" cm="1">
        <f t="array" ref="AS378">_xlfn.IFS(Data!$E378&lt;12,((Data!$E378/Data!$D378)*60)*1,AND(Data!$E378&gt;=12,Data!$E378&lt;=15),((Data!$E378/Data!$D378)*60)*1.2,AND(Data!$E378&gt;=16,Data!$E378&lt;=19),((Data!$E378/Data!$D378)*60)*1.5,Data!$E378&gt;=20,((Data!$E378/Data!$D378)*60)*1.8)</f>
        <v>14.896551724137931</v>
      </c>
      <c r="AT378" s="29" cm="1">
        <f t="array" ref="AT378">_xlfn.IFS(Data!$F378&lt;600,((Data!$F378/Data!$D378)*60)*1,AND(Data!$F378&gt;=600,Data!$F378&lt;=625),((Data!$F378/Data!$D378)*60)*1.2,AND(Data!$F378&gt;=626,Data!$F378&lt;=650),((Data!$F378/Data!$D378)*60)*1.5,Data!$F378&gt;=651,((Data!$F378/Data!$D378)*60)*1.8)</f>
        <v>611.37931034482767</v>
      </c>
      <c r="AU378" s="29">
        <f>(Data!$I378*-1.2)+(Data!$J378*-1.1)+(Data!$K378*1.2)+(Data!$L378*1.3)+(Data!$M378*1.5)</f>
        <v>-5.6000000000000032</v>
      </c>
      <c r="AV378" s="29">
        <f>(Data!$AS378*0.4)+(Data!$AT378*0.4)+(Data!$AU378*0.2)</f>
        <v>249.39034482758623</v>
      </c>
      <c r="AW378" s="29">
        <f>PERCENTRANK(AV:AV,Data!$AV378)*100</f>
        <v>16.900000000000002</v>
      </c>
      <c r="AX378" s="29" t="str">
        <f>_xlfn.CONCAT(TEXT(C378,"mmm"),"-",Data!$AE378)</f>
        <v>Oct-2022</v>
      </c>
    </row>
    <row r="379" spans="1:50" ht="17" thickTop="1" thickBot="1" x14ac:dyDescent="0.25">
      <c r="A379" s="22">
        <v>378</v>
      </c>
      <c r="B379" s="23">
        <f t="shared" si="42"/>
        <v>15</v>
      </c>
      <c r="C379" s="41">
        <v>44848</v>
      </c>
      <c r="D379" s="24">
        <f>SUM(Data!$I379:$M379)</f>
        <v>60</v>
      </c>
      <c r="E379" s="23">
        <v>21</v>
      </c>
      <c r="F379" s="23">
        <v>677</v>
      </c>
      <c r="G379" s="23">
        <v>173</v>
      </c>
      <c r="H379" s="23">
        <v>129</v>
      </c>
      <c r="I379" s="23">
        <v>11</v>
      </c>
      <c r="J379" s="23">
        <v>19</v>
      </c>
      <c r="K379" s="23">
        <v>9</v>
      </c>
      <c r="L379" s="23">
        <v>4</v>
      </c>
      <c r="M379" s="23">
        <v>17</v>
      </c>
      <c r="N379" s="23" t="s">
        <v>91</v>
      </c>
      <c r="O379" s="23" t="s">
        <v>89</v>
      </c>
      <c r="P379" s="23" t="s">
        <v>148</v>
      </c>
      <c r="Q379" s="23">
        <f t="shared" si="48"/>
        <v>2</v>
      </c>
      <c r="R379" s="23" t="str">
        <f t="shared" si="43"/>
        <v>10-2022</v>
      </c>
      <c r="S379" s="23" t="s">
        <v>104</v>
      </c>
      <c r="T379" s="23" t="str">
        <f t="shared" si="44"/>
        <v>Friday</v>
      </c>
      <c r="U379" s="23">
        <f t="shared" si="45"/>
        <v>1</v>
      </c>
      <c r="V379" s="25">
        <f>IFERROR(Data!$I379/Data!$D379,"")</f>
        <v>0.18333333333333332</v>
      </c>
      <c r="W379" s="25">
        <f>IFERROR(Data!$J379/Data!$D379,"")</f>
        <v>0.31666666666666665</v>
      </c>
      <c r="X379" s="25">
        <f>IFERROR(Data!$K379/Data!$D379,"")</f>
        <v>0.15</v>
      </c>
      <c r="Y379" s="25">
        <f>IFERROR(Data!$L379/Data!$D379,"")</f>
        <v>6.6666666666666666E-2</v>
      </c>
      <c r="Z379" s="25">
        <f>IFERROR(Data!$M379/Data!$D379,"")</f>
        <v>0.28333333333333333</v>
      </c>
      <c r="AA379" s="26">
        <v>232.14</v>
      </c>
      <c r="AB379" s="26">
        <f t="shared" si="49"/>
        <v>15.475999999999999</v>
      </c>
      <c r="AC379" s="23">
        <f t="shared" si="46"/>
        <v>612.13333333333333</v>
      </c>
      <c r="AD379" s="23">
        <f t="shared" si="47"/>
        <v>14.4</v>
      </c>
      <c r="AE379" s="23">
        <f>YEAR(Data!$C379)</f>
        <v>2022</v>
      </c>
      <c r="AF379" s="23"/>
      <c r="AG379" s="23">
        <v>12</v>
      </c>
      <c r="AH379" s="27">
        <f>Data!$F379/Data!$D379</f>
        <v>11.283333333333333</v>
      </c>
      <c r="AI379" s="17" t="str">
        <f>RIGHT(Data!$O379,2)</f>
        <v>AM</v>
      </c>
      <c r="AJ379" s="23" t="str">
        <f>Data!$R379&amp;"-"&amp;WEEKNUM(Data!$C379,1)-WEEKNUM(DATE(YEAR(Data!$C379),MONTH(Data!$C379),1),1)+1</f>
        <v>10-2022-3</v>
      </c>
      <c r="AK379" s="23">
        <f>MONTH(Data!$C379)</f>
        <v>10</v>
      </c>
      <c r="AL379" s="23">
        <f>IFERROR(Data!$F379/Data!$E379,0)</f>
        <v>32.238095238095241</v>
      </c>
      <c r="AM379" s="23">
        <f>COUNTIF(Data!$N$2:$N$825,Data!$N379)</f>
        <v>218</v>
      </c>
      <c r="AN379" s="23" t="str">
        <f>VLOOKUP(Data!$N379,'Helpful Tables'!A:D,4,FALSE)</f>
        <v>Washington, DC</v>
      </c>
      <c r="AO379" s="23">
        <f>COUNTIF(AN:AN,Data!$AN379)/COUNTA(AN:AN)</f>
        <v>0.62424242424242427</v>
      </c>
      <c r="AP379" s="23">
        <v>38.934710000000003</v>
      </c>
      <c r="AQ379" s="23">
        <v>-77.058222999999998</v>
      </c>
      <c r="AR379" s="23">
        <f>COUNTIF(Data!$P$2:$P$825,Data!$P379)</f>
        <v>14</v>
      </c>
      <c r="AS379" s="23" cm="1">
        <f t="array" ref="AS379">_xlfn.IFS(Data!$E379&lt;12,((Data!$E379/Data!$D379)*60)*1,AND(Data!$E379&gt;=12,Data!$E379&lt;=15),((Data!$E379/Data!$D379)*60)*1.2,AND(Data!$E379&gt;=16,Data!$E379&lt;=19),((Data!$E379/Data!$D379)*60)*1.5,Data!$E379&gt;=20,((Data!$E379/Data!$D379)*60)*1.8)</f>
        <v>37.800000000000004</v>
      </c>
      <c r="AT379" s="23" cm="1">
        <f t="array" ref="AT379">_xlfn.IFS(Data!$F379&lt;600,((Data!$F379/Data!$D379)*60)*1,AND(Data!$F379&gt;=600,Data!$F379&lt;=625),((Data!$F379/Data!$D379)*60)*1.2,AND(Data!$F379&gt;=626,Data!$F379&lt;=650),((Data!$F379/Data!$D379)*60)*1.5,Data!$F379&gt;=651,((Data!$F379/Data!$D379)*60)*1.8)</f>
        <v>1218.6000000000001</v>
      </c>
      <c r="AU379" s="23">
        <f>(Data!$I379*-1.2)+(Data!$J379*-1.1)+(Data!$K379*1.2)+(Data!$L379*1.3)+(Data!$M379*1.5)</f>
        <v>7.399999999999995</v>
      </c>
      <c r="AV379" s="23">
        <f>(Data!$AS379*0.4)+(Data!$AT379*0.4)+(Data!$AU379*0.2)</f>
        <v>504.04000000000008</v>
      </c>
      <c r="AW379" s="23">
        <f>PERCENTRANK(AV:AV,Data!$AV379)*100</f>
        <v>80.400000000000006</v>
      </c>
      <c r="AX379" s="23" t="str">
        <f>_xlfn.CONCAT(TEXT(C379,"mmm"),"-",Data!$AE379)</f>
        <v>Oct-2022</v>
      </c>
    </row>
    <row r="380" spans="1:50" ht="17" thickTop="1" thickBot="1" x14ac:dyDescent="0.25">
      <c r="A380" s="28">
        <v>379</v>
      </c>
      <c r="B380" s="29">
        <f t="shared" si="42"/>
        <v>15</v>
      </c>
      <c r="C380" s="41">
        <v>44849</v>
      </c>
      <c r="D380" s="30">
        <f>SUM(Data!$I380:$M380)</f>
        <v>60</v>
      </c>
      <c r="E380" s="29">
        <v>15</v>
      </c>
      <c r="F380" s="29">
        <v>655</v>
      </c>
      <c r="G380" s="29">
        <v>163</v>
      </c>
      <c r="H380" s="29">
        <v>126</v>
      </c>
      <c r="I380" s="29">
        <v>12</v>
      </c>
      <c r="J380" s="29">
        <v>11</v>
      </c>
      <c r="K380" s="29">
        <v>22</v>
      </c>
      <c r="L380" s="29">
        <v>14</v>
      </c>
      <c r="M380" s="29">
        <v>1</v>
      </c>
      <c r="N380" s="29" t="s">
        <v>91</v>
      </c>
      <c r="O380" s="29" t="s">
        <v>159</v>
      </c>
      <c r="P380" s="29" t="s">
        <v>148</v>
      </c>
      <c r="Q380" s="29">
        <f t="shared" si="48"/>
        <v>1</v>
      </c>
      <c r="R380" s="29" t="str">
        <f t="shared" si="43"/>
        <v>10-2022</v>
      </c>
      <c r="S380" s="29" t="s">
        <v>104</v>
      </c>
      <c r="T380" s="29" t="str">
        <f t="shared" si="44"/>
        <v>Saturday</v>
      </c>
      <c r="U380" s="29">
        <f t="shared" si="45"/>
        <v>1</v>
      </c>
      <c r="V380" s="31">
        <f>IFERROR(Data!$I380/Data!$D380,"")</f>
        <v>0.2</v>
      </c>
      <c r="W380" s="31">
        <f>IFERROR(Data!$J380/Data!$D380,"")</f>
        <v>0.18333333333333332</v>
      </c>
      <c r="X380" s="31">
        <f>IFERROR(Data!$K380/Data!$D380,"")</f>
        <v>0.36666666666666664</v>
      </c>
      <c r="Y380" s="31">
        <f>IFERROR(Data!$L380/Data!$D380,"")</f>
        <v>0.23333333333333334</v>
      </c>
      <c r="Z380" s="31">
        <f>IFERROR(Data!$M380/Data!$D380,"")</f>
        <v>1.6666666666666666E-2</v>
      </c>
      <c r="AA380" s="32">
        <v>232.14</v>
      </c>
      <c r="AB380" s="32">
        <f t="shared" si="49"/>
        <v>15.475999999999999</v>
      </c>
      <c r="AC380" s="29">
        <f t="shared" si="46"/>
        <v>612.13333333333333</v>
      </c>
      <c r="AD380" s="29">
        <f t="shared" si="47"/>
        <v>14.4</v>
      </c>
      <c r="AE380" s="29">
        <f>YEAR(Data!$C380)</f>
        <v>2022</v>
      </c>
      <c r="AF380" s="29"/>
      <c r="AG380" s="29">
        <v>12</v>
      </c>
      <c r="AH380" s="33">
        <f>Data!$F380/Data!$D380</f>
        <v>10.916666666666666</v>
      </c>
      <c r="AI380" s="17" t="str">
        <f>RIGHT(Data!$O380,2)</f>
        <v>AM</v>
      </c>
      <c r="AJ380" s="29" t="str">
        <f>Data!$R380&amp;"-"&amp;WEEKNUM(Data!$C380,1)-WEEKNUM(DATE(YEAR(Data!$C380),MONTH(Data!$C380),1),1)+1</f>
        <v>10-2022-3</v>
      </c>
      <c r="AK380" s="29">
        <f>MONTH(Data!$C380)</f>
        <v>10</v>
      </c>
      <c r="AL380" s="29">
        <f>IFERROR(Data!$F380/Data!$E380,0)</f>
        <v>43.666666666666664</v>
      </c>
      <c r="AM380" s="29">
        <f>COUNTIF(Data!$N$2:$N$825,Data!$N380)</f>
        <v>218</v>
      </c>
      <c r="AN380" s="29" t="str">
        <f>VLOOKUP(Data!$N380,'Helpful Tables'!A:D,4,FALSE)</f>
        <v>Washington, DC</v>
      </c>
      <c r="AO380" s="29">
        <f>COUNTIF(AN:AN,Data!$AN380)/COUNTA(AN:AN)</f>
        <v>0.62424242424242427</v>
      </c>
      <c r="AP380" s="29">
        <v>38.934710000000003</v>
      </c>
      <c r="AQ380" s="29">
        <v>-77.058222999999998</v>
      </c>
      <c r="AR380" s="29">
        <f>COUNTIF(Data!$P$2:$P$825,Data!$P380)</f>
        <v>14</v>
      </c>
      <c r="AS380" s="29" cm="1">
        <f t="array" ref="AS380">_xlfn.IFS(Data!$E380&lt;12,((Data!$E380/Data!$D380)*60)*1,AND(Data!$E380&gt;=12,Data!$E380&lt;=15),((Data!$E380/Data!$D380)*60)*1.2,AND(Data!$E380&gt;=16,Data!$E380&lt;=19),((Data!$E380/Data!$D380)*60)*1.5,Data!$E380&gt;=20,((Data!$E380/Data!$D380)*60)*1.8)</f>
        <v>18</v>
      </c>
      <c r="AT380" s="29" cm="1">
        <f t="array" ref="AT380">_xlfn.IFS(Data!$F380&lt;600,((Data!$F380/Data!$D380)*60)*1,AND(Data!$F380&gt;=600,Data!$F380&lt;=625),((Data!$F380/Data!$D380)*60)*1.2,AND(Data!$F380&gt;=626,Data!$F380&lt;=650),((Data!$F380/Data!$D380)*60)*1.5,Data!$F380&gt;=651,((Data!$F380/Data!$D380)*60)*1.8)</f>
        <v>1179</v>
      </c>
      <c r="AU380" s="29">
        <f>(Data!$I380*-1.2)+(Data!$J380*-1.1)+(Data!$K380*1.2)+(Data!$L380*1.3)+(Data!$M380*1.5)</f>
        <v>19.599999999999998</v>
      </c>
      <c r="AV380" s="29">
        <f>(Data!$AS380*0.4)+(Data!$AT380*0.4)+(Data!$AU380*0.2)</f>
        <v>482.72</v>
      </c>
      <c r="AW380" s="29">
        <f>PERCENTRANK(AV:AV,Data!$AV380)*100</f>
        <v>69.899999999999991</v>
      </c>
      <c r="AX380" s="29" t="str">
        <f>_xlfn.CONCAT(TEXT(C380,"mmm"),"-",Data!$AE380)</f>
        <v>Oct-2022</v>
      </c>
    </row>
    <row r="381" spans="1:50" ht="17" thickTop="1" thickBot="1" x14ac:dyDescent="0.25">
      <c r="A381" s="22">
        <v>380</v>
      </c>
      <c r="B381" s="23">
        <f t="shared" si="42"/>
        <v>15</v>
      </c>
      <c r="C381" s="41">
        <v>44852</v>
      </c>
      <c r="D381" s="24">
        <f>SUM(Data!$I381:$M381)</f>
        <v>56</v>
      </c>
      <c r="E381" s="23">
        <v>12</v>
      </c>
      <c r="F381" s="23">
        <v>536</v>
      </c>
      <c r="G381" s="23">
        <v>160</v>
      </c>
      <c r="H381" s="23">
        <v>117</v>
      </c>
      <c r="I381" s="23">
        <v>19</v>
      </c>
      <c r="J381" s="23">
        <v>14</v>
      </c>
      <c r="K381" s="23">
        <v>11</v>
      </c>
      <c r="L381" s="23">
        <v>12</v>
      </c>
      <c r="M381" s="23">
        <v>0</v>
      </c>
      <c r="N381" s="23" t="s">
        <v>101</v>
      </c>
      <c r="O381" s="23" t="s">
        <v>107</v>
      </c>
      <c r="P381" s="23" t="s">
        <v>118</v>
      </c>
      <c r="Q381" s="23">
        <f t="shared" si="48"/>
        <v>3</v>
      </c>
      <c r="R381" s="23" t="str">
        <f t="shared" si="43"/>
        <v>10-2022</v>
      </c>
      <c r="S381" s="23" t="s">
        <v>104</v>
      </c>
      <c r="T381" s="23" t="str">
        <f t="shared" si="44"/>
        <v>Tuesday</v>
      </c>
      <c r="U381" s="23">
        <f t="shared" si="45"/>
        <v>1</v>
      </c>
      <c r="V381" s="25">
        <f>IFERROR(Data!$I381/Data!$D381,"")</f>
        <v>0.3392857142857143</v>
      </c>
      <c r="W381" s="25">
        <f>IFERROR(Data!$J381/Data!$D381,"")</f>
        <v>0.25</v>
      </c>
      <c r="X381" s="25">
        <f>IFERROR(Data!$K381/Data!$D381,"")</f>
        <v>0.19642857142857142</v>
      </c>
      <c r="Y381" s="25">
        <f>IFERROR(Data!$L381/Data!$D381,"")</f>
        <v>0.21428571428571427</v>
      </c>
      <c r="Z381" s="25">
        <f>IFERROR(Data!$M381/Data!$D381,"")</f>
        <v>0</v>
      </c>
      <c r="AA381" s="26">
        <v>232.14</v>
      </c>
      <c r="AB381" s="26">
        <f t="shared" si="49"/>
        <v>15.475999999999999</v>
      </c>
      <c r="AC381" s="23">
        <f t="shared" si="46"/>
        <v>612.13333333333333</v>
      </c>
      <c r="AD381" s="23">
        <f t="shared" si="47"/>
        <v>14.4</v>
      </c>
      <c r="AE381" s="23">
        <f>YEAR(Data!$C381)</f>
        <v>2022</v>
      </c>
      <c r="AF381" s="23"/>
      <c r="AG381" s="23">
        <v>12</v>
      </c>
      <c r="AH381" s="27">
        <f>Data!$F381/Data!$D381</f>
        <v>9.5714285714285712</v>
      </c>
      <c r="AI381" s="17" t="str">
        <f>RIGHT(Data!$O381,2)</f>
        <v>AM</v>
      </c>
      <c r="AJ381" s="23" t="str">
        <f>Data!$R381&amp;"-"&amp;WEEKNUM(Data!$C381,1)-WEEKNUM(DATE(YEAR(Data!$C381),MONTH(Data!$C381),1),1)+1</f>
        <v>10-2022-4</v>
      </c>
      <c r="AK381" s="23">
        <f>MONTH(Data!$C381)</f>
        <v>10</v>
      </c>
      <c r="AL381" s="23">
        <f>IFERROR(Data!$F381/Data!$E381,0)</f>
        <v>44.666666666666664</v>
      </c>
      <c r="AM381" s="23">
        <f>COUNTIF(Data!$N$2:$N$825,Data!$N381)</f>
        <v>191</v>
      </c>
      <c r="AN381" s="23" t="str">
        <f>VLOOKUP(Data!$N381,'Helpful Tables'!A:D,4,FALSE)</f>
        <v>Washington, DC</v>
      </c>
      <c r="AO381" s="23">
        <f>COUNTIF(AN:AN,Data!$AN381)/COUNTA(AN:AN)</f>
        <v>0.62424242424242427</v>
      </c>
      <c r="AP381" s="23">
        <v>38.949649000000001</v>
      </c>
      <c r="AQ381" s="23">
        <v>-77.080878999999996</v>
      </c>
      <c r="AR381" s="23">
        <f>COUNTIF(Data!$P$2:$P$825,Data!$P381)</f>
        <v>16</v>
      </c>
      <c r="AS381" s="23" cm="1">
        <f t="array" ref="AS381">_xlfn.IFS(Data!$E381&lt;12,((Data!$E381/Data!$D381)*60)*1,AND(Data!$E381&gt;=12,Data!$E381&lt;=15),((Data!$E381/Data!$D381)*60)*1.2,AND(Data!$E381&gt;=16,Data!$E381&lt;=19),((Data!$E381/Data!$D381)*60)*1.5,Data!$E381&gt;=20,((Data!$E381/Data!$D381)*60)*1.8)</f>
        <v>15.428571428571427</v>
      </c>
      <c r="AT381" s="23" cm="1">
        <f t="array" ref="AT381">_xlfn.IFS(Data!$F381&lt;600,((Data!$F381/Data!$D381)*60)*1,AND(Data!$F381&gt;=600,Data!$F381&lt;=625),((Data!$F381/Data!$D381)*60)*1.2,AND(Data!$F381&gt;=626,Data!$F381&lt;=650),((Data!$F381/Data!$D381)*60)*1.5,Data!$F381&gt;=651,((Data!$F381/Data!$D381)*60)*1.8)</f>
        <v>574.28571428571422</v>
      </c>
      <c r="AU381" s="23">
        <f>(Data!$I381*-1.2)+(Data!$J381*-1.1)+(Data!$K381*1.2)+(Data!$L381*1.3)+(Data!$M381*1.5)</f>
        <v>-9.4000000000000021</v>
      </c>
      <c r="AV381" s="23">
        <f>(Data!$AS381*0.4)+(Data!$AT381*0.4)+(Data!$AU381*0.2)</f>
        <v>234.00571428571428</v>
      </c>
      <c r="AW381" s="23">
        <f>PERCENTRANK(AV:AV,Data!$AV381)*100</f>
        <v>9</v>
      </c>
      <c r="AX381" s="23" t="str">
        <f>_xlfn.CONCAT(TEXT(C381,"mmm"),"-",Data!$AE381)</f>
        <v>Oct-2022</v>
      </c>
    </row>
    <row r="382" spans="1:50" ht="17" thickTop="1" thickBot="1" x14ac:dyDescent="0.25">
      <c r="A382" s="28">
        <v>381</v>
      </c>
      <c r="B382" s="29">
        <f t="shared" si="42"/>
        <v>15</v>
      </c>
      <c r="C382" s="41">
        <v>44854</v>
      </c>
      <c r="D382" s="30">
        <f>SUM(Data!$I382:$M382)</f>
        <v>54</v>
      </c>
      <c r="E382" s="29">
        <v>14</v>
      </c>
      <c r="F382" s="29">
        <v>579</v>
      </c>
      <c r="G382" s="29">
        <v>166</v>
      </c>
      <c r="H382" s="29">
        <v>125</v>
      </c>
      <c r="I382" s="29">
        <v>13</v>
      </c>
      <c r="J382" s="29">
        <v>12</v>
      </c>
      <c r="K382" s="29">
        <v>15</v>
      </c>
      <c r="L382" s="29">
        <v>11</v>
      </c>
      <c r="M382" s="29">
        <v>3</v>
      </c>
      <c r="N382" s="29" t="s">
        <v>91</v>
      </c>
      <c r="O382" s="29" t="s">
        <v>26</v>
      </c>
      <c r="P382" s="29" t="s">
        <v>98</v>
      </c>
      <c r="Q382" s="29">
        <f t="shared" si="48"/>
        <v>2</v>
      </c>
      <c r="R382" s="29" t="str">
        <f t="shared" si="43"/>
        <v>10-2022</v>
      </c>
      <c r="S382" s="29" t="s">
        <v>104</v>
      </c>
      <c r="T382" s="29" t="str">
        <f t="shared" si="44"/>
        <v>Thursday</v>
      </c>
      <c r="U382" s="29">
        <f t="shared" si="45"/>
        <v>1</v>
      </c>
      <c r="V382" s="31">
        <f>IFERROR(Data!$I382/Data!$D382,"")</f>
        <v>0.24074074074074073</v>
      </c>
      <c r="W382" s="31">
        <f>IFERROR(Data!$J382/Data!$D382,"")</f>
        <v>0.22222222222222221</v>
      </c>
      <c r="X382" s="31">
        <f>IFERROR(Data!$K382/Data!$D382,"")</f>
        <v>0.27777777777777779</v>
      </c>
      <c r="Y382" s="31">
        <f>IFERROR(Data!$L382/Data!$D382,"")</f>
        <v>0.20370370370370369</v>
      </c>
      <c r="Z382" s="31">
        <f>IFERROR(Data!$M382/Data!$D382,"")</f>
        <v>5.5555555555555552E-2</v>
      </c>
      <c r="AA382" s="32">
        <v>232.14</v>
      </c>
      <c r="AB382" s="32">
        <f t="shared" si="49"/>
        <v>15.475999999999999</v>
      </c>
      <c r="AC382" s="29">
        <f t="shared" si="46"/>
        <v>612.13333333333333</v>
      </c>
      <c r="AD382" s="29">
        <f t="shared" si="47"/>
        <v>14.4</v>
      </c>
      <c r="AE382" s="29">
        <f>YEAR(Data!$C382)</f>
        <v>2022</v>
      </c>
      <c r="AF382" s="29"/>
      <c r="AG382" s="29">
        <v>12</v>
      </c>
      <c r="AH382" s="33">
        <f>Data!$F382/Data!$D382</f>
        <v>10.722222222222221</v>
      </c>
      <c r="AI382" s="17" t="str">
        <f>RIGHT(Data!$O382,2)</f>
        <v>PM</v>
      </c>
      <c r="AJ382" s="29" t="str">
        <f>Data!$R382&amp;"-"&amp;WEEKNUM(Data!$C382,1)-WEEKNUM(DATE(YEAR(Data!$C382),MONTH(Data!$C382),1),1)+1</f>
        <v>10-2022-4</v>
      </c>
      <c r="AK382" s="29">
        <f>MONTH(Data!$C382)</f>
        <v>10</v>
      </c>
      <c r="AL382" s="29">
        <f>IFERROR(Data!$F382/Data!$E382,0)</f>
        <v>41.357142857142854</v>
      </c>
      <c r="AM382" s="29">
        <f>COUNTIF(Data!$N$2:$N$825,Data!$N382)</f>
        <v>218</v>
      </c>
      <c r="AN382" s="29" t="str">
        <f>VLOOKUP(Data!$N382,'Helpful Tables'!A:D,4,FALSE)</f>
        <v>Washington, DC</v>
      </c>
      <c r="AO382" s="29">
        <f>COUNTIF(AN:AN,Data!$AN382)/COUNTA(AN:AN)</f>
        <v>0.62424242424242427</v>
      </c>
      <c r="AP382" s="29">
        <v>38.934710000000003</v>
      </c>
      <c r="AQ382" s="29">
        <v>-77.058222999999998</v>
      </c>
      <c r="AR382" s="29">
        <f>COUNTIF(Data!$P$2:$P$825,Data!$P382)</f>
        <v>28</v>
      </c>
      <c r="AS382" s="29" cm="1">
        <f t="array" ref="AS382">_xlfn.IFS(Data!$E382&lt;12,((Data!$E382/Data!$D382)*60)*1,AND(Data!$E382&gt;=12,Data!$E382&lt;=15),((Data!$E382/Data!$D382)*60)*1.2,AND(Data!$E382&gt;=16,Data!$E382&lt;=19),((Data!$E382/Data!$D382)*60)*1.5,Data!$E382&gt;=20,((Data!$E382/Data!$D382)*60)*1.8)</f>
        <v>18.666666666666664</v>
      </c>
      <c r="AT382" s="29" cm="1">
        <f t="array" ref="AT382">_xlfn.IFS(Data!$F382&lt;600,((Data!$F382/Data!$D382)*60)*1,AND(Data!$F382&gt;=600,Data!$F382&lt;=625),((Data!$F382/Data!$D382)*60)*1.2,AND(Data!$F382&gt;=626,Data!$F382&lt;=650),((Data!$F382/Data!$D382)*60)*1.5,Data!$F382&gt;=651,((Data!$F382/Data!$D382)*60)*1.8)</f>
        <v>643.33333333333326</v>
      </c>
      <c r="AU382" s="29">
        <f>(Data!$I382*-1.2)+(Data!$J382*-1.1)+(Data!$K382*1.2)+(Data!$L382*1.3)+(Data!$M382*1.5)</f>
        <v>8</v>
      </c>
      <c r="AV382" s="29">
        <f>(Data!$AS382*0.4)+(Data!$AT382*0.4)+(Data!$AU382*0.2)</f>
        <v>266.39999999999998</v>
      </c>
      <c r="AW382" s="29">
        <f>PERCENTRANK(AV:AV,Data!$AV382)*100</f>
        <v>21.8</v>
      </c>
      <c r="AX382" s="29" t="str">
        <f>_xlfn.CONCAT(TEXT(C382,"mmm"),"-",Data!$AE382)</f>
        <v>Oct-2022</v>
      </c>
    </row>
    <row r="383" spans="1:50" ht="17" thickTop="1" thickBot="1" x14ac:dyDescent="0.25">
      <c r="A383" s="22">
        <v>382</v>
      </c>
      <c r="B383" s="23">
        <f t="shared" si="42"/>
        <v>15</v>
      </c>
      <c r="C383" s="41">
        <v>44858</v>
      </c>
      <c r="D383" s="24">
        <f>SUM(Data!$I383:$M383)</f>
        <v>58</v>
      </c>
      <c r="E383" s="23">
        <v>13</v>
      </c>
      <c r="F383" s="23">
        <v>613</v>
      </c>
      <c r="G383" s="23">
        <v>167</v>
      </c>
      <c r="H383" s="23">
        <v>124</v>
      </c>
      <c r="I383" s="23">
        <v>9</v>
      </c>
      <c r="J383" s="23">
        <v>15</v>
      </c>
      <c r="K383" s="23">
        <v>21</v>
      </c>
      <c r="L383" s="23">
        <v>9</v>
      </c>
      <c r="M383" s="23">
        <v>4</v>
      </c>
      <c r="N383" s="23" t="s">
        <v>91</v>
      </c>
      <c r="O383" s="23" t="s">
        <v>57</v>
      </c>
      <c r="P383" s="23" t="s">
        <v>148</v>
      </c>
      <c r="Q383" s="23">
        <f t="shared" si="48"/>
        <v>4</v>
      </c>
      <c r="R383" s="23" t="str">
        <f t="shared" si="43"/>
        <v>10-2022</v>
      </c>
      <c r="S383" s="23" t="s">
        <v>117</v>
      </c>
      <c r="T383" s="23" t="str">
        <f t="shared" si="44"/>
        <v>Monday</v>
      </c>
      <c r="U383" s="23">
        <f t="shared" si="45"/>
        <v>1</v>
      </c>
      <c r="V383" s="25">
        <f>IFERROR(Data!$I383/Data!$D383,"")</f>
        <v>0.15517241379310345</v>
      </c>
      <c r="W383" s="25">
        <f>IFERROR(Data!$J383/Data!$D383,"")</f>
        <v>0.25862068965517243</v>
      </c>
      <c r="X383" s="25">
        <f>IFERROR(Data!$K383/Data!$D383,"")</f>
        <v>0.36206896551724138</v>
      </c>
      <c r="Y383" s="25">
        <f>IFERROR(Data!$L383/Data!$D383,"")</f>
        <v>0.15517241379310345</v>
      </c>
      <c r="Z383" s="25">
        <f>IFERROR(Data!$M383/Data!$D383,"")</f>
        <v>6.8965517241379309E-2</v>
      </c>
      <c r="AA383" s="26">
        <v>232.14</v>
      </c>
      <c r="AB383" s="26">
        <f t="shared" si="49"/>
        <v>15.475999999999999</v>
      </c>
      <c r="AC383" s="23">
        <f t="shared" si="46"/>
        <v>612.13333333333333</v>
      </c>
      <c r="AD383" s="23">
        <f t="shared" si="47"/>
        <v>14.4</v>
      </c>
      <c r="AE383" s="23">
        <f>YEAR(Data!$C383)</f>
        <v>2022</v>
      </c>
      <c r="AF383" s="23"/>
      <c r="AG383" s="23">
        <v>12</v>
      </c>
      <c r="AH383" s="27">
        <f>Data!$F383/Data!$D383</f>
        <v>10.568965517241379</v>
      </c>
      <c r="AI383" s="17" t="str">
        <f>RIGHT(Data!$O383,2)</f>
        <v>PM</v>
      </c>
      <c r="AJ383" s="23" t="str">
        <f>Data!$R383&amp;"-"&amp;WEEKNUM(Data!$C383,1)-WEEKNUM(DATE(YEAR(Data!$C383),MONTH(Data!$C383),1),1)+1</f>
        <v>10-2022-5</v>
      </c>
      <c r="AK383" s="23">
        <f>MONTH(Data!$C383)</f>
        <v>10</v>
      </c>
      <c r="AL383" s="23">
        <f>IFERROR(Data!$F383/Data!$E383,0)</f>
        <v>47.153846153846153</v>
      </c>
      <c r="AM383" s="23">
        <f>COUNTIF(Data!$N$2:$N$825,Data!$N383)</f>
        <v>218</v>
      </c>
      <c r="AN383" s="23" t="str">
        <f>VLOOKUP(Data!$N383,'Helpful Tables'!A:D,4,FALSE)</f>
        <v>Washington, DC</v>
      </c>
      <c r="AO383" s="23">
        <f>COUNTIF(AN:AN,Data!$AN383)/COUNTA(AN:AN)</f>
        <v>0.62424242424242427</v>
      </c>
      <c r="AP383" s="23">
        <v>38.934710000000003</v>
      </c>
      <c r="AQ383" s="23">
        <v>-77.058222999999998</v>
      </c>
      <c r="AR383" s="23">
        <f>COUNTIF(Data!$P$2:$P$825,Data!$P383)</f>
        <v>14</v>
      </c>
      <c r="AS383" s="23" cm="1">
        <f t="array" ref="AS383">_xlfn.IFS(Data!$E383&lt;12,((Data!$E383/Data!$D383)*60)*1,AND(Data!$E383&gt;=12,Data!$E383&lt;=15),((Data!$E383/Data!$D383)*60)*1.2,AND(Data!$E383&gt;=16,Data!$E383&lt;=19),((Data!$E383/Data!$D383)*60)*1.5,Data!$E383&gt;=20,((Data!$E383/Data!$D383)*60)*1.8)</f>
        <v>16.137931034482758</v>
      </c>
      <c r="AT383" s="23" cm="1">
        <f t="array" ref="AT383">_xlfn.IFS(Data!$F383&lt;600,((Data!$F383/Data!$D383)*60)*1,AND(Data!$F383&gt;=600,Data!$F383&lt;=625),((Data!$F383/Data!$D383)*60)*1.2,AND(Data!$F383&gt;=626,Data!$F383&lt;=650),((Data!$F383/Data!$D383)*60)*1.5,Data!$F383&gt;=651,((Data!$F383/Data!$D383)*60)*1.8)</f>
        <v>760.9655172413793</v>
      </c>
      <c r="AU383" s="23">
        <f>(Data!$I383*-1.2)+(Data!$J383*-1.1)+(Data!$K383*1.2)+(Data!$L383*1.3)+(Data!$M383*1.5)</f>
        <v>15.600000000000003</v>
      </c>
      <c r="AV383" s="23">
        <f>(Data!$AS383*0.4)+(Data!$AT383*0.4)+(Data!$AU383*0.2)</f>
        <v>313.96137931034485</v>
      </c>
      <c r="AW383" s="23">
        <f>PERCENTRANK(AV:AV,Data!$AV383)*100</f>
        <v>33</v>
      </c>
      <c r="AX383" s="23" t="str">
        <f>_xlfn.CONCAT(TEXT(C383,"mmm"),"-",Data!$AE383)</f>
        <v>Oct-2022</v>
      </c>
    </row>
    <row r="384" spans="1:50" ht="17" thickTop="1" thickBot="1" x14ac:dyDescent="0.25">
      <c r="A384" s="28">
        <v>383</v>
      </c>
      <c r="B384" s="29">
        <f t="shared" si="42"/>
        <v>15</v>
      </c>
      <c r="C384" s="41">
        <v>44860</v>
      </c>
      <c r="D384" s="30">
        <f>SUM(Data!$I384:$M384)</f>
        <v>57</v>
      </c>
      <c r="E384" s="29">
        <v>18</v>
      </c>
      <c r="F384" s="29">
        <v>649</v>
      </c>
      <c r="G384" s="29">
        <v>170</v>
      </c>
      <c r="H384" s="29">
        <v>129</v>
      </c>
      <c r="I384" s="29">
        <v>7</v>
      </c>
      <c r="J384" s="29">
        <v>13</v>
      </c>
      <c r="K384" s="29">
        <v>19</v>
      </c>
      <c r="L384" s="29">
        <v>12</v>
      </c>
      <c r="M384" s="29">
        <v>6</v>
      </c>
      <c r="N384" s="29" t="s">
        <v>160</v>
      </c>
      <c r="O384" s="29" t="s">
        <v>143</v>
      </c>
      <c r="P384" s="29" t="s">
        <v>161</v>
      </c>
      <c r="Q384" s="29">
        <f t="shared" si="48"/>
        <v>2</v>
      </c>
      <c r="R384" s="29" t="str">
        <f t="shared" si="43"/>
        <v>10-2022</v>
      </c>
      <c r="S384" s="29" t="s">
        <v>117</v>
      </c>
      <c r="T384" s="29" t="str">
        <f t="shared" si="44"/>
        <v>Wednesday</v>
      </c>
      <c r="U384" s="29">
        <f t="shared" si="45"/>
        <v>1</v>
      </c>
      <c r="V384" s="31">
        <f>IFERROR(Data!$I384/Data!$D384,"")</f>
        <v>0.12280701754385964</v>
      </c>
      <c r="W384" s="31">
        <f>IFERROR(Data!$J384/Data!$D384,"")</f>
        <v>0.22807017543859648</v>
      </c>
      <c r="X384" s="31">
        <f>IFERROR(Data!$K384/Data!$D384,"")</f>
        <v>0.33333333333333331</v>
      </c>
      <c r="Y384" s="31">
        <f>IFERROR(Data!$L384/Data!$D384,"")</f>
        <v>0.21052631578947367</v>
      </c>
      <c r="Z384" s="31">
        <f>IFERROR(Data!$M384/Data!$D384,"")</f>
        <v>0.10526315789473684</v>
      </c>
      <c r="AA384" s="32">
        <v>232.14</v>
      </c>
      <c r="AB384" s="32">
        <f t="shared" si="49"/>
        <v>15.475999999999999</v>
      </c>
      <c r="AC384" s="29">
        <f t="shared" si="46"/>
        <v>612.13333333333333</v>
      </c>
      <c r="AD384" s="29">
        <f t="shared" si="47"/>
        <v>14.4</v>
      </c>
      <c r="AE384" s="29">
        <f>YEAR(Data!$C384)</f>
        <v>2022</v>
      </c>
      <c r="AF384" s="29"/>
      <c r="AG384" s="29">
        <v>12</v>
      </c>
      <c r="AH384" s="33">
        <f>Data!$F384/Data!$D384</f>
        <v>11.385964912280702</v>
      </c>
      <c r="AI384" s="17" t="str">
        <f>RIGHT(Data!$O384,2)</f>
        <v>PM</v>
      </c>
      <c r="AJ384" s="29" t="str">
        <f>Data!$R384&amp;"-"&amp;WEEKNUM(Data!$C384,1)-WEEKNUM(DATE(YEAR(Data!$C384),MONTH(Data!$C384),1),1)+1</f>
        <v>10-2022-5</v>
      </c>
      <c r="AK384" s="29">
        <f>MONTH(Data!$C384)</f>
        <v>10</v>
      </c>
      <c r="AL384" s="29">
        <f>IFERROR(Data!$F384/Data!$E384,0)</f>
        <v>36.055555555555557</v>
      </c>
      <c r="AM384" s="29">
        <f>COUNTIF(Data!$N$2:$N$825,Data!$N384)</f>
        <v>9</v>
      </c>
      <c r="AN384" s="29" t="str">
        <f>VLOOKUP(Data!$N384,'Helpful Tables'!A:D,4,FALSE)</f>
        <v>Virginia</v>
      </c>
      <c r="AO384" s="29">
        <f>COUNTIF(AN:AN,Data!$AN384)/COUNTA(AN:AN)</f>
        <v>6.424242424242424E-2</v>
      </c>
      <c r="AP384" s="29">
        <v>38.880467000000003</v>
      </c>
      <c r="AQ384" s="29">
        <v>-77.111583999999993</v>
      </c>
      <c r="AR384" s="29">
        <f>COUNTIF(Data!$P$2:$P$825,Data!$P384)</f>
        <v>7</v>
      </c>
      <c r="AS384" s="29" cm="1">
        <f t="array" ref="AS384">_xlfn.IFS(Data!$E384&lt;12,((Data!$E384/Data!$D384)*60)*1,AND(Data!$E384&gt;=12,Data!$E384&lt;=15),((Data!$E384/Data!$D384)*60)*1.2,AND(Data!$E384&gt;=16,Data!$E384&lt;=19),((Data!$E384/Data!$D384)*60)*1.5,Data!$E384&gt;=20,((Data!$E384/Data!$D384)*60)*1.8)</f>
        <v>28.421052631578945</v>
      </c>
      <c r="AT384" s="29" cm="1">
        <f t="array" ref="AT384">_xlfn.IFS(Data!$F384&lt;600,((Data!$F384/Data!$D384)*60)*1,AND(Data!$F384&gt;=600,Data!$F384&lt;=625),((Data!$F384/Data!$D384)*60)*1.2,AND(Data!$F384&gt;=626,Data!$F384&lt;=650),((Data!$F384/Data!$D384)*60)*1.5,Data!$F384&gt;=651,((Data!$F384/Data!$D384)*60)*1.8)</f>
        <v>1024.7368421052631</v>
      </c>
      <c r="AU384" s="29">
        <f>(Data!$I384*-1.2)+(Data!$J384*-1.1)+(Data!$K384*1.2)+(Data!$L384*1.3)+(Data!$M384*1.5)</f>
        <v>24.7</v>
      </c>
      <c r="AV384" s="29">
        <f>(Data!$AS384*0.4)+(Data!$AT384*0.4)+(Data!$AU384*0.2)</f>
        <v>426.20315789473682</v>
      </c>
      <c r="AW384" s="29">
        <f>PERCENTRANK(AV:AV,Data!$AV384)*100</f>
        <v>63.4</v>
      </c>
      <c r="AX384" s="29" t="str">
        <f>_xlfn.CONCAT(TEXT(C384,"mmm"),"-",Data!$AE384)</f>
        <v>Oct-2022</v>
      </c>
    </row>
    <row r="385" spans="1:50" ht="17" thickTop="1" thickBot="1" x14ac:dyDescent="0.25">
      <c r="A385" s="22">
        <v>384</v>
      </c>
      <c r="B385" s="23">
        <f t="shared" si="42"/>
        <v>15</v>
      </c>
      <c r="C385" s="41">
        <v>44862</v>
      </c>
      <c r="D385" s="24">
        <f>SUM(Data!$I385:$M385)</f>
        <v>60</v>
      </c>
      <c r="E385" s="23">
        <v>17</v>
      </c>
      <c r="F385" s="23">
        <v>679</v>
      </c>
      <c r="G385" s="23">
        <v>169</v>
      </c>
      <c r="H385" s="23">
        <v>130</v>
      </c>
      <c r="I385" s="23">
        <v>5</v>
      </c>
      <c r="J385" s="23">
        <v>16</v>
      </c>
      <c r="K385" s="23">
        <v>22</v>
      </c>
      <c r="L385" s="23">
        <v>14</v>
      </c>
      <c r="M385" s="23">
        <v>3</v>
      </c>
      <c r="N385" s="23" t="s">
        <v>91</v>
      </c>
      <c r="O385" s="23" t="s">
        <v>89</v>
      </c>
      <c r="P385" s="23" t="s">
        <v>148</v>
      </c>
      <c r="Q385" s="23">
        <f t="shared" si="48"/>
        <v>2</v>
      </c>
      <c r="R385" s="23" t="str">
        <f t="shared" si="43"/>
        <v>10-2022</v>
      </c>
      <c r="S385" s="23" t="s">
        <v>117</v>
      </c>
      <c r="T385" s="23" t="str">
        <f t="shared" si="44"/>
        <v>Friday</v>
      </c>
      <c r="U385" s="23">
        <f t="shared" si="45"/>
        <v>1</v>
      </c>
      <c r="V385" s="25">
        <f>IFERROR(Data!$I385/Data!$D385,"")</f>
        <v>8.3333333333333329E-2</v>
      </c>
      <c r="W385" s="25">
        <f>IFERROR(Data!$J385/Data!$D385,"")</f>
        <v>0.26666666666666666</v>
      </c>
      <c r="X385" s="25">
        <f>IFERROR(Data!$K385/Data!$D385,"")</f>
        <v>0.36666666666666664</v>
      </c>
      <c r="Y385" s="25">
        <f>IFERROR(Data!$L385/Data!$D385,"")</f>
        <v>0.23333333333333334</v>
      </c>
      <c r="Z385" s="25">
        <f>IFERROR(Data!$M385/Data!$D385,"")</f>
        <v>0.05</v>
      </c>
      <c r="AA385" s="26">
        <v>232.14</v>
      </c>
      <c r="AB385" s="26">
        <f t="shared" si="49"/>
        <v>15.475999999999999</v>
      </c>
      <c r="AC385" s="23">
        <f t="shared" si="46"/>
        <v>612.13333333333333</v>
      </c>
      <c r="AD385" s="23">
        <f t="shared" si="47"/>
        <v>14.4</v>
      </c>
      <c r="AE385" s="23">
        <f>YEAR(Data!$C385)</f>
        <v>2022</v>
      </c>
      <c r="AF385" s="23"/>
      <c r="AG385" s="23">
        <v>12</v>
      </c>
      <c r="AH385" s="27">
        <f>Data!$F385/Data!$D385</f>
        <v>11.316666666666666</v>
      </c>
      <c r="AI385" s="17" t="str">
        <f>RIGHT(Data!$O385,2)</f>
        <v>AM</v>
      </c>
      <c r="AJ385" s="23" t="str">
        <f>Data!$R385&amp;"-"&amp;WEEKNUM(Data!$C385,1)-WEEKNUM(DATE(YEAR(Data!$C385),MONTH(Data!$C385),1),1)+1</f>
        <v>10-2022-5</v>
      </c>
      <c r="AK385" s="23">
        <f>MONTH(Data!$C385)</f>
        <v>10</v>
      </c>
      <c r="AL385" s="23">
        <f>IFERROR(Data!$F385/Data!$E385,0)</f>
        <v>39.941176470588232</v>
      </c>
      <c r="AM385" s="23">
        <f>COUNTIF(Data!$N$2:$N$825,Data!$N385)</f>
        <v>218</v>
      </c>
      <c r="AN385" s="23" t="str">
        <f>VLOOKUP(Data!$N385,'Helpful Tables'!A:D,4,FALSE)</f>
        <v>Washington, DC</v>
      </c>
      <c r="AO385" s="23">
        <f>COUNTIF(AN:AN,Data!$AN385)/COUNTA(AN:AN)</f>
        <v>0.62424242424242427</v>
      </c>
      <c r="AP385" s="23">
        <v>38.934710000000003</v>
      </c>
      <c r="AQ385" s="23">
        <v>-77.058222999999998</v>
      </c>
      <c r="AR385" s="23">
        <f>COUNTIF(Data!$P$2:$P$825,Data!$P385)</f>
        <v>14</v>
      </c>
      <c r="AS385" s="23" cm="1">
        <f t="array" ref="AS385">_xlfn.IFS(Data!$E385&lt;12,((Data!$E385/Data!$D385)*60)*1,AND(Data!$E385&gt;=12,Data!$E385&lt;=15),((Data!$E385/Data!$D385)*60)*1.2,AND(Data!$E385&gt;=16,Data!$E385&lt;=19),((Data!$E385/Data!$D385)*60)*1.5,Data!$E385&gt;=20,((Data!$E385/Data!$D385)*60)*1.8)</f>
        <v>25.5</v>
      </c>
      <c r="AT385" s="23" cm="1">
        <f t="array" ref="AT385">_xlfn.IFS(Data!$F385&lt;600,((Data!$F385/Data!$D385)*60)*1,AND(Data!$F385&gt;=600,Data!$F385&lt;=625),((Data!$F385/Data!$D385)*60)*1.2,AND(Data!$F385&gt;=626,Data!$F385&lt;=650),((Data!$F385/Data!$D385)*60)*1.5,Data!$F385&gt;=651,((Data!$F385/Data!$D385)*60)*1.8)</f>
        <v>1222.2</v>
      </c>
      <c r="AU385" s="23">
        <f>(Data!$I385*-1.2)+(Data!$J385*-1.1)+(Data!$K385*1.2)+(Data!$L385*1.3)+(Data!$M385*1.5)</f>
        <v>25.499999999999996</v>
      </c>
      <c r="AV385" s="23">
        <f>(Data!$AS385*0.4)+(Data!$AT385*0.4)+(Data!$AU385*0.2)</f>
        <v>504.18000000000006</v>
      </c>
      <c r="AW385" s="23">
        <f>PERCENTRANK(AV:AV,Data!$AV385)*100</f>
        <v>80.800000000000011</v>
      </c>
      <c r="AX385" s="23" t="str">
        <f>_xlfn.CONCAT(TEXT(C385,"mmm"),"-",Data!$AE385)</f>
        <v>Oct-2022</v>
      </c>
    </row>
    <row r="386" spans="1:50" ht="17" thickTop="1" thickBot="1" x14ac:dyDescent="0.25">
      <c r="A386" s="28">
        <v>385</v>
      </c>
      <c r="B386" s="29">
        <f t="shared" ref="B386:B449" si="50">COUNTIF(R:R,R386)</f>
        <v>15</v>
      </c>
      <c r="C386" s="41">
        <v>44864</v>
      </c>
      <c r="D386" s="30">
        <f>SUM(Data!$I386:$M386)</f>
        <v>58</v>
      </c>
      <c r="E386" s="29">
        <v>20</v>
      </c>
      <c r="F386" s="29">
        <v>638</v>
      </c>
      <c r="G386" s="29">
        <v>167</v>
      </c>
      <c r="H386" s="29">
        <v>126</v>
      </c>
      <c r="I386" s="29">
        <v>11</v>
      </c>
      <c r="J386" s="29">
        <v>17</v>
      </c>
      <c r="K386" s="29">
        <v>10</v>
      </c>
      <c r="L386" s="29">
        <v>17</v>
      </c>
      <c r="M386" s="29">
        <v>3</v>
      </c>
      <c r="N386" s="29" t="s">
        <v>101</v>
      </c>
      <c r="O386" s="29" t="s">
        <v>45</v>
      </c>
      <c r="P386" s="29" t="s">
        <v>155</v>
      </c>
      <c r="Q386" s="29">
        <f t="shared" si="48"/>
        <v>2</v>
      </c>
      <c r="R386" s="29" t="str">
        <f t="shared" ref="R386:R449" si="51">MONTH(C386)&amp;"-"&amp;YEAR(C386)</f>
        <v>10-2022</v>
      </c>
      <c r="S386" s="29" t="s">
        <v>104</v>
      </c>
      <c r="T386" s="29" t="str">
        <f t="shared" ref="T386:T449" si="52">IF(WEEKDAY(C386)=1,"Sunday",IF(WEEKDAY(C386)=2,"Monday",IF(WEEKDAY(C386)=3,"Tuesday",IF(WEEKDAY(C386)=4,"Wednesday",IF(WEEKDAY(C386)=5,"Thursday",IF(WEEKDAY(C386)=6,"Friday","Saturday"))))))</f>
        <v>Sunday</v>
      </c>
      <c r="U386" s="29">
        <f t="shared" ref="U386:U449" si="53">IF(E386&gt;=12,1,0)</f>
        <v>1</v>
      </c>
      <c r="V386" s="31">
        <f>IFERROR(Data!$I386/Data!$D386,"")</f>
        <v>0.18965517241379309</v>
      </c>
      <c r="W386" s="31">
        <f>IFERROR(Data!$J386/Data!$D386,"")</f>
        <v>0.29310344827586204</v>
      </c>
      <c r="X386" s="31">
        <f>IFERROR(Data!$K386/Data!$D386,"")</f>
        <v>0.17241379310344829</v>
      </c>
      <c r="Y386" s="31">
        <f>IFERROR(Data!$L386/Data!$D386,"")</f>
        <v>0.29310344827586204</v>
      </c>
      <c r="Z386" s="31">
        <f>IFERROR(Data!$M386/Data!$D386,"")</f>
        <v>5.1724137931034482E-2</v>
      </c>
      <c r="AA386" s="32">
        <v>232.14</v>
      </c>
      <c r="AB386" s="32">
        <f t="shared" si="49"/>
        <v>15.475999999999999</v>
      </c>
      <c r="AC386" s="29">
        <f t="shared" ref="AC386:AC449" si="54">AVERAGEIF(R:R,R386,F:F)</f>
        <v>612.13333333333333</v>
      </c>
      <c r="AD386" s="29">
        <f t="shared" ref="AD386:AD449" si="55">AVERAGEIF(R:R,R386,E:E)</f>
        <v>14.4</v>
      </c>
      <c r="AE386" s="29">
        <f>YEAR(Data!$C386)</f>
        <v>2022</v>
      </c>
      <c r="AF386" s="29"/>
      <c r="AG386" s="29">
        <v>12</v>
      </c>
      <c r="AH386" s="33">
        <f>Data!$F386/Data!$D386</f>
        <v>11</v>
      </c>
      <c r="AI386" s="17" t="str">
        <f>RIGHT(Data!$O386,2)</f>
        <v>AM</v>
      </c>
      <c r="AJ386" s="29" t="str">
        <f>Data!$R386&amp;"-"&amp;WEEKNUM(Data!$C386,1)-WEEKNUM(DATE(YEAR(Data!$C386),MONTH(Data!$C386),1),1)+1</f>
        <v>10-2022-6</v>
      </c>
      <c r="AK386" s="29">
        <f>MONTH(Data!$C386)</f>
        <v>10</v>
      </c>
      <c r="AL386" s="29">
        <f>IFERROR(Data!$F386/Data!$E386,0)</f>
        <v>31.9</v>
      </c>
      <c r="AM386" s="29">
        <f>COUNTIF(Data!$N$2:$N$825,Data!$N386)</f>
        <v>191</v>
      </c>
      <c r="AN386" s="29" t="str">
        <f>VLOOKUP(Data!$N386,'Helpful Tables'!A:D,4,FALSE)</f>
        <v>Washington, DC</v>
      </c>
      <c r="AO386" s="29">
        <f>COUNTIF(AN:AN,Data!$AN386)/COUNTA(AN:AN)</f>
        <v>0.62424242424242427</v>
      </c>
      <c r="AP386" s="29">
        <v>38.949649000000001</v>
      </c>
      <c r="AQ386" s="29">
        <v>-77.080878999999996</v>
      </c>
      <c r="AR386" s="29">
        <f>COUNTIF(Data!$P$2:$P$825,Data!$P386)</f>
        <v>13</v>
      </c>
      <c r="AS386" s="29" cm="1">
        <f t="array" ref="AS386">_xlfn.IFS(Data!$E386&lt;12,((Data!$E386/Data!$D386)*60)*1,AND(Data!$E386&gt;=12,Data!$E386&lt;=15),((Data!$E386/Data!$D386)*60)*1.2,AND(Data!$E386&gt;=16,Data!$E386&lt;=19),((Data!$E386/Data!$D386)*60)*1.5,Data!$E386&gt;=20,((Data!$E386/Data!$D386)*60)*1.8)</f>
        <v>37.241379310344833</v>
      </c>
      <c r="AT386" s="29" cm="1">
        <f t="array" ref="AT386">_xlfn.IFS(Data!$F386&lt;600,((Data!$F386/Data!$D386)*60)*1,AND(Data!$F386&gt;=600,Data!$F386&lt;=625),((Data!$F386/Data!$D386)*60)*1.2,AND(Data!$F386&gt;=626,Data!$F386&lt;=650),((Data!$F386/Data!$D386)*60)*1.5,Data!$F386&gt;=651,((Data!$F386/Data!$D386)*60)*1.8)</f>
        <v>990</v>
      </c>
      <c r="AU386" s="29">
        <f>(Data!$I386*-1.2)+(Data!$J386*-1.1)+(Data!$K386*1.2)+(Data!$L386*1.3)+(Data!$M386*1.5)</f>
        <v>6.6999999999999993</v>
      </c>
      <c r="AV386" s="29">
        <f>(Data!$AS386*0.4)+(Data!$AT386*0.4)+(Data!$AU386*0.2)</f>
        <v>412.23655172413788</v>
      </c>
      <c r="AW386" s="29">
        <f>PERCENTRANK(AV:AV,Data!$AV386)*100</f>
        <v>58.3</v>
      </c>
      <c r="AX386" s="29" t="str">
        <f>_xlfn.CONCAT(TEXT(C386,"mmm"),"-",Data!$AE386)</f>
        <v>Oct-2022</v>
      </c>
    </row>
    <row r="387" spans="1:50" ht="17" thickTop="1" thickBot="1" x14ac:dyDescent="0.25">
      <c r="A387" s="22">
        <v>386</v>
      </c>
      <c r="B387" s="23">
        <f t="shared" si="50"/>
        <v>15</v>
      </c>
      <c r="C387" s="41">
        <v>44865</v>
      </c>
      <c r="D387" s="24">
        <f>SUM(Data!$I387:$M387)</f>
        <v>54</v>
      </c>
      <c r="E387" s="23">
        <v>13</v>
      </c>
      <c r="F387" s="23">
        <v>587</v>
      </c>
      <c r="G387" s="23">
        <v>161</v>
      </c>
      <c r="H387" s="23">
        <v>124</v>
      </c>
      <c r="I387" s="23">
        <v>10</v>
      </c>
      <c r="J387" s="23">
        <v>12</v>
      </c>
      <c r="K387" s="23">
        <v>19</v>
      </c>
      <c r="L387" s="23">
        <v>12</v>
      </c>
      <c r="M387" s="23">
        <v>1</v>
      </c>
      <c r="N387" s="23" t="s">
        <v>91</v>
      </c>
      <c r="O387" s="23" t="s">
        <v>57</v>
      </c>
      <c r="P387" s="23" t="s">
        <v>148</v>
      </c>
      <c r="Q387" s="23">
        <f t="shared" ref="Q387:Q450" si="56">C387-C386</f>
        <v>1</v>
      </c>
      <c r="R387" s="23" t="str">
        <f t="shared" si="51"/>
        <v>10-2022</v>
      </c>
      <c r="S387" s="23" t="s">
        <v>117</v>
      </c>
      <c r="T387" s="23" t="str">
        <f t="shared" si="52"/>
        <v>Monday</v>
      </c>
      <c r="U387" s="23">
        <f t="shared" si="53"/>
        <v>1</v>
      </c>
      <c r="V387" s="25">
        <f>IFERROR(Data!$I387/Data!$D387,"")</f>
        <v>0.18518518518518517</v>
      </c>
      <c r="W387" s="25">
        <f>IFERROR(Data!$J387/Data!$D387,"")</f>
        <v>0.22222222222222221</v>
      </c>
      <c r="X387" s="25">
        <f>IFERROR(Data!$K387/Data!$D387,"")</f>
        <v>0.35185185185185186</v>
      </c>
      <c r="Y387" s="25">
        <f>IFERROR(Data!$L387/Data!$D387,"")</f>
        <v>0.22222222222222221</v>
      </c>
      <c r="Z387" s="25">
        <f>IFERROR(Data!$M387/Data!$D387,"")</f>
        <v>1.8518518518518517E-2</v>
      </c>
      <c r="AA387" s="26">
        <v>232.14</v>
      </c>
      <c r="AB387" s="26">
        <f t="shared" si="49"/>
        <v>15.475999999999999</v>
      </c>
      <c r="AC387" s="23">
        <f t="shared" si="54"/>
        <v>612.13333333333333</v>
      </c>
      <c r="AD387" s="23">
        <f t="shared" si="55"/>
        <v>14.4</v>
      </c>
      <c r="AE387" s="23">
        <f>YEAR(Data!$C387)</f>
        <v>2022</v>
      </c>
      <c r="AF387" s="23"/>
      <c r="AG387" s="23">
        <v>12</v>
      </c>
      <c r="AH387" s="27">
        <f>Data!$F387/Data!$D387</f>
        <v>10.87037037037037</v>
      </c>
      <c r="AI387" s="17" t="str">
        <f>RIGHT(Data!$O387,2)</f>
        <v>PM</v>
      </c>
      <c r="AJ387" s="23" t="str">
        <f>Data!$R387&amp;"-"&amp;WEEKNUM(Data!$C387,1)-WEEKNUM(DATE(YEAR(Data!$C387),MONTH(Data!$C387),1),1)+1</f>
        <v>10-2022-6</v>
      </c>
      <c r="AK387" s="23">
        <f>MONTH(Data!$C387)</f>
        <v>10</v>
      </c>
      <c r="AL387" s="23">
        <f>IFERROR(Data!$F387/Data!$E387,0)</f>
        <v>45.153846153846153</v>
      </c>
      <c r="AM387" s="23">
        <f>COUNTIF(Data!$N$2:$N$825,Data!$N387)</f>
        <v>218</v>
      </c>
      <c r="AN387" s="23" t="str">
        <f>VLOOKUP(Data!$N387,'Helpful Tables'!A:D,4,FALSE)</f>
        <v>Washington, DC</v>
      </c>
      <c r="AO387" s="23">
        <f>COUNTIF(AN:AN,Data!$AN387)/COUNTA(AN:AN)</f>
        <v>0.62424242424242427</v>
      </c>
      <c r="AP387" s="23">
        <v>38.934710000000003</v>
      </c>
      <c r="AQ387" s="23">
        <v>-77.058222999999998</v>
      </c>
      <c r="AR387" s="23">
        <f>COUNTIF(Data!$P$2:$P$825,Data!$P387)</f>
        <v>14</v>
      </c>
      <c r="AS387" s="23" cm="1">
        <f t="array" ref="AS387">_xlfn.IFS(Data!$E387&lt;12,((Data!$E387/Data!$D387)*60)*1,AND(Data!$E387&gt;=12,Data!$E387&lt;=15),((Data!$E387/Data!$D387)*60)*1.2,AND(Data!$E387&gt;=16,Data!$E387&lt;=19),((Data!$E387/Data!$D387)*60)*1.5,Data!$E387&gt;=20,((Data!$E387/Data!$D387)*60)*1.8)</f>
        <v>17.333333333333332</v>
      </c>
      <c r="AT387" s="23" cm="1">
        <f t="array" ref="AT387">_xlfn.IFS(Data!$F387&lt;600,((Data!$F387/Data!$D387)*60)*1,AND(Data!$F387&gt;=600,Data!$F387&lt;=625),((Data!$F387/Data!$D387)*60)*1.2,AND(Data!$F387&gt;=626,Data!$F387&lt;=650),((Data!$F387/Data!$D387)*60)*1.5,Data!$F387&gt;=651,((Data!$F387/Data!$D387)*60)*1.8)</f>
        <v>652.22222222222217</v>
      </c>
      <c r="AU387" s="23">
        <f>(Data!$I387*-1.2)+(Data!$J387*-1.1)+(Data!$K387*1.2)+(Data!$L387*1.3)+(Data!$M387*1.5)</f>
        <v>14.7</v>
      </c>
      <c r="AV387" s="23">
        <f>(Data!$AS387*0.4)+(Data!$AT387*0.4)+(Data!$AU387*0.2)</f>
        <v>270.76222222222219</v>
      </c>
      <c r="AW387" s="23">
        <f>PERCENTRANK(AV:AV,Data!$AV387)*100</f>
        <v>22.6</v>
      </c>
      <c r="AX387" s="23" t="str">
        <f>_xlfn.CONCAT(TEXT(C387,"mmm"),"-",Data!$AE387)</f>
        <v>Oct-2022</v>
      </c>
    </row>
    <row r="388" spans="1:50" ht="17" thickTop="1" thickBot="1" x14ac:dyDescent="0.25">
      <c r="A388" s="28">
        <v>387</v>
      </c>
      <c r="B388" s="29">
        <f t="shared" si="50"/>
        <v>16</v>
      </c>
      <c r="C388" s="41">
        <v>44867</v>
      </c>
      <c r="D388" s="30">
        <f>SUM(Data!$I388:$M388)</f>
        <v>57</v>
      </c>
      <c r="E388" s="29">
        <v>17</v>
      </c>
      <c r="F388" s="29">
        <v>657</v>
      </c>
      <c r="G388" s="29">
        <v>165</v>
      </c>
      <c r="H388" s="29">
        <v>130</v>
      </c>
      <c r="I388" s="29">
        <v>6</v>
      </c>
      <c r="J388" s="29">
        <v>13</v>
      </c>
      <c r="K388" s="29">
        <v>21</v>
      </c>
      <c r="L388" s="29">
        <v>14</v>
      </c>
      <c r="M388" s="29">
        <v>3</v>
      </c>
      <c r="N388" s="29" t="s">
        <v>101</v>
      </c>
      <c r="O388" s="29" t="s">
        <v>39</v>
      </c>
      <c r="P388" s="29" t="s">
        <v>147</v>
      </c>
      <c r="Q388" s="29">
        <f t="shared" si="56"/>
        <v>2</v>
      </c>
      <c r="R388" s="29" t="str">
        <f t="shared" si="51"/>
        <v>11-2022</v>
      </c>
      <c r="S388" s="29" t="s">
        <v>104</v>
      </c>
      <c r="T388" s="29" t="str">
        <f t="shared" si="52"/>
        <v>Wednesday</v>
      </c>
      <c r="U388" s="29">
        <f t="shared" si="53"/>
        <v>1</v>
      </c>
      <c r="V388" s="31">
        <f>IFERROR(Data!$I388/Data!$D388,"")</f>
        <v>0.10526315789473684</v>
      </c>
      <c r="W388" s="31">
        <f>IFERROR(Data!$J388/Data!$D388,"")</f>
        <v>0.22807017543859648</v>
      </c>
      <c r="X388" s="31">
        <f>IFERROR(Data!$K388/Data!$D388,"")</f>
        <v>0.36842105263157893</v>
      </c>
      <c r="Y388" s="31">
        <f>IFERROR(Data!$L388/Data!$D388,"")</f>
        <v>0.24561403508771928</v>
      </c>
      <c r="Z388" s="31">
        <f>IFERROR(Data!$M388/Data!$D388,"")</f>
        <v>5.2631578947368418E-2</v>
      </c>
      <c r="AA388" s="32">
        <v>232.14</v>
      </c>
      <c r="AB388" s="32">
        <f t="shared" si="49"/>
        <v>14.508749999999999</v>
      </c>
      <c r="AC388" s="29">
        <f t="shared" si="54"/>
        <v>636</v>
      </c>
      <c r="AD388" s="29">
        <f t="shared" si="55"/>
        <v>17</v>
      </c>
      <c r="AE388" s="29">
        <f>YEAR(Data!$C388)</f>
        <v>2022</v>
      </c>
      <c r="AF388" s="29"/>
      <c r="AG388" s="29">
        <v>12</v>
      </c>
      <c r="AH388" s="33">
        <f>Data!$F388/Data!$D388</f>
        <v>11.526315789473685</v>
      </c>
      <c r="AI388" s="17" t="str">
        <f>RIGHT(Data!$O388,2)</f>
        <v>PM</v>
      </c>
      <c r="AJ388" s="29" t="str">
        <f>Data!$R388&amp;"-"&amp;WEEKNUM(Data!$C388,1)-WEEKNUM(DATE(YEAR(Data!$C388),MONTH(Data!$C388),1),1)+1</f>
        <v>11-2022-1</v>
      </c>
      <c r="AK388" s="29">
        <f>MONTH(Data!$C388)</f>
        <v>11</v>
      </c>
      <c r="AL388" s="29">
        <f>IFERROR(Data!$F388/Data!$E388,0)</f>
        <v>38.647058823529413</v>
      </c>
      <c r="AM388" s="29">
        <f>COUNTIF(Data!$N$2:$N$825,Data!$N388)</f>
        <v>191</v>
      </c>
      <c r="AN388" s="29" t="str">
        <f>VLOOKUP(Data!$N388,'Helpful Tables'!A:D,4,FALSE)</f>
        <v>Washington, DC</v>
      </c>
      <c r="AO388" s="29">
        <f>COUNTIF(AN:AN,Data!$AN388)/COUNTA(AN:AN)</f>
        <v>0.62424242424242427</v>
      </c>
      <c r="AP388" s="29">
        <v>38.949649000000001</v>
      </c>
      <c r="AQ388" s="29">
        <v>-77.080878999999996</v>
      </c>
      <c r="AR388" s="29">
        <f>COUNTIF(Data!$P$2:$P$825,Data!$P388)</f>
        <v>17</v>
      </c>
      <c r="AS388" s="29" cm="1">
        <f t="array" ref="AS388">_xlfn.IFS(Data!$E388&lt;12,((Data!$E388/Data!$D388)*60)*1,AND(Data!$E388&gt;=12,Data!$E388&lt;=15),((Data!$E388/Data!$D388)*60)*1.2,AND(Data!$E388&gt;=16,Data!$E388&lt;=19),((Data!$E388/Data!$D388)*60)*1.5,Data!$E388&gt;=20,((Data!$E388/Data!$D388)*60)*1.8)</f>
        <v>26.842105263157897</v>
      </c>
      <c r="AT388" s="29" cm="1">
        <f t="array" ref="AT388">_xlfn.IFS(Data!$F388&lt;600,((Data!$F388/Data!$D388)*60)*1,AND(Data!$F388&gt;=600,Data!$F388&lt;=625),((Data!$F388/Data!$D388)*60)*1.2,AND(Data!$F388&gt;=626,Data!$F388&lt;=650),((Data!$F388/Data!$D388)*60)*1.5,Data!$F388&gt;=651,((Data!$F388/Data!$D388)*60)*1.8)</f>
        <v>1244.8421052631579</v>
      </c>
      <c r="AU388" s="29">
        <f>(Data!$I388*-1.2)+(Data!$J388*-1.1)+(Data!$K388*1.2)+(Data!$L388*1.3)+(Data!$M388*1.5)</f>
        <v>26.4</v>
      </c>
      <c r="AV388" s="29">
        <f>(Data!$AS388*0.4)+(Data!$AT388*0.4)+(Data!$AU388*0.2)</f>
        <v>513.95368421052638</v>
      </c>
      <c r="AW388" s="29">
        <f>PERCENTRANK(AV:AV,Data!$AV388)*100</f>
        <v>86.6</v>
      </c>
      <c r="AX388" s="29" t="str">
        <f>_xlfn.CONCAT(TEXT(C388,"mmm"),"-",Data!$AE388)</f>
        <v>Nov-2022</v>
      </c>
    </row>
    <row r="389" spans="1:50" ht="17" thickTop="1" thickBot="1" x14ac:dyDescent="0.25">
      <c r="A389" s="22">
        <v>388</v>
      </c>
      <c r="B389" s="23">
        <f t="shared" si="50"/>
        <v>16</v>
      </c>
      <c r="C389" s="41">
        <v>44869</v>
      </c>
      <c r="D389" s="24">
        <f>SUM(Data!$I389:$M389)</f>
        <v>57</v>
      </c>
      <c r="E389" s="23">
        <v>16</v>
      </c>
      <c r="F389" s="23">
        <v>605</v>
      </c>
      <c r="G389" s="23">
        <v>169</v>
      </c>
      <c r="H389" s="23">
        <v>123</v>
      </c>
      <c r="I389" s="23">
        <v>16</v>
      </c>
      <c r="J389" s="23">
        <v>16</v>
      </c>
      <c r="K389" s="23">
        <v>9</v>
      </c>
      <c r="L389" s="23">
        <v>10</v>
      </c>
      <c r="M389" s="23">
        <v>6</v>
      </c>
      <c r="N389" s="23" t="s">
        <v>101</v>
      </c>
      <c r="O389" s="23" t="s">
        <v>107</v>
      </c>
      <c r="P389" s="23" t="s">
        <v>109</v>
      </c>
      <c r="Q389" s="23">
        <f t="shared" si="56"/>
        <v>2</v>
      </c>
      <c r="R389" s="23" t="str">
        <f t="shared" si="51"/>
        <v>11-2022</v>
      </c>
      <c r="S389" s="23" t="s">
        <v>104</v>
      </c>
      <c r="T389" s="23" t="str">
        <f t="shared" si="52"/>
        <v>Friday</v>
      </c>
      <c r="U389" s="23">
        <f t="shared" si="53"/>
        <v>1</v>
      </c>
      <c r="V389" s="25">
        <f>IFERROR(Data!$I389/Data!$D389,"")</f>
        <v>0.2807017543859649</v>
      </c>
      <c r="W389" s="25">
        <f>IFERROR(Data!$J389/Data!$D389,"")</f>
        <v>0.2807017543859649</v>
      </c>
      <c r="X389" s="25">
        <f>IFERROR(Data!$K389/Data!$D389,"")</f>
        <v>0.15789473684210525</v>
      </c>
      <c r="Y389" s="25">
        <f>IFERROR(Data!$L389/Data!$D389,"")</f>
        <v>0.17543859649122806</v>
      </c>
      <c r="Z389" s="25">
        <f>IFERROR(Data!$M389/Data!$D389,"")</f>
        <v>0.10526315789473684</v>
      </c>
      <c r="AA389" s="26">
        <v>232.14</v>
      </c>
      <c r="AB389" s="26">
        <f t="shared" si="49"/>
        <v>14.508749999999999</v>
      </c>
      <c r="AC389" s="23">
        <f t="shared" si="54"/>
        <v>636</v>
      </c>
      <c r="AD389" s="23">
        <f t="shared" si="55"/>
        <v>17</v>
      </c>
      <c r="AE389" s="23">
        <f>YEAR(Data!$C389)</f>
        <v>2022</v>
      </c>
      <c r="AF389" s="23"/>
      <c r="AG389" s="23">
        <v>12</v>
      </c>
      <c r="AH389" s="27">
        <f>Data!$F389/Data!$D389</f>
        <v>10.614035087719298</v>
      </c>
      <c r="AI389" s="17" t="str">
        <f>RIGHT(Data!$O389,2)</f>
        <v>AM</v>
      </c>
      <c r="AJ389" s="23" t="str">
        <f>Data!$R389&amp;"-"&amp;WEEKNUM(Data!$C389,1)-WEEKNUM(DATE(YEAR(Data!$C389),MONTH(Data!$C389),1),1)+1</f>
        <v>11-2022-1</v>
      </c>
      <c r="AK389" s="23">
        <f>MONTH(Data!$C389)</f>
        <v>11</v>
      </c>
      <c r="AL389" s="23">
        <f>IFERROR(Data!$F389/Data!$E389,0)</f>
        <v>37.8125</v>
      </c>
      <c r="AM389" s="23">
        <f>COUNTIF(Data!$N$2:$N$825,Data!$N389)</f>
        <v>191</v>
      </c>
      <c r="AN389" s="23" t="str">
        <f>VLOOKUP(Data!$N389,'Helpful Tables'!A:D,4,FALSE)</f>
        <v>Washington, DC</v>
      </c>
      <c r="AO389" s="23">
        <f>COUNTIF(AN:AN,Data!$AN389)/COUNTA(AN:AN)</f>
        <v>0.62424242424242427</v>
      </c>
      <c r="AP389" s="23">
        <v>38.949649000000001</v>
      </c>
      <c r="AQ389" s="23">
        <v>-77.080878999999996</v>
      </c>
      <c r="AR389" s="23">
        <f>COUNTIF(Data!$P$2:$P$825,Data!$P389)</f>
        <v>66</v>
      </c>
      <c r="AS389" s="23" cm="1">
        <f t="array" ref="AS389">_xlfn.IFS(Data!$E389&lt;12,((Data!$E389/Data!$D389)*60)*1,AND(Data!$E389&gt;=12,Data!$E389&lt;=15),((Data!$E389/Data!$D389)*60)*1.2,AND(Data!$E389&gt;=16,Data!$E389&lt;=19),((Data!$E389/Data!$D389)*60)*1.5,Data!$E389&gt;=20,((Data!$E389/Data!$D389)*60)*1.8)</f>
        <v>25.263157894736842</v>
      </c>
      <c r="AT389" s="23" cm="1">
        <f t="array" ref="AT389">_xlfn.IFS(Data!$F389&lt;600,((Data!$F389/Data!$D389)*60)*1,AND(Data!$F389&gt;=600,Data!$F389&lt;=625),((Data!$F389/Data!$D389)*60)*1.2,AND(Data!$F389&gt;=626,Data!$F389&lt;=650),((Data!$F389/Data!$D389)*60)*1.5,Data!$F389&gt;=651,((Data!$F389/Data!$D389)*60)*1.8)</f>
        <v>764.21052631578948</v>
      </c>
      <c r="AU389" s="23">
        <f>(Data!$I389*-1.2)+(Data!$J389*-1.1)+(Data!$K389*1.2)+(Data!$L389*1.3)+(Data!$M389*1.5)</f>
        <v>-4</v>
      </c>
      <c r="AV389" s="23">
        <f>(Data!$AS389*0.4)+(Data!$AT389*0.4)+(Data!$AU389*0.2)</f>
        <v>314.98947368421051</v>
      </c>
      <c r="AW389" s="23">
        <f>PERCENTRANK(AV:AV,Data!$AV389)*100</f>
        <v>33.900000000000006</v>
      </c>
      <c r="AX389" s="23" t="str">
        <f>_xlfn.CONCAT(TEXT(C389,"mmm"),"-",Data!$AE389)</f>
        <v>Nov-2022</v>
      </c>
    </row>
    <row r="390" spans="1:50" ht="17" thickTop="1" thickBot="1" x14ac:dyDescent="0.25">
      <c r="A390" s="28">
        <v>389</v>
      </c>
      <c r="B390" s="29">
        <f t="shared" si="50"/>
        <v>16</v>
      </c>
      <c r="C390" s="41">
        <v>44871</v>
      </c>
      <c r="D390" s="30">
        <f>SUM(Data!$I390:$M390)</f>
        <v>59</v>
      </c>
      <c r="E390" s="29">
        <v>19</v>
      </c>
      <c r="F390" s="29">
        <v>649</v>
      </c>
      <c r="G390" s="29">
        <v>162</v>
      </c>
      <c r="H390" s="29">
        <v>127</v>
      </c>
      <c r="I390" s="29">
        <v>9</v>
      </c>
      <c r="J390" s="29">
        <v>14</v>
      </c>
      <c r="K390" s="29">
        <v>17</v>
      </c>
      <c r="L390" s="29">
        <v>17</v>
      </c>
      <c r="M390" s="29">
        <v>2</v>
      </c>
      <c r="N390" s="29" t="s">
        <v>162</v>
      </c>
      <c r="O390" s="29" t="s">
        <v>45</v>
      </c>
      <c r="P390" s="29" t="s">
        <v>163</v>
      </c>
      <c r="Q390" s="29">
        <f t="shared" si="56"/>
        <v>2</v>
      </c>
      <c r="R390" s="29" t="str">
        <f t="shared" si="51"/>
        <v>11-2022</v>
      </c>
      <c r="S390" s="29" t="s">
        <v>104</v>
      </c>
      <c r="T390" s="29" t="str">
        <f t="shared" si="52"/>
        <v>Sunday</v>
      </c>
      <c r="U390" s="29">
        <f t="shared" si="53"/>
        <v>1</v>
      </c>
      <c r="V390" s="31">
        <f>IFERROR(Data!$I390/Data!$D390,"")</f>
        <v>0.15254237288135594</v>
      </c>
      <c r="W390" s="31">
        <f>IFERROR(Data!$J390/Data!$D390,"")</f>
        <v>0.23728813559322035</v>
      </c>
      <c r="X390" s="31">
        <f>IFERROR(Data!$K390/Data!$D390,"")</f>
        <v>0.28813559322033899</v>
      </c>
      <c r="Y390" s="31">
        <f>IFERROR(Data!$L390/Data!$D390,"")</f>
        <v>0.28813559322033899</v>
      </c>
      <c r="Z390" s="31">
        <f>IFERROR(Data!$M390/Data!$D390,"")</f>
        <v>3.3898305084745763E-2</v>
      </c>
      <c r="AA390" s="32">
        <v>232.14</v>
      </c>
      <c r="AB390" s="32">
        <f t="shared" si="49"/>
        <v>14.508749999999999</v>
      </c>
      <c r="AC390" s="29">
        <f t="shared" si="54"/>
        <v>636</v>
      </c>
      <c r="AD390" s="29">
        <f t="shared" si="55"/>
        <v>17</v>
      </c>
      <c r="AE390" s="29">
        <f>YEAR(Data!$C390)</f>
        <v>2022</v>
      </c>
      <c r="AF390" s="29"/>
      <c r="AG390" s="29">
        <v>12</v>
      </c>
      <c r="AH390" s="33">
        <f>Data!$F390/Data!$D390</f>
        <v>11</v>
      </c>
      <c r="AI390" s="17" t="str">
        <f>RIGHT(Data!$O390,2)</f>
        <v>AM</v>
      </c>
      <c r="AJ390" s="29" t="str">
        <f>Data!$R390&amp;"-"&amp;WEEKNUM(Data!$C390,1)-WEEKNUM(DATE(YEAR(Data!$C390),MONTH(Data!$C390),1),1)+1</f>
        <v>11-2022-2</v>
      </c>
      <c r="AK390" s="29">
        <f>MONTH(Data!$C390)</f>
        <v>11</v>
      </c>
      <c r="AL390" s="29">
        <f>IFERROR(Data!$F390/Data!$E390,0)</f>
        <v>34.157894736842103</v>
      </c>
      <c r="AM390" s="29">
        <f>COUNTIF(Data!$N$2:$N$825,Data!$N390)</f>
        <v>5</v>
      </c>
      <c r="AN390" s="29" t="str">
        <f>VLOOKUP(Data!$N390,'Helpful Tables'!A:D,4,FALSE)</f>
        <v>Maryland</v>
      </c>
      <c r="AO390" s="29">
        <f>COUNTIF(AN:AN,Data!$AN390)/COUNTA(AN:AN)</f>
        <v>6.0606060606060606E-3</v>
      </c>
      <c r="AP390" s="29">
        <v>38.989806999999999</v>
      </c>
      <c r="AQ390" s="29">
        <v>-77.096371000000005</v>
      </c>
      <c r="AR390" s="29">
        <f>COUNTIF(Data!$P$2:$P$825,Data!$P390)</f>
        <v>1</v>
      </c>
      <c r="AS390" s="29" cm="1">
        <f t="array" ref="AS390">_xlfn.IFS(Data!$E390&lt;12,((Data!$E390/Data!$D390)*60)*1,AND(Data!$E390&gt;=12,Data!$E390&lt;=15),((Data!$E390/Data!$D390)*60)*1.2,AND(Data!$E390&gt;=16,Data!$E390&lt;=19),((Data!$E390/Data!$D390)*60)*1.5,Data!$E390&gt;=20,((Data!$E390/Data!$D390)*60)*1.8)</f>
        <v>28.983050847457626</v>
      </c>
      <c r="AT390" s="29" cm="1">
        <f t="array" ref="AT390">_xlfn.IFS(Data!$F390&lt;600,((Data!$F390/Data!$D390)*60)*1,AND(Data!$F390&gt;=600,Data!$F390&lt;=625),((Data!$F390/Data!$D390)*60)*1.2,AND(Data!$F390&gt;=626,Data!$F390&lt;=650),((Data!$F390/Data!$D390)*60)*1.5,Data!$F390&gt;=651,((Data!$F390/Data!$D390)*60)*1.8)</f>
        <v>990</v>
      </c>
      <c r="AU390" s="29">
        <f>(Data!$I390*-1.2)+(Data!$J390*-1.1)+(Data!$K390*1.2)+(Data!$L390*1.3)+(Data!$M390*1.5)</f>
        <v>19.299999999999997</v>
      </c>
      <c r="AV390" s="29">
        <f>(Data!$AS390*0.4)+(Data!$AT390*0.4)+(Data!$AU390*0.2)</f>
        <v>411.45322033898304</v>
      </c>
      <c r="AW390" s="29">
        <f>PERCENTRANK(AV:AV,Data!$AV390)*100</f>
        <v>57.8</v>
      </c>
      <c r="AX390" s="29" t="str">
        <f>_xlfn.CONCAT(TEXT(C390,"mmm"),"-",Data!$AE390)</f>
        <v>Nov-2022</v>
      </c>
    </row>
    <row r="391" spans="1:50" ht="17" thickTop="1" thickBot="1" x14ac:dyDescent="0.25">
      <c r="A391" s="22">
        <v>390</v>
      </c>
      <c r="B391" s="23">
        <f t="shared" si="50"/>
        <v>16</v>
      </c>
      <c r="C391" s="41">
        <v>44873</v>
      </c>
      <c r="D391" s="24">
        <f>SUM(Data!$I391:$M391)</f>
        <v>55</v>
      </c>
      <c r="E391" s="23">
        <v>14</v>
      </c>
      <c r="F391" s="23">
        <v>631</v>
      </c>
      <c r="G391" s="23">
        <v>169</v>
      </c>
      <c r="H391" s="23">
        <v>130</v>
      </c>
      <c r="I391" s="23">
        <v>6</v>
      </c>
      <c r="J391" s="23">
        <v>11</v>
      </c>
      <c r="K391" s="23">
        <v>24</v>
      </c>
      <c r="L391" s="23">
        <v>10</v>
      </c>
      <c r="M391" s="23">
        <v>4</v>
      </c>
      <c r="N391" s="23" t="s">
        <v>91</v>
      </c>
      <c r="O391" s="23" t="s">
        <v>57</v>
      </c>
      <c r="P391" s="23" t="s">
        <v>98</v>
      </c>
      <c r="Q391" s="23">
        <f t="shared" si="56"/>
        <v>2</v>
      </c>
      <c r="R391" s="23" t="str">
        <f t="shared" si="51"/>
        <v>11-2022</v>
      </c>
      <c r="S391" s="23" t="s">
        <v>117</v>
      </c>
      <c r="T391" s="23" t="str">
        <f t="shared" si="52"/>
        <v>Tuesday</v>
      </c>
      <c r="U391" s="23">
        <f t="shared" si="53"/>
        <v>1</v>
      </c>
      <c r="V391" s="25">
        <f>IFERROR(Data!$I391/Data!$D391,"")</f>
        <v>0.10909090909090909</v>
      </c>
      <c r="W391" s="25">
        <f>IFERROR(Data!$J391/Data!$D391,"")</f>
        <v>0.2</v>
      </c>
      <c r="X391" s="25">
        <f>IFERROR(Data!$K391/Data!$D391,"")</f>
        <v>0.43636363636363634</v>
      </c>
      <c r="Y391" s="25">
        <f>IFERROR(Data!$L391/Data!$D391,"")</f>
        <v>0.18181818181818182</v>
      </c>
      <c r="Z391" s="25">
        <f>IFERROR(Data!$M391/Data!$D391,"")</f>
        <v>7.2727272727272724E-2</v>
      </c>
      <c r="AA391" s="26">
        <v>232.14</v>
      </c>
      <c r="AB391" s="26">
        <f t="shared" si="49"/>
        <v>14.508749999999999</v>
      </c>
      <c r="AC391" s="23">
        <f t="shared" si="54"/>
        <v>636</v>
      </c>
      <c r="AD391" s="23">
        <f t="shared" si="55"/>
        <v>17</v>
      </c>
      <c r="AE391" s="23">
        <f>YEAR(Data!$C391)</f>
        <v>2022</v>
      </c>
      <c r="AF391" s="23"/>
      <c r="AG391" s="23">
        <v>12</v>
      </c>
      <c r="AH391" s="27">
        <f>Data!$F391/Data!$D391</f>
        <v>11.472727272727273</v>
      </c>
      <c r="AI391" s="17" t="str">
        <f>RIGHT(Data!$O391,2)</f>
        <v>PM</v>
      </c>
      <c r="AJ391" s="23" t="str">
        <f>Data!$R391&amp;"-"&amp;WEEKNUM(Data!$C391,1)-WEEKNUM(DATE(YEAR(Data!$C391),MONTH(Data!$C391),1),1)+1</f>
        <v>11-2022-2</v>
      </c>
      <c r="AK391" s="23">
        <f>MONTH(Data!$C391)</f>
        <v>11</v>
      </c>
      <c r="AL391" s="23">
        <f>IFERROR(Data!$F391/Data!$E391,0)</f>
        <v>45.071428571428569</v>
      </c>
      <c r="AM391" s="23">
        <f>COUNTIF(Data!$N$2:$N$825,Data!$N391)</f>
        <v>218</v>
      </c>
      <c r="AN391" s="23" t="str">
        <f>VLOOKUP(Data!$N391,'Helpful Tables'!A:D,4,FALSE)</f>
        <v>Washington, DC</v>
      </c>
      <c r="AO391" s="23">
        <f>COUNTIF(AN:AN,Data!$AN391)/COUNTA(AN:AN)</f>
        <v>0.62424242424242427</v>
      </c>
      <c r="AP391" s="23">
        <v>38.934710000000003</v>
      </c>
      <c r="AQ391" s="23">
        <v>-77.058222999999998</v>
      </c>
      <c r="AR391" s="23">
        <f>COUNTIF(Data!$P$2:$P$825,Data!$P391)</f>
        <v>28</v>
      </c>
      <c r="AS391" s="23" cm="1">
        <f t="array" ref="AS391">_xlfn.IFS(Data!$E391&lt;12,((Data!$E391/Data!$D391)*60)*1,AND(Data!$E391&gt;=12,Data!$E391&lt;=15),((Data!$E391/Data!$D391)*60)*1.2,AND(Data!$E391&gt;=16,Data!$E391&lt;=19),((Data!$E391/Data!$D391)*60)*1.5,Data!$E391&gt;=20,((Data!$E391/Data!$D391)*60)*1.8)</f>
        <v>18.327272727272724</v>
      </c>
      <c r="AT391" s="23" cm="1">
        <f t="array" ref="AT391">_xlfn.IFS(Data!$F391&lt;600,((Data!$F391/Data!$D391)*60)*1,AND(Data!$F391&gt;=600,Data!$F391&lt;=625),((Data!$F391/Data!$D391)*60)*1.2,AND(Data!$F391&gt;=626,Data!$F391&lt;=650),((Data!$F391/Data!$D391)*60)*1.5,Data!$F391&gt;=651,((Data!$F391/Data!$D391)*60)*1.8)</f>
        <v>1032.5454545454545</v>
      </c>
      <c r="AU391" s="23">
        <f>(Data!$I391*-1.2)+(Data!$J391*-1.1)+(Data!$K391*1.2)+(Data!$L391*1.3)+(Data!$M391*1.5)</f>
        <v>28.499999999999996</v>
      </c>
      <c r="AV391" s="23">
        <f>(Data!$AS391*0.4)+(Data!$AT391*0.4)+(Data!$AU391*0.2)</f>
        <v>426.04909090909086</v>
      </c>
      <c r="AW391" s="23">
        <f>PERCENTRANK(AV:AV,Data!$AV391)*100</f>
        <v>63.3</v>
      </c>
      <c r="AX391" s="23" t="str">
        <f>_xlfn.CONCAT(TEXT(C391,"mmm"),"-",Data!$AE391)</f>
        <v>Nov-2022</v>
      </c>
    </row>
    <row r="392" spans="1:50" ht="17" thickTop="1" thickBot="1" x14ac:dyDescent="0.25">
      <c r="A392" s="28">
        <v>391</v>
      </c>
      <c r="B392" s="29">
        <f t="shared" si="50"/>
        <v>16</v>
      </c>
      <c r="C392" s="41">
        <v>44874</v>
      </c>
      <c r="D392" s="30">
        <f>SUM(Data!$I392:$M392)</f>
        <v>58</v>
      </c>
      <c r="E392" s="29">
        <v>16</v>
      </c>
      <c r="F392" s="29">
        <v>634</v>
      </c>
      <c r="G392" s="29">
        <v>167</v>
      </c>
      <c r="H392" s="29">
        <v>127</v>
      </c>
      <c r="I392" s="29">
        <v>9</v>
      </c>
      <c r="J392" s="29">
        <v>13</v>
      </c>
      <c r="K392" s="29">
        <v>20</v>
      </c>
      <c r="L392" s="29">
        <v>13</v>
      </c>
      <c r="M392" s="29">
        <v>3</v>
      </c>
      <c r="N392" s="29" t="s">
        <v>160</v>
      </c>
      <c r="O392" s="29" t="s">
        <v>143</v>
      </c>
      <c r="P392" s="29" t="s">
        <v>161</v>
      </c>
      <c r="Q392" s="29">
        <f t="shared" si="56"/>
        <v>1</v>
      </c>
      <c r="R392" s="29" t="str">
        <f t="shared" si="51"/>
        <v>11-2022</v>
      </c>
      <c r="S392" s="29" t="s">
        <v>117</v>
      </c>
      <c r="T392" s="29" t="str">
        <f t="shared" si="52"/>
        <v>Wednesday</v>
      </c>
      <c r="U392" s="29">
        <f t="shared" si="53"/>
        <v>1</v>
      </c>
      <c r="V392" s="31">
        <f>IFERROR(Data!$I392/Data!$D392,"")</f>
        <v>0.15517241379310345</v>
      </c>
      <c r="W392" s="31">
        <f>IFERROR(Data!$J392/Data!$D392,"")</f>
        <v>0.22413793103448276</v>
      </c>
      <c r="X392" s="31">
        <f>IFERROR(Data!$K392/Data!$D392,"")</f>
        <v>0.34482758620689657</v>
      </c>
      <c r="Y392" s="31">
        <f>IFERROR(Data!$L392/Data!$D392,"")</f>
        <v>0.22413793103448276</v>
      </c>
      <c r="Z392" s="31">
        <f>IFERROR(Data!$M392/Data!$D392,"")</f>
        <v>5.1724137931034482E-2</v>
      </c>
      <c r="AA392" s="32">
        <v>232.14</v>
      </c>
      <c r="AB392" s="32">
        <f t="shared" si="49"/>
        <v>14.508749999999999</v>
      </c>
      <c r="AC392" s="29">
        <f t="shared" si="54"/>
        <v>636</v>
      </c>
      <c r="AD392" s="29">
        <f t="shared" si="55"/>
        <v>17</v>
      </c>
      <c r="AE392" s="29">
        <f>YEAR(Data!$C392)</f>
        <v>2022</v>
      </c>
      <c r="AF392" s="29"/>
      <c r="AG392" s="29">
        <v>12</v>
      </c>
      <c r="AH392" s="33">
        <f>Data!$F392/Data!$D392</f>
        <v>10.931034482758621</v>
      </c>
      <c r="AI392" s="17" t="str">
        <f>RIGHT(Data!$O392,2)</f>
        <v>PM</v>
      </c>
      <c r="AJ392" s="29" t="str">
        <f>Data!$R392&amp;"-"&amp;WEEKNUM(Data!$C392,1)-WEEKNUM(DATE(YEAR(Data!$C392),MONTH(Data!$C392),1),1)+1</f>
        <v>11-2022-2</v>
      </c>
      <c r="AK392" s="29">
        <f>MONTH(Data!$C392)</f>
        <v>11</v>
      </c>
      <c r="AL392" s="29">
        <f>IFERROR(Data!$F392/Data!$E392,0)</f>
        <v>39.625</v>
      </c>
      <c r="AM392" s="29">
        <f>COUNTIF(Data!$N$2:$N$825,Data!$N392)</f>
        <v>9</v>
      </c>
      <c r="AN392" s="29" t="str">
        <f>VLOOKUP(Data!$N392,'Helpful Tables'!A:D,4,FALSE)</f>
        <v>Virginia</v>
      </c>
      <c r="AO392" s="29">
        <f>COUNTIF(AN:AN,Data!$AN392)/COUNTA(AN:AN)</f>
        <v>6.424242424242424E-2</v>
      </c>
      <c r="AP392" s="29">
        <v>38.880467000000003</v>
      </c>
      <c r="AQ392" s="29">
        <v>-77.111583999999993</v>
      </c>
      <c r="AR392" s="29">
        <f>COUNTIF(Data!$P$2:$P$825,Data!$P392)</f>
        <v>7</v>
      </c>
      <c r="AS392" s="29" cm="1">
        <f t="array" ref="AS392">_xlfn.IFS(Data!$E392&lt;12,((Data!$E392/Data!$D392)*60)*1,AND(Data!$E392&gt;=12,Data!$E392&lt;=15),((Data!$E392/Data!$D392)*60)*1.2,AND(Data!$E392&gt;=16,Data!$E392&lt;=19),((Data!$E392/Data!$D392)*60)*1.5,Data!$E392&gt;=20,((Data!$E392/Data!$D392)*60)*1.8)</f>
        <v>24.827586206896555</v>
      </c>
      <c r="AT392" s="29" cm="1">
        <f t="array" ref="AT392">_xlfn.IFS(Data!$F392&lt;600,((Data!$F392/Data!$D392)*60)*1,AND(Data!$F392&gt;=600,Data!$F392&lt;=625),((Data!$F392/Data!$D392)*60)*1.2,AND(Data!$F392&gt;=626,Data!$F392&lt;=650),((Data!$F392/Data!$D392)*60)*1.5,Data!$F392&gt;=651,((Data!$F392/Data!$D392)*60)*1.8)</f>
        <v>983.79310344827582</v>
      </c>
      <c r="AU392" s="29">
        <f>(Data!$I392*-1.2)+(Data!$J392*-1.1)+(Data!$K392*1.2)+(Data!$L392*1.3)+(Data!$M392*1.5)</f>
        <v>20.3</v>
      </c>
      <c r="AV392" s="29">
        <f>(Data!$AS392*0.4)+(Data!$AT392*0.4)+(Data!$AU392*0.2)</f>
        <v>407.50827586206896</v>
      </c>
      <c r="AW392" s="29">
        <f>PERCENTRANK(AV:AV,Data!$AV392)*100</f>
        <v>56.100000000000009</v>
      </c>
      <c r="AX392" s="29" t="str">
        <f>_xlfn.CONCAT(TEXT(C392,"mmm"),"-",Data!$AE392)</f>
        <v>Nov-2022</v>
      </c>
    </row>
    <row r="393" spans="1:50" ht="17" thickTop="1" thickBot="1" x14ac:dyDescent="0.25">
      <c r="A393" s="22">
        <v>392</v>
      </c>
      <c r="B393" s="23">
        <f t="shared" si="50"/>
        <v>16</v>
      </c>
      <c r="C393" s="41">
        <v>44876</v>
      </c>
      <c r="D393" s="24">
        <f>SUM(Data!$I393:$M393)</f>
        <v>58</v>
      </c>
      <c r="E393" s="23">
        <v>20</v>
      </c>
      <c r="F393" s="23">
        <v>648</v>
      </c>
      <c r="G393" s="23">
        <v>166</v>
      </c>
      <c r="H393" s="23">
        <v>128</v>
      </c>
      <c r="I393" s="23">
        <v>10</v>
      </c>
      <c r="J393" s="23">
        <v>14</v>
      </c>
      <c r="K393" s="23">
        <v>14</v>
      </c>
      <c r="L393" s="23">
        <v>17</v>
      </c>
      <c r="M393" s="23">
        <v>3</v>
      </c>
      <c r="N393" s="23" t="s">
        <v>101</v>
      </c>
      <c r="O393" s="23" t="s">
        <v>107</v>
      </c>
      <c r="P393" s="23" t="s">
        <v>155</v>
      </c>
      <c r="Q393" s="23">
        <f t="shared" si="56"/>
        <v>2</v>
      </c>
      <c r="R393" s="23" t="str">
        <f t="shared" si="51"/>
        <v>11-2022</v>
      </c>
      <c r="S393" s="23" t="s">
        <v>104</v>
      </c>
      <c r="T393" s="23" t="str">
        <f t="shared" si="52"/>
        <v>Friday</v>
      </c>
      <c r="U393" s="23">
        <f t="shared" si="53"/>
        <v>1</v>
      </c>
      <c r="V393" s="25">
        <f>IFERROR(Data!$I393/Data!$D393,"")</f>
        <v>0.17241379310344829</v>
      </c>
      <c r="W393" s="25">
        <f>IFERROR(Data!$J393/Data!$D393,"")</f>
        <v>0.2413793103448276</v>
      </c>
      <c r="X393" s="25">
        <f>IFERROR(Data!$K393/Data!$D393,"")</f>
        <v>0.2413793103448276</v>
      </c>
      <c r="Y393" s="25">
        <f>IFERROR(Data!$L393/Data!$D393,"")</f>
        <v>0.29310344827586204</v>
      </c>
      <c r="Z393" s="25">
        <f>IFERROR(Data!$M393/Data!$D393,"")</f>
        <v>5.1724137931034482E-2</v>
      </c>
      <c r="AA393" s="26">
        <v>232.14</v>
      </c>
      <c r="AB393" s="26">
        <f t="shared" si="49"/>
        <v>14.508749999999999</v>
      </c>
      <c r="AC393" s="23">
        <f t="shared" si="54"/>
        <v>636</v>
      </c>
      <c r="AD393" s="23">
        <f t="shared" si="55"/>
        <v>17</v>
      </c>
      <c r="AE393" s="23">
        <f>YEAR(Data!$C393)</f>
        <v>2022</v>
      </c>
      <c r="AF393" s="23"/>
      <c r="AG393" s="23">
        <v>12</v>
      </c>
      <c r="AH393" s="27">
        <f>Data!$F393/Data!$D393</f>
        <v>11.172413793103448</v>
      </c>
      <c r="AI393" s="17" t="str">
        <f>RIGHT(Data!$O393,2)</f>
        <v>AM</v>
      </c>
      <c r="AJ393" s="23" t="str">
        <f>Data!$R393&amp;"-"&amp;WEEKNUM(Data!$C393,1)-WEEKNUM(DATE(YEAR(Data!$C393),MONTH(Data!$C393),1),1)+1</f>
        <v>11-2022-2</v>
      </c>
      <c r="AK393" s="23">
        <f>MONTH(Data!$C393)</f>
        <v>11</v>
      </c>
      <c r="AL393" s="23">
        <f>IFERROR(Data!$F393/Data!$E393,0)</f>
        <v>32.4</v>
      </c>
      <c r="AM393" s="23">
        <f>COUNTIF(Data!$N$2:$N$825,Data!$N393)</f>
        <v>191</v>
      </c>
      <c r="AN393" s="23" t="str">
        <f>VLOOKUP(Data!$N393,'Helpful Tables'!A:D,4,FALSE)</f>
        <v>Washington, DC</v>
      </c>
      <c r="AO393" s="23">
        <f>COUNTIF(AN:AN,Data!$AN393)/COUNTA(AN:AN)</f>
        <v>0.62424242424242427</v>
      </c>
      <c r="AP393" s="23">
        <v>38.949649000000001</v>
      </c>
      <c r="AQ393" s="23">
        <v>-77.080878999999996</v>
      </c>
      <c r="AR393" s="23">
        <f>COUNTIF(Data!$P$2:$P$825,Data!$P393)</f>
        <v>13</v>
      </c>
      <c r="AS393" s="23" cm="1">
        <f t="array" ref="AS393">_xlfn.IFS(Data!$E393&lt;12,((Data!$E393/Data!$D393)*60)*1,AND(Data!$E393&gt;=12,Data!$E393&lt;=15),((Data!$E393/Data!$D393)*60)*1.2,AND(Data!$E393&gt;=16,Data!$E393&lt;=19),((Data!$E393/Data!$D393)*60)*1.5,Data!$E393&gt;=20,((Data!$E393/Data!$D393)*60)*1.8)</f>
        <v>37.241379310344833</v>
      </c>
      <c r="AT393" s="23" cm="1">
        <f t="array" ref="AT393">_xlfn.IFS(Data!$F393&lt;600,((Data!$F393/Data!$D393)*60)*1,AND(Data!$F393&gt;=600,Data!$F393&lt;=625),((Data!$F393/Data!$D393)*60)*1.2,AND(Data!$F393&gt;=626,Data!$F393&lt;=650),((Data!$F393/Data!$D393)*60)*1.5,Data!$F393&gt;=651,((Data!$F393/Data!$D393)*60)*1.8)</f>
        <v>1005.5172413793102</v>
      </c>
      <c r="AU393" s="23">
        <f>(Data!$I393*-1.2)+(Data!$J393*-1.1)+(Data!$K393*1.2)+(Data!$L393*1.3)+(Data!$M393*1.5)</f>
        <v>16</v>
      </c>
      <c r="AV393" s="23">
        <f>(Data!$AS393*0.4)+(Data!$AT393*0.4)+(Data!$AU393*0.2)</f>
        <v>420.30344827586202</v>
      </c>
      <c r="AW393" s="23">
        <f>PERCENTRANK(AV:AV,Data!$AV393)*100</f>
        <v>61.199999999999996</v>
      </c>
      <c r="AX393" s="23" t="str">
        <f>_xlfn.CONCAT(TEXT(C393,"mmm"),"-",Data!$AE393)</f>
        <v>Nov-2022</v>
      </c>
    </row>
    <row r="394" spans="1:50" ht="17" thickTop="1" thickBot="1" x14ac:dyDescent="0.25">
      <c r="A394" s="28">
        <v>393</v>
      </c>
      <c r="B394" s="29">
        <f t="shared" si="50"/>
        <v>16</v>
      </c>
      <c r="C394" s="41">
        <v>44878</v>
      </c>
      <c r="D394" s="30">
        <f>SUM(Data!$I394:$M394)</f>
        <v>56</v>
      </c>
      <c r="E394" s="29">
        <v>21</v>
      </c>
      <c r="F394" s="29">
        <v>652</v>
      </c>
      <c r="G394" s="29">
        <v>169</v>
      </c>
      <c r="H394" s="29">
        <v>131</v>
      </c>
      <c r="I394" s="29">
        <v>6</v>
      </c>
      <c r="J394" s="29">
        <v>14</v>
      </c>
      <c r="K394" s="29">
        <v>15</v>
      </c>
      <c r="L394" s="29">
        <v>16</v>
      </c>
      <c r="M394" s="29">
        <v>5</v>
      </c>
      <c r="N394" s="29" t="s">
        <v>91</v>
      </c>
      <c r="O394" s="29" t="s">
        <v>79</v>
      </c>
      <c r="P394" s="29" t="s">
        <v>100</v>
      </c>
      <c r="Q394" s="29">
        <f t="shared" si="56"/>
        <v>2</v>
      </c>
      <c r="R394" s="29" t="str">
        <f t="shared" si="51"/>
        <v>11-2022</v>
      </c>
      <c r="S394" s="29" t="s">
        <v>104</v>
      </c>
      <c r="T394" s="29" t="str">
        <f t="shared" si="52"/>
        <v>Sunday</v>
      </c>
      <c r="U394" s="29">
        <f t="shared" si="53"/>
        <v>1</v>
      </c>
      <c r="V394" s="31">
        <f>IFERROR(Data!$I394/Data!$D394,"")</f>
        <v>0.10714285714285714</v>
      </c>
      <c r="W394" s="31">
        <f>IFERROR(Data!$J394/Data!$D394,"")</f>
        <v>0.25</v>
      </c>
      <c r="X394" s="31">
        <f>IFERROR(Data!$K394/Data!$D394,"")</f>
        <v>0.26785714285714285</v>
      </c>
      <c r="Y394" s="31">
        <f>IFERROR(Data!$L394/Data!$D394,"")</f>
        <v>0.2857142857142857</v>
      </c>
      <c r="Z394" s="31">
        <f>IFERROR(Data!$M394/Data!$D394,"")</f>
        <v>8.9285714285714288E-2</v>
      </c>
      <c r="AA394" s="32">
        <v>232.14</v>
      </c>
      <c r="AB394" s="32">
        <f t="shared" si="49"/>
        <v>14.508749999999999</v>
      </c>
      <c r="AC394" s="29">
        <f t="shared" si="54"/>
        <v>636</v>
      </c>
      <c r="AD394" s="29">
        <f t="shared" si="55"/>
        <v>17</v>
      </c>
      <c r="AE394" s="29">
        <f>YEAR(Data!$C394)</f>
        <v>2022</v>
      </c>
      <c r="AF394" s="29"/>
      <c r="AG394" s="29">
        <v>12</v>
      </c>
      <c r="AH394" s="33">
        <f>Data!$F394/Data!$D394</f>
        <v>11.642857142857142</v>
      </c>
      <c r="AI394" s="17" t="str">
        <f>RIGHT(Data!$O394,2)</f>
        <v>AM</v>
      </c>
      <c r="AJ394" s="29" t="str">
        <f>Data!$R394&amp;"-"&amp;WEEKNUM(Data!$C394,1)-WEEKNUM(DATE(YEAR(Data!$C394),MONTH(Data!$C394),1),1)+1</f>
        <v>11-2022-3</v>
      </c>
      <c r="AK394" s="29">
        <f>MONTH(Data!$C394)</f>
        <v>11</v>
      </c>
      <c r="AL394" s="29">
        <f>IFERROR(Data!$F394/Data!$E394,0)</f>
        <v>31.047619047619047</v>
      </c>
      <c r="AM394" s="29">
        <f>COUNTIF(Data!$N$2:$N$825,Data!$N394)</f>
        <v>218</v>
      </c>
      <c r="AN394" s="29" t="str">
        <f>VLOOKUP(Data!$N394,'Helpful Tables'!A:D,4,FALSE)</f>
        <v>Washington, DC</v>
      </c>
      <c r="AO394" s="29">
        <f>COUNTIF(AN:AN,Data!$AN394)/COUNTA(AN:AN)</f>
        <v>0.62424242424242427</v>
      </c>
      <c r="AP394" s="29">
        <v>38.934710000000003</v>
      </c>
      <c r="AQ394" s="29">
        <v>-77.058222999999998</v>
      </c>
      <c r="AR394" s="29">
        <f>COUNTIF(Data!$P$2:$P$825,Data!$P394)</f>
        <v>35</v>
      </c>
      <c r="AS394" s="29" cm="1">
        <f t="array" ref="AS394">_xlfn.IFS(Data!$E394&lt;12,((Data!$E394/Data!$D394)*60)*1,AND(Data!$E394&gt;=12,Data!$E394&lt;=15),((Data!$E394/Data!$D394)*60)*1.2,AND(Data!$E394&gt;=16,Data!$E394&lt;=19),((Data!$E394/Data!$D394)*60)*1.5,Data!$E394&gt;=20,((Data!$E394/Data!$D394)*60)*1.8)</f>
        <v>40.5</v>
      </c>
      <c r="AT394" s="29" cm="1">
        <f t="array" ref="AT394">_xlfn.IFS(Data!$F394&lt;600,((Data!$F394/Data!$D394)*60)*1,AND(Data!$F394&gt;=600,Data!$F394&lt;=625),((Data!$F394/Data!$D394)*60)*1.2,AND(Data!$F394&gt;=626,Data!$F394&lt;=650),((Data!$F394/Data!$D394)*60)*1.5,Data!$F394&gt;=651,((Data!$F394/Data!$D394)*60)*1.8)</f>
        <v>1257.4285714285713</v>
      </c>
      <c r="AU394" s="29">
        <f>(Data!$I394*-1.2)+(Data!$J394*-1.1)+(Data!$K394*1.2)+(Data!$L394*1.3)+(Data!$M394*1.5)</f>
        <v>23.7</v>
      </c>
      <c r="AV394" s="29">
        <f>(Data!$AS394*0.4)+(Data!$AT394*0.4)+(Data!$AU394*0.2)</f>
        <v>523.91142857142859</v>
      </c>
      <c r="AW394" s="29">
        <f>PERCENTRANK(AV:AV,Data!$AV394)*100</f>
        <v>91.5</v>
      </c>
      <c r="AX394" s="29" t="str">
        <f>_xlfn.CONCAT(TEXT(C394,"mmm"),"-",Data!$AE394)</f>
        <v>Nov-2022</v>
      </c>
    </row>
    <row r="395" spans="1:50" ht="17" thickTop="1" thickBot="1" x14ac:dyDescent="0.25">
      <c r="A395" s="22">
        <v>394</v>
      </c>
      <c r="B395" s="23">
        <f t="shared" si="50"/>
        <v>16</v>
      </c>
      <c r="C395" s="41">
        <v>44879</v>
      </c>
      <c r="D395" s="24">
        <f>SUM(Data!$I395:$M395)</f>
        <v>58</v>
      </c>
      <c r="E395" s="23">
        <v>20</v>
      </c>
      <c r="F395" s="23">
        <v>654</v>
      </c>
      <c r="G395" s="23">
        <v>165</v>
      </c>
      <c r="H395" s="23">
        <v>130</v>
      </c>
      <c r="I395" s="23">
        <v>10</v>
      </c>
      <c r="J395" s="23">
        <v>11</v>
      </c>
      <c r="K395" s="23">
        <v>17</v>
      </c>
      <c r="L395" s="23">
        <v>18</v>
      </c>
      <c r="M395" s="23">
        <v>2</v>
      </c>
      <c r="N395" s="23" t="s">
        <v>101</v>
      </c>
      <c r="O395" s="23" t="s">
        <v>39</v>
      </c>
      <c r="P395" s="23" t="s">
        <v>109</v>
      </c>
      <c r="Q395" s="23">
        <f t="shared" si="56"/>
        <v>1</v>
      </c>
      <c r="R395" s="23" t="str">
        <f t="shared" si="51"/>
        <v>11-2022</v>
      </c>
      <c r="S395" s="23" t="s">
        <v>104</v>
      </c>
      <c r="T395" s="23" t="str">
        <f t="shared" si="52"/>
        <v>Monday</v>
      </c>
      <c r="U395" s="23">
        <f t="shared" si="53"/>
        <v>1</v>
      </c>
      <c r="V395" s="25">
        <f>IFERROR(Data!$I395/Data!$D395,"")</f>
        <v>0.17241379310344829</v>
      </c>
      <c r="W395" s="25">
        <f>IFERROR(Data!$J395/Data!$D395,"")</f>
        <v>0.18965517241379309</v>
      </c>
      <c r="X395" s="25">
        <f>IFERROR(Data!$K395/Data!$D395,"")</f>
        <v>0.29310344827586204</v>
      </c>
      <c r="Y395" s="25">
        <f>IFERROR(Data!$L395/Data!$D395,"")</f>
        <v>0.31034482758620691</v>
      </c>
      <c r="Z395" s="25">
        <f>IFERROR(Data!$M395/Data!$D395,"")</f>
        <v>3.4482758620689655E-2</v>
      </c>
      <c r="AA395" s="26">
        <v>232.14</v>
      </c>
      <c r="AB395" s="26">
        <f t="shared" si="49"/>
        <v>14.508749999999999</v>
      </c>
      <c r="AC395" s="23">
        <f t="shared" si="54"/>
        <v>636</v>
      </c>
      <c r="AD395" s="23">
        <f t="shared" si="55"/>
        <v>17</v>
      </c>
      <c r="AE395" s="23">
        <f>YEAR(Data!$C395)</f>
        <v>2022</v>
      </c>
      <c r="AF395" s="23"/>
      <c r="AG395" s="23">
        <v>12</v>
      </c>
      <c r="AH395" s="27">
        <f>Data!$F395/Data!$D395</f>
        <v>11.275862068965518</v>
      </c>
      <c r="AI395" s="17" t="str">
        <f>RIGHT(Data!$O395,2)</f>
        <v>PM</v>
      </c>
      <c r="AJ395" s="23" t="str">
        <f>Data!$R395&amp;"-"&amp;WEEKNUM(Data!$C395,1)-WEEKNUM(DATE(YEAR(Data!$C395),MONTH(Data!$C395),1),1)+1</f>
        <v>11-2022-3</v>
      </c>
      <c r="AK395" s="23">
        <f>MONTH(Data!$C395)</f>
        <v>11</v>
      </c>
      <c r="AL395" s="23">
        <f>IFERROR(Data!$F395/Data!$E395,0)</f>
        <v>32.700000000000003</v>
      </c>
      <c r="AM395" s="23">
        <f>COUNTIF(Data!$N$2:$N$825,Data!$N395)</f>
        <v>191</v>
      </c>
      <c r="AN395" s="23" t="str">
        <f>VLOOKUP(Data!$N395,'Helpful Tables'!A:D,4,FALSE)</f>
        <v>Washington, DC</v>
      </c>
      <c r="AO395" s="23">
        <f>COUNTIF(AN:AN,Data!$AN395)/COUNTA(AN:AN)</f>
        <v>0.62424242424242427</v>
      </c>
      <c r="AP395" s="23">
        <v>38.949649000000001</v>
      </c>
      <c r="AQ395" s="23">
        <v>-77.080878999999996</v>
      </c>
      <c r="AR395" s="23">
        <f>COUNTIF(Data!$P$2:$P$825,Data!$P395)</f>
        <v>66</v>
      </c>
      <c r="AS395" s="23" cm="1">
        <f t="array" ref="AS395">_xlfn.IFS(Data!$E395&lt;12,((Data!$E395/Data!$D395)*60)*1,AND(Data!$E395&gt;=12,Data!$E395&lt;=15),((Data!$E395/Data!$D395)*60)*1.2,AND(Data!$E395&gt;=16,Data!$E395&lt;=19),((Data!$E395/Data!$D395)*60)*1.5,Data!$E395&gt;=20,((Data!$E395/Data!$D395)*60)*1.8)</f>
        <v>37.241379310344833</v>
      </c>
      <c r="AT395" s="23" cm="1">
        <f t="array" ref="AT395">_xlfn.IFS(Data!$F395&lt;600,((Data!$F395/Data!$D395)*60)*1,AND(Data!$F395&gt;=600,Data!$F395&lt;=625),((Data!$F395/Data!$D395)*60)*1.2,AND(Data!$F395&gt;=626,Data!$F395&lt;=650),((Data!$F395/Data!$D395)*60)*1.5,Data!$F395&gt;=651,((Data!$F395/Data!$D395)*60)*1.8)</f>
        <v>1217.7931034482758</v>
      </c>
      <c r="AU395" s="23">
        <f>(Data!$I395*-1.2)+(Data!$J395*-1.1)+(Data!$K395*1.2)+(Data!$L395*1.3)+(Data!$M395*1.5)</f>
        <v>22.7</v>
      </c>
      <c r="AV395" s="23">
        <f>(Data!$AS395*0.4)+(Data!$AT395*0.4)+(Data!$AU395*0.2)</f>
        <v>506.5537931034483</v>
      </c>
      <c r="AW395" s="23">
        <f>PERCENTRANK(AV:AV,Data!$AV395)*100</f>
        <v>82</v>
      </c>
      <c r="AX395" s="23" t="str">
        <f>_xlfn.CONCAT(TEXT(C395,"mmm"),"-",Data!$AE395)</f>
        <v>Nov-2022</v>
      </c>
    </row>
    <row r="396" spans="1:50" ht="17" thickTop="1" thickBot="1" x14ac:dyDescent="0.25">
      <c r="A396" s="28">
        <v>395</v>
      </c>
      <c r="B396" s="29">
        <f t="shared" si="50"/>
        <v>16</v>
      </c>
      <c r="C396" s="41">
        <v>44881</v>
      </c>
      <c r="D396" s="30">
        <f>SUM(Data!$I396:$M396)</f>
        <v>54</v>
      </c>
      <c r="E396" s="29">
        <v>12</v>
      </c>
      <c r="F396" s="29">
        <v>577</v>
      </c>
      <c r="G396" s="29">
        <v>167</v>
      </c>
      <c r="H396" s="29">
        <v>125</v>
      </c>
      <c r="I396" s="29">
        <v>12</v>
      </c>
      <c r="J396" s="29">
        <v>10</v>
      </c>
      <c r="K396" s="29">
        <v>20</v>
      </c>
      <c r="L396" s="29">
        <v>10</v>
      </c>
      <c r="M396" s="29">
        <v>2</v>
      </c>
      <c r="N396" s="29" t="s">
        <v>160</v>
      </c>
      <c r="O396" s="29" t="s">
        <v>143</v>
      </c>
      <c r="P396" s="29" t="s">
        <v>161</v>
      </c>
      <c r="Q396" s="29">
        <f t="shared" si="56"/>
        <v>2</v>
      </c>
      <c r="R396" s="29" t="str">
        <f t="shared" si="51"/>
        <v>11-2022</v>
      </c>
      <c r="S396" s="29" t="s">
        <v>117</v>
      </c>
      <c r="T396" s="29" t="str">
        <f t="shared" si="52"/>
        <v>Wednesday</v>
      </c>
      <c r="U396" s="29">
        <f t="shared" si="53"/>
        <v>1</v>
      </c>
      <c r="V396" s="31">
        <f>IFERROR(Data!$I396/Data!$D396,"")</f>
        <v>0.22222222222222221</v>
      </c>
      <c r="W396" s="31">
        <f>IFERROR(Data!$J396/Data!$D396,"")</f>
        <v>0.18518518518518517</v>
      </c>
      <c r="X396" s="31">
        <f>IFERROR(Data!$K396/Data!$D396,"")</f>
        <v>0.37037037037037035</v>
      </c>
      <c r="Y396" s="31">
        <f>IFERROR(Data!$L396/Data!$D396,"")</f>
        <v>0.18518518518518517</v>
      </c>
      <c r="Z396" s="31">
        <f>IFERROR(Data!$M396/Data!$D396,"")</f>
        <v>3.7037037037037035E-2</v>
      </c>
      <c r="AA396" s="32">
        <v>232.14</v>
      </c>
      <c r="AB396" s="32">
        <f t="shared" si="49"/>
        <v>14.508749999999999</v>
      </c>
      <c r="AC396" s="29">
        <f t="shared" si="54"/>
        <v>636</v>
      </c>
      <c r="AD396" s="29">
        <f t="shared" si="55"/>
        <v>17</v>
      </c>
      <c r="AE396" s="29">
        <f>YEAR(Data!$C396)</f>
        <v>2022</v>
      </c>
      <c r="AF396" s="29"/>
      <c r="AG396" s="29">
        <v>12</v>
      </c>
      <c r="AH396" s="33">
        <f>Data!$F396/Data!$D396</f>
        <v>10.685185185185185</v>
      </c>
      <c r="AI396" s="17" t="str">
        <f>RIGHT(Data!$O396,2)</f>
        <v>PM</v>
      </c>
      <c r="AJ396" s="29" t="str">
        <f>Data!$R396&amp;"-"&amp;WEEKNUM(Data!$C396,1)-WEEKNUM(DATE(YEAR(Data!$C396),MONTH(Data!$C396),1),1)+1</f>
        <v>11-2022-3</v>
      </c>
      <c r="AK396" s="29">
        <f>MONTH(Data!$C396)</f>
        <v>11</v>
      </c>
      <c r="AL396" s="29">
        <f>IFERROR(Data!$F396/Data!$E396,0)</f>
        <v>48.083333333333336</v>
      </c>
      <c r="AM396" s="29">
        <f>COUNTIF(Data!$N$2:$N$825,Data!$N396)</f>
        <v>9</v>
      </c>
      <c r="AN396" s="29" t="str">
        <f>VLOOKUP(Data!$N396,'Helpful Tables'!A:D,4,FALSE)</f>
        <v>Virginia</v>
      </c>
      <c r="AO396" s="29">
        <f>COUNTIF(AN:AN,Data!$AN396)/COUNTA(AN:AN)</f>
        <v>6.424242424242424E-2</v>
      </c>
      <c r="AP396" s="29">
        <v>38.880467000000003</v>
      </c>
      <c r="AQ396" s="29">
        <v>-77.111583999999993</v>
      </c>
      <c r="AR396" s="29">
        <f>COUNTIF(Data!$P$2:$P$825,Data!$P396)</f>
        <v>7</v>
      </c>
      <c r="AS396" s="29" cm="1">
        <f t="array" ref="AS396">_xlfn.IFS(Data!$E396&lt;12,((Data!$E396/Data!$D396)*60)*1,AND(Data!$E396&gt;=12,Data!$E396&lt;=15),((Data!$E396/Data!$D396)*60)*1.2,AND(Data!$E396&gt;=16,Data!$E396&lt;=19),((Data!$E396/Data!$D396)*60)*1.5,Data!$E396&gt;=20,((Data!$E396/Data!$D396)*60)*1.8)</f>
        <v>15.999999999999998</v>
      </c>
      <c r="AT396" s="29" cm="1">
        <f t="array" ref="AT396">_xlfn.IFS(Data!$F396&lt;600,((Data!$F396/Data!$D396)*60)*1,AND(Data!$F396&gt;=600,Data!$F396&lt;=625),((Data!$F396/Data!$D396)*60)*1.2,AND(Data!$F396&gt;=626,Data!$F396&lt;=650),((Data!$F396/Data!$D396)*60)*1.5,Data!$F396&gt;=651,((Data!$F396/Data!$D396)*60)*1.8)</f>
        <v>641.11111111111109</v>
      </c>
      <c r="AU396" s="29">
        <f>(Data!$I396*-1.2)+(Data!$J396*-1.1)+(Data!$K396*1.2)+(Data!$L396*1.3)+(Data!$M396*1.5)</f>
        <v>14.600000000000001</v>
      </c>
      <c r="AV396" s="29">
        <f>(Data!$AS396*0.4)+(Data!$AT396*0.4)+(Data!$AU396*0.2)</f>
        <v>265.76444444444445</v>
      </c>
      <c r="AW396" s="29">
        <f>PERCENTRANK(AV:AV,Data!$AV396)*100</f>
        <v>21.7</v>
      </c>
      <c r="AX396" s="29" t="str">
        <f>_xlfn.CONCAT(TEXT(C396,"mmm"),"-",Data!$AE396)</f>
        <v>Nov-2022</v>
      </c>
    </row>
    <row r="397" spans="1:50" ht="17" thickTop="1" thickBot="1" x14ac:dyDescent="0.25">
      <c r="A397" s="22">
        <v>396</v>
      </c>
      <c r="B397" s="23">
        <f t="shared" si="50"/>
        <v>16</v>
      </c>
      <c r="C397" s="41">
        <v>44883</v>
      </c>
      <c r="D397" s="24">
        <f>SUM(Data!$I397:$M397)</f>
        <v>56</v>
      </c>
      <c r="E397" s="23">
        <v>14</v>
      </c>
      <c r="F397" s="23">
        <v>620</v>
      </c>
      <c r="G397" s="23">
        <v>167</v>
      </c>
      <c r="H397" s="23">
        <v>127</v>
      </c>
      <c r="I397" s="23">
        <v>5</v>
      </c>
      <c r="J397" s="23">
        <v>16</v>
      </c>
      <c r="K397" s="23">
        <v>21</v>
      </c>
      <c r="L397" s="23">
        <v>12</v>
      </c>
      <c r="M397" s="23">
        <v>2</v>
      </c>
      <c r="N397" s="23" t="s">
        <v>101</v>
      </c>
      <c r="O397" s="23" t="s">
        <v>107</v>
      </c>
      <c r="P397" s="23" t="s">
        <v>155</v>
      </c>
      <c r="Q397" s="23">
        <f t="shared" si="56"/>
        <v>2</v>
      </c>
      <c r="R397" s="23" t="str">
        <f t="shared" si="51"/>
        <v>11-2022</v>
      </c>
      <c r="S397" s="23" t="s">
        <v>104</v>
      </c>
      <c r="T397" s="23" t="str">
        <f t="shared" si="52"/>
        <v>Friday</v>
      </c>
      <c r="U397" s="23">
        <f t="shared" si="53"/>
        <v>1</v>
      </c>
      <c r="V397" s="25">
        <f>IFERROR(Data!$I397/Data!$D397,"")</f>
        <v>8.9285714285714288E-2</v>
      </c>
      <c r="W397" s="25">
        <f>IFERROR(Data!$J397/Data!$D397,"")</f>
        <v>0.2857142857142857</v>
      </c>
      <c r="X397" s="25">
        <f>IFERROR(Data!$K397/Data!$D397,"")</f>
        <v>0.375</v>
      </c>
      <c r="Y397" s="25">
        <f>IFERROR(Data!$L397/Data!$D397,"")</f>
        <v>0.21428571428571427</v>
      </c>
      <c r="Z397" s="25">
        <f>IFERROR(Data!$M397/Data!$D397,"")</f>
        <v>3.5714285714285712E-2</v>
      </c>
      <c r="AA397" s="26">
        <v>232.14</v>
      </c>
      <c r="AB397" s="26">
        <f t="shared" si="49"/>
        <v>14.508749999999999</v>
      </c>
      <c r="AC397" s="23">
        <f t="shared" si="54"/>
        <v>636</v>
      </c>
      <c r="AD397" s="23">
        <f t="shared" si="55"/>
        <v>17</v>
      </c>
      <c r="AE397" s="23">
        <f>YEAR(Data!$C397)</f>
        <v>2022</v>
      </c>
      <c r="AF397" s="23"/>
      <c r="AG397" s="23">
        <v>12</v>
      </c>
      <c r="AH397" s="27">
        <f>Data!$F397/Data!$D397</f>
        <v>11.071428571428571</v>
      </c>
      <c r="AI397" s="17" t="str">
        <f>RIGHT(Data!$O397,2)</f>
        <v>AM</v>
      </c>
      <c r="AJ397" s="23" t="str">
        <f>Data!$R397&amp;"-"&amp;WEEKNUM(Data!$C397,1)-WEEKNUM(DATE(YEAR(Data!$C397),MONTH(Data!$C397),1),1)+1</f>
        <v>11-2022-3</v>
      </c>
      <c r="AK397" s="23">
        <f>MONTH(Data!$C397)</f>
        <v>11</v>
      </c>
      <c r="AL397" s="23">
        <f>IFERROR(Data!$F397/Data!$E397,0)</f>
        <v>44.285714285714285</v>
      </c>
      <c r="AM397" s="23">
        <f>COUNTIF(Data!$N$2:$N$825,Data!$N397)</f>
        <v>191</v>
      </c>
      <c r="AN397" s="23" t="str">
        <f>VLOOKUP(Data!$N397,'Helpful Tables'!A:D,4,FALSE)</f>
        <v>Washington, DC</v>
      </c>
      <c r="AO397" s="23">
        <f>COUNTIF(AN:AN,Data!$AN397)/COUNTA(AN:AN)</f>
        <v>0.62424242424242427</v>
      </c>
      <c r="AP397" s="23">
        <v>38.949649000000001</v>
      </c>
      <c r="AQ397" s="23">
        <v>-77.080878999999996</v>
      </c>
      <c r="AR397" s="23">
        <f>COUNTIF(Data!$P$2:$P$825,Data!$P397)</f>
        <v>13</v>
      </c>
      <c r="AS397" s="23" cm="1">
        <f t="array" ref="AS397">_xlfn.IFS(Data!$E397&lt;12,((Data!$E397/Data!$D397)*60)*1,AND(Data!$E397&gt;=12,Data!$E397&lt;=15),((Data!$E397/Data!$D397)*60)*1.2,AND(Data!$E397&gt;=16,Data!$E397&lt;=19),((Data!$E397/Data!$D397)*60)*1.5,Data!$E397&gt;=20,((Data!$E397/Data!$D397)*60)*1.8)</f>
        <v>18</v>
      </c>
      <c r="AT397" s="23" cm="1">
        <f t="array" ref="AT397">_xlfn.IFS(Data!$F397&lt;600,((Data!$F397/Data!$D397)*60)*1,AND(Data!$F397&gt;=600,Data!$F397&lt;=625),((Data!$F397/Data!$D397)*60)*1.2,AND(Data!$F397&gt;=626,Data!$F397&lt;=650),((Data!$F397/Data!$D397)*60)*1.5,Data!$F397&gt;=651,((Data!$F397/Data!$D397)*60)*1.8)</f>
        <v>797.142857142857</v>
      </c>
      <c r="AU397" s="23">
        <f>(Data!$I397*-1.2)+(Data!$J397*-1.1)+(Data!$K397*1.2)+(Data!$L397*1.3)+(Data!$M397*1.5)</f>
        <v>20.2</v>
      </c>
      <c r="AV397" s="23">
        <f>(Data!$AS397*0.4)+(Data!$AT397*0.4)+(Data!$AU397*0.2)</f>
        <v>330.09714285714284</v>
      </c>
      <c r="AW397" s="23">
        <f>PERCENTRANK(AV:AV,Data!$AV397)*100</f>
        <v>41.099999999999994</v>
      </c>
      <c r="AX397" s="23" t="str">
        <f>_xlfn.CONCAT(TEXT(C397,"mmm"),"-",Data!$AE397)</f>
        <v>Nov-2022</v>
      </c>
    </row>
    <row r="398" spans="1:50" ht="17" thickTop="1" thickBot="1" x14ac:dyDescent="0.25">
      <c r="A398" s="28">
        <v>397</v>
      </c>
      <c r="B398" s="29">
        <f t="shared" si="50"/>
        <v>16</v>
      </c>
      <c r="C398" s="41">
        <v>44885</v>
      </c>
      <c r="D398" s="30">
        <f>SUM(Data!$I398:$M398)</f>
        <v>56</v>
      </c>
      <c r="E398" s="29">
        <v>15</v>
      </c>
      <c r="F398" s="29">
        <v>584</v>
      </c>
      <c r="G398" s="29">
        <v>167</v>
      </c>
      <c r="H398" s="29">
        <v>123</v>
      </c>
      <c r="I398" s="29">
        <v>12</v>
      </c>
      <c r="J398" s="29">
        <v>16</v>
      </c>
      <c r="K398" s="29">
        <v>13</v>
      </c>
      <c r="L398" s="29">
        <v>14</v>
      </c>
      <c r="M398" s="29">
        <v>1</v>
      </c>
      <c r="N398" s="29" t="s">
        <v>91</v>
      </c>
      <c r="O398" s="29" t="s">
        <v>79</v>
      </c>
      <c r="P398" s="29" t="s">
        <v>100</v>
      </c>
      <c r="Q398" s="29">
        <f t="shared" si="56"/>
        <v>2</v>
      </c>
      <c r="R398" s="29" t="str">
        <f t="shared" si="51"/>
        <v>11-2022</v>
      </c>
      <c r="S398" s="29" t="s">
        <v>104</v>
      </c>
      <c r="T398" s="29" t="str">
        <f t="shared" si="52"/>
        <v>Sunday</v>
      </c>
      <c r="U398" s="29">
        <f t="shared" si="53"/>
        <v>1</v>
      </c>
      <c r="V398" s="31">
        <f>IFERROR(Data!$I398/Data!$D398,"")</f>
        <v>0.21428571428571427</v>
      </c>
      <c r="W398" s="31">
        <f>IFERROR(Data!$J398/Data!$D398,"")</f>
        <v>0.2857142857142857</v>
      </c>
      <c r="X398" s="31">
        <f>IFERROR(Data!$K398/Data!$D398,"")</f>
        <v>0.23214285714285715</v>
      </c>
      <c r="Y398" s="31">
        <f>IFERROR(Data!$L398/Data!$D398,"")</f>
        <v>0.25</v>
      </c>
      <c r="Z398" s="31">
        <f>IFERROR(Data!$M398/Data!$D398,"")</f>
        <v>1.7857142857142856E-2</v>
      </c>
      <c r="AA398" s="32">
        <v>232.14</v>
      </c>
      <c r="AB398" s="32">
        <f t="shared" si="49"/>
        <v>14.508749999999999</v>
      </c>
      <c r="AC398" s="29">
        <f t="shared" si="54"/>
        <v>636</v>
      </c>
      <c r="AD398" s="29">
        <f t="shared" si="55"/>
        <v>17</v>
      </c>
      <c r="AE398" s="29">
        <f>YEAR(Data!$C398)</f>
        <v>2022</v>
      </c>
      <c r="AF398" s="29"/>
      <c r="AG398" s="29">
        <v>12</v>
      </c>
      <c r="AH398" s="33">
        <f>Data!$F398/Data!$D398</f>
        <v>10.428571428571429</v>
      </c>
      <c r="AI398" s="17" t="str">
        <f>RIGHT(Data!$O398,2)</f>
        <v>AM</v>
      </c>
      <c r="AJ398" s="29" t="str">
        <f>Data!$R398&amp;"-"&amp;WEEKNUM(Data!$C398,1)-WEEKNUM(DATE(YEAR(Data!$C398),MONTH(Data!$C398),1),1)+1</f>
        <v>11-2022-4</v>
      </c>
      <c r="AK398" s="29">
        <f>MONTH(Data!$C398)</f>
        <v>11</v>
      </c>
      <c r="AL398" s="29">
        <f>IFERROR(Data!$F398/Data!$E398,0)</f>
        <v>38.93333333333333</v>
      </c>
      <c r="AM398" s="29">
        <f>COUNTIF(Data!$N$2:$N$825,Data!$N398)</f>
        <v>218</v>
      </c>
      <c r="AN398" s="29" t="str">
        <f>VLOOKUP(Data!$N398,'Helpful Tables'!A:D,4,FALSE)</f>
        <v>Washington, DC</v>
      </c>
      <c r="AO398" s="29">
        <f>COUNTIF(AN:AN,Data!$AN398)/COUNTA(AN:AN)</f>
        <v>0.62424242424242427</v>
      </c>
      <c r="AP398" s="29">
        <v>38.934710000000003</v>
      </c>
      <c r="AQ398" s="29">
        <v>-77.058222999999998</v>
      </c>
      <c r="AR398" s="29">
        <f>COUNTIF(Data!$P$2:$P$825,Data!$P398)</f>
        <v>35</v>
      </c>
      <c r="AS398" s="29" cm="1">
        <f t="array" ref="AS398">_xlfn.IFS(Data!$E398&lt;12,((Data!$E398/Data!$D398)*60)*1,AND(Data!$E398&gt;=12,Data!$E398&lt;=15),((Data!$E398/Data!$D398)*60)*1.2,AND(Data!$E398&gt;=16,Data!$E398&lt;=19),((Data!$E398/Data!$D398)*60)*1.5,Data!$E398&gt;=20,((Data!$E398/Data!$D398)*60)*1.8)</f>
        <v>19.285714285714281</v>
      </c>
      <c r="AT398" s="29" cm="1">
        <f t="array" ref="AT398">_xlfn.IFS(Data!$F398&lt;600,((Data!$F398/Data!$D398)*60)*1,AND(Data!$F398&gt;=600,Data!$F398&lt;=625),((Data!$F398/Data!$D398)*60)*1.2,AND(Data!$F398&gt;=626,Data!$F398&lt;=650),((Data!$F398/Data!$D398)*60)*1.5,Data!$F398&gt;=651,((Data!$F398/Data!$D398)*60)*1.8)</f>
        <v>625.71428571428578</v>
      </c>
      <c r="AU398" s="29">
        <f>(Data!$I398*-1.2)+(Data!$J398*-1.1)+(Data!$K398*1.2)+(Data!$L398*1.3)+(Data!$M398*1.5)</f>
        <v>3.3000000000000007</v>
      </c>
      <c r="AV398" s="29">
        <f>(Data!$AS398*0.4)+(Data!$AT398*0.4)+(Data!$AU398*0.2)</f>
        <v>258.66000000000008</v>
      </c>
      <c r="AW398" s="29">
        <f>PERCENTRANK(AV:AV,Data!$AV398)*100</f>
        <v>20.5</v>
      </c>
      <c r="AX398" s="29" t="str">
        <f>_xlfn.CONCAT(TEXT(C398,"mmm"),"-",Data!$AE398)</f>
        <v>Nov-2022</v>
      </c>
    </row>
    <row r="399" spans="1:50" ht="17" thickTop="1" thickBot="1" x14ac:dyDescent="0.25">
      <c r="A399" s="22">
        <v>398</v>
      </c>
      <c r="B399" s="23">
        <f t="shared" si="50"/>
        <v>16</v>
      </c>
      <c r="C399" s="41">
        <v>44888</v>
      </c>
      <c r="D399" s="24">
        <f>SUM(Data!$I399:$M399)</f>
        <v>61</v>
      </c>
      <c r="E399" s="23">
        <v>25</v>
      </c>
      <c r="F399" s="23">
        <v>758</v>
      </c>
      <c r="G399" s="23">
        <v>168</v>
      </c>
      <c r="H399" s="23">
        <v>136</v>
      </c>
      <c r="I399" s="23">
        <v>3</v>
      </c>
      <c r="J399" s="23">
        <v>11</v>
      </c>
      <c r="K399" s="23">
        <v>22</v>
      </c>
      <c r="L399" s="23">
        <v>14</v>
      </c>
      <c r="M399" s="23">
        <v>11</v>
      </c>
      <c r="N399" s="23" t="s">
        <v>138</v>
      </c>
      <c r="O399" s="23" t="s">
        <v>76</v>
      </c>
      <c r="P399" s="23" t="s">
        <v>139</v>
      </c>
      <c r="Q399" s="23">
        <f t="shared" si="56"/>
        <v>3</v>
      </c>
      <c r="R399" s="23" t="str">
        <f t="shared" si="51"/>
        <v>11-2022</v>
      </c>
      <c r="S399" s="23" t="s">
        <v>104</v>
      </c>
      <c r="T399" s="23" t="str">
        <f t="shared" si="52"/>
        <v>Wednesday</v>
      </c>
      <c r="U399" s="23">
        <f t="shared" si="53"/>
        <v>1</v>
      </c>
      <c r="V399" s="25">
        <f>IFERROR(Data!$I399/Data!$D399,"")</f>
        <v>4.9180327868852458E-2</v>
      </c>
      <c r="W399" s="25">
        <f>IFERROR(Data!$J399/Data!$D399,"")</f>
        <v>0.18032786885245902</v>
      </c>
      <c r="X399" s="25">
        <f>IFERROR(Data!$K399/Data!$D399,"")</f>
        <v>0.36065573770491804</v>
      </c>
      <c r="Y399" s="25">
        <f>IFERROR(Data!$L399/Data!$D399,"")</f>
        <v>0.22950819672131148</v>
      </c>
      <c r="Z399" s="25">
        <f>IFERROR(Data!$M399/Data!$D399,"")</f>
        <v>0.18032786885245902</v>
      </c>
      <c r="AA399" s="26">
        <v>232.14</v>
      </c>
      <c r="AB399" s="26">
        <f t="shared" si="49"/>
        <v>14.508749999999999</v>
      </c>
      <c r="AC399" s="23">
        <f t="shared" si="54"/>
        <v>636</v>
      </c>
      <c r="AD399" s="23">
        <f t="shared" si="55"/>
        <v>17</v>
      </c>
      <c r="AE399" s="23">
        <f>YEAR(Data!$C399)</f>
        <v>2022</v>
      </c>
      <c r="AF399" s="23"/>
      <c r="AG399" s="23">
        <v>12</v>
      </c>
      <c r="AH399" s="27">
        <f>Data!$F399/Data!$D399</f>
        <v>12.426229508196721</v>
      </c>
      <c r="AI399" s="17" t="str">
        <f>RIGHT(Data!$O399,2)</f>
        <v>AM</v>
      </c>
      <c r="AJ399" s="23" t="str">
        <f>Data!$R399&amp;"-"&amp;WEEKNUM(Data!$C399,1)-WEEKNUM(DATE(YEAR(Data!$C399),MONTH(Data!$C399),1),1)+1</f>
        <v>11-2022-4</v>
      </c>
      <c r="AK399" s="23">
        <f>MONTH(Data!$C399)</f>
        <v>11</v>
      </c>
      <c r="AL399" s="23">
        <f>IFERROR(Data!$F399/Data!$E399,0)</f>
        <v>30.32</v>
      </c>
      <c r="AM399" s="23">
        <f>COUNTIF(Data!$N$2:$N$825,Data!$N399)</f>
        <v>11</v>
      </c>
      <c r="AN399" s="23" t="str">
        <f>VLOOKUP(Data!$N399,'Helpful Tables'!A:D,4,FALSE)</f>
        <v>Massachusetts</v>
      </c>
      <c r="AO399" s="23">
        <f>COUNTIF(AN:AN,Data!$AN399)/COUNTA(AN:AN)</f>
        <v>1.9393939393939394E-2</v>
      </c>
      <c r="AP399" s="23">
        <v>42.350487000000001</v>
      </c>
      <c r="AQ399" s="23">
        <v>-71.152720000000002</v>
      </c>
      <c r="AR399" s="23">
        <f>COUNTIF(Data!$P$2:$P$825,Data!$P399)</f>
        <v>2</v>
      </c>
      <c r="AS399" s="23" cm="1">
        <f t="array" ref="AS399">_xlfn.IFS(Data!$E399&lt;12,((Data!$E399/Data!$D399)*60)*1,AND(Data!$E399&gt;=12,Data!$E399&lt;=15),((Data!$E399/Data!$D399)*60)*1.2,AND(Data!$E399&gt;=16,Data!$E399&lt;=19),((Data!$E399/Data!$D399)*60)*1.5,Data!$E399&gt;=20,((Data!$E399/Data!$D399)*60)*1.8)</f>
        <v>44.262295081967217</v>
      </c>
      <c r="AT399" s="23" cm="1">
        <f t="array" ref="AT399">_xlfn.IFS(Data!$F399&lt;600,((Data!$F399/Data!$D399)*60)*1,AND(Data!$F399&gt;=600,Data!$F399&lt;=625),((Data!$F399/Data!$D399)*60)*1.2,AND(Data!$F399&gt;=626,Data!$F399&lt;=650),((Data!$F399/Data!$D399)*60)*1.5,Data!$F399&gt;=651,((Data!$F399/Data!$D399)*60)*1.8)</f>
        <v>1342.032786885246</v>
      </c>
      <c r="AU399" s="23">
        <f>(Data!$I399*-1.2)+(Data!$J399*-1.1)+(Data!$K399*1.2)+(Data!$L399*1.3)+(Data!$M399*1.5)</f>
        <v>45.4</v>
      </c>
      <c r="AV399" s="23">
        <f>(Data!$AS399*0.4)+(Data!$AT399*0.4)+(Data!$AU399*0.2)</f>
        <v>563.59803278688526</v>
      </c>
      <c r="AW399" s="23">
        <f>PERCENTRANK(AV:AV,Data!$AV399)*100</f>
        <v>99.1</v>
      </c>
      <c r="AX399" s="23" t="str">
        <f>_xlfn.CONCAT(TEXT(C399,"mmm"),"-",Data!$AE399)</f>
        <v>Nov-2022</v>
      </c>
    </row>
    <row r="400" spans="1:50" ht="17" thickTop="1" thickBot="1" x14ac:dyDescent="0.25">
      <c r="A400" s="28">
        <v>399</v>
      </c>
      <c r="B400" s="29">
        <f t="shared" si="50"/>
        <v>16</v>
      </c>
      <c r="C400" s="41">
        <v>44889</v>
      </c>
      <c r="D400" s="30">
        <f>SUM(Data!$I400:$M400)</f>
        <v>62</v>
      </c>
      <c r="E400" s="29">
        <v>13</v>
      </c>
      <c r="F400" s="29">
        <v>629</v>
      </c>
      <c r="G400" s="29">
        <v>166</v>
      </c>
      <c r="H400" s="29">
        <v>120</v>
      </c>
      <c r="I400" s="29">
        <v>18</v>
      </c>
      <c r="J400" s="29">
        <v>18</v>
      </c>
      <c r="K400" s="29">
        <v>13</v>
      </c>
      <c r="L400" s="29">
        <v>10</v>
      </c>
      <c r="M400" s="29">
        <v>3</v>
      </c>
      <c r="N400" s="29" t="s">
        <v>138</v>
      </c>
      <c r="O400" s="29" t="s">
        <v>76</v>
      </c>
      <c r="P400" s="29" t="s">
        <v>140</v>
      </c>
      <c r="Q400" s="29">
        <f t="shared" si="56"/>
        <v>1</v>
      </c>
      <c r="R400" s="29" t="str">
        <f t="shared" si="51"/>
        <v>11-2022</v>
      </c>
      <c r="S400" s="29" t="s">
        <v>117</v>
      </c>
      <c r="T400" s="29" t="str">
        <f t="shared" si="52"/>
        <v>Thursday</v>
      </c>
      <c r="U400" s="29">
        <f t="shared" si="53"/>
        <v>1</v>
      </c>
      <c r="V400" s="31">
        <f>IFERROR(Data!$I400/Data!$D400,"")</f>
        <v>0.29032258064516131</v>
      </c>
      <c r="W400" s="31">
        <f>IFERROR(Data!$J400/Data!$D400,"")</f>
        <v>0.29032258064516131</v>
      </c>
      <c r="X400" s="31">
        <f>IFERROR(Data!$K400/Data!$D400,"")</f>
        <v>0.20967741935483872</v>
      </c>
      <c r="Y400" s="31">
        <f>IFERROR(Data!$L400/Data!$D400,"")</f>
        <v>0.16129032258064516</v>
      </c>
      <c r="Z400" s="31">
        <f>IFERROR(Data!$M400/Data!$D400,"")</f>
        <v>4.8387096774193547E-2</v>
      </c>
      <c r="AA400" s="32">
        <v>232.14</v>
      </c>
      <c r="AB400" s="32">
        <f t="shared" ref="AB400:AB463" si="57">AA400/B400</f>
        <v>14.508749999999999</v>
      </c>
      <c r="AC400" s="29">
        <f t="shared" si="54"/>
        <v>636</v>
      </c>
      <c r="AD400" s="29">
        <f t="shared" si="55"/>
        <v>17</v>
      </c>
      <c r="AE400" s="29">
        <f>YEAR(Data!$C400)</f>
        <v>2022</v>
      </c>
      <c r="AF400" s="29"/>
      <c r="AG400" s="29">
        <v>12</v>
      </c>
      <c r="AH400" s="33">
        <f>Data!$F400/Data!$D400</f>
        <v>10.14516129032258</v>
      </c>
      <c r="AI400" s="17" t="str">
        <f>RIGHT(Data!$O400,2)</f>
        <v>AM</v>
      </c>
      <c r="AJ400" s="29" t="str">
        <f>Data!$R400&amp;"-"&amp;WEEKNUM(Data!$C400,1)-WEEKNUM(DATE(YEAR(Data!$C400),MONTH(Data!$C400),1),1)+1</f>
        <v>11-2022-4</v>
      </c>
      <c r="AK400" s="29">
        <f>MONTH(Data!$C400)</f>
        <v>11</v>
      </c>
      <c r="AL400" s="29">
        <f>IFERROR(Data!$F400/Data!$E400,0)</f>
        <v>48.384615384615387</v>
      </c>
      <c r="AM400" s="29">
        <f>COUNTIF(Data!$N$2:$N$825,Data!$N400)</f>
        <v>11</v>
      </c>
      <c r="AN400" s="29" t="str">
        <f>VLOOKUP(Data!$N400,'Helpful Tables'!A:D,4,FALSE)</f>
        <v>Massachusetts</v>
      </c>
      <c r="AO400" s="29">
        <f>COUNTIF(AN:AN,Data!$AN400)/COUNTA(AN:AN)</f>
        <v>1.9393939393939394E-2</v>
      </c>
      <c r="AP400" s="29">
        <v>42.350487000000001</v>
      </c>
      <c r="AQ400" s="29">
        <v>-71.152720000000002</v>
      </c>
      <c r="AR400" s="29">
        <f>COUNTIF(Data!$P$2:$P$825,Data!$P400)</f>
        <v>4</v>
      </c>
      <c r="AS400" s="29" cm="1">
        <f t="array" ref="AS400">_xlfn.IFS(Data!$E400&lt;12,((Data!$E400/Data!$D400)*60)*1,AND(Data!$E400&gt;=12,Data!$E400&lt;=15),((Data!$E400/Data!$D400)*60)*1.2,AND(Data!$E400&gt;=16,Data!$E400&lt;=19),((Data!$E400/Data!$D400)*60)*1.5,Data!$E400&gt;=20,((Data!$E400/Data!$D400)*60)*1.8)</f>
        <v>15.096774193548388</v>
      </c>
      <c r="AT400" s="29" cm="1">
        <f t="array" ref="AT400">_xlfn.IFS(Data!$F400&lt;600,((Data!$F400/Data!$D400)*60)*1,AND(Data!$F400&gt;=600,Data!$F400&lt;=625),((Data!$F400/Data!$D400)*60)*1.2,AND(Data!$F400&gt;=626,Data!$F400&lt;=650),((Data!$F400/Data!$D400)*60)*1.5,Data!$F400&gt;=651,((Data!$F400/Data!$D400)*60)*1.8)</f>
        <v>913.0645161290322</v>
      </c>
      <c r="AU400" s="29">
        <f>(Data!$I400*-1.2)+(Data!$J400*-1.1)+(Data!$K400*1.2)+(Data!$L400*1.3)+(Data!$M400*1.5)</f>
        <v>-8.2999999999999972</v>
      </c>
      <c r="AV400" s="29">
        <f>(Data!$AS400*0.4)+(Data!$AT400*0.4)+(Data!$AU400*0.2)</f>
        <v>369.60451612903228</v>
      </c>
      <c r="AW400" s="29">
        <f>PERCENTRANK(AV:AV,Data!$AV400)*100</f>
        <v>44.3</v>
      </c>
      <c r="AX400" s="29" t="str">
        <f>_xlfn.CONCAT(TEXT(C400,"mmm"),"-",Data!$AE400)</f>
        <v>Nov-2022</v>
      </c>
    </row>
    <row r="401" spans="1:50" ht="17" thickTop="1" thickBot="1" x14ac:dyDescent="0.25">
      <c r="A401" s="22">
        <v>400</v>
      </c>
      <c r="B401" s="23">
        <f t="shared" si="50"/>
        <v>16</v>
      </c>
      <c r="C401" s="41">
        <v>44891</v>
      </c>
      <c r="D401" s="24">
        <f>SUM(Data!$I401:$M401)</f>
        <v>57</v>
      </c>
      <c r="E401" s="23">
        <v>16</v>
      </c>
      <c r="F401" s="23">
        <v>621</v>
      </c>
      <c r="G401" s="23">
        <v>165</v>
      </c>
      <c r="H401" s="23">
        <v>126</v>
      </c>
      <c r="I401" s="23">
        <v>7</v>
      </c>
      <c r="J401" s="23">
        <v>16</v>
      </c>
      <c r="K401" s="23">
        <v>18</v>
      </c>
      <c r="L401" s="23">
        <v>13</v>
      </c>
      <c r="M401" s="23">
        <v>3</v>
      </c>
      <c r="N401" s="23" t="s">
        <v>30</v>
      </c>
      <c r="O401" s="23" t="s">
        <v>166</v>
      </c>
      <c r="P401" s="23" t="s">
        <v>165</v>
      </c>
      <c r="Q401" s="23">
        <f t="shared" si="56"/>
        <v>2</v>
      </c>
      <c r="R401" s="23" t="str">
        <f t="shared" si="51"/>
        <v>11-2022</v>
      </c>
      <c r="S401" s="23" t="s">
        <v>117</v>
      </c>
      <c r="T401" s="23" t="str">
        <f t="shared" si="52"/>
        <v>Saturday</v>
      </c>
      <c r="U401" s="23">
        <f t="shared" si="53"/>
        <v>1</v>
      </c>
      <c r="V401" s="25">
        <f>IFERROR(Data!$I401/Data!$D401,"")</f>
        <v>0.12280701754385964</v>
      </c>
      <c r="W401" s="25">
        <f>IFERROR(Data!$J401/Data!$D401,"")</f>
        <v>0.2807017543859649</v>
      </c>
      <c r="X401" s="25">
        <f>IFERROR(Data!$K401/Data!$D401,"")</f>
        <v>0.31578947368421051</v>
      </c>
      <c r="Y401" s="25">
        <f>IFERROR(Data!$L401/Data!$D401,"")</f>
        <v>0.22807017543859648</v>
      </c>
      <c r="Z401" s="25">
        <f>IFERROR(Data!$M401/Data!$D401,"")</f>
        <v>5.2631578947368418E-2</v>
      </c>
      <c r="AA401" s="26">
        <v>232.14</v>
      </c>
      <c r="AB401" s="26">
        <f t="shared" si="57"/>
        <v>14.508749999999999</v>
      </c>
      <c r="AC401" s="23">
        <f t="shared" si="54"/>
        <v>636</v>
      </c>
      <c r="AD401" s="23">
        <f t="shared" si="55"/>
        <v>17</v>
      </c>
      <c r="AE401" s="23">
        <f>YEAR(Data!$C401)</f>
        <v>2022</v>
      </c>
      <c r="AF401" s="23"/>
      <c r="AG401" s="23">
        <v>12</v>
      </c>
      <c r="AH401" s="27">
        <f>Data!$F401/Data!$D401</f>
        <v>10.894736842105264</v>
      </c>
      <c r="AI401" s="17" t="str">
        <f>RIGHT(Data!$O401,2)</f>
        <v>AM</v>
      </c>
      <c r="AJ401" s="23" t="str">
        <f>Data!$R401&amp;"-"&amp;WEEKNUM(Data!$C401,1)-WEEKNUM(DATE(YEAR(Data!$C401),MONTH(Data!$C401),1),1)+1</f>
        <v>11-2022-4</v>
      </c>
      <c r="AK401" s="23">
        <f>MONTH(Data!$C401)</f>
        <v>11</v>
      </c>
      <c r="AL401" s="23">
        <f>IFERROR(Data!$F401/Data!$E401,0)</f>
        <v>38.8125</v>
      </c>
      <c r="AM401" s="23">
        <f>COUNTIF(Data!$N$2:$N$825,Data!$N401)</f>
        <v>9</v>
      </c>
      <c r="AN401" s="23" t="str">
        <f>VLOOKUP(Data!$N401,'Helpful Tables'!A:D,4,FALSE)</f>
        <v>Virginia</v>
      </c>
      <c r="AO401" s="23">
        <f>COUNTIF(AN:AN,Data!$AN401)/COUNTA(AN:AN)</f>
        <v>6.424242424242424E-2</v>
      </c>
      <c r="AP401" s="23">
        <v>38.894024999999999</v>
      </c>
      <c r="AQ401" s="23">
        <v>-77.078213000000005</v>
      </c>
      <c r="AR401" s="23">
        <f>COUNTIF(Data!$P$2:$P$825,Data!$P401)</f>
        <v>1</v>
      </c>
      <c r="AS401" s="23" cm="1">
        <f t="array" ref="AS401">_xlfn.IFS(Data!$E401&lt;12,((Data!$E401/Data!$D401)*60)*1,AND(Data!$E401&gt;=12,Data!$E401&lt;=15),((Data!$E401/Data!$D401)*60)*1.2,AND(Data!$E401&gt;=16,Data!$E401&lt;=19),((Data!$E401/Data!$D401)*60)*1.5,Data!$E401&gt;=20,((Data!$E401/Data!$D401)*60)*1.8)</f>
        <v>25.263157894736842</v>
      </c>
      <c r="AT401" s="23" cm="1">
        <f t="array" ref="AT401">_xlfn.IFS(Data!$F401&lt;600,((Data!$F401/Data!$D401)*60)*1,AND(Data!$F401&gt;=600,Data!$F401&lt;=625),((Data!$F401/Data!$D401)*60)*1.2,AND(Data!$F401&gt;=626,Data!$F401&lt;=650),((Data!$F401/Data!$D401)*60)*1.5,Data!$F401&gt;=651,((Data!$F401/Data!$D401)*60)*1.8)</f>
        <v>784.42105263157896</v>
      </c>
      <c r="AU401" s="23">
        <f>(Data!$I401*-1.2)+(Data!$J401*-1.1)+(Data!$K401*1.2)+(Data!$L401*1.3)+(Data!$M401*1.5)</f>
        <v>17</v>
      </c>
      <c r="AV401" s="23">
        <f>(Data!$AS401*0.4)+(Data!$AT401*0.4)+(Data!$AU401*0.2)</f>
        <v>327.27368421052631</v>
      </c>
      <c r="AW401" s="23">
        <f>PERCENTRANK(AV:AV,Data!$AV401)*100</f>
        <v>40.300000000000004</v>
      </c>
      <c r="AX401" s="23" t="str">
        <f>_xlfn.CONCAT(TEXT(C401,"mmm"),"-",Data!$AE401)</f>
        <v>Nov-2022</v>
      </c>
    </row>
    <row r="402" spans="1:50" ht="17" thickTop="1" thickBot="1" x14ac:dyDescent="0.25">
      <c r="A402" s="28">
        <v>401</v>
      </c>
      <c r="B402" s="29">
        <f t="shared" si="50"/>
        <v>16</v>
      </c>
      <c r="C402" s="41">
        <v>44893</v>
      </c>
      <c r="D402" s="30">
        <f>SUM(Data!$I402:$M402)</f>
        <v>58</v>
      </c>
      <c r="E402" s="29">
        <v>20</v>
      </c>
      <c r="F402" s="29">
        <v>676</v>
      </c>
      <c r="G402" s="29">
        <v>170</v>
      </c>
      <c r="H402" s="29">
        <v>130</v>
      </c>
      <c r="I402" s="29">
        <v>7</v>
      </c>
      <c r="J402" s="29">
        <v>15</v>
      </c>
      <c r="K402" s="29">
        <v>16</v>
      </c>
      <c r="L402" s="29">
        <v>14</v>
      </c>
      <c r="M402" s="29">
        <v>6</v>
      </c>
      <c r="N402" s="29" t="s">
        <v>101</v>
      </c>
      <c r="O402" s="29" t="s">
        <v>39</v>
      </c>
      <c r="P402" s="29" t="s">
        <v>109</v>
      </c>
      <c r="Q402" s="29">
        <f t="shared" si="56"/>
        <v>2</v>
      </c>
      <c r="R402" s="29" t="str">
        <f t="shared" si="51"/>
        <v>11-2022</v>
      </c>
      <c r="S402" s="29" t="s">
        <v>104</v>
      </c>
      <c r="T402" s="29" t="str">
        <f t="shared" si="52"/>
        <v>Monday</v>
      </c>
      <c r="U402" s="29">
        <f t="shared" si="53"/>
        <v>1</v>
      </c>
      <c r="V402" s="31">
        <f>IFERROR(Data!$I402/Data!$D402,"")</f>
        <v>0.1206896551724138</v>
      </c>
      <c r="W402" s="31">
        <f>IFERROR(Data!$J402/Data!$D402,"")</f>
        <v>0.25862068965517243</v>
      </c>
      <c r="X402" s="31">
        <f>IFERROR(Data!$K402/Data!$D402,"")</f>
        <v>0.27586206896551724</v>
      </c>
      <c r="Y402" s="31">
        <f>IFERROR(Data!$L402/Data!$D402,"")</f>
        <v>0.2413793103448276</v>
      </c>
      <c r="Z402" s="31">
        <f>IFERROR(Data!$M402/Data!$D402,"")</f>
        <v>0.10344827586206896</v>
      </c>
      <c r="AA402" s="32">
        <v>232.14</v>
      </c>
      <c r="AB402" s="32">
        <f t="shared" si="57"/>
        <v>14.508749999999999</v>
      </c>
      <c r="AC402" s="29">
        <f t="shared" si="54"/>
        <v>636</v>
      </c>
      <c r="AD402" s="29">
        <f t="shared" si="55"/>
        <v>17</v>
      </c>
      <c r="AE402" s="29">
        <f>YEAR(Data!$C402)</f>
        <v>2022</v>
      </c>
      <c r="AF402" s="29"/>
      <c r="AG402" s="29">
        <v>12</v>
      </c>
      <c r="AH402" s="33">
        <f>Data!$F402/Data!$D402</f>
        <v>11.655172413793103</v>
      </c>
      <c r="AI402" s="17" t="str">
        <f>RIGHT(Data!$O402,2)</f>
        <v>PM</v>
      </c>
      <c r="AJ402" s="29" t="str">
        <f>Data!$R402&amp;"-"&amp;WEEKNUM(Data!$C402,1)-WEEKNUM(DATE(YEAR(Data!$C402),MONTH(Data!$C402),1),1)+1</f>
        <v>11-2022-5</v>
      </c>
      <c r="AK402" s="29">
        <f>MONTH(Data!$C402)</f>
        <v>11</v>
      </c>
      <c r="AL402" s="29">
        <f>IFERROR(Data!$F402/Data!$E402,0)</f>
        <v>33.799999999999997</v>
      </c>
      <c r="AM402" s="29">
        <f>COUNTIF(Data!$N$2:$N$825,Data!$N402)</f>
        <v>191</v>
      </c>
      <c r="AN402" s="29" t="str">
        <f>VLOOKUP(Data!$N402,'Helpful Tables'!A:D,4,FALSE)</f>
        <v>Washington, DC</v>
      </c>
      <c r="AO402" s="29">
        <f>COUNTIF(AN:AN,Data!$AN402)/COUNTA(AN:AN)</f>
        <v>0.62424242424242427</v>
      </c>
      <c r="AP402" s="29">
        <v>38.949649000000001</v>
      </c>
      <c r="AQ402" s="29">
        <v>-77.080878999999996</v>
      </c>
      <c r="AR402" s="29">
        <f>COUNTIF(Data!$P$2:$P$825,Data!$P402)</f>
        <v>66</v>
      </c>
      <c r="AS402" s="29" cm="1">
        <f t="array" ref="AS402">_xlfn.IFS(Data!$E402&lt;12,((Data!$E402/Data!$D402)*60)*1,AND(Data!$E402&gt;=12,Data!$E402&lt;=15),((Data!$E402/Data!$D402)*60)*1.2,AND(Data!$E402&gt;=16,Data!$E402&lt;=19),((Data!$E402/Data!$D402)*60)*1.5,Data!$E402&gt;=20,((Data!$E402/Data!$D402)*60)*1.8)</f>
        <v>37.241379310344833</v>
      </c>
      <c r="AT402" s="29" cm="1">
        <f t="array" ref="AT402">_xlfn.IFS(Data!$F402&lt;600,((Data!$F402/Data!$D402)*60)*1,AND(Data!$F402&gt;=600,Data!$F402&lt;=625),((Data!$F402/Data!$D402)*60)*1.2,AND(Data!$F402&gt;=626,Data!$F402&lt;=650),((Data!$F402/Data!$D402)*60)*1.5,Data!$F402&gt;=651,((Data!$F402/Data!$D402)*60)*1.8)</f>
        <v>1258.7586206896551</v>
      </c>
      <c r="AU402" s="29">
        <f>(Data!$I402*-1.2)+(Data!$J402*-1.1)+(Data!$K402*1.2)+(Data!$L402*1.3)+(Data!$M402*1.5)</f>
        <v>21.5</v>
      </c>
      <c r="AV402" s="29">
        <f>(Data!$AS402*0.4)+(Data!$AT402*0.4)+(Data!$AU402*0.2)</f>
        <v>522.69999999999993</v>
      </c>
      <c r="AW402" s="29">
        <f>PERCENTRANK(AV:AV,Data!$AV402)*100</f>
        <v>90.5</v>
      </c>
      <c r="AX402" s="29" t="str">
        <f>_xlfn.CONCAT(TEXT(C402,"mmm"),"-",Data!$AE402)</f>
        <v>Nov-2022</v>
      </c>
    </row>
    <row r="403" spans="1:50" ht="17" thickTop="1" thickBot="1" x14ac:dyDescent="0.25">
      <c r="A403" s="22">
        <v>402</v>
      </c>
      <c r="B403" s="23">
        <f t="shared" si="50"/>
        <v>16</v>
      </c>
      <c r="C403" s="41">
        <v>44895</v>
      </c>
      <c r="D403" s="24">
        <f>SUM(Data!$I403:$M403)</f>
        <v>58</v>
      </c>
      <c r="E403" s="23">
        <v>14</v>
      </c>
      <c r="F403" s="23">
        <v>581</v>
      </c>
      <c r="G403" s="23">
        <v>169</v>
      </c>
      <c r="H403" s="23">
        <v>120</v>
      </c>
      <c r="I403" s="23">
        <v>19</v>
      </c>
      <c r="J403" s="23">
        <v>13</v>
      </c>
      <c r="K403" s="23">
        <v>12</v>
      </c>
      <c r="L403" s="23">
        <v>7</v>
      </c>
      <c r="M403" s="23">
        <v>7</v>
      </c>
      <c r="N403" s="23" t="s">
        <v>101</v>
      </c>
      <c r="O403" s="23" t="s">
        <v>39</v>
      </c>
      <c r="P403" s="23" t="s">
        <v>147</v>
      </c>
      <c r="Q403" s="23">
        <f t="shared" si="56"/>
        <v>2</v>
      </c>
      <c r="R403" s="23" t="str">
        <f t="shared" si="51"/>
        <v>11-2022</v>
      </c>
      <c r="S403" s="23" t="s">
        <v>104</v>
      </c>
      <c r="T403" s="23" t="str">
        <f t="shared" si="52"/>
        <v>Wednesday</v>
      </c>
      <c r="U403" s="23">
        <f t="shared" si="53"/>
        <v>1</v>
      </c>
      <c r="V403" s="25">
        <f>IFERROR(Data!$I403/Data!$D403,"")</f>
        <v>0.32758620689655171</v>
      </c>
      <c r="W403" s="25">
        <f>IFERROR(Data!$J403/Data!$D403,"")</f>
        <v>0.22413793103448276</v>
      </c>
      <c r="X403" s="25">
        <f>IFERROR(Data!$K403/Data!$D403,"")</f>
        <v>0.20689655172413793</v>
      </c>
      <c r="Y403" s="25">
        <f>IFERROR(Data!$L403/Data!$D403,"")</f>
        <v>0.1206896551724138</v>
      </c>
      <c r="Z403" s="25">
        <f>IFERROR(Data!$M403/Data!$D403,"")</f>
        <v>0.1206896551724138</v>
      </c>
      <c r="AA403" s="26">
        <v>232.14</v>
      </c>
      <c r="AB403" s="26">
        <f t="shared" si="57"/>
        <v>14.508749999999999</v>
      </c>
      <c r="AC403" s="23">
        <f t="shared" si="54"/>
        <v>636</v>
      </c>
      <c r="AD403" s="23">
        <f t="shared" si="55"/>
        <v>17</v>
      </c>
      <c r="AE403" s="23">
        <f>YEAR(Data!$C403)</f>
        <v>2022</v>
      </c>
      <c r="AF403" s="23"/>
      <c r="AG403" s="23">
        <v>12</v>
      </c>
      <c r="AH403" s="27">
        <f>Data!$F403/Data!$D403</f>
        <v>10.017241379310345</v>
      </c>
      <c r="AI403" s="17" t="str">
        <f>RIGHT(Data!$O403,2)</f>
        <v>PM</v>
      </c>
      <c r="AJ403" s="23" t="str">
        <f>Data!$R403&amp;"-"&amp;WEEKNUM(Data!$C403,1)-WEEKNUM(DATE(YEAR(Data!$C403),MONTH(Data!$C403),1),1)+1</f>
        <v>11-2022-5</v>
      </c>
      <c r="AK403" s="23">
        <f>MONTH(Data!$C403)</f>
        <v>11</v>
      </c>
      <c r="AL403" s="23">
        <f>IFERROR(Data!$F403/Data!$E403,0)</f>
        <v>41.5</v>
      </c>
      <c r="AM403" s="23">
        <f>COUNTIF(Data!$N$2:$N$825,Data!$N403)</f>
        <v>191</v>
      </c>
      <c r="AN403" s="23" t="str">
        <f>VLOOKUP(Data!$N403,'Helpful Tables'!A:D,4,FALSE)</f>
        <v>Washington, DC</v>
      </c>
      <c r="AO403" s="23">
        <f>COUNTIF(AN:AN,Data!$AN403)/COUNTA(AN:AN)</f>
        <v>0.62424242424242427</v>
      </c>
      <c r="AP403" s="23">
        <v>38.949649000000001</v>
      </c>
      <c r="AQ403" s="23">
        <v>-77.080878999999996</v>
      </c>
      <c r="AR403" s="23">
        <f>COUNTIF(Data!$P$2:$P$825,Data!$P403)</f>
        <v>17</v>
      </c>
      <c r="AS403" s="23" cm="1">
        <f t="array" ref="AS403">_xlfn.IFS(Data!$E403&lt;12,((Data!$E403/Data!$D403)*60)*1,AND(Data!$E403&gt;=12,Data!$E403&lt;=15),((Data!$E403/Data!$D403)*60)*1.2,AND(Data!$E403&gt;=16,Data!$E403&lt;=19),((Data!$E403/Data!$D403)*60)*1.5,Data!$E403&gt;=20,((Data!$E403/Data!$D403)*60)*1.8)</f>
        <v>17.379310344827587</v>
      </c>
      <c r="AT403" s="23" cm="1">
        <f t="array" ref="AT403">_xlfn.IFS(Data!$F403&lt;600,((Data!$F403/Data!$D403)*60)*1,AND(Data!$F403&gt;=600,Data!$F403&lt;=625),((Data!$F403/Data!$D403)*60)*1.2,AND(Data!$F403&gt;=626,Data!$F403&lt;=650),((Data!$F403/Data!$D403)*60)*1.5,Data!$F403&gt;=651,((Data!$F403/Data!$D403)*60)*1.8)</f>
        <v>601.0344827586207</v>
      </c>
      <c r="AU403" s="23">
        <f>(Data!$I403*-1.2)+(Data!$J403*-1.1)+(Data!$K403*1.2)+(Data!$L403*1.3)+(Data!$M403*1.5)</f>
        <v>-3.1000000000000032</v>
      </c>
      <c r="AV403" s="23">
        <f>(Data!$AS403*0.4)+(Data!$AT403*0.4)+(Data!$AU403*0.2)</f>
        <v>246.7455172413793</v>
      </c>
      <c r="AW403" s="23">
        <f>PERCENTRANK(AV:AV,Data!$AV403)*100</f>
        <v>16</v>
      </c>
      <c r="AX403" s="23" t="str">
        <f>_xlfn.CONCAT(TEXT(C403,"mmm"),"-",Data!$AE403)</f>
        <v>Nov-2022</v>
      </c>
    </row>
    <row r="404" spans="1:50" ht="17" thickTop="1" thickBot="1" x14ac:dyDescent="0.25">
      <c r="A404" s="28">
        <v>403</v>
      </c>
      <c r="B404" s="29">
        <f t="shared" si="50"/>
        <v>9</v>
      </c>
      <c r="C404" s="41">
        <v>44897</v>
      </c>
      <c r="D404" s="30">
        <f>SUM(Data!$I404:$M404)</f>
        <v>57</v>
      </c>
      <c r="E404" s="29">
        <v>21</v>
      </c>
      <c r="F404" s="29">
        <v>651</v>
      </c>
      <c r="G404" s="29">
        <v>165</v>
      </c>
      <c r="H404" s="29">
        <v>129</v>
      </c>
      <c r="I404" s="29">
        <v>11</v>
      </c>
      <c r="J404" s="29">
        <v>10</v>
      </c>
      <c r="K404" s="29">
        <v>15</v>
      </c>
      <c r="L404" s="29">
        <v>15</v>
      </c>
      <c r="M404" s="29">
        <v>6</v>
      </c>
      <c r="N404" s="29" t="s">
        <v>91</v>
      </c>
      <c r="O404" s="29" t="s">
        <v>89</v>
      </c>
      <c r="P404" s="29" t="s">
        <v>109</v>
      </c>
      <c r="Q404" s="29">
        <f t="shared" si="56"/>
        <v>2</v>
      </c>
      <c r="R404" s="29" t="str">
        <f t="shared" si="51"/>
        <v>12-2022</v>
      </c>
      <c r="S404" s="29" t="s">
        <v>104</v>
      </c>
      <c r="T404" s="29" t="str">
        <f t="shared" si="52"/>
        <v>Friday</v>
      </c>
      <c r="U404" s="29">
        <f t="shared" si="53"/>
        <v>1</v>
      </c>
      <c r="V404" s="31">
        <f>IFERROR(Data!$I404/Data!$D404,"")</f>
        <v>0.19298245614035087</v>
      </c>
      <c r="W404" s="31">
        <f>IFERROR(Data!$J404/Data!$D404,"")</f>
        <v>0.17543859649122806</v>
      </c>
      <c r="X404" s="31">
        <f>IFERROR(Data!$K404/Data!$D404,"")</f>
        <v>0.26315789473684209</v>
      </c>
      <c r="Y404" s="31">
        <f>IFERROR(Data!$L404/Data!$D404,"")</f>
        <v>0.26315789473684209</v>
      </c>
      <c r="Z404" s="31">
        <f>IFERROR(Data!$M404/Data!$D404,"")</f>
        <v>0.10526315789473684</v>
      </c>
      <c r="AA404" s="32">
        <v>232.14</v>
      </c>
      <c r="AB404" s="32">
        <f t="shared" si="57"/>
        <v>25.793333333333333</v>
      </c>
      <c r="AC404" s="29">
        <f t="shared" si="54"/>
        <v>625.66666666666663</v>
      </c>
      <c r="AD404" s="29">
        <f t="shared" si="55"/>
        <v>17</v>
      </c>
      <c r="AE404" s="29">
        <f>YEAR(Data!$C404)</f>
        <v>2022</v>
      </c>
      <c r="AF404" s="29"/>
      <c r="AG404" s="29">
        <v>12</v>
      </c>
      <c r="AH404" s="33">
        <f>Data!$F404/Data!$D404</f>
        <v>11.421052631578947</v>
      </c>
      <c r="AI404" s="17" t="str">
        <f>RIGHT(Data!$O404,2)</f>
        <v>AM</v>
      </c>
      <c r="AJ404" s="29" t="str">
        <f>Data!$R404&amp;"-"&amp;WEEKNUM(Data!$C404,1)-WEEKNUM(DATE(YEAR(Data!$C404),MONTH(Data!$C404),1),1)+1</f>
        <v>12-2022-1</v>
      </c>
      <c r="AK404" s="29">
        <f>MONTH(Data!$C404)</f>
        <v>12</v>
      </c>
      <c r="AL404" s="29">
        <f>IFERROR(Data!$F404/Data!$E404,0)</f>
        <v>31</v>
      </c>
      <c r="AM404" s="29">
        <f>COUNTIF(Data!$N$2:$N$825,Data!$N404)</f>
        <v>218</v>
      </c>
      <c r="AN404" s="29" t="str">
        <f>VLOOKUP(Data!$N404,'Helpful Tables'!A:D,4,FALSE)</f>
        <v>Washington, DC</v>
      </c>
      <c r="AO404" s="29">
        <f>COUNTIF(AN:AN,Data!$AN404)/COUNTA(AN:AN)</f>
        <v>0.62424242424242427</v>
      </c>
      <c r="AP404" s="29">
        <v>38.934710000000003</v>
      </c>
      <c r="AQ404" s="29">
        <v>-77.058222999999998</v>
      </c>
      <c r="AR404" s="29">
        <f>COUNTIF(Data!$P$2:$P$825,Data!$P404)</f>
        <v>66</v>
      </c>
      <c r="AS404" s="29" cm="1">
        <f t="array" ref="AS404">_xlfn.IFS(Data!$E404&lt;12,((Data!$E404/Data!$D404)*60)*1,AND(Data!$E404&gt;=12,Data!$E404&lt;=15),((Data!$E404/Data!$D404)*60)*1.2,AND(Data!$E404&gt;=16,Data!$E404&lt;=19),((Data!$E404/Data!$D404)*60)*1.5,Data!$E404&gt;=20,((Data!$E404/Data!$D404)*60)*1.8)</f>
        <v>39.789473684210527</v>
      </c>
      <c r="AT404" s="29" cm="1">
        <f t="array" ref="AT404">_xlfn.IFS(Data!$F404&lt;600,((Data!$F404/Data!$D404)*60)*1,AND(Data!$F404&gt;=600,Data!$F404&lt;=625),((Data!$F404/Data!$D404)*60)*1.2,AND(Data!$F404&gt;=626,Data!$F404&lt;=650),((Data!$F404/Data!$D404)*60)*1.5,Data!$F404&gt;=651,((Data!$F404/Data!$D404)*60)*1.8)</f>
        <v>1233.4736842105262</v>
      </c>
      <c r="AU404" s="29">
        <f>(Data!$I404*-1.2)+(Data!$J404*-1.1)+(Data!$K404*1.2)+(Data!$L404*1.3)+(Data!$M404*1.5)</f>
        <v>22.3</v>
      </c>
      <c r="AV404" s="29">
        <f>(Data!$AS404*0.4)+(Data!$AT404*0.4)+(Data!$AU404*0.2)</f>
        <v>513.76526315789476</v>
      </c>
      <c r="AW404" s="29">
        <f>PERCENTRANK(AV:AV,Data!$AV404)*100</f>
        <v>86.5</v>
      </c>
      <c r="AX404" s="29" t="str">
        <f>_xlfn.CONCAT(TEXT(C404,"mmm"),"-",Data!$AE404)</f>
        <v>Dec-2022</v>
      </c>
    </row>
    <row r="405" spans="1:50" ht="17" thickTop="1" thickBot="1" x14ac:dyDescent="0.25">
      <c r="A405" s="22">
        <v>404</v>
      </c>
      <c r="B405" s="23">
        <f t="shared" si="50"/>
        <v>9</v>
      </c>
      <c r="C405" s="41">
        <v>44899</v>
      </c>
      <c r="D405" s="24">
        <f>SUM(Data!$I405:$M405)</f>
        <v>57</v>
      </c>
      <c r="E405" s="23">
        <v>19</v>
      </c>
      <c r="F405" s="23">
        <v>628</v>
      </c>
      <c r="G405" s="23">
        <v>165</v>
      </c>
      <c r="H405" s="23">
        <v>127</v>
      </c>
      <c r="I405" s="23">
        <v>11</v>
      </c>
      <c r="J405" s="23">
        <v>11</v>
      </c>
      <c r="K405" s="23">
        <v>16</v>
      </c>
      <c r="L405" s="23">
        <v>15</v>
      </c>
      <c r="M405" s="23">
        <v>4</v>
      </c>
      <c r="N405" s="23" t="s">
        <v>91</v>
      </c>
      <c r="O405" s="23" t="s">
        <v>79</v>
      </c>
      <c r="P405" s="23" t="s">
        <v>100</v>
      </c>
      <c r="Q405" s="23">
        <f t="shared" si="56"/>
        <v>2</v>
      </c>
      <c r="R405" s="23" t="str">
        <f t="shared" si="51"/>
        <v>12-2022</v>
      </c>
      <c r="S405" s="23" t="s">
        <v>104</v>
      </c>
      <c r="T405" s="23" t="str">
        <f t="shared" si="52"/>
        <v>Sunday</v>
      </c>
      <c r="U405" s="23">
        <f t="shared" si="53"/>
        <v>1</v>
      </c>
      <c r="V405" s="25">
        <f>IFERROR(Data!$I405/Data!$D405,"")</f>
        <v>0.19298245614035087</v>
      </c>
      <c r="W405" s="25">
        <f>IFERROR(Data!$J405/Data!$D405,"")</f>
        <v>0.19298245614035087</v>
      </c>
      <c r="X405" s="25">
        <f>IFERROR(Data!$K405/Data!$D405,"")</f>
        <v>0.2807017543859649</v>
      </c>
      <c r="Y405" s="25">
        <f>IFERROR(Data!$L405/Data!$D405,"")</f>
        <v>0.26315789473684209</v>
      </c>
      <c r="Z405" s="25">
        <f>IFERROR(Data!$M405/Data!$D405,"")</f>
        <v>7.0175438596491224E-2</v>
      </c>
      <c r="AA405" s="26">
        <v>232.14</v>
      </c>
      <c r="AB405" s="26">
        <f t="shared" si="57"/>
        <v>25.793333333333333</v>
      </c>
      <c r="AC405" s="23">
        <f t="shared" si="54"/>
        <v>625.66666666666663</v>
      </c>
      <c r="AD405" s="23">
        <f t="shared" si="55"/>
        <v>17</v>
      </c>
      <c r="AE405" s="23">
        <f>YEAR(Data!$C405)</f>
        <v>2022</v>
      </c>
      <c r="AF405" s="23"/>
      <c r="AG405" s="23">
        <v>12</v>
      </c>
      <c r="AH405" s="27">
        <f>Data!$F405/Data!$D405</f>
        <v>11.017543859649123</v>
      </c>
      <c r="AI405" s="17" t="str">
        <f>RIGHT(Data!$O405,2)</f>
        <v>AM</v>
      </c>
      <c r="AJ405" s="23" t="str">
        <f>Data!$R405&amp;"-"&amp;WEEKNUM(Data!$C405,1)-WEEKNUM(DATE(YEAR(Data!$C405),MONTH(Data!$C405),1),1)+1</f>
        <v>12-2022-2</v>
      </c>
      <c r="AK405" s="23">
        <f>MONTH(Data!$C405)</f>
        <v>12</v>
      </c>
      <c r="AL405" s="23">
        <f>IFERROR(Data!$F405/Data!$E405,0)</f>
        <v>33.05263157894737</v>
      </c>
      <c r="AM405" s="23">
        <f>COUNTIF(Data!$N$2:$N$825,Data!$N405)</f>
        <v>218</v>
      </c>
      <c r="AN405" s="23" t="str">
        <f>VLOOKUP(Data!$N405,'Helpful Tables'!A:D,4,FALSE)</f>
        <v>Washington, DC</v>
      </c>
      <c r="AO405" s="23">
        <f>COUNTIF(AN:AN,Data!$AN405)/COUNTA(AN:AN)</f>
        <v>0.62424242424242427</v>
      </c>
      <c r="AP405" s="23">
        <v>38.934710000000003</v>
      </c>
      <c r="AQ405" s="23">
        <v>-77.058222999999998</v>
      </c>
      <c r="AR405" s="23">
        <f>COUNTIF(Data!$P$2:$P$825,Data!$P405)</f>
        <v>35</v>
      </c>
      <c r="AS405" s="23" cm="1">
        <f t="array" ref="AS405">_xlfn.IFS(Data!$E405&lt;12,((Data!$E405/Data!$D405)*60)*1,AND(Data!$E405&gt;=12,Data!$E405&lt;=15),((Data!$E405/Data!$D405)*60)*1.2,AND(Data!$E405&gt;=16,Data!$E405&lt;=19),((Data!$E405/Data!$D405)*60)*1.5,Data!$E405&gt;=20,((Data!$E405/Data!$D405)*60)*1.8)</f>
        <v>30</v>
      </c>
      <c r="AT405" s="23" cm="1">
        <f t="array" ref="AT405">_xlfn.IFS(Data!$F405&lt;600,((Data!$F405/Data!$D405)*60)*1,AND(Data!$F405&gt;=600,Data!$F405&lt;=625),((Data!$F405/Data!$D405)*60)*1.2,AND(Data!$F405&gt;=626,Data!$F405&lt;=650),((Data!$F405/Data!$D405)*60)*1.5,Data!$F405&gt;=651,((Data!$F405/Data!$D405)*60)*1.8)</f>
        <v>991.57894736842104</v>
      </c>
      <c r="AU405" s="23">
        <f>(Data!$I405*-1.2)+(Data!$J405*-1.1)+(Data!$K405*1.2)+(Data!$L405*1.3)+(Data!$M405*1.5)</f>
        <v>19.399999999999999</v>
      </c>
      <c r="AV405" s="23">
        <f>(Data!$AS405*0.4)+(Data!$AT405*0.4)+(Data!$AU405*0.2)</f>
        <v>412.51157894736843</v>
      </c>
      <c r="AW405" s="23">
        <f>PERCENTRANK(AV:AV,Data!$AV405)*100</f>
        <v>58.4</v>
      </c>
      <c r="AX405" s="23" t="str">
        <f>_xlfn.CONCAT(TEXT(C405,"mmm"),"-",Data!$AE405)</f>
        <v>Dec-2022</v>
      </c>
    </row>
    <row r="406" spans="1:50" ht="17" thickTop="1" thickBot="1" x14ac:dyDescent="0.25">
      <c r="A406" s="28">
        <v>405</v>
      </c>
      <c r="B406" s="29">
        <f t="shared" si="50"/>
        <v>9</v>
      </c>
      <c r="C406" s="41">
        <v>44900</v>
      </c>
      <c r="D406" s="30">
        <f>SUM(Data!$I406:$M406)</f>
        <v>58</v>
      </c>
      <c r="E406" s="29">
        <v>15</v>
      </c>
      <c r="F406" s="29">
        <v>606</v>
      </c>
      <c r="G406" s="29">
        <v>168</v>
      </c>
      <c r="H406" s="29">
        <v>123</v>
      </c>
      <c r="I406" s="29">
        <v>12</v>
      </c>
      <c r="J406" s="29">
        <v>16</v>
      </c>
      <c r="K406" s="29">
        <v>15</v>
      </c>
      <c r="L406" s="29">
        <v>13</v>
      </c>
      <c r="M406" s="29">
        <v>2</v>
      </c>
      <c r="N406" s="29" t="s">
        <v>101</v>
      </c>
      <c r="O406" s="29" t="s">
        <v>50</v>
      </c>
      <c r="P406" s="29" t="s">
        <v>109</v>
      </c>
      <c r="Q406" s="29">
        <f t="shared" si="56"/>
        <v>1</v>
      </c>
      <c r="R406" s="29" t="str">
        <f t="shared" si="51"/>
        <v>12-2022</v>
      </c>
      <c r="S406" s="29" t="s">
        <v>104</v>
      </c>
      <c r="T406" s="29" t="str">
        <f t="shared" si="52"/>
        <v>Monday</v>
      </c>
      <c r="U406" s="29">
        <f t="shared" si="53"/>
        <v>1</v>
      </c>
      <c r="V406" s="31">
        <f>IFERROR(Data!$I406/Data!$D406,"")</f>
        <v>0.20689655172413793</v>
      </c>
      <c r="W406" s="31">
        <f>IFERROR(Data!$J406/Data!$D406,"")</f>
        <v>0.27586206896551724</v>
      </c>
      <c r="X406" s="31">
        <f>IFERROR(Data!$K406/Data!$D406,"")</f>
        <v>0.25862068965517243</v>
      </c>
      <c r="Y406" s="31">
        <f>IFERROR(Data!$L406/Data!$D406,"")</f>
        <v>0.22413793103448276</v>
      </c>
      <c r="Z406" s="31">
        <f>IFERROR(Data!$M406/Data!$D406,"")</f>
        <v>3.4482758620689655E-2</v>
      </c>
      <c r="AA406" s="32">
        <v>232.14</v>
      </c>
      <c r="AB406" s="32">
        <f t="shared" si="57"/>
        <v>25.793333333333333</v>
      </c>
      <c r="AC406" s="29">
        <f t="shared" si="54"/>
        <v>625.66666666666663</v>
      </c>
      <c r="AD406" s="29">
        <f t="shared" si="55"/>
        <v>17</v>
      </c>
      <c r="AE406" s="29">
        <f>YEAR(Data!$C406)</f>
        <v>2022</v>
      </c>
      <c r="AF406" s="29"/>
      <c r="AG406" s="29">
        <v>12</v>
      </c>
      <c r="AH406" s="33">
        <f>Data!$F406/Data!$D406</f>
        <v>10.448275862068966</v>
      </c>
      <c r="AI406" s="17" t="str">
        <f>RIGHT(Data!$O406,2)</f>
        <v>PM</v>
      </c>
      <c r="AJ406" s="29" t="str">
        <f>Data!$R406&amp;"-"&amp;WEEKNUM(Data!$C406,1)-WEEKNUM(DATE(YEAR(Data!$C406),MONTH(Data!$C406),1),1)+1</f>
        <v>12-2022-2</v>
      </c>
      <c r="AK406" s="29">
        <f>MONTH(Data!$C406)</f>
        <v>12</v>
      </c>
      <c r="AL406" s="29">
        <f>IFERROR(Data!$F406/Data!$E406,0)</f>
        <v>40.4</v>
      </c>
      <c r="AM406" s="29">
        <f>COUNTIF(Data!$N$2:$N$825,Data!$N406)</f>
        <v>191</v>
      </c>
      <c r="AN406" s="29" t="str">
        <f>VLOOKUP(Data!$N406,'Helpful Tables'!A:D,4,FALSE)</f>
        <v>Washington, DC</v>
      </c>
      <c r="AO406" s="29">
        <f>COUNTIF(AN:AN,Data!$AN406)/COUNTA(AN:AN)</f>
        <v>0.62424242424242427</v>
      </c>
      <c r="AP406" s="29">
        <v>38.949649000000001</v>
      </c>
      <c r="AQ406" s="29">
        <v>-77.080878999999996</v>
      </c>
      <c r="AR406" s="29">
        <f>COUNTIF(Data!$P$2:$P$825,Data!$P406)</f>
        <v>66</v>
      </c>
      <c r="AS406" s="29" cm="1">
        <f t="array" ref="AS406">_xlfn.IFS(Data!$E406&lt;12,((Data!$E406/Data!$D406)*60)*1,AND(Data!$E406&gt;=12,Data!$E406&lt;=15),((Data!$E406/Data!$D406)*60)*1.2,AND(Data!$E406&gt;=16,Data!$E406&lt;=19),((Data!$E406/Data!$D406)*60)*1.5,Data!$E406&gt;=20,((Data!$E406/Data!$D406)*60)*1.8)</f>
        <v>18.620689655172413</v>
      </c>
      <c r="AT406" s="29" cm="1">
        <f t="array" ref="AT406">_xlfn.IFS(Data!$F406&lt;600,((Data!$F406/Data!$D406)*60)*1,AND(Data!$F406&gt;=600,Data!$F406&lt;=625),((Data!$F406/Data!$D406)*60)*1.2,AND(Data!$F406&gt;=626,Data!$F406&lt;=650),((Data!$F406/Data!$D406)*60)*1.5,Data!$F406&gt;=651,((Data!$F406/Data!$D406)*60)*1.8)</f>
        <v>752.27586206896558</v>
      </c>
      <c r="AU406" s="29">
        <f>(Data!$I406*-1.2)+(Data!$J406*-1.1)+(Data!$K406*1.2)+(Data!$L406*1.3)+(Data!$M406*1.5)</f>
        <v>5.9000000000000021</v>
      </c>
      <c r="AV406" s="29">
        <f>(Data!$AS406*0.4)+(Data!$AT406*0.4)+(Data!$AU406*0.2)</f>
        <v>309.5386206896552</v>
      </c>
      <c r="AW406" s="29">
        <f>PERCENTRANK(AV:AV,Data!$AV406)*100</f>
        <v>31.1</v>
      </c>
      <c r="AX406" s="29" t="str">
        <f>_xlfn.CONCAT(TEXT(C406,"mmm"),"-",Data!$AE406)</f>
        <v>Dec-2022</v>
      </c>
    </row>
    <row r="407" spans="1:50" ht="17" thickTop="1" thickBot="1" x14ac:dyDescent="0.25">
      <c r="A407" s="22">
        <v>406</v>
      </c>
      <c r="B407" s="23">
        <f t="shared" si="50"/>
        <v>9</v>
      </c>
      <c r="C407" s="41">
        <v>44902</v>
      </c>
      <c r="D407" s="24">
        <f>SUM(Data!$I407:$M407)</f>
        <v>54</v>
      </c>
      <c r="E407" s="23">
        <v>13</v>
      </c>
      <c r="F407" s="23">
        <v>604</v>
      </c>
      <c r="G407" s="23">
        <v>165</v>
      </c>
      <c r="H407" s="23">
        <v>127</v>
      </c>
      <c r="I407" s="23">
        <v>7</v>
      </c>
      <c r="J407" s="23">
        <v>13</v>
      </c>
      <c r="K407" s="23">
        <v>21</v>
      </c>
      <c r="L407" s="23">
        <v>11</v>
      </c>
      <c r="M407" s="23">
        <v>2</v>
      </c>
      <c r="N407" s="23" t="s">
        <v>91</v>
      </c>
      <c r="O407" s="23" t="s">
        <v>57</v>
      </c>
      <c r="P407" s="23" t="s">
        <v>96</v>
      </c>
      <c r="Q407" s="23">
        <f t="shared" si="56"/>
        <v>2</v>
      </c>
      <c r="R407" s="23" t="str">
        <f t="shared" si="51"/>
        <v>12-2022</v>
      </c>
      <c r="S407" s="23" t="s">
        <v>117</v>
      </c>
      <c r="T407" s="23" t="str">
        <f t="shared" si="52"/>
        <v>Wednesday</v>
      </c>
      <c r="U407" s="23">
        <f t="shared" si="53"/>
        <v>1</v>
      </c>
      <c r="V407" s="25">
        <f>IFERROR(Data!$I407/Data!$D407,"")</f>
        <v>0.12962962962962962</v>
      </c>
      <c r="W407" s="25">
        <f>IFERROR(Data!$J407/Data!$D407,"")</f>
        <v>0.24074074074074073</v>
      </c>
      <c r="X407" s="25">
        <f>IFERROR(Data!$K407/Data!$D407,"")</f>
        <v>0.3888888888888889</v>
      </c>
      <c r="Y407" s="25">
        <f>IFERROR(Data!$L407/Data!$D407,"")</f>
        <v>0.20370370370370369</v>
      </c>
      <c r="Z407" s="25">
        <f>IFERROR(Data!$M407/Data!$D407,"")</f>
        <v>3.7037037037037035E-2</v>
      </c>
      <c r="AA407" s="26">
        <v>232.14</v>
      </c>
      <c r="AB407" s="26">
        <f t="shared" si="57"/>
        <v>25.793333333333333</v>
      </c>
      <c r="AC407" s="23">
        <f t="shared" si="54"/>
        <v>625.66666666666663</v>
      </c>
      <c r="AD407" s="23">
        <f t="shared" si="55"/>
        <v>17</v>
      </c>
      <c r="AE407" s="23">
        <f>YEAR(Data!$C407)</f>
        <v>2022</v>
      </c>
      <c r="AF407" s="23"/>
      <c r="AG407" s="23">
        <v>12</v>
      </c>
      <c r="AH407" s="27">
        <f>Data!$F407/Data!$D407</f>
        <v>11.185185185185185</v>
      </c>
      <c r="AI407" s="17" t="str">
        <f>RIGHT(Data!$O407,2)</f>
        <v>PM</v>
      </c>
      <c r="AJ407" s="23" t="str">
        <f>Data!$R407&amp;"-"&amp;WEEKNUM(Data!$C407,1)-WEEKNUM(DATE(YEAR(Data!$C407),MONTH(Data!$C407),1),1)+1</f>
        <v>12-2022-2</v>
      </c>
      <c r="AK407" s="23">
        <f>MONTH(Data!$C407)</f>
        <v>12</v>
      </c>
      <c r="AL407" s="23">
        <f>IFERROR(Data!$F407/Data!$E407,0)</f>
        <v>46.46153846153846</v>
      </c>
      <c r="AM407" s="23">
        <f>COUNTIF(Data!$N$2:$N$825,Data!$N407)</f>
        <v>218</v>
      </c>
      <c r="AN407" s="23" t="str">
        <f>VLOOKUP(Data!$N407,'Helpful Tables'!A:D,4,FALSE)</f>
        <v>Washington, DC</v>
      </c>
      <c r="AO407" s="23">
        <f>COUNTIF(AN:AN,Data!$AN407)/COUNTA(AN:AN)</f>
        <v>0.62424242424242427</v>
      </c>
      <c r="AP407" s="23">
        <v>38.934710000000003</v>
      </c>
      <c r="AQ407" s="23">
        <v>-77.058222999999998</v>
      </c>
      <c r="AR407" s="23">
        <f>COUNTIF(Data!$P$2:$P$825,Data!$P407)</f>
        <v>71</v>
      </c>
      <c r="AS407" s="23" cm="1">
        <f t="array" ref="AS407">_xlfn.IFS(Data!$E407&lt;12,((Data!$E407/Data!$D407)*60)*1,AND(Data!$E407&gt;=12,Data!$E407&lt;=15),((Data!$E407/Data!$D407)*60)*1.2,AND(Data!$E407&gt;=16,Data!$E407&lt;=19),((Data!$E407/Data!$D407)*60)*1.5,Data!$E407&gt;=20,((Data!$E407/Data!$D407)*60)*1.8)</f>
        <v>17.333333333333332</v>
      </c>
      <c r="AT407" s="23" cm="1">
        <f t="array" ref="AT407">_xlfn.IFS(Data!$F407&lt;600,((Data!$F407/Data!$D407)*60)*1,AND(Data!$F407&gt;=600,Data!$F407&lt;=625),((Data!$F407/Data!$D407)*60)*1.2,AND(Data!$F407&gt;=626,Data!$F407&lt;=650),((Data!$F407/Data!$D407)*60)*1.5,Data!$F407&gt;=651,((Data!$F407/Data!$D407)*60)*1.8)</f>
        <v>805.33333333333326</v>
      </c>
      <c r="AU407" s="23">
        <f>(Data!$I407*-1.2)+(Data!$J407*-1.1)+(Data!$K407*1.2)+(Data!$L407*1.3)+(Data!$M407*1.5)</f>
        <v>19.799999999999997</v>
      </c>
      <c r="AV407" s="23">
        <f>(Data!$AS407*0.4)+(Data!$AT407*0.4)+(Data!$AU407*0.2)</f>
        <v>333.02666666666664</v>
      </c>
      <c r="AW407" s="23">
        <f>PERCENTRANK(AV:AV,Data!$AV407)*100</f>
        <v>42.4</v>
      </c>
      <c r="AX407" s="23" t="str">
        <f>_xlfn.CONCAT(TEXT(C407,"mmm"),"-",Data!$AE407)</f>
        <v>Dec-2022</v>
      </c>
    </row>
    <row r="408" spans="1:50" ht="17" thickTop="1" thickBot="1" x14ac:dyDescent="0.25">
      <c r="A408" s="28">
        <v>407</v>
      </c>
      <c r="B408" s="29">
        <f t="shared" si="50"/>
        <v>9</v>
      </c>
      <c r="C408" s="41">
        <v>44904</v>
      </c>
      <c r="D408" s="30">
        <f>SUM(Data!$I408:$M408)</f>
        <v>56</v>
      </c>
      <c r="E408" s="29">
        <v>16</v>
      </c>
      <c r="F408" s="29">
        <v>632</v>
      </c>
      <c r="G408" s="29">
        <v>167</v>
      </c>
      <c r="H408" s="29">
        <v>128</v>
      </c>
      <c r="I408" s="29">
        <v>7</v>
      </c>
      <c r="J408" s="29">
        <v>14</v>
      </c>
      <c r="K408" s="29">
        <v>19</v>
      </c>
      <c r="L408" s="29">
        <v>11</v>
      </c>
      <c r="M408" s="29">
        <v>5</v>
      </c>
      <c r="N408" s="29" t="s">
        <v>101</v>
      </c>
      <c r="O408" s="29" t="s">
        <v>107</v>
      </c>
      <c r="P408" s="29" t="s">
        <v>155</v>
      </c>
      <c r="Q408" s="29">
        <f t="shared" si="56"/>
        <v>2</v>
      </c>
      <c r="R408" s="29" t="str">
        <f t="shared" si="51"/>
        <v>12-2022</v>
      </c>
      <c r="S408" s="29" t="s">
        <v>104</v>
      </c>
      <c r="T408" s="29" t="str">
        <f t="shared" si="52"/>
        <v>Friday</v>
      </c>
      <c r="U408" s="29">
        <f t="shared" si="53"/>
        <v>1</v>
      </c>
      <c r="V408" s="31">
        <f>IFERROR(Data!$I408/Data!$D408,"")</f>
        <v>0.125</v>
      </c>
      <c r="W408" s="31">
        <f>IFERROR(Data!$J408/Data!$D408,"")</f>
        <v>0.25</v>
      </c>
      <c r="X408" s="31">
        <f>IFERROR(Data!$K408/Data!$D408,"")</f>
        <v>0.3392857142857143</v>
      </c>
      <c r="Y408" s="31">
        <f>IFERROR(Data!$L408/Data!$D408,"")</f>
        <v>0.19642857142857142</v>
      </c>
      <c r="Z408" s="31">
        <f>IFERROR(Data!$M408/Data!$D408,"")</f>
        <v>8.9285714285714288E-2</v>
      </c>
      <c r="AA408" s="32">
        <v>232.14</v>
      </c>
      <c r="AB408" s="32">
        <f t="shared" si="57"/>
        <v>25.793333333333333</v>
      </c>
      <c r="AC408" s="29">
        <f t="shared" si="54"/>
        <v>625.66666666666663</v>
      </c>
      <c r="AD408" s="29">
        <f t="shared" si="55"/>
        <v>17</v>
      </c>
      <c r="AE408" s="29">
        <f>YEAR(Data!$C408)</f>
        <v>2022</v>
      </c>
      <c r="AF408" s="29"/>
      <c r="AG408" s="29">
        <v>12</v>
      </c>
      <c r="AH408" s="33">
        <f>Data!$F408/Data!$D408</f>
        <v>11.285714285714286</v>
      </c>
      <c r="AI408" s="17" t="str">
        <f>RIGHT(Data!$O408,2)</f>
        <v>AM</v>
      </c>
      <c r="AJ408" s="29" t="str">
        <f>Data!$R408&amp;"-"&amp;WEEKNUM(Data!$C408,1)-WEEKNUM(DATE(YEAR(Data!$C408),MONTH(Data!$C408),1),1)+1</f>
        <v>12-2022-2</v>
      </c>
      <c r="AK408" s="29">
        <f>MONTH(Data!$C408)</f>
        <v>12</v>
      </c>
      <c r="AL408" s="29">
        <f>IFERROR(Data!$F408/Data!$E408,0)</f>
        <v>39.5</v>
      </c>
      <c r="AM408" s="29">
        <f>COUNTIF(Data!$N$2:$N$825,Data!$N408)</f>
        <v>191</v>
      </c>
      <c r="AN408" s="29" t="str">
        <f>VLOOKUP(Data!$N408,'Helpful Tables'!A:D,4,FALSE)</f>
        <v>Washington, DC</v>
      </c>
      <c r="AO408" s="29">
        <f>COUNTIF(AN:AN,Data!$AN408)/COUNTA(AN:AN)</f>
        <v>0.62424242424242427</v>
      </c>
      <c r="AP408" s="29">
        <v>38.949649000000001</v>
      </c>
      <c r="AQ408" s="29">
        <v>-77.080878999999996</v>
      </c>
      <c r="AR408" s="29">
        <f>COUNTIF(Data!$P$2:$P$825,Data!$P408)</f>
        <v>13</v>
      </c>
      <c r="AS408" s="29" cm="1">
        <f t="array" ref="AS408">_xlfn.IFS(Data!$E408&lt;12,((Data!$E408/Data!$D408)*60)*1,AND(Data!$E408&gt;=12,Data!$E408&lt;=15),((Data!$E408/Data!$D408)*60)*1.2,AND(Data!$E408&gt;=16,Data!$E408&lt;=19),((Data!$E408/Data!$D408)*60)*1.5,Data!$E408&gt;=20,((Data!$E408/Data!$D408)*60)*1.8)</f>
        <v>25.714285714285715</v>
      </c>
      <c r="AT408" s="29" cm="1">
        <f t="array" ref="AT408">_xlfn.IFS(Data!$F408&lt;600,((Data!$F408/Data!$D408)*60)*1,AND(Data!$F408&gt;=600,Data!$F408&lt;=625),((Data!$F408/Data!$D408)*60)*1.2,AND(Data!$F408&gt;=626,Data!$F408&lt;=650),((Data!$F408/Data!$D408)*60)*1.5,Data!$F408&gt;=651,((Data!$F408/Data!$D408)*60)*1.8)</f>
        <v>1015.7142857142858</v>
      </c>
      <c r="AU408" s="29">
        <f>(Data!$I408*-1.2)+(Data!$J408*-1.1)+(Data!$K408*1.2)+(Data!$L408*1.3)+(Data!$M408*1.5)</f>
        <v>20.799999999999997</v>
      </c>
      <c r="AV408" s="29">
        <f>(Data!$AS408*0.4)+(Data!$AT408*0.4)+(Data!$AU408*0.2)</f>
        <v>420.73142857142864</v>
      </c>
      <c r="AW408" s="29">
        <f>PERCENTRANK(AV:AV,Data!$AV408)*100</f>
        <v>61.3</v>
      </c>
      <c r="AX408" s="29" t="str">
        <f>_xlfn.CONCAT(TEXT(C408,"mmm"),"-",Data!$AE408)</f>
        <v>Dec-2022</v>
      </c>
    </row>
    <row r="409" spans="1:50" ht="17" thickTop="1" thickBot="1" x14ac:dyDescent="0.25">
      <c r="A409" s="22">
        <v>408</v>
      </c>
      <c r="B409" s="23">
        <f t="shared" si="50"/>
        <v>9</v>
      </c>
      <c r="C409" s="41">
        <v>44906</v>
      </c>
      <c r="D409" s="24">
        <f>SUM(Data!$I409:$M409)</f>
        <v>59</v>
      </c>
      <c r="E409" s="23">
        <v>14</v>
      </c>
      <c r="F409" s="23">
        <v>609</v>
      </c>
      <c r="G409" s="23">
        <v>163</v>
      </c>
      <c r="H409" s="23">
        <v>121</v>
      </c>
      <c r="I409" s="23">
        <v>18</v>
      </c>
      <c r="J409" s="23">
        <v>11</v>
      </c>
      <c r="K409" s="23">
        <v>16</v>
      </c>
      <c r="L409" s="23">
        <v>12</v>
      </c>
      <c r="M409" s="23">
        <v>2</v>
      </c>
      <c r="N409" s="23" t="s">
        <v>91</v>
      </c>
      <c r="O409" s="23" t="s">
        <v>79</v>
      </c>
      <c r="P409" s="23" t="s">
        <v>100</v>
      </c>
      <c r="Q409" s="23">
        <f t="shared" si="56"/>
        <v>2</v>
      </c>
      <c r="R409" s="23" t="str">
        <f t="shared" si="51"/>
        <v>12-2022</v>
      </c>
      <c r="S409" s="23" t="s">
        <v>104</v>
      </c>
      <c r="T409" s="23" t="str">
        <f t="shared" si="52"/>
        <v>Sunday</v>
      </c>
      <c r="U409" s="23">
        <f t="shared" si="53"/>
        <v>1</v>
      </c>
      <c r="V409" s="25">
        <f>IFERROR(Data!$I409/Data!$D409,"")</f>
        <v>0.30508474576271188</v>
      </c>
      <c r="W409" s="25">
        <f>IFERROR(Data!$J409/Data!$D409,"")</f>
        <v>0.1864406779661017</v>
      </c>
      <c r="X409" s="25">
        <f>IFERROR(Data!$K409/Data!$D409,"")</f>
        <v>0.2711864406779661</v>
      </c>
      <c r="Y409" s="25">
        <f>IFERROR(Data!$L409/Data!$D409,"")</f>
        <v>0.20338983050847459</v>
      </c>
      <c r="Z409" s="25">
        <f>IFERROR(Data!$M409/Data!$D409,"")</f>
        <v>3.3898305084745763E-2</v>
      </c>
      <c r="AA409" s="26">
        <v>232.14</v>
      </c>
      <c r="AB409" s="26">
        <f t="shared" si="57"/>
        <v>25.793333333333333</v>
      </c>
      <c r="AC409" s="23">
        <f t="shared" si="54"/>
        <v>625.66666666666663</v>
      </c>
      <c r="AD409" s="23">
        <f t="shared" si="55"/>
        <v>17</v>
      </c>
      <c r="AE409" s="23">
        <f>YEAR(Data!$C409)</f>
        <v>2022</v>
      </c>
      <c r="AF409" s="23"/>
      <c r="AG409" s="23">
        <v>12</v>
      </c>
      <c r="AH409" s="27">
        <f>Data!$F409/Data!$D409</f>
        <v>10.322033898305085</v>
      </c>
      <c r="AI409" s="17" t="str">
        <f>RIGHT(Data!$O409,2)</f>
        <v>AM</v>
      </c>
      <c r="AJ409" s="23" t="str">
        <f>Data!$R409&amp;"-"&amp;WEEKNUM(Data!$C409,1)-WEEKNUM(DATE(YEAR(Data!$C409),MONTH(Data!$C409),1),1)+1</f>
        <v>12-2022-3</v>
      </c>
      <c r="AK409" s="23">
        <f>MONTH(Data!$C409)</f>
        <v>12</v>
      </c>
      <c r="AL409" s="23">
        <f>IFERROR(Data!$F409/Data!$E409,0)</f>
        <v>43.5</v>
      </c>
      <c r="AM409" s="23">
        <f>COUNTIF(Data!$N$2:$N$825,Data!$N409)</f>
        <v>218</v>
      </c>
      <c r="AN409" s="23" t="str">
        <f>VLOOKUP(Data!$N409,'Helpful Tables'!A:D,4,FALSE)</f>
        <v>Washington, DC</v>
      </c>
      <c r="AO409" s="23">
        <f>COUNTIF(AN:AN,Data!$AN409)/COUNTA(AN:AN)</f>
        <v>0.62424242424242427</v>
      </c>
      <c r="AP409" s="23">
        <v>38.934710000000003</v>
      </c>
      <c r="AQ409" s="23">
        <v>-77.058222999999998</v>
      </c>
      <c r="AR409" s="23">
        <f>COUNTIF(Data!$P$2:$P$825,Data!$P409)</f>
        <v>35</v>
      </c>
      <c r="AS409" s="23" cm="1">
        <f t="array" ref="AS409">_xlfn.IFS(Data!$E409&lt;12,((Data!$E409/Data!$D409)*60)*1,AND(Data!$E409&gt;=12,Data!$E409&lt;=15),((Data!$E409/Data!$D409)*60)*1.2,AND(Data!$E409&gt;=16,Data!$E409&lt;=19),((Data!$E409/Data!$D409)*60)*1.5,Data!$E409&gt;=20,((Data!$E409/Data!$D409)*60)*1.8)</f>
        <v>17.084745762711865</v>
      </c>
      <c r="AT409" s="23" cm="1">
        <f t="array" ref="AT409">_xlfn.IFS(Data!$F409&lt;600,((Data!$F409/Data!$D409)*60)*1,AND(Data!$F409&gt;=600,Data!$F409&lt;=625),((Data!$F409/Data!$D409)*60)*1.2,AND(Data!$F409&gt;=626,Data!$F409&lt;=650),((Data!$F409/Data!$D409)*60)*1.5,Data!$F409&gt;=651,((Data!$F409/Data!$D409)*60)*1.8)</f>
        <v>743.18644067796606</v>
      </c>
      <c r="AU409" s="23">
        <f>(Data!$I409*-1.2)+(Data!$J409*-1.1)+(Data!$K409*1.2)+(Data!$L409*1.3)+(Data!$M409*1.5)</f>
        <v>4.0999999999999979</v>
      </c>
      <c r="AV409" s="23">
        <f>(Data!$AS409*0.4)+(Data!$AT409*0.4)+(Data!$AU409*0.2)</f>
        <v>304.92847457627119</v>
      </c>
      <c r="AW409" s="23">
        <f>PERCENTRANK(AV:AV,Data!$AV409)*100</f>
        <v>28.799999999999997</v>
      </c>
      <c r="AX409" s="23" t="str">
        <f>_xlfn.CONCAT(TEXT(C409,"mmm"),"-",Data!$AE409)</f>
        <v>Dec-2022</v>
      </c>
    </row>
    <row r="410" spans="1:50" ht="17" thickTop="1" thickBot="1" x14ac:dyDescent="0.25">
      <c r="A410" s="28">
        <v>409</v>
      </c>
      <c r="B410" s="29">
        <f t="shared" si="50"/>
        <v>9</v>
      </c>
      <c r="C410" s="41">
        <v>44908</v>
      </c>
      <c r="D410" s="30">
        <f>SUM(Data!$I410:$M410)</f>
        <v>57</v>
      </c>
      <c r="E410" s="29">
        <v>14</v>
      </c>
      <c r="F410" s="29">
        <v>613</v>
      </c>
      <c r="G410" s="29">
        <v>162</v>
      </c>
      <c r="H410" s="29">
        <v>125</v>
      </c>
      <c r="I410" s="29">
        <v>9</v>
      </c>
      <c r="J410" s="29">
        <v>17</v>
      </c>
      <c r="K410" s="29">
        <v>17</v>
      </c>
      <c r="L410" s="29">
        <v>12</v>
      </c>
      <c r="M410" s="29">
        <v>2</v>
      </c>
      <c r="N410" s="29" t="s">
        <v>91</v>
      </c>
      <c r="O410" s="29" t="s">
        <v>57</v>
      </c>
      <c r="P410" s="29" t="s">
        <v>98</v>
      </c>
      <c r="Q410" s="29">
        <f t="shared" si="56"/>
        <v>2</v>
      </c>
      <c r="R410" s="29" t="str">
        <f t="shared" si="51"/>
        <v>12-2022</v>
      </c>
      <c r="S410" s="29" t="s">
        <v>117</v>
      </c>
      <c r="T410" s="29" t="str">
        <f t="shared" si="52"/>
        <v>Tuesday</v>
      </c>
      <c r="U410" s="29">
        <f t="shared" si="53"/>
        <v>1</v>
      </c>
      <c r="V410" s="31">
        <f>IFERROR(Data!$I410/Data!$D410,"")</f>
        <v>0.15789473684210525</v>
      </c>
      <c r="W410" s="31">
        <f>IFERROR(Data!$J410/Data!$D410,"")</f>
        <v>0.2982456140350877</v>
      </c>
      <c r="X410" s="31">
        <f>IFERROR(Data!$K410/Data!$D410,"")</f>
        <v>0.2982456140350877</v>
      </c>
      <c r="Y410" s="31">
        <f>IFERROR(Data!$L410/Data!$D410,"")</f>
        <v>0.21052631578947367</v>
      </c>
      <c r="Z410" s="31">
        <f>IFERROR(Data!$M410/Data!$D410,"")</f>
        <v>3.5087719298245612E-2</v>
      </c>
      <c r="AA410" s="32">
        <v>232.14</v>
      </c>
      <c r="AB410" s="32">
        <f t="shared" si="57"/>
        <v>25.793333333333333</v>
      </c>
      <c r="AC410" s="29">
        <f t="shared" si="54"/>
        <v>625.66666666666663</v>
      </c>
      <c r="AD410" s="29">
        <f t="shared" si="55"/>
        <v>17</v>
      </c>
      <c r="AE410" s="29">
        <f>YEAR(Data!$C410)</f>
        <v>2022</v>
      </c>
      <c r="AF410" s="29"/>
      <c r="AG410" s="29">
        <v>12</v>
      </c>
      <c r="AH410" s="33">
        <f>Data!$F410/Data!$D410</f>
        <v>10.754385964912281</v>
      </c>
      <c r="AI410" s="17" t="str">
        <f>RIGHT(Data!$O410,2)</f>
        <v>PM</v>
      </c>
      <c r="AJ410" s="29" t="str">
        <f>Data!$R410&amp;"-"&amp;WEEKNUM(Data!$C410,1)-WEEKNUM(DATE(YEAR(Data!$C410),MONTH(Data!$C410),1),1)+1</f>
        <v>12-2022-3</v>
      </c>
      <c r="AK410" s="29">
        <f>MONTH(Data!$C410)</f>
        <v>12</v>
      </c>
      <c r="AL410" s="29">
        <f>IFERROR(Data!$F410/Data!$E410,0)</f>
        <v>43.785714285714285</v>
      </c>
      <c r="AM410" s="29">
        <f>COUNTIF(Data!$N$2:$N$825,Data!$N410)</f>
        <v>218</v>
      </c>
      <c r="AN410" s="29" t="str">
        <f>VLOOKUP(Data!$N410,'Helpful Tables'!A:D,4,FALSE)</f>
        <v>Washington, DC</v>
      </c>
      <c r="AO410" s="29">
        <f>COUNTIF(AN:AN,Data!$AN410)/COUNTA(AN:AN)</f>
        <v>0.62424242424242427</v>
      </c>
      <c r="AP410" s="29">
        <v>38.934710000000003</v>
      </c>
      <c r="AQ410" s="29">
        <v>-77.058222999999998</v>
      </c>
      <c r="AR410" s="29">
        <f>COUNTIF(Data!$P$2:$P$825,Data!$P410)</f>
        <v>28</v>
      </c>
      <c r="AS410" s="29" cm="1">
        <f t="array" ref="AS410">_xlfn.IFS(Data!$E410&lt;12,((Data!$E410/Data!$D410)*60)*1,AND(Data!$E410&gt;=12,Data!$E410&lt;=15),((Data!$E410/Data!$D410)*60)*1.2,AND(Data!$E410&gt;=16,Data!$E410&lt;=19),((Data!$E410/Data!$D410)*60)*1.5,Data!$E410&gt;=20,((Data!$E410/Data!$D410)*60)*1.8)</f>
        <v>17.684210526315788</v>
      </c>
      <c r="AT410" s="29" cm="1">
        <f t="array" ref="AT410">_xlfn.IFS(Data!$F410&lt;600,((Data!$F410/Data!$D410)*60)*1,AND(Data!$F410&gt;=600,Data!$F410&lt;=625),((Data!$F410/Data!$D410)*60)*1.2,AND(Data!$F410&gt;=626,Data!$F410&lt;=650),((Data!$F410/Data!$D410)*60)*1.5,Data!$F410&gt;=651,((Data!$F410/Data!$D410)*60)*1.8)</f>
        <v>774.31578947368428</v>
      </c>
      <c r="AU410" s="29">
        <f>(Data!$I410*-1.2)+(Data!$J410*-1.1)+(Data!$K410*1.2)+(Data!$L410*1.3)+(Data!$M410*1.5)</f>
        <v>9.5</v>
      </c>
      <c r="AV410" s="29">
        <f>(Data!$AS410*0.4)+(Data!$AT410*0.4)+(Data!$AU410*0.2)</f>
        <v>318.70000000000005</v>
      </c>
      <c r="AW410" s="29">
        <f>PERCENTRANK(AV:AV,Data!$AV410)*100</f>
        <v>36.4</v>
      </c>
      <c r="AX410" s="29" t="str">
        <f>_xlfn.CONCAT(TEXT(C410,"mmm"),"-",Data!$AE410)</f>
        <v>Dec-2022</v>
      </c>
    </row>
    <row r="411" spans="1:50" ht="17" thickTop="1" thickBot="1" x14ac:dyDescent="0.25">
      <c r="A411" s="22">
        <v>410</v>
      </c>
      <c r="B411" s="23">
        <f t="shared" si="50"/>
        <v>9</v>
      </c>
      <c r="C411" s="41">
        <v>44911</v>
      </c>
      <c r="D411" s="24">
        <f>SUM(Data!$I411:$M411)</f>
        <v>61</v>
      </c>
      <c r="E411" s="23">
        <v>25</v>
      </c>
      <c r="F411" s="23">
        <v>676</v>
      </c>
      <c r="G411" s="23">
        <v>168</v>
      </c>
      <c r="H411" s="23">
        <v>128</v>
      </c>
      <c r="I411" s="23">
        <v>8</v>
      </c>
      <c r="J411" s="23">
        <v>21</v>
      </c>
      <c r="K411" s="23">
        <v>7</v>
      </c>
      <c r="L411" s="23">
        <v>21</v>
      </c>
      <c r="M411" s="23">
        <v>4</v>
      </c>
      <c r="N411" s="23" t="s">
        <v>91</v>
      </c>
      <c r="O411" s="23" t="s">
        <v>89</v>
      </c>
      <c r="P411" s="23" t="s">
        <v>148</v>
      </c>
      <c r="Q411" s="23">
        <f t="shared" si="56"/>
        <v>3</v>
      </c>
      <c r="R411" s="23" t="str">
        <f t="shared" si="51"/>
        <v>12-2022</v>
      </c>
      <c r="S411" s="23" t="s">
        <v>104</v>
      </c>
      <c r="T411" s="23" t="str">
        <f t="shared" si="52"/>
        <v>Friday</v>
      </c>
      <c r="U411" s="23">
        <f t="shared" si="53"/>
        <v>1</v>
      </c>
      <c r="V411" s="25">
        <f>IFERROR(Data!$I411/Data!$D411,"")</f>
        <v>0.13114754098360656</v>
      </c>
      <c r="W411" s="25">
        <f>IFERROR(Data!$J411/Data!$D411,"")</f>
        <v>0.34426229508196721</v>
      </c>
      <c r="X411" s="25">
        <f>IFERROR(Data!$K411/Data!$D411,"")</f>
        <v>0.11475409836065574</v>
      </c>
      <c r="Y411" s="25">
        <f>IFERROR(Data!$L411/Data!$D411,"")</f>
        <v>0.34426229508196721</v>
      </c>
      <c r="Z411" s="25">
        <f>IFERROR(Data!$M411/Data!$D411,"")</f>
        <v>6.5573770491803282E-2</v>
      </c>
      <c r="AA411" s="26">
        <v>232.14</v>
      </c>
      <c r="AB411" s="26">
        <f t="shared" si="57"/>
        <v>25.793333333333333</v>
      </c>
      <c r="AC411" s="23">
        <f t="shared" si="54"/>
        <v>625.66666666666663</v>
      </c>
      <c r="AD411" s="23">
        <f t="shared" si="55"/>
        <v>17</v>
      </c>
      <c r="AE411" s="23">
        <f>YEAR(Data!$C411)</f>
        <v>2022</v>
      </c>
      <c r="AF411" s="23"/>
      <c r="AG411" s="23">
        <v>12</v>
      </c>
      <c r="AH411" s="27">
        <f>Data!$F411/Data!$D411</f>
        <v>11.081967213114755</v>
      </c>
      <c r="AI411" s="17" t="str">
        <f>RIGHT(Data!$O411,2)</f>
        <v>AM</v>
      </c>
      <c r="AJ411" s="23" t="str">
        <f>Data!$R411&amp;"-"&amp;WEEKNUM(Data!$C411,1)-WEEKNUM(DATE(YEAR(Data!$C411),MONTH(Data!$C411),1),1)+1</f>
        <v>12-2022-3</v>
      </c>
      <c r="AK411" s="23">
        <f>MONTH(Data!$C411)</f>
        <v>12</v>
      </c>
      <c r="AL411" s="23">
        <f>IFERROR(Data!$F411/Data!$E411,0)</f>
        <v>27.04</v>
      </c>
      <c r="AM411" s="23">
        <f>COUNTIF(Data!$N$2:$N$825,Data!$N411)</f>
        <v>218</v>
      </c>
      <c r="AN411" s="23" t="str">
        <f>VLOOKUP(Data!$N411,'Helpful Tables'!A:D,4,FALSE)</f>
        <v>Washington, DC</v>
      </c>
      <c r="AO411" s="23">
        <f>COUNTIF(AN:AN,Data!$AN411)/COUNTA(AN:AN)</f>
        <v>0.62424242424242427</v>
      </c>
      <c r="AP411" s="23">
        <v>38.934710000000003</v>
      </c>
      <c r="AQ411" s="23">
        <v>-77.058222999999998</v>
      </c>
      <c r="AR411" s="23">
        <f>COUNTIF(Data!$P$2:$P$825,Data!$P411)</f>
        <v>14</v>
      </c>
      <c r="AS411" s="23" cm="1">
        <f t="array" ref="AS411">_xlfn.IFS(Data!$E411&lt;12,((Data!$E411/Data!$D411)*60)*1,AND(Data!$E411&gt;=12,Data!$E411&lt;=15),((Data!$E411/Data!$D411)*60)*1.2,AND(Data!$E411&gt;=16,Data!$E411&lt;=19),((Data!$E411/Data!$D411)*60)*1.5,Data!$E411&gt;=20,((Data!$E411/Data!$D411)*60)*1.8)</f>
        <v>44.262295081967217</v>
      </c>
      <c r="AT411" s="23" cm="1">
        <f t="array" ref="AT411">_xlfn.IFS(Data!$F411&lt;600,((Data!$F411/Data!$D411)*60)*1,AND(Data!$F411&gt;=600,Data!$F411&lt;=625),((Data!$F411/Data!$D411)*60)*1.2,AND(Data!$F411&gt;=626,Data!$F411&lt;=650),((Data!$F411/Data!$D411)*60)*1.5,Data!$F411&gt;=651,((Data!$F411/Data!$D411)*60)*1.8)</f>
        <v>1196.8524590163936</v>
      </c>
      <c r="AU411" s="23">
        <f>(Data!$I411*-1.2)+(Data!$J411*-1.1)+(Data!$K411*1.2)+(Data!$L411*1.3)+(Data!$M411*1.5)</f>
        <v>8.9999999999999964</v>
      </c>
      <c r="AV411" s="23">
        <f>(Data!$AS411*0.4)+(Data!$AT411*0.4)+(Data!$AU411*0.2)</f>
        <v>498.24590163934437</v>
      </c>
      <c r="AW411" s="23">
        <f>PERCENTRANK(AV:AV,Data!$AV411)*100</f>
        <v>77.100000000000009</v>
      </c>
      <c r="AX411" s="23" t="str">
        <f>_xlfn.CONCAT(TEXT(C411,"mmm"),"-",Data!$AE411)</f>
        <v>Dec-2022</v>
      </c>
    </row>
    <row r="412" spans="1:50" ht="17" thickTop="1" thickBot="1" x14ac:dyDescent="0.25">
      <c r="A412" s="28">
        <v>411</v>
      </c>
      <c r="B412" s="29">
        <f t="shared" si="50"/>
        <v>9</v>
      </c>
      <c r="C412" s="41">
        <v>44912</v>
      </c>
      <c r="D412" s="30">
        <f>SUM(Data!$I412:$M412)</f>
        <v>55</v>
      </c>
      <c r="E412" s="29">
        <v>16</v>
      </c>
      <c r="F412" s="29">
        <v>612</v>
      </c>
      <c r="G412" s="29">
        <v>164</v>
      </c>
      <c r="H412" s="29">
        <v>127</v>
      </c>
      <c r="I412" s="29">
        <v>8</v>
      </c>
      <c r="J412" s="29">
        <v>16</v>
      </c>
      <c r="K412" s="29">
        <v>15</v>
      </c>
      <c r="L412" s="29">
        <v>13</v>
      </c>
      <c r="M412" s="29">
        <v>3</v>
      </c>
      <c r="N412" s="29" t="s">
        <v>101</v>
      </c>
      <c r="O412" s="29" t="s">
        <v>45</v>
      </c>
      <c r="P412" s="29" t="s">
        <v>109</v>
      </c>
      <c r="Q412" s="29">
        <f t="shared" si="56"/>
        <v>1</v>
      </c>
      <c r="R412" s="29" t="str">
        <f t="shared" si="51"/>
        <v>12-2022</v>
      </c>
      <c r="S412" s="29" t="s">
        <v>104</v>
      </c>
      <c r="T412" s="29" t="str">
        <f t="shared" si="52"/>
        <v>Saturday</v>
      </c>
      <c r="U412" s="29">
        <f t="shared" si="53"/>
        <v>1</v>
      </c>
      <c r="V412" s="31">
        <f>IFERROR(Data!$I412/Data!$D412,"")</f>
        <v>0.14545454545454545</v>
      </c>
      <c r="W412" s="31">
        <f>IFERROR(Data!$J412/Data!$D412,"")</f>
        <v>0.29090909090909089</v>
      </c>
      <c r="X412" s="31">
        <f>IFERROR(Data!$K412/Data!$D412,"")</f>
        <v>0.27272727272727271</v>
      </c>
      <c r="Y412" s="31">
        <f>IFERROR(Data!$L412/Data!$D412,"")</f>
        <v>0.23636363636363636</v>
      </c>
      <c r="Z412" s="31">
        <f>IFERROR(Data!$M412/Data!$D412,"")</f>
        <v>5.4545454545454543E-2</v>
      </c>
      <c r="AA412" s="32">
        <v>232.14</v>
      </c>
      <c r="AB412" s="32">
        <f t="shared" si="57"/>
        <v>25.793333333333333</v>
      </c>
      <c r="AC412" s="29">
        <f t="shared" si="54"/>
        <v>625.66666666666663</v>
      </c>
      <c r="AD412" s="29">
        <f t="shared" si="55"/>
        <v>17</v>
      </c>
      <c r="AE412" s="29">
        <f>YEAR(Data!$C412)</f>
        <v>2022</v>
      </c>
      <c r="AF412" s="29"/>
      <c r="AG412" s="29">
        <v>12</v>
      </c>
      <c r="AH412" s="33">
        <f>Data!$F412/Data!$D412</f>
        <v>11.127272727272727</v>
      </c>
      <c r="AI412" s="17" t="str">
        <f>RIGHT(Data!$O412,2)</f>
        <v>AM</v>
      </c>
      <c r="AJ412" s="29" t="str">
        <f>Data!$R412&amp;"-"&amp;WEEKNUM(Data!$C412,1)-WEEKNUM(DATE(YEAR(Data!$C412),MONTH(Data!$C412),1),1)+1</f>
        <v>12-2022-3</v>
      </c>
      <c r="AK412" s="29">
        <f>MONTH(Data!$C412)</f>
        <v>12</v>
      </c>
      <c r="AL412" s="29">
        <f>IFERROR(Data!$F412/Data!$E412,0)</f>
        <v>38.25</v>
      </c>
      <c r="AM412" s="29">
        <f>COUNTIF(Data!$N$2:$N$825,Data!$N412)</f>
        <v>191</v>
      </c>
      <c r="AN412" s="29" t="str">
        <f>VLOOKUP(Data!$N412,'Helpful Tables'!A:D,4,FALSE)</f>
        <v>Washington, DC</v>
      </c>
      <c r="AO412" s="29">
        <f>COUNTIF(AN:AN,Data!$AN412)/COUNTA(AN:AN)</f>
        <v>0.62424242424242427</v>
      </c>
      <c r="AP412" s="29">
        <v>38.949649000000001</v>
      </c>
      <c r="AQ412" s="29">
        <v>-77.080878999999996</v>
      </c>
      <c r="AR412" s="29">
        <f>COUNTIF(Data!$P$2:$P$825,Data!$P412)</f>
        <v>66</v>
      </c>
      <c r="AS412" s="29" cm="1">
        <f t="array" ref="AS412">_xlfn.IFS(Data!$E412&lt;12,((Data!$E412/Data!$D412)*60)*1,AND(Data!$E412&gt;=12,Data!$E412&lt;=15),((Data!$E412/Data!$D412)*60)*1.2,AND(Data!$E412&gt;=16,Data!$E412&lt;=19),((Data!$E412/Data!$D412)*60)*1.5,Data!$E412&gt;=20,((Data!$E412/Data!$D412)*60)*1.8)</f>
        <v>26.18181818181818</v>
      </c>
      <c r="AT412" s="29" cm="1">
        <f t="array" ref="AT412">_xlfn.IFS(Data!$F412&lt;600,((Data!$F412/Data!$D412)*60)*1,AND(Data!$F412&gt;=600,Data!$F412&lt;=625),((Data!$F412/Data!$D412)*60)*1.2,AND(Data!$F412&gt;=626,Data!$F412&lt;=650),((Data!$F412/Data!$D412)*60)*1.5,Data!$F412&gt;=651,((Data!$F412/Data!$D412)*60)*1.8)</f>
        <v>801.16363636363633</v>
      </c>
      <c r="AU412" s="29">
        <f>(Data!$I412*-1.2)+(Data!$J412*-1.1)+(Data!$K412*1.2)+(Data!$L412*1.3)+(Data!$M412*1.5)</f>
        <v>12.2</v>
      </c>
      <c r="AV412" s="29">
        <f>(Data!$AS412*0.4)+(Data!$AT412*0.4)+(Data!$AU412*0.2)</f>
        <v>333.37818181818187</v>
      </c>
      <c r="AW412" s="29">
        <f>PERCENTRANK(AV:AV,Data!$AV412)*100</f>
        <v>42.5</v>
      </c>
      <c r="AX412" s="29" t="str">
        <f>_xlfn.CONCAT(TEXT(C412,"mmm"),"-",Data!$AE412)</f>
        <v>Dec-2022</v>
      </c>
    </row>
    <row r="413" spans="1:50" ht="17" thickTop="1" thickBot="1" x14ac:dyDescent="0.25">
      <c r="A413" s="22">
        <v>412</v>
      </c>
      <c r="B413" s="23">
        <f t="shared" si="50"/>
        <v>16</v>
      </c>
      <c r="C413" s="41">
        <v>44927</v>
      </c>
      <c r="D413" s="24">
        <f>SUM(Data!$I413:$M413)</f>
        <v>57</v>
      </c>
      <c r="E413" s="23">
        <v>20</v>
      </c>
      <c r="F413" s="23">
        <v>717</v>
      </c>
      <c r="G413" s="23">
        <v>177</v>
      </c>
      <c r="H413" s="23">
        <v>137</v>
      </c>
      <c r="I413" s="23">
        <v>2</v>
      </c>
      <c r="J413" s="23">
        <v>13</v>
      </c>
      <c r="K413" s="23">
        <v>22</v>
      </c>
      <c r="L413" s="23">
        <v>11</v>
      </c>
      <c r="M413" s="23">
        <v>9</v>
      </c>
      <c r="N413" s="23" t="s">
        <v>101</v>
      </c>
      <c r="O413" s="23" t="s">
        <v>166</v>
      </c>
      <c r="P413" s="23" t="s">
        <v>147</v>
      </c>
      <c r="Q413" s="23">
        <f t="shared" si="56"/>
        <v>15</v>
      </c>
      <c r="R413" s="23" t="str">
        <f t="shared" si="51"/>
        <v>1-2023</v>
      </c>
      <c r="S413" s="23" t="s">
        <v>104</v>
      </c>
      <c r="T413" s="23" t="str">
        <f t="shared" si="52"/>
        <v>Sunday</v>
      </c>
      <c r="U413" s="23">
        <f t="shared" si="53"/>
        <v>1</v>
      </c>
      <c r="V413" s="25">
        <f>IFERROR(Data!$I413/Data!$D413,"")</f>
        <v>3.5087719298245612E-2</v>
      </c>
      <c r="W413" s="25">
        <f>IFERROR(Data!$J413/Data!$D413,"")</f>
        <v>0.22807017543859648</v>
      </c>
      <c r="X413" s="25">
        <f>IFERROR(Data!$K413/Data!$D413,"")</f>
        <v>0.38596491228070173</v>
      </c>
      <c r="Y413" s="25">
        <f>IFERROR(Data!$L413/Data!$D413,"")</f>
        <v>0.19298245614035087</v>
      </c>
      <c r="Z413" s="25">
        <f>IFERROR(Data!$M413/Data!$D413,"")</f>
        <v>0.15789473684210525</v>
      </c>
      <c r="AA413" s="26">
        <v>232.14</v>
      </c>
      <c r="AB413" s="26">
        <f t="shared" si="57"/>
        <v>14.508749999999999</v>
      </c>
      <c r="AC413" s="23">
        <f t="shared" si="54"/>
        <v>625.875</v>
      </c>
      <c r="AD413" s="23">
        <f t="shared" si="55"/>
        <v>15.3125</v>
      </c>
      <c r="AE413" s="23">
        <f>YEAR(Data!$C413)</f>
        <v>2023</v>
      </c>
      <c r="AF413" s="23"/>
      <c r="AG413" s="23">
        <v>12</v>
      </c>
      <c r="AH413" s="27">
        <f>Data!$F413/Data!$D413</f>
        <v>12.578947368421053</v>
      </c>
      <c r="AI413" s="17" t="str">
        <f>RIGHT(Data!$O413,2)</f>
        <v>AM</v>
      </c>
      <c r="AJ413" s="23" t="str">
        <f>Data!$R413&amp;"-"&amp;WEEKNUM(Data!$C413,1)-WEEKNUM(DATE(YEAR(Data!$C413),MONTH(Data!$C413),1),1)+1</f>
        <v>1-2023-1</v>
      </c>
      <c r="AK413" s="23">
        <f>MONTH(Data!$C413)</f>
        <v>1</v>
      </c>
      <c r="AL413" s="23">
        <f>IFERROR(Data!$F413/Data!$E413,0)</f>
        <v>35.85</v>
      </c>
      <c r="AM413" s="23">
        <f>COUNTIF(Data!$N$2:$N$825,Data!$N413)</f>
        <v>191</v>
      </c>
      <c r="AN413" s="23" t="str">
        <f>VLOOKUP(Data!$N413,'Helpful Tables'!A:D,4,FALSE)</f>
        <v>Washington, DC</v>
      </c>
      <c r="AO413" s="23">
        <f>COUNTIF(AN:AN,Data!$AN413)/COUNTA(AN:AN)</f>
        <v>0.62424242424242427</v>
      </c>
      <c r="AP413" s="23">
        <v>38.949649000000001</v>
      </c>
      <c r="AQ413" s="23">
        <v>-77.080878999999996</v>
      </c>
      <c r="AR413" s="23">
        <f>COUNTIF(Data!$P$2:$P$825,Data!$P413)</f>
        <v>17</v>
      </c>
      <c r="AS413" s="23" cm="1">
        <f t="array" ref="AS413">_xlfn.IFS(Data!$E413&lt;12,((Data!$E413/Data!$D413)*60)*1,AND(Data!$E413&gt;=12,Data!$E413&lt;=15),((Data!$E413/Data!$D413)*60)*1.2,AND(Data!$E413&gt;=16,Data!$E413&lt;=19),((Data!$E413/Data!$D413)*60)*1.5,Data!$E413&gt;=20,((Data!$E413/Data!$D413)*60)*1.8)</f>
        <v>37.89473684210526</v>
      </c>
      <c r="AT413" s="23" cm="1">
        <f t="array" ref="AT413">_xlfn.IFS(Data!$F413&lt;600,((Data!$F413/Data!$D413)*60)*1,AND(Data!$F413&gt;=600,Data!$F413&lt;=625),((Data!$F413/Data!$D413)*60)*1.2,AND(Data!$F413&gt;=626,Data!$F413&lt;=650),((Data!$F413/Data!$D413)*60)*1.5,Data!$F413&gt;=651,((Data!$F413/Data!$D413)*60)*1.8)</f>
        <v>1358.5263157894738</v>
      </c>
      <c r="AU413" s="23">
        <f>(Data!$I413*-1.2)+(Data!$J413*-1.1)+(Data!$K413*1.2)+(Data!$L413*1.3)+(Data!$M413*1.5)</f>
        <v>37.5</v>
      </c>
      <c r="AV413" s="23">
        <f>(Data!$AS413*0.4)+(Data!$AT413*0.4)+(Data!$AU413*0.2)</f>
        <v>566.06842105263161</v>
      </c>
      <c r="AW413" s="23">
        <f>PERCENTRANK(AV:AV,Data!$AV413)*100</f>
        <v>99.2</v>
      </c>
      <c r="AX413" s="23" t="str">
        <f>_xlfn.CONCAT(TEXT(C413,"mmm"),"-",Data!$AE413)</f>
        <v>Jan-2023</v>
      </c>
    </row>
    <row r="414" spans="1:50" ht="17" thickTop="1" thickBot="1" x14ac:dyDescent="0.25">
      <c r="A414" s="28">
        <v>413</v>
      </c>
      <c r="B414" s="29">
        <f t="shared" si="50"/>
        <v>16</v>
      </c>
      <c r="C414" s="41">
        <v>44928</v>
      </c>
      <c r="D414" s="30">
        <f>SUM(Data!$I414:$M414)</f>
        <v>58</v>
      </c>
      <c r="E414" s="29">
        <v>12</v>
      </c>
      <c r="F414" s="29">
        <v>606</v>
      </c>
      <c r="G414" s="29">
        <v>166</v>
      </c>
      <c r="H414" s="29">
        <v>122</v>
      </c>
      <c r="I414" s="29">
        <v>14</v>
      </c>
      <c r="J414" s="29">
        <v>16</v>
      </c>
      <c r="K414" s="29">
        <v>16</v>
      </c>
      <c r="L414" s="29">
        <v>10</v>
      </c>
      <c r="M414" s="29">
        <v>2</v>
      </c>
      <c r="N414" s="29" t="s">
        <v>30</v>
      </c>
      <c r="O414" s="29" t="s">
        <v>45</v>
      </c>
      <c r="P414" s="29" t="s">
        <v>167</v>
      </c>
      <c r="Q414" s="29">
        <f t="shared" si="56"/>
        <v>1</v>
      </c>
      <c r="R414" s="29" t="str">
        <f t="shared" si="51"/>
        <v>1-2023</v>
      </c>
      <c r="S414" s="29" t="s">
        <v>104</v>
      </c>
      <c r="T414" s="29" t="str">
        <f t="shared" si="52"/>
        <v>Monday</v>
      </c>
      <c r="U414" s="29">
        <f t="shared" si="53"/>
        <v>1</v>
      </c>
      <c r="V414" s="31">
        <f>IFERROR(Data!$I414/Data!$D414,"")</f>
        <v>0.2413793103448276</v>
      </c>
      <c r="W414" s="31">
        <f>IFERROR(Data!$J414/Data!$D414,"")</f>
        <v>0.27586206896551724</v>
      </c>
      <c r="X414" s="31">
        <f>IFERROR(Data!$K414/Data!$D414,"")</f>
        <v>0.27586206896551724</v>
      </c>
      <c r="Y414" s="31">
        <f>IFERROR(Data!$L414/Data!$D414,"")</f>
        <v>0.17241379310344829</v>
      </c>
      <c r="Z414" s="31">
        <f>IFERROR(Data!$M414/Data!$D414,"")</f>
        <v>3.4482758620689655E-2</v>
      </c>
      <c r="AA414" s="32">
        <v>232.14</v>
      </c>
      <c r="AB414" s="32">
        <f t="shared" si="57"/>
        <v>14.508749999999999</v>
      </c>
      <c r="AC414" s="29">
        <f t="shared" si="54"/>
        <v>625.875</v>
      </c>
      <c r="AD414" s="29">
        <f t="shared" si="55"/>
        <v>15.3125</v>
      </c>
      <c r="AE414" s="29">
        <f>YEAR(Data!$C414)</f>
        <v>2023</v>
      </c>
      <c r="AF414" s="29"/>
      <c r="AG414" s="29">
        <v>12</v>
      </c>
      <c r="AH414" s="33">
        <f>Data!$F414/Data!$D414</f>
        <v>10.448275862068966</v>
      </c>
      <c r="AI414" s="17" t="str">
        <f>RIGHT(Data!$O414,2)</f>
        <v>AM</v>
      </c>
      <c r="AJ414" s="29" t="str">
        <f>Data!$R414&amp;"-"&amp;WEEKNUM(Data!$C414,1)-WEEKNUM(DATE(YEAR(Data!$C414),MONTH(Data!$C414),1),1)+1</f>
        <v>1-2023-1</v>
      </c>
      <c r="AK414" s="29">
        <f>MONTH(Data!$C414)</f>
        <v>1</v>
      </c>
      <c r="AL414" s="29">
        <f>IFERROR(Data!$F414/Data!$E414,0)</f>
        <v>50.5</v>
      </c>
      <c r="AM414" s="29">
        <f>COUNTIF(Data!$N$2:$N$825,Data!$N414)</f>
        <v>9</v>
      </c>
      <c r="AN414" s="29" t="str">
        <f>VLOOKUP(Data!$N414,'Helpful Tables'!A:D,4,FALSE)</f>
        <v>Virginia</v>
      </c>
      <c r="AO414" s="29">
        <f>COUNTIF(AN:AN,Data!$AN414)/COUNTA(AN:AN)</f>
        <v>6.424242424242424E-2</v>
      </c>
      <c r="AP414" s="29">
        <v>38.894024999999999</v>
      </c>
      <c r="AQ414" s="29">
        <v>-77.078213000000005</v>
      </c>
      <c r="AR414" s="29">
        <f>COUNTIF(Data!$P$2:$P$825,Data!$P414)</f>
        <v>1</v>
      </c>
      <c r="AS414" s="29" cm="1">
        <f t="array" ref="AS414">_xlfn.IFS(Data!$E414&lt;12,((Data!$E414/Data!$D414)*60)*1,AND(Data!$E414&gt;=12,Data!$E414&lt;=15),((Data!$E414/Data!$D414)*60)*1.2,AND(Data!$E414&gt;=16,Data!$E414&lt;=19),((Data!$E414/Data!$D414)*60)*1.5,Data!$E414&gt;=20,((Data!$E414/Data!$D414)*60)*1.8)</f>
        <v>14.896551724137931</v>
      </c>
      <c r="AT414" s="29" cm="1">
        <f t="array" ref="AT414">_xlfn.IFS(Data!$F414&lt;600,((Data!$F414/Data!$D414)*60)*1,AND(Data!$F414&gt;=600,Data!$F414&lt;=625),((Data!$F414/Data!$D414)*60)*1.2,AND(Data!$F414&gt;=626,Data!$F414&lt;=650),((Data!$F414/Data!$D414)*60)*1.5,Data!$F414&gt;=651,((Data!$F414/Data!$D414)*60)*1.8)</f>
        <v>752.27586206896558</v>
      </c>
      <c r="AU414" s="29">
        <f>(Data!$I414*-1.2)+(Data!$J414*-1.1)+(Data!$K414*1.2)+(Data!$L414*1.3)+(Data!$M414*1.5)</f>
        <v>0.79999999999999361</v>
      </c>
      <c r="AV414" s="29">
        <f>(Data!$AS414*0.4)+(Data!$AT414*0.4)+(Data!$AU414*0.2)</f>
        <v>307.02896551724143</v>
      </c>
      <c r="AW414" s="29">
        <f>PERCENTRANK(AV:AV,Data!$AV414)*100</f>
        <v>29.7</v>
      </c>
      <c r="AX414" s="29" t="str">
        <f>_xlfn.CONCAT(TEXT(C414,"mmm"),"-",Data!$AE414)</f>
        <v>Jan-2023</v>
      </c>
    </row>
    <row r="415" spans="1:50" ht="17" thickTop="1" thickBot="1" x14ac:dyDescent="0.25">
      <c r="A415" s="22">
        <v>414</v>
      </c>
      <c r="B415" s="23">
        <f t="shared" si="50"/>
        <v>16</v>
      </c>
      <c r="C415" s="41">
        <v>44930</v>
      </c>
      <c r="D415" s="24">
        <f>SUM(Data!$I415:$M415)</f>
        <v>57</v>
      </c>
      <c r="E415" s="23">
        <v>15</v>
      </c>
      <c r="F415" s="23">
        <v>642</v>
      </c>
      <c r="G415" s="23">
        <v>167</v>
      </c>
      <c r="H415" s="23">
        <v>128</v>
      </c>
      <c r="I415" s="23">
        <v>8</v>
      </c>
      <c r="J415" s="23">
        <v>15</v>
      </c>
      <c r="K415" s="23">
        <v>19</v>
      </c>
      <c r="L415" s="23">
        <v>8</v>
      </c>
      <c r="M415" s="23">
        <v>7</v>
      </c>
      <c r="N415" s="23" t="s">
        <v>160</v>
      </c>
      <c r="O415" s="23" t="s">
        <v>143</v>
      </c>
      <c r="P415" s="23" t="s">
        <v>161</v>
      </c>
      <c r="Q415" s="23">
        <f t="shared" si="56"/>
        <v>2</v>
      </c>
      <c r="R415" s="23" t="str">
        <f t="shared" si="51"/>
        <v>1-2023</v>
      </c>
      <c r="S415" s="23" t="s">
        <v>117</v>
      </c>
      <c r="T415" s="23" t="str">
        <f t="shared" si="52"/>
        <v>Wednesday</v>
      </c>
      <c r="U415" s="23">
        <f t="shared" si="53"/>
        <v>1</v>
      </c>
      <c r="V415" s="25">
        <f>IFERROR(Data!$I415/Data!$D415,"")</f>
        <v>0.14035087719298245</v>
      </c>
      <c r="W415" s="25">
        <f>IFERROR(Data!$J415/Data!$D415,"")</f>
        <v>0.26315789473684209</v>
      </c>
      <c r="X415" s="25">
        <f>IFERROR(Data!$K415/Data!$D415,"")</f>
        <v>0.33333333333333331</v>
      </c>
      <c r="Y415" s="25">
        <f>IFERROR(Data!$L415/Data!$D415,"")</f>
        <v>0.14035087719298245</v>
      </c>
      <c r="Z415" s="25">
        <f>IFERROR(Data!$M415/Data!$D415,"")</f>
        <v>0.12280701754385964</v>
      </c>
      <c r="AA415" s="26">
        <v>232.14</v>
      </c>
      <c r="AB415" s="26">
        <f t="shared" si="57"/>
        <v>14.508749999999999</v>
      </c>
      <c r="AC415" s="23">
        <f t="shared" si="54"/>
        <v>625.875</v>
      </c>
      <c r="AD415" s="23">
        <f t="shared" si="55"/>
        <v>15.3125</v>
      </c>
      <c r="AE415" s="23">
        <f>YEAR(Data!$C415)</f>
        <v>2023</v>
      </c>
      <c r="AF415" s="23"/>
      <c r="AG415" s="23">
        <v>12</v>
      </c>
      <c r="AH415" s="27">
        <f>Data!$F415/Data!$D415</f>
        <v>11.263157894736842</v>
      </c>
      <c r="AI415" s="17" t="str">
        <f>RIGHT(Data!$O415,2)</f>
        <v>PM</v>
      </c>
      <c r="AJ415" s="23" t="str">
        <f>Data!$R415&amp;"-"&amp;WEEKNUM(Data!$C415,1)-WEEKNUM(DATE(YEAR(Data!$C415),MONTH(Data!$C415),1),1)+1</f>
        <v>1-2023-1</v>
      </c>
      <c r="AK415" s="23">
        <f>MONTH(Data!$C415)</f>
        <v>1</v>
      </c>
      <c r="AL415" s="23">
        <f>IFERROR(Data!$F415/Data!$E415,0)</f>
        <v>42.8</v>
      </c>
      <c r="AM415" s="23">
        <f>COUNTIF(Data!$N$2:$N$825,Data!$N415)</f>
        <v>9</v>
      </c>
      <c r="AN415" s="23" t="str">
        <f>VLOOKUP(Data!$N415,'Helpful Tables'!A:D,4,FALSE)</f>
        <v>Virginia</v>
      </c>
      <c r="AO415" s="23">
        <f>COUNTIF(AN:AN,Data!$AN415)/COUNTA(AN:AN)</f>
        <v>6.424242424242424E-2</v>
      </c>
      <c r="AP415" s="23">
        <v>38.880467000000003</v>
      </c>
      <c r="AQ415" s="23">
        <v>-77.111583999999993</v>
      </c>
      <c r="AR415" s="23">
        <f>COUNTIF(Data!$P$2:$P$825,Data!$P415)</f>
        <v>7</v>
      </c>
      <c r="AS415" s="23" cm="1">
        <f t="array" ref="AS415">_xlfn.IFS(Data!$E415&lt;12,((Data!$E415/Data!$D415)*60)*1,AND(Data!$E415&gt;=12,Data!$E415&lt;=15),((Data!$E415/Data!$D415)*60)*1.2,AND(Data!$E415&gt;=16,Data!$E415&lt;=19),((Data!$E415/Data!$D415)*60)*1.5,Data!$E415&gt;=20,((Data!$E415/Data!$D415)*60)*1.8)</f>
        <v>18.94736842105263</v>
      </c>
      <c r="AT415" s="23" cm="1">
        <f t="array" ref="AT415">_xlfn.IFS(Data!$F415&lt;600,((Data!$F415/Data!$D415)*60)*1,AND(Data!$F415&gt;=600,Data!$F415&lt;=625),((Data!$F415/Data!$D415)*60)*1.2,AND(Data!$F415&gt;=626,Data!$F415&lt;=650),((Data!$F415/Data!$D415)*60)*1.5,Data!$F415&gt;=651,((Data!$F415/Data!$D415)*60)*1.8)</f>
        <v>1013.6842105263158</v>
      </c>
      <c r="AU415" s="23">
        <f>(Data!$I415*-1.2)+(Data!$J415*-1.1)+(Data!$K415*1.2)+(Data!$L415*1.3)+(Data!$M415*1.5)</f>
        <v>17.600000000000001</v>
      </c>
      <c r="AV415" s="23">
        <f>(Data!$AS415*0.4)+(Data!$AT415*0.4)+(Data!$AU415*0.2)</f>
        <v>416.57263157894738</v>
      </c>
      <c r="AW415" s="23">
        <f>PERCENTRANK(AV:AV,Data!$AV415)*100</f>
        <v>59.699999999999996</v>
      </c>
      <c r="AX415" s="23" t="str">
        <f>_xlfn.CONCAT(TEXT(C415,"mmm"),"-",Data!$AE415)</f>
        <v>Jan-2023</v>
      </c>
    </row>
    <row r="416" spans="1:50" ht="17" thickTop="1" thickBot="1" x14ac:dyDescent="0.25">
      <c r="A416" s="28">
        <v>415</v>
      </c>
      <c r="B416" s="29">
        <f t="shared" si="50"/>
        <v>16</v>
      </c>
      <c r="C416" s="41">
        <v>44932</v>
      </c>
      <c r="D416" s="30">
        <f>SUM(Data!$I416:$M416)</f>
        <v>58</v>
      </c>
      <c r="E416" s="29">
        <v>17</v>
      </c>
      <c r="F416" s="29">
        <v>627</v>
      </c>
      <c r="G416" s="29">
        <v>165</v>
      </c>
      <c r="H416" s="29">
        <v>126</v>
      </c>
      <c r="I416" s="29">
        <v>8</v>
      </c>
      <c r="J416" s="29">
        <v>19</v>
      </c>
      <c r="K416" s="29">
        <v>14</v>
      </c>
      <c r="L416" s="29">
        <v>13</v>
      </c>
      <c r="M416" s="29">
        <v>4</v>
      </c>
      <c r="N416" s="29" t="s">
        <v>91</v>
      </c>
      <c r="O416" s="29" t="s">
        <v>89</v>
      </c>
      <c r="P416" s="29" t="s">
        <v>168</v>
      </c>
      <c r="Q416" s="29">
        <f t="shared" si="56"/>
        <v>2</v>
      </c>
      <c r="R416" s="29" t="str">
        <f t="shared" si="51"/>
        <v>1-2023</v>
      </c>
      <c r="S416" s="29" t="s">
        <v>104</v>
      </c>
      <c r="T416" s="29" t="str">
        <f t="shared" si="52"/>
        <v>Friday</v>
      </c>
      <c r="U416" s="29">
        <f t="shared" si="53"/>
        <v>1</v>
      </c>
      <c r="V416" s="31">
        <f>IFERROR(Data!$I416/Data!$D416,"")</f>
        <v>0.13793103448275862</v>
      </c>
      <c r="W416" s="31">
        <f>IFERROR(Data!$J416/Data!$D416,"")</f>
        <v>0.32758620689655171</v>
      </c>
      <c r="X416" s="31">
        <f>IFERROR(Data!$K416/Data!$D416,"")</f>
        <v>0.2413793103448276</v>
      </c>
      <c r="Y416" s="31">
        <f>IFERROR(Data!$L416/Data!$D416,"")</f>
        <v>0.22413793103448276</v>
      </c>
      <c r="Z416" s="31">
        <f>IFERROR(Data!$M416/Data!$D416,"")</f>
        <v>6.8965517241379309E-2</v>
      </c>
      <c r="AA416" s="32">
        <v>232.14</v>
      </c>
      <c r="AB416" s="32">
        <f t="shared" si="57"/>
        <v>14.508749999999999</v>
      </c>
      <c r="AC416" s="29">
        <f t="shared" si="54"/>
        <v>625.875</v>
      </c>
      <c r="AD416" s="29">
        <f t="shared" si="55"/>
        <v>15.3125</v>
      </c>
      <c r="AE416" s="29">
        <f>YEAR(Data!$C416)</f>
        <v>2023</v>
      </c>
      <c r="AF416" s="29"/>
      <c r="AG416" s="29">
        <v>12</v>
      </c>
      <c r="AH416" s="33">
        <f>Data!$F416/Data!$D416</f>
        <v>10.810344827586206</v>
      </c>
      <c r="AI416" s="17" t="str">
        <f>RIGHT(Data!$O416,2)</f>
        <v>AM</v>
      </c>
      <c r="AJ416" s="29" t="str">
        <f>Data!$R416&amp;"-"&amp;WEEKNUM(Data!$C416,1)-WEEKNUM(DATE(YEAR(Data!$C416),MONTH(Data!$C416),1),1)+1</f>
        <v>1-2023-1</v>
      </c>
      <c r="AK416" s="29">
        <f>MONTH(Data!$C416)</f>
        <v>1</v>
      </c>
      <c r="AL416" s="29">
        <f>IFERROR(Data!$F416/Data!$E416,0)</f>
        <v>36.882352941176471</v>
      </c>
      <c r="AM416" s="29">
        <f>COUNTIF(Data!$N$2:$N$825,Data!$N416)</f>
        <v>218</v>
      </c>
      <c r="AN416" s="29" t="str">
        <f>VLOOKUP(Data!$N416,'Helpful Tables'!A:D,4,FALSE)</f>
        <v>Washington, DC</v>
      </c>
      <c r="AO416" s="29">
        <f>COUNTIF(AN:AN,Data!$AN416)/COUNTA(AN:AN)</f>
        <v>0.62424242424242427</v>
      </c>
      <c r="AP416" s="29">
        <v>38.934710000000003</v>
      </c>
      <c r="AQ416" s="29">
        <v>-77.058222999999998</v>
      </c>
      <c r="AR416" s="29">
        <f>COUNTIF(Data!$P$2:$P$825,Data!$P416)</f>
        <v>12</v>
      </c>
      <c r="AS416" s="29" cm="1">
        <f t="array" ref="AS416">_xlfn.IFS(Data!$E416&lt;12,((Data!$E416/Data!$D416)*60)*1,AND(Data!$E416&gt;=12,Data!$E416&lt;=15),((Data!$E416/Data!$D416)*60)*1.2,AND(Data!$E416&gt;=16,Data!$E416&lt;=19),((Data!$E416/Data!$D416)*60)*1.5,Data!$E416&gt;=20,((Data!$E416/Data!$D416)*60)*1.8)</f>
        <v>26.379310344827584</v>
      </c>
      <c r="AT416" s="29" cm="1">
        <f t="array" ref="AT416">_xlfn.IFS(Data!$F416&lt;600,((Data!$F416/Data!$D416)*60)*1,AND(Data!$F416&gt;=600,Data!$F416&lt;=625),((Data!$F416/Data!$D416)*60)*1.2,AND(Data!$F416&gt;=626,Data!$F416&lt;=650),((Data!$F416/Data!$D416)*60)*1.5,Data!$F416&gt;=651,((Data!$F416/Data!$D416)*60)*1.8)</f>
        <v>972.93103448275849</v>
      </c>
      <c r="AU416" s="29">
        <f>(Data!$I416*-1.2)+(Data!$J416*-1.1)+(Data!$K416*1.2)+(Data!$L416*1.3)+(Data!$M416*1.5)</f>
        <v>9.2000000000000028</v>
      </c>
      <c r="AV416" s="29">
        <f>(Data!$AS416*0.4)+(Data!$AT416*0.4)+(Data!$AU416*0.2)</f>
        <v>401.56413793103445</v>
      </c>
      <c r="AW416" s="29">
        <f>PERCENTRANK(AV:AV,Data!$AV416)*100</f>
        <v>53.400000000000006</v>
      </c>
      <c r="AX416" s="29" t="str">
        <f>_xlfn.CONCAT(TEXT(C416,"mmm"),"-",Data!$AE416)</f>
        <v>Jan-2023</v>
      </c>
    </row>
    <row r="417" spans="1:50" ht="17" thickTop="1" thickBot="1" x14ac:dyDescent="0.25">
      <c r="A417" s="22">
        <v>416</v>
      </c>
      <c r="B417" s="23">
        <f t="shared" si="50"/>
        <v>16</v>
      </c>
      <c r="C417" s="41">
        <v>44934</v>
      </c>
      <c r="D417" s="24">
        <f>SUM(Data!$I417:$M417)</f>
        <v>59</v>
      </c>
      <c r="E417" s="23">
        <v>11</v>
      </c>
      <c r="F417" s="23">
        <v>557</v>
      </c>
      <c r="G417" s="23">
        <v>164</v>
      </c>
      <c r="H417" s="23">
        <v>115</v>
      </c>
      <c r="I417" s="23">
        <v>24</v>
      </c>
      <c r="J417" s="23">
        <v>15</v>
      </c>
      <c r="K417" s="23">
        <v>9</v>
      </c>
      <c r="L417" s="23">
        <v>8</v>
      </c>
      <c r="M417" s="23">
        <v>3</v>
      </c>
      <c r="N417" s="23" t="s">
        <v>101</v>
      </c>
      <c r="O417" s="23" t="s">
        <v>81</v>
      </c>
      <c r="P417" s="23" t="s">
        <v>155</v>
      </c>
      <c r="Q417" s="23">
        <f t="shared" si="56"/>
        <v>2</v>
      </c>
      <c r="R417" s="23" t="str">
        <f t="shared" si="51"/>
        <v>1-2023</v>
      </c>
      <c r="S417" s="23" t="s">
        <v>117</v>
      </c>
      <c r="T417" s="23" t="str">
        <f t="shared" si="52"/>
        <v>Sunday</v>
      </c>
      <c r="U417" s="23">
        <f t="shared" si="53"/>
        <v>0</v>
      </c>
      <c r="V417" s="25">
        <f>IFERROR(Data!$I417/Data!$D417,"")</f>
        <v>0.40677966101694918</v>
      </c>
      <c r="W417" s="25">
        <f>IFERROR(Data!$J417/Data!$D417,"")</f>
        <v>0.25423728813559321</v>
      </c>
      <c r="X417" s="25">
        <f>IFERROR(Data!$K417/Data!$D417,"")</f>
        <v>0.15254237288135594</v>
      </c>
      <c r="Y417" s="25">
        <f>IFERROR(Data!$L417/Data!$D417,"")</f>
        <v>0.13559322033898305</v>
      </c>
      <c r="Z417" s="25">
        <f>IFERROR(Data!$M417/Data!$D417,"")</f>
        <v>5.0847457627118647E-2</v>
      </c>
      <c r="AA417" s="26">
        <v>232.14</v>
      </c>
      <c r="AB417" s="26">
        <f t="shared" si="57"/>
        <v>14.508749999999999</v>
      </c>
      <c r="AC417" s="23">
        <f t="shared" si="54"/>
        <v>625.875</v>
      </c>
      <c r="AD417" s="23">
        <f t="shared" si="55"/>
        <v>15.3125</v>
      </c>
      <c r="AE417" s="23">
        <f>YEAR(Data!$C417)</f>
        <v>2023</v>
      </c>
      <c r="AF417" s="23"/>
      <c r="AG417" s="23">
        <v>12</v>
      </c>
      <c r="AH417" s="27">
        <f>Data!$F417/Data!$D417</f>
        <v>9.4406779661016955</v>
      </c>
      <c r="AI417" s="17" t="str">
        <f>RIGHT(Data!$O417,2)</f>
        <v>AM</v>
      </c>
      <c r="AJ417" s="23" t="str">
        <f>Data!$R417&amp;"-"&amp;WEEKNUM(Data!$C417,1)-WEEKNUM(DATE(YEAR(Data!$C417),MONTH(Data!$C417),1),1)+1</f>
        <v>1-2023-2</v>
      </c>
      <c r="AK417" s="23">
        <f>MONTH(Data!$C417)</f>
        <v>1</v>
      </c>
      <c r="AL417" s="23">
        <f>IFERROR(Data!$F417/Data!$E417,0)</f>
        <v>50.636363636363633</v>
      </c>
      <c r="AM417" s="23">
        <f>COUNTIF(Data!$N$2:$N$825,Data!$N417)</f>
        <v>191</v>
      </c>
      <c r="AN417" s="23" t="str">
        <f>VLOOKUP(Data!$N417,'Helpful Tables'!A:D,4,FALSE)</f>
        <v>Washington, DC</v>
      </c>
      <c r="AO417" s="23">
        <f>COUNTIF(AN:AN,Data!$AN417)/COUNTA(AN:AN)</f>
        <v>0.62424242424242427</v>
      </c>
      <c r="AP417" s="23">
        <v>38.949649000000001</v>
      </c>
      <c r="AQ417" s="23">
        <v>-77.080878999999996</v>
      </c>
      <c r="AR417" s="23">
        <f>COUNTIF(Data!$P$2:$P$825,Data!$P417)</f>
        <v>13</v>
      </c>
      <c r="AS417" s="23" cm="1">
        <f t="array" ref="AS417">_xlfn.IFS(Data!$E417&lt;12,((Data!$E417/Data!$D417)*60)*1,AND(Data!$E417&gt;=12,Data!$E417&lt;=15),((Data!$E417/Data!$D417)*60)*1.2,AND(Data!$E417&gt;=16,Data!$E417&lt;=19),((Data!$E417/Data!$D417)*60)*1.5,Data!$E417&gt;=20,((Data!$E417/Data!$D417)*60)*1.8)</f>
        <v>11.186440677966102</v>
      </c>
      <c r="AT417" s="23" cm="1">
        <f t="array" ref="AT417">_xlfn.IFS(Data!$F417&lt;600,((Data!$F417/Data!$D417)*60)*1,AND(Data!$F417&gt;=600,Data!$F417&lt;=625),((Data!$F417/Data!$D417)*60)*1.2,AND(Data!$F417&gt;=626,Data!$F417&lt;=650),((Data!$F417/Data!$D417)*60)*1.5,Data!$F417&gt;=651,((Data!$F417/Data!$D417)*60)*1.8)</f>
        <v>566.4406779661017</v>
      </c>
      <c r="AU417" s="23">
        <f>(Data!$I417*-1.2)+(Data!$J417*-1.1)+(Data!$K417*1.2)+(Data!$L417*1.3)+(Data!$M417*1.5)</f>
        <v>-19.600000000000001</v>
      </c>
      <c r="AV417" s="23">
        <f>(Data!$AS417*0.4)+(Data!$AT417*0.4)+(Data!$AU417*0.2)</f>
        <v>227.13084745762714</v>
      </c>
      <c r="AW417" s="23">
        <f>PERCENTRANK(AV:AV,Data!$AV417)*100</f>
        <v>5.8000000000000007</v>
      </c>
      <c r="AX417" s="23" t="str">
        <f>_xlfn.CONCAT(TEXT(C417,"mmm"),"-",Data!$AE417)</f>
        <v>Jan-2023</v>
      </c>
    </row>
    <row r="418" spans="1:50" ht="17" thickTop="1" thickBot="1" x14ac:dyDescent="0.25">
      <c r="A418" s="28">
        <v>417</v>
      </c>
      <c r="B418" s="29">
        <f t="shared" si="50"/>
        <v>16</v>
      </c>
      <c r="C418" s="41">
        <v>44936</v>
      </c>
      <c r="D418" s="30">
        <f>SUM(Data!$I418:$M418)</f>
        <v>57</v>
      </c>
      <c r="E418" s="29">
        <v>15</v>
      </c>
      <c r="F418" s="29">
        <v>577</v>
      </c>
      <c r="G418" s="29">
        <v>162</v>
      </c>
      <c r="H418" s="29">
        <v>120</v>
      </c>
      <c r="I418" s="29">
        <v>20</v>
      </c>
      <c r="J418" s="29">
        <v>11</v>
      </c>
      <c r="K418" s="29">
        <v>11</v>
      </c>
      <c r="L418" s="29">
        <v>13</v>
      </c>
      <c r="M418" s="29">
        <v>2</v>
      </c>
      <c r="N418" s="29" t="s">
        <v>101</v>
      </c>
      <c r="O418" s="29" t="s">
        <v>39</v>
      </c>
      <c r="P418" s="29" t="s">
        <v>109</v>
      </c>
      <c r="Q418" s="29">
        <f t="shared" si="56"/>
        <v>2</v>
      </c>
      <c r="R418" s="29" t="str">
        <f t="shared" si="51"/>
        <v>1-2023</v>
      </c>
      <c r="S418" s="29" t="s">
        <v>104</v>
      </c>
      <c r="T418" s="29" t="str">
        <f t="shared" si="52"/>
        <v>Tuesday</v>
      </c>
      <c r="U418" s="29">
        <f t="shared" si="53"/>
        <v>1</v>
      </c>
      <c r="V418" s="31">
        <f>IFERROR(Data!$I418/Data!$D418,"")</f>
        <v>0.35087719298245612</v>
      </c>
      <c r="W418" s="31">
        <f>IFERROR(Data!$J418/Data!$D418,"")</f>
        <v>0.19298245614035087</v>
      </c>
      <c r="X418" s="31">
        <f>IFERROR(Data!$K418/Data!$D418,"")</f>
        <v>0.19298245614035087</v>
      </c>
      <c r="Y418" s="31">
        <f>IFERROR(Data!$L418/Data!$D418,"")</f>
        <v>0.22807017543859648</v>
      </c>
      <c r="Z418" s="31">
        <f>IFERROR(Data!$M418/Data!$D418,"")</f>
        <v>3.5087719298245612E-2</v>
      </c>
      <c r="AA418" s="32">
        <v>232.14</v>
      </c>
      <c r="AB418" s="32">
        <f t="shared" si="57"/>
        <v>14.508749999999999</v>
      </c>
      <c r="AC418" s="29">
        <f t="shared" si="54"/>
        <v>625.875</v>
      </c>
      <c r="AD418" s="29">
        <f t="shared" si="55"/>
        <v>15.3125</v>
      </c>
      <c r="AE418" s="29">
        <f>YEAR(Data!$C418)</f>
        <v>2023</v>
      </c>
      <c r="AF418" s="29"/>
      <c r="AG418" s="29">
        <v>12</v>
      </c>
      <c r="AH418" s="33">
        <f>Data!$F418/Data!$D418</f>
        <v>10.12280701754386</v>
      </c>
      <c r="AI418" s="17" t="str">
        <f>RIGHT(Data!$O418,2)</f>
        <v>PM</v>
      </c>
      <c r="AJ418" s="29" t="str">
        <f>Data!$R418&amp;"-"&amp;WEEKNUM(Data!$C418,1)-WEEKNUM(DATE(YEAR(Data!$C418),MONTH(Data!$C418),1),1)+1</f>
        <v>1-2023-2</v>
      </c>
      <c r="AK418" s="29">
        <f>MONTH(Data!$C418)</f>
        <v>1</v>
      </c>
      <c r="AL418" s="29">
        <f>IFERROR(Data!$F418/Data!$E418,0)</f>
        <v>38.466666666666669</v>
      </c>
      <c r="AM418" s="29">
        <f>COUNTIF(Data!$N$2:$N$825,Data!$N418)</f>
        <v>191</v>
      </c>
      <c r="AN418" s="29" t="str">
        <f>VLOOKUP(Data!$N418,'Helpful Tables'!A:D,4,FALSE)</f>
        <v>Washington, DC</v>
      </c>
      <c r="AO418" s="29">
        <f>COUNTIF(AN:AN,Data!$AN418)/COUNTA(AN:AN)</f>
        <v>0.62424242424242427</v>
      </c>
      <c r="AP418" s="29">
        <v>38.949649000000001</v>
      </c>
      <c r="AQ418" s="29">
        <v>-77.080878999999996</v>
      </c>
      <c r="AR418" s="29">
        <f>COUNTIF(Data!$P$2:$P$825,Data!$P418)</f>
        <v>66</v>
      </c>
      <c r="AS418" s="29" cm="1">
        <f t="array" ref="AS418">_xlfn.IFS(Data!$E418&lt;12,((Data!$E418/Data!$D418)*60)*1,AND(Data!$E418&gt;=12,Data!$E418&lt;=15),((Data!$E418/Data!$D418)*60)*1.2,AND(Data!$E418&gt;=16,Data!$E418&lt;=19),((Data!$E418/Data!$D418)*60)*1.5,Data!$E418&gt;=20,((Data!$E418/Data!$D418)*60)*1.8)</f>
        <v>18.94736842105263</v>
      </c>
      <c r="AT418" s="29" cm="1">
        <f t="array" ref="AT418">_xlfn.IFS(Data!$F418&lt;600,((Data!$F418/Data!$D418)*60)*1,AND(Data!$F418&gt;=600,Data!$F418&lt;=625),((Data!$F418/Data!$D418)*60)*1.2,AND(Data!$F418&gt;=626,Data!$F418&lt;=650),((Data!$F418/Data!$D418)*60)*1.5,Data!$F418&gt;=651,((Data!$F418/Data!$D418)*60)*1.8)</f>
        <v>607.36842105263156</v>
      </c>
      <c r="AU418" s="29">
        <f>(Data!$I418*-1.2)+(Data!$J418*-1.1)+(Data!$K418*1.2)+(Data!$L418*1.3)+(Data!$M418*1.5)</f>
        <v>-3</v>
      </c>
      <c r="AV418" s="29">
        <f>(Data!$AS418*0.4)+(Data!$AT418*0.4)+(Data!$AU418*0.2)</f>
        <v>249.92631578947368</v>
      </c>
      <c r="AW418" s="29">
        <f>PERCENTRANK(AV:AV,Data!$AV418)*100</f>
        <v>17.100000000000001</v>
      </c>
      <c r="AX418" s="29" t="str">
        <f>_xlfn.CONCAT(TEXT(C418,"mmm"),"-",Data!$AE418)</f>
        <v>Jan-2023</v>
      </c>
    </row>
    <row r="419" spans="1:50" ht="17" thickTop="1" thickBot="1" x14ac:dyDescent="0.25">
      <c r="A419" s="22">
        <v>418</v>
      </c>
      <c r="B419" s="23">
        <f t="shared" si="50"/>
        <v>16</v>
      </c>
      <c r="C419" s="41">
        <v>44937</v>
      </c>
      <c r="D419" s="24">
        <f>SUM(Data!$I419:$M419)</f>
        <v>56</v>
      </c>
      <c r="E419" s="23">
        <v>14</v>
      </c>
      <c r="F419" s="23">
        <v>642</v>
      </c>
      <c r="G419" s="23">
        <v>171</v>
      </c>
      <c r="H419" s="23">
        <v>128</v>
      </c>
      <c r="I419" s="23">
        <v>7</v>
      </c>
      <c r="J419" s="23">
        <v>18</v>
      </c>
      <c r="K419" s="23">
        <v>17</v>
      </c>
      <c r="L419" s="23">
        <v>8</v>
      </c>
      <c r="M419" s="23">
        <v>6</v>
      </c>
      <c r="N419" s="23" t="s">
        <v>160</v>
      </c>
      <c r="O419" s="23" t="s">
        <v>143</v>
      </c>
      <c r="P419" s="23" t="s">
        <v>161</v>
      </c>
      <c r="Q419" s="23">
        <f t="shared" si="56"/>
        <v>1</v>
      </c>
      <c r="R419" s="23" t="str">
        <f t="shared" si="51"/>
        <v>1-2023</v>
      </c>
      <c r="S419" s="23" t="s">
        <v>117</v>
      </c>
      <c r="T419" s="23" t="str">
        <f t="shared" si="52"/>
        <v>Wednesday</v>
      </c>
      <c r="U419" s="23">
        <f t="shared" si="53"/>
        <v>1</v>
      </c>
      <c r="V419" s="25">
        <f>IFERROR(Data!$I419/Data!$D419,"")</f>
        <v>0.125</v>
      </c>
      <c r="W419" s="25">
        <f>IFERROR(Data!$J419/Data!$D419,"")</f>
        <v>0.32142857142857145</v>
      </c>
      <c r="X419" s="25">
        <f>IFERROR(Data!$K419/Data!$D419,"")</f>
        <v>0.30357142857142855</v>
      </c>
      <c r="Y419" s="25">
        <f>IFERROR(Data!$L419/Data!$D419,"")</f>
        <v>0.14285714285714285</v>
      </c>
      <c r="Z419" s="25">
        <f>IFERROR(Data!$M419/Data!$D419,"")</f>
        <v>0.10714285714285714</v>
      </c>
      <c r="AA419" s="26">
        <v>232.14</v>
      </c>
      <c r="AB419" s="26">
        <f t="shared" si="57"/>
        <v>14.508749999999999</v>
      </c>
      <c r="AC419" s="23">
        <f t="shared" si="54"/>
        <v>625.875</v>
      </c>
      <c r="AD419" s="23">
        <f t="shared" si="55"/>
        <v>15.3125</v>
      </c>
      <c r="AE419" s="23">
        <f>YEAR(Data!$C419)</f>
        <v>2023</v>
      </c>
      <c r="AF419" s="23"/>
      <c r="AG419" s="23">
        <v>12</v>
      </c>
      <c r="AH419" s="27">
        <f>Data!$F419/Data!$D419</f>
        <v>11.464285714285714</v>
      </c>
      <c r="AI419" s="17" t="str">
        <f>RIGHT(Data!$O419,2)</f>
        <v>PM</v>
      </c>
      <c r="AJ419" s="23" t="str">
        <f>Data!$R419&amp;"-"&amp;WEEKNUM(Data!$C419,1)-WEEKNUM(DATE(YEAR(Data!$C419),MONTH(Data!$C419),1),1)+1</f>
        <v>1-2023-2</v>
      </c>
      <c r="AK419" s="23">
        <f>MONTH(Data!$C419)</f>
        <v>1</v>
      </c>
      <c r="AL419" s="23">
        <f>IFERROR(Data!$F419/Data!$E419,0)</f>
        <v>45.857142857142854</v>
      </c>
      <c r="AM419" s="23">
        <f>COUNTIF(Data!$N$2:$N$825,Data!$N419)</f>
        <v>9</v>
      </c>
      <c r="AN419" s="23" t="str">
        <f>VLOOKUP(Data!$N419,'Helpful Tables'!A:D,4,FALSE)</f>
        <v>Virginia</v>
      </c>
      <c r="AO419" s="23">
        <f>COUNTIF(AN:AN,Data!$AN419)/COUNTA(AN:AN)</f>
        <v>6.424242424242424E-2</v>
      </c>
      <c r="AP419" s="23">
        <v>38.880467000000003</v>
      </c>
      <c r="AQ419" s="23">
        <v>-77.111583999999993</v>
      </c>
      <c r="AR419" s="23">
        <f>COUNTIF(Data!$P$2:$P$825,Data!$P419)</f>
        <v>7</v>
      </c>
      <c r="AS419" s="23" cm="1">
        <f t="array" ref="AS419">_xlfn.IFS(Data!$E419&lt;12,((Data!$E419/Data!$D419)*60)*1,AND(Data!$E419&gt;=12,Data!$E419&lt;=15),((Data!$E419/Data!$D419)*60)*1.2,AND(Data!$E419&gt;=16,Data!$E419&lt;=19),((Data!$E419/Data!$D419)*60)*1.5,Data!$E419&gt;=20,((Data!$E419/Data!$D419)*60)*1.8)</f>
        <v>18</v>
      </c>
      <c r="AT419" s="23" cm="1">
        <f t="array" ref="AT419">_xlfn.IFS(Data!$F419&lt;600,((Data!$F419/Data!$D419)*60)*1,AND(Data!$F419&gt;=600,Data!$F419&lt;=625),((Data!$F419/Data!$D419)*60)*1.2,AND(Data!$F419&gt;=626,Data!$F419&lt;=650),((Data!$F419/Data!$D419)*60)*1.5,Data!$F419&gt;=651,((Data!$F419/Data!$D419)*60)*1.8)</f>
        <v>1031.7857142857142</v>
      </c>
      <c r="AU419" s="23">
        <f>(Data!$I419*-1.2)+(Data!$J419*-1.1)+(Data!$K419*1.2)+(Data!$L419*1.3)+(Data!$M419*1.5)</f>
        <v>11.599999999999996</v>
      </c>
      <c r="AV419" s="23">
        <f>(Data!$AS419*0.4)+(Data!$AT419*0.4)+(Data!$AU419*0.2)</f>
        <v>422.2342857142857</v>
      </c>
      <c r="AW419" s="23">
        <f>PERCENTRANK(AV:AV,Data!$AV419)*100</f>
        <v>62.1</v>
      </c>
      <c r="AX419" s="23" t="str">
        <f>_xlfn.CONCAT(TEXT(C419,"mmm"),"-",Data!$AE419)</f>
        <v>Jan-2023</v>
      </c>
    </row>
    <row r="420" spans="1:50" ht="17" thickTop="1" thickBot="1" x14ac:dyDescent="0.25">
      <c r="A420" s="28">
        <v>419</v>
      </c>
      <c r="B420" s="29">
        <f t="shared" si="50"/>
        <v>16</v>
      </c>
      <c r="C420" s="41">
        <v>44939</v>
      </c>
      <c r="D420" s="30">
        <f>SUM(Data!$I420:$M420)</f>
        <v>58</v>
      </c>
      <c r="E420" s="29">
        <v>15</v>
      </c>
      <c r="F420" s="29">
        <v>655</v>
      </c>
      <c r="G420" s="29">
        <v>160</v>
      </c>
      <c r="H420" s="29">
        <v>129</v>
      </c>
      <c r="I420" s="29">
        <v>5</v>
      </c>
      <c r="J420" s="29">
        <v>15</v>
      </c>
      <c r="K420" s="29">
        <v>23</v>
      </c>
      <c r="L420" s="29">
        <v>13</v>
      </c>
      <c r="M420" s="29">
        <v>2</v>
      </c>
      <c r="N420" s="29" t="s">
        <v>91</v>
      </c>
      <c r="O420" s="29" t="s">
        <v>89</v>
      </c>
      <c r="P420" s="29" t="s">
        <v>168</v>
      </c>
      <c r="Q420" s="29">
        <f t="shared" si="56"/>
        <v>2</v>
      </c>
      <c r="R420" s="29" t="str">
        <f t="shared" si="51"/>
        <v>1-2023</v>
      </c>
      <c r="S420" s="29" t="s">
        <v>104</v>
      </c>
      <c r="T420" s="29" t="str">
        <f t="shared" si="52"/>
        <v>Friday</v>
      </c>
      <c r="U420" s="29">
        <f t="shared" si="53"/>
        <v>1</v>
      </c>
      <c r="V420" s="31">
        <f>IFERROR(Data!$I420/Data!$D420,"")</f>
        <v>8.6206896551724144E-2</v>
      </c>
      <c r="W420" s="31">
        <f>IFERROR(Data!$J420/Data!$D420,"")</f>
        <v>0.25862068965517243</v>
      </c>
      <c r="X420" s="31">
        <f>IFERROR(Data!$K420/Data!$D420,"")</f>
        <v>0.39655172413793105</v>
      </c>
      <c r="Y420" s="31">
        <f>IFERROR(Data!$L420/Data!$D420,"")</f>
        <v>0.22413793103448276</v>
      </c>
      <c r="Z420" s="31">
        <f>IFERROR(Data!$M420/Data!$D420,"")</f>
        <v>3.4482758620689655E-2</v>
      </c>
      <c r="AA420" s="32">
        <v>232.14</v>
      </c>
      <c r="AB420" s="32">
        <f t="shared" si="57"/>
        <v>14.508749999999999</v>
      </c>
      <c r="AC420" s="29">
        <f t="shared" si="54"/>
        <v>625.875</v>
      </c>
      <c r="AD420" s="29">
        <f t="shared" si="55"/>
        <v>15.3125</v>
      </c>
      <c r="AE420" s="29">
        <f>YEAR(Data!$C420)</f>
        <v>2023</v>
      </c>
      <c r="AF420" s="29"/>
      <c r="AG420" s="29">
        <v>12</v>
      </c>
      <c r="AH420" s="33">
        <f>Data!$F420/Data!$D420</f>
        <v>11.293103448275861</v>
      </c>
      <c r="AI420" s="17" t="str">
        <f>RIGHT(Data!$O420,2)</f>
        <v>AM</v>
      </c>
      <c r="AJ420" s="29" t="str">
        <f>Data!$R420&amp;"-"&amp;WEEKNUM(Data!$C420,1)-WEEKNUM(DATE(YEAR(Data!$C420),MONTH(Data!$C420),1),1)+1</f>
        <v>1-2023-2</v>
      </c>
      <c r="AK420" s="29">
        <f>MONTH(Data!$C420)</f>
        <v>1</v>
      </c>
      <c r="AL420" s="29">
        <f>IFERROR(Data!$F420/Data!$E420,0)</f>
        <v>43.666666666666664</v>
      </c>
      <c r="AM420" s="29">
        <f>COUNTIF(Data!$N$2:$N$825,Data!$N420)</f>
        <v>218</v>
      </c>
      <c r="AN420" s="29" t="str">
        <f>VLOOKUP(Data!$N420,'Helpful Tables'!A:D,4,FALSE)</f>
        <v>Washington, DC</v>
      </c>
      <c r="AO420" s="29">
        <f>COUNTIF(AN:AN,Data!$AN420)/COUNTA(AN:AN)</f>
        <v>0.62424242424242427</v>
      </c>
      <c r="AP420" s="29">
        <v>38.934710000000003</v>
      </c>
      <c r="AQ420" s="29">
        <v>-77.058222999999998</v>
      </c>
      <c r="AR420" s="29">
        <f>COUNTIF(Data!$P$2:$P$825,Data!$P420)</f>
        <v>12</v>
      </c>
      <c r="AS420" s="29" cm="1">
        <f t="array" ref="AS420">_xlfn.IFS(Data!$E420&lt;12,((Data!$E420/Data!$D420)*60)*1,AND(Data!$E420&gt;=12,Data!$E420&lt;=15),((Data!$E420/Data!$D420)*60)*1.2,AND(Data!$E420&gt;=16,Data!$E420&lt;=19),((Data!$E420/Data!$D420)*60)*1.5,Data!$E420&gt;=20,((Data!$E420/Data!$D420)*60)*1.8)</f>
        <v>18.620689655172413</v>
      </c>
      <c r="AT420" s="29" cm="1">
        <f t="array" ref="AT420">_xlfn.IFS(Data!$F420&lt;600,((Data!$F420/Data!$D420)*60)*1,AND(Data!$F420&gt;=600,Data!$F420&lt;=625),((Data!$F420/Data!$D420)*60)*1.2,AND(Data!$F420&gt;=626,Data!$F420&lt;=650),((Data!$F420/Data!$D420)*60)*1.5,Data!$F420&gt;=651,((Data!$F420/Data!$D420)*60)*1.8)</f>
        <v>1219.655172413793</v>
      </c>
      <c r="AU420" s="29">
        <f>(Data!$I420*-1.2)+(Data!$J420*-1.1)+(Data!$K420*1.2)+(Data!$L420*1.3)+(Data!$M420*1.5)</f>
        <v>25</v>
      </c>
      <c r="AV420" s="29">
        <f>(Data!$AS420*0.4)+(Data!$AT420*0.4)+(Data!$AU420*0.2)</f>
        <v>500.31034482758616</v>
      </c>
      <c r="AW420" s="29">
        <f>PERCENTRANK(AV:AV,Data!$AV420)*100</f>
        <v>77.900000000000006</v>
      </c>
      <c r="AX420" s="29" t="str">
        <f>_xlfn.CONCAT(TEXT(C420,"mmm"),"-",Data!$AE420)</f>
        <v>Jan-2023</v>
      </c>
    </row>
    <row r="421" spans="1:50" ht="17" thickTop="1" thickBot="1" x14ac:dyDescent="0.25">
      <c r="A421" s="22">
        <v>420</v>
      </c>
      <c r="B421" s="23">
        <f t="shared" si="50"/>
        <v>16</v>
      </c>
      <c r="C421" s="41">
        <v>44940</v>
      </c>
      <c r="D421" s="24">
        <f>SUM(Data!$I421:$M421)</f>
        <v>58</v>
      </c>
      <c r="E421" s="23">
        <v>24</v>
      </c>
      <c r="F421" s="23">
        <v>601</v>
      </c>
      <c r="G421" s="23">
        <v>173</v>
      </c>
      <c r="H421" s="23">
        <v>122</v>
      </c>
      <c r="I421" s="23">
        <v>23</v>
      </c>
      <c r="J421" s="23">
        <v>6</v>
      </c>
      <c r="K421" s="23">
        <v>5</v>
      </c>
      <c r="L421" s="23">
        <v>8</v>
      </c>
      <c r="M421" s="23">
        <v>16</v>
      </c>
      <c r="N421" s="23" t="s">
        <v>40</v>
      </c>
      <c r="O421" s="23" t="s">
        <v>76</v>
      </c>
      <c r="P421" s="23" t="s">
        <v>169</v>
      </c>
      <c r="Q421" s="23">
        <f t="shared" si="56"/>
        <v>1</v>
      </c>
      <c r="R421" s="23" t="str">
        <f t="shared" si="51"/>
        <v>1-2023</v>
      </c>
      <c r="S421" s="23" t="s">
        <v>104</v>
      </c>
      <c r="T421" s="23" t="str">
        <f t="shared" si="52"/>
        <v>Saturday</v>
      </c>
      <c r="U421" s="23">
        <f t="shared" si="53"/>
        <v>1</v>
      </c>
      <c r="V421" s="25">
        <f>IFERROR(Data!$I421/Data!$D421,"")</f>
        <v>0.39655172413793105</v>
      </c>
      <c r="W421" s="25">
        <f>IFERROR(Data!$J421/Data!$D421,"")</f>
        <v>0.10344827586206896</v>
      </c>
      <c r="X421" s="25">
        <f>IFERROR(Data!$K421/Data!$D421,"")</f>
        <v>8.6206896551724144E-2</v>
      </c>
      <c r="Y421" s="25">
        <f>IFERROR(Data!$L421/Data!$D421,"")</f>
        <v>0.13793103448275862</v>
      </c>
      <c r="Z421" s="25">
        <f>IFERROR(Data!$M421/Data!$D421,"")</f>
        <v>0.27586206896551724</v>
      </c>
      <c r="AA421" s="26">
        <v>232.14</v>
      </c>
      <c r="AB421" s="26">
        <f t="shared" si="57"/>
        <v>14.508749999999999</v>
      </c>
      <c r="AC421" s="23">
        <f t="shared" si="54"/>
        <v>625.875</v>
      </c>
      <c r="AD421" s="23">
        <f t="shared" si="55"/>
        <v>15.3125</v>
      </c>
      <c r="AE421" s="23">
        <f>YEAR(Data!$C421)</f>
        <v>2023</v>
      </c>
      <c r="AF421" s="23"/>
      <c r="AG421" s="23">
        <v>12</v>
      </c>
      <c r="AH421" s="27">
        <f>Data!$F421/Data!$D421</f>
        <v>10.362068965517242</v>
      </c>
      <c r="AI421" s="17" t="str">
        <f>RIGHT(Data!$O421,2)</f>
        <v>AM</v>
      </c>
      <c r="AJ421" s="23" t="str">
        <f>Data!$R421&amp;"-"&amp;WEEKNUM(Data!$C421,1)-WEEKNUM(DATE(YEAR(Data!$C421),MONTH(Data!$C421),1),1)+1</f>
        <v>1-2023-2</v>
      </c>
      <c r="AK421" s="23">
        <f>MONTH(Data!$C421)</f>
        <v>1</v>
      </c>
      <c r="AL421" s="23">
        <f>IFERROR(Data!$F421/Data!$E421,0)</f>
        <v>25.041666666666668</v>
      </c>
      <c r="AM421" s="23">
        <f>COUNTIF(Data!$N$2:$N$825,Data!$N421)</f>
        <v>38</v>
      </c>
      <c r="AN421" s="23" t="str">
        <f>VLOOKUP(Data!$N421,'Helpful Tables'!A:D,4,FALSE)</f>
        <v>Washington, DC</v>
      </c>
      <c r="AO421" s="23">
        <f>COUNTIF(AN:AN,Data!$AN421)/COUNTA(AN:AN)</f>
        <v>0.62424242424242427</v>
      </c>
      <c r="AP421" s="23">
        <v>38.903509999999997</v>
      </c>
      <c r="AQ421" s="23">
        <v>-77.051809000000006</v>
      </c>
      <c r="AR421" s="23">
        <f>COUNTIF(Data!$P$2:$P$825,Data!$P421)</f>
        <v>1</v>
      </c>
      <c r="AS421" s="23" cm="1">
        <f t="array" ref="AS421">_xlfn.IFS(Data!$E421&lt;12,((Data!$E421/Data!$D421)*60)*1,AND(Data!$E421&gt;=12,Data!$E421&lt;=15),((Data!$E421/Data!$D421)*60)*1.2,AND(Data!$E421&gt;=16,Data!$E421&lt;=19),((Data!$E421/Data!$D421)*60)*1.5,Data!$E421&gt;=20,((Data!$E421/Data!$D421)*60)*1.8)</f>
        <v>44.689655172413794</v>
      </c>
      <c r="AT421" s="23" cm="1">
        <f t="array" ref="AT421">_xlfn.IFS(Data!$F421&lt;600,((Data!$F421/Data!$D421)*60)*1,AND(Data!$F421&gt;=600,Data!$F421&lt;=625),((Data!$F421/Data!$D421)*60)*1.2,AND(Data!$F421&gt;=626,Data!$F421&lt;=650),((Data!$F421/Data!$D421)*60)*1.5,Data!$F421&gt;=651,((Data!$F421/Data!$D421)*60)*1.8)</f>
        <v>746.06896551724139</v>
      </c>
      <c r="AU421" s="23">
        <f>(Data!$I421*-1.2)+(Data!$J421*-1.1)+(Data!$K421*1.2)+(Data!$L421*1.3)+(Data!$M421*1.5)</f>
        <v>6.2000000000000028</v>
      </c>
      <c r="AV421" s="23">
        <f>(Data!$AS421*0.4)+(Data!$AT421*0.4)+(Data!$AU421*0.2)</f>
        <v>317.54344827586215</v>
      </c>
      <c r="AW421" s="23">
        <f>PERCENTRANK(AV:AV,Data!$AV421)*100</f>
        <v>35.6</v>
      </c>
      <c r="AX421" s="23" t="str">
        <f>_xlfn.CONCAT(TEXT(C421,"mmm"),"-",Data!$AE421)</f>
        <v>Jan-2023</v>
      </c>
    </row>
    <row r="422" spans="1:50" ht="17" thickTop="1" thickBot="1" x14ac:dyDescent="0.25">
      <c r="A422" s="28">
        <v>421</v>
      </c>
      <c r="B422" s="29">
        <f t="shared" si="50"/>
        <v>16</v>
      </c>
      <c r="C422" s="41">
        <v>44942</v>
      </c>
      <c r="D422" s="30">
        <f>SUM(Data!$I422:$M422)</f>
        <v>57</v>
      </c>
      <c r="E422" s="29">
        <v>16</v>
      </c>
      <c r="F422" s="29">
        <v>647</v>
      </c>
      <c r="G422" s="29">
        <v>160</v>
      </c>
      <c r="H422" s="29">
        <v>129</v>
      </c>
      <c r="I422" s="29">
        <v>5</v>
      </c>
      <c r="J422" s="29">
        <v>16</v>
      </c>
      <c r="K422" s="29">
        <v>20</v>
      </c>
      <c r="L422" s="29">
        <v>14</v>
      </c>
      <c r="M422" s="29">
        <v>2</v>
      </c>
      <c r="N422" s="29" t="s">
        <v>101</v>
      </c>
      <c r="O422" s="29" t="s">
        <v>53</v>
      </c>
      <c r="P422" s="29" t="s">
        <v>96</v>
      </c>
      <c r="Q422" s="29">
        <f t="shared" si="56"/>
        <v>2</v>
      </c>
      <c r="R422" s="29" t="str">
        <f t="shared" si="51"/>
        <v>1-2023</v>
      </c>
      <c r="S422" s="29" t="s">
        <v>104</v>
      </c>
      <c r="T422" s="29" t="str">
        <f t="shared" si="52"/>
        <v>Monday</v>
      </c>
      <c r="U422" s="29">
        <f t="shared" si="53"/>
        <v>1</v>
      </c>
      <c r="V422" s="31">
        <f>IFERROR(Data!$I422/Data!$D422,"")</f>
        <v>8.771929824561403E-2</v>
      </c>
      <c r="W422" s="31">
        <f>IFERROR(Data!$J422/Data!$D422,"")</f>
        <v>0.2807017543859649</v>
      </c>
      <c r="X422" s="31">
        <f>IFERROR(Data!$K422/Data!$D422,"")</f>
        <v>0.35087719298245612</v>
      </c>
      <c r="Y422" s="31">
        <f>IFERROR(Data!$L422/Data!$D422,"")</f>
        <v>0.24561403508771928</v>
      </c>
      <c r="Z422" s="31">
        <f>IFERROR(Data!$M422/Data!$D422,"")</f>
        <v>3.5087719298245612E-2</v>
      </c>
      <c r="AA422" s="32">
        <v>232.14</v>
      </c>
      <c r="AB422" s="32">
        <f t="shared" si="57"/>
        <v>14.508749999999999</v>
      </c>
      <c r="AC422" s="29">
        <f t="shared" si="54"/>
        <v>625.875</v>
      </c>
      <c r="AD422" s="29">
        <f t="shared" si="55"/>
        <v>15.3125</v>
      </c>
      <c r="AE422" s="29">
        <f>YEAR(Data!$C422)</f>
        <v>2023</v>
      </c>
      <c r="AF422" s="29"/>
      <c r="AG422" s="29">
        <v>12</v>
      </c>
      <c r="AH422" s="33">
        <f>Data!$F422/Data!$D422</f>
        <v>11.350877192982455</v>
      </c>
      <c r="AI422" s="17" t="str">
        <f>RIGHT(Data!$O422,2)</f>
        <v>PM</v>
      </c>
      <c r="AJ422" s="29" t="str">
        <f>Data!$R422&amp;"-"&amp;WEEKNUM(Data!$C422,1)-WEEKNUM(DATE(YEAR(Data!$C422),MONTH(Data!$C422),1),1)+1</f>
        <v>1-2023-3</v>
      </c>
      <c r="AK422" s="29">
        <f>MONTH(Data!$C422)</f>
        <v>1</v>
      </c>
      <c r="AL422" s="29">
        <f>IFERROR(Data!$F422/Data!$E422,0)</f>
        <v>40.4375</v>
      </c>
      <c r="AM422" s="29">
        <f>COUNTIF(Data!$N$2:$N$825,Data!$N422)</f>
        <v>191</v>
      </c>
      <c r="AN422" s="29" t="str">
        <f>VLOOKUP(Data!$N422,'Helpful Tables'!A:D,4,FALSE)</f>
        <v>Washington, DC</v>
      </c>
      <c r="AO422" s="29">
        <f>COUNTIF(AN:AN,Data!$AN422)/COUNTA(AN:AN)</f>
        <v>0.62424242424242427</v>
      </c>
      <c r="AP422" s="29">
        <v>38.949649000000001</v>
      </c>
      <c r="AQ422" s="29">
        <v>-77.080878999999996</v>
      </c>
      <c r="AR422" s="29">
        <f>COUNTIF(Data!$P$2:$P$825,Data!$P422)</f>
        <v>71</v>
      </c>
      <c r="AS422" s="29" cm="1">
        <f t="array" ref="AS422">_xlfn.IFS(Data!$E422&lt;12,((Data!$E422/Data!$D422)*60)*1,AND(Data!$E422&gt;=12,Data!$E422&lt;=15),((Data!$E422/Data!$D422)*60)*1.2,AND(Data!$E422&gt;=16,Data!$E422&lt;=19),((Data!$E422/Data!$D422)*60)*1.5,Data!$E422&gt;=20,((Data!$E422/Data!$D422)*60)*1.8)</f>
        <v>25.263157894736842</v>
      </c>
      <c r="AT422" s="29" cm="1">
        <f t="array" ref="AT422">_xlfn.IFS(Data!$F422&lt;600,((Data!$F422/Data!$D422)*60)*1,AND(Data!$F422&gt;=600,Data!$F422&lt;=625),((Data!$F422/Data!$D422)*60)*1.2,AND(Data!$F422&gt;=626,Data!$F422&lt;=650),((Data!$F422/Data!$D422)*60)*1.5,Data!$F422&gt;=651,((Data!$F422/Data!$D422)*60)*1.8)</f>
        <v>1021.5789473684209</v>
      </c>
      <c r="AU422" s="29">
        <f>(Data!$I422*-1.2)+(Data!$J422*-1.1)+(Data!$K422*1.2)+(Data!$L422*1.3)+(Data!$M422*1.5)</f>
        <v>21.599999999999998</v>
      </c>
      <c r="AV422" s="29">
        <f>(Data!$AS422*0.4)+(Data!$AT422*0.4)+(Data!$AU422*0.2)</f>
        <v>423.05684210526312</v>
      </c>
      <c r="AW422" s="29">
        <f>PERCENTRANK(AV:AV,Data!$AV422)*100</f>
        <v>62.4</v>
      </c>
      <c r="AX422" s="29" t="str">
        <f>_xlfn.CONCAT(TEXT(C422,"mmm"),"-",Data!$AE422)</f>
        <v>Jan-2023</v>
      </c>
    </row>
    <row r="423" spans="1:50" ht="17" thickTop="1" thickBot="1" x14ac:dyDescent="0.25">
      <c r="A423" s="22">
        <v>422</v>
      </c>
      <c r="B423" s="23">
        <f t="shared" si="50"/>
        <v>16</v>
      </c>
      <c r="C423" s="41">
        <v>44946</v>
      </c>
      <c r="D423" s="24">
        <f>SUM(Data!$I423:$M423)</f>
        <v>57</v>
      </c>
      <c r="E423" s="23">
        <v>12</v>
      </c>
      <c r="F423" s="23">
        <v>616</v>
      </c>
      <c r="G423" s="23">
        <v>158</v>
      </c>
      <c r="H423" s="23">
        <v>125</v>
      </c>
      <c r="I423" s="23">
        <v>8</v>
      </c>
      <c r="J423" s="23">
        <v>17</v>
      </c>
      <c r="K423" s="23">
        <v>20</v>
      </c>
      <c r="L423" s="23">
        <v>12</v>
      </c>
      <c r="M423" s="23">
        <v>0</v>
      </c>
      <c r="N423" s="23" t="s">
        <v>91</v>
      </c>
      <c r="O423" s="23" t="s">
        <v>57</v>
      </c>
      <c r="P423" s="23" t="s">
        <v>96</v>
      </c>
      <c r="Q423" s="23">
        <f t="shared" si="56"/>
        <v>4</v>
      </c>
      <c r="R423" s="23" t="str">
        <f t="shared" si="51"/>
        <v>1-2023</v>
      </c>
      <c r="S423" s="23" t="s">
        <v>104</v>
      </c>
      <c r="T423" s="23" t="str">
        <f t="shared" si="52"/>
        <v>Friday</v>
      </c>
      <c r="U423" s="23">
        <f t="shared" si="53"/>
        <v>1</v>
      </c>
      <c r="V423" s="25">
        <f>IFERROR(Data!$I423/Data!$D423,"")</f>
        <v>0.14035087719298245</v>
      </c>
      <c r="W423" s="25">
        <f>IFERROR(Data!$J423/Data!$D423,"")</f>
        <v>0.2982456140350877</v>
      </c>
      <c r="X423" s="25">
        <f>IFERROR(Data!$K423/Data!$D423,"")</f>
        <v>0.35087719298245612</v>
      </c>
      <c r="Y423" s="25">
        <f>IFERROR(Data!$L423/Data!$D423,"")</f>
        <v>0.21052631578947367</v>
      </c>
      <c r="Z423" s="25">
        <f>IFERROR(Data!$M423/Data!$D423,"")</f>
        <v>0</v>
      </c>
      <c r="AA423" s="26">
        <v>232.14</v>
      </c>
      <c r="AB423" s="26">
        <f t="shared" si="57"/>
        <v>14.508749999999999</v>
      </c>
      <c r="AC423" s="23">
        <f t="shared" si="54"/>
        <v>625.875</v>
      </c>
      <c r="AD423" s="23">
        <f t="shared" si="55"/>
        <v>15.3125</v>
      </c>
      <c r="AE423" s="23">
        <f>YEAR(Data!$C423)</f>
        <v>2023</v>
      </c>
      <c r="AF423" s="23"/>
      <c r="AG423" s="23">
        <v>12</v>
      </c>
      <c r="AH423" s="27">
        <f>Data!$F423/Data!$D423</f>
        <v>10.807017543859649</v>
      </c>
      <c r="AI423" s="17" t="str">
        <f>RIGHT(Data!$O423,2)</f>
        <v>PM</v>
      </c>
      <c r="AJ423" s="23" t="str">
        <f>Data!$R423&amp;"-"&amp;WEEKNUM(Data!$C423,1)-WEEKNUM(DATE(YEAR(Data!$C423),MONTH(Data!$C423),1),1)+1</f>
        <v>1-2023-3</v>
      </c>
      <c r="AK423" s="23">
        <f>MONTH(Data!$C423)</f>
        <v>1</v>
      </c>
      <c r="AL423" s="23">
        <f>IFERROR(Data!$F423/Data!$E423,0)</f>
        <v>51.333333333333336</v>
      </c>
      <c r="AM423" s="23">
        <f>COUNTIF(Data!$N$2:$N$825,Data!$N423)</f>
        <v>218</v>
      </c>
      <c r="AN423" s="23" t="str">
        <f>VLOOKUP(Data!$N423,'Helpful Tables'!A:D,4,FALSE)</f>
        <v>Washington, DC</v>
      </c>
      <c r="AO423" s="23">
        <f>COUNTIF(AN:AN,Data!$AN423)/COUNTA(AN:AN)</f>
        <v>0.62424242424242427</v>
      </c>
      <c r="AP423" s="23">
        <v>38.934710000000003</v>
      </c>
      <c r="AQ423" s="23">
        <v>-77.058222999999998</v>
      </c>
      <c r="AR423" s="23">
        <f>COUNTIF(Data!$P$2:$P$825,Data!$P423)</f>
        <v>71</v>
      </c>
      <c r="AS423" s="23" cm="1">
        <f t="array" ref="AS423">_xlfn.IFS(Data!$E423&lt;12,((Data!$E423/Data!$D423)*60)*1,AND(Data!$E423&gt;=12,Data!$E423&lt;=15),((Data!$E423/Data!$D423)*60)*1.2,AND(Data!$E423&gt;=16,Data!$E423&lt;=19),((Data!$E423/Data!$D423)*60)*1.5,Data!$E423&gt;=20,((Data!$E423/Data!$D423)*60)*1.8)</f>
        <v>15.157894736842104</v>
      </c>
      <c r="AT423" s="23" cm="1">
        <f t="array" ref="AT423">_xlfn.IFS(Data!$F423&lt;600,((Data!$F423/Data!$D423)*60)*1,AND(Data!$F423&gt;=600,Data!$F423&lt;=625),((Data!$F423/Data!$D423)*60)*1.2,AND(Data!$F423&gt;=626,Data!$F423&lt;=650),((Data!$F423/Data!$D423)*60)*1.5,Data!$F423&gt;=651,((Data!$F423/Data!$D423)*60)*1.8)</f>
        <v>778.10526315789468</v>
      </c>
      <c r="AU423" s="23">
        <f>(Data!$I423*-1.2)+(Data!$J423*-1.1)+(Data!$K423*1.2)+(Data!$L423*1.3)+(Data!$M423*1.5)</f>
        <v>11.299999999999997</v>
      </c>
      <c r="AV423" s="23">
        <f>(Data!$AS423*0.4)+(Data!$AT423*0.4)+(Data!$AU423*0.2)</f>
        <v>319.56526315789472</v>
      </c>
      <c r="AW423" s="23">
        <f>PERCENTRANK(AV:AV,Data!$AV423)*100</f>
        <v>37.1</v>
      </c>
      <c r="AX423" s="23" t="str">
        <f>_xlfn.CONCAT(TEXT(C423,"mmm"),"-",Data!$AE423)</f>
        <v>Jan-2023</v>
      </c>
    </row>
    <row r="424" spans="1:50" ht="17" thickTop="1" thickBot="1" x14ac:dyDescent="0.25">
      <c r="A424" s="28">
        <v>423</v>
      </c>
      <c r="B424" s="29">
        <f t="shared" si="50"/>
        <v>16</v>
      </c>
      <c r="C424" s="41">
        <v>44948</v>
      </c>
      <c r="D424" s="30">
        <f>SUM(Data!$I424:$M424)</f>
        <v>59</v>
      </c>
      <c r="E424" s="29">
        <v>16</v>
      </c>
      <c r="F424" s="29">
        <v>678</v>
      </c>
      <c r="G424" s="29">
        <v>164</v>
      </c>
      <c r="H424" s="29">
        <v>128</v>
      </c>
      <c r="I424" s="29">
        <v>8</v>
      </c>
      <c r="J424" s="29">
        <v>9</v>
      </c>
      <c r="K424" s="29">
        <v>26</v>
      </c>
      <c r="L424" s="29">
        <v>14</v>
      </c>
      <c r="M424" s="29">
        <v>2</v>
      </c>
      <c r="N424" s="29" t="s">
        <v>91</v>
      </c>
      <c r="O424" s="29" t="s">
        <v>79</v>
      </c>
      <c r="P424" s="29" t="s">
        <v>100</v>
      </c>
      <c r="Q424" s="29">
        <f t="shared" si="56"/>
        <v>2</v>
      </c>
      <c r="R424" s="29" t="str">
        <f t="shared" si="51"/>
        <v>1-2023</v>
      </c>
      <c r="S424" s="29" t="s">
        <v>104</v>
      </c>
      <c r="T424" s="29" t="str">
        <f t="shared" si="52"/>
        <v>Sunday</v>
      </c>
      <c r="U424" s="29">
        <f t="shared" si="53"/>
        <v>1</v>
      </c>
      <c r="V424" s="31">
        <f>IFERROR(Data!$I424/Data!$D424,"")</f>
        <v>0.13559322033898305</v>
      </c>
      <c r="W424" s="31">
        <f>IFERROR(Data!$J424/Data!$D424,"")</f>
        <v>0.15254237288135594</v>
      </c>
      <c r="X424" s="31">
        <f>IFERROR(Data!$K424/Data!$D424,"")</f>
        <v>0.44067796610169491</v>
      </c>
      <c r="Y424" s="31">
        <f>IFERROR(Data!$L424/Data!$D424,"")</f>
        <v>0.23728813559322035</v>
      </c>
      <c r="Z424" s="31">
        <f>IFERROR(Data!$M424/Data!$D424,"")</f>
        <v>3.3898305084745763E-2</v>
      </c>
      <c r="AA424" s="32">
        <v>232.14</v>
      </c>
      <c r="AB424" s="32">
        <f t="shared" si="57"/>
        <v>14.508749999999999</v>
      </c>
      <c r="AC424" s="29">
        <f t="shared" si="54"/>
        <v>625.875</v>
      </c>
      <c r="AD424" s="29">
        <f t="shared" si="55"/>
        <v>15.3125</v>
      </c>
      <c r="AE424" s="29">
        <f>YEAR(Data!$C424)</f>
        <v>2023</v>
      </c>
      <c r="AF424" s="29"/>
      <c r="AG424" s="29">
        <v>12</v>
      </c>
      <c r="AH424" s="33">
        <f>Data!$F424/Data!$D424</f>
        <v>11.491525423728813</v>
      </c>
      <c r="AI424" s="17" t="str">
        <f>RIGHT(Data!$O424,2)</f>
        <v>AM</v>
      </c>
      <c r="AJ424" s="29" t="str">
        <f>Data!$R424&amp;"-"&amp;WEEKNUM(Data!$C424,1)-WEEKNUM(DATE(YEAR(Data!$C424),MONTH(Data!$C424),1),1)+1</f>
        <v>1-2023-4</v>
      </c>
      <c r="AK424" s="29">
        <f>MONTH(Data!$C424)</f>
        <v>1</v>
      </c>
      <c r="AL424" s="29">
        <f>IFERROR(Data!$F424/Data!$E424,0)</f>
        <v>42.375</v>
      </c>
      <c r="AM424" s="29">
        <f>COUNTIF(Data!$N$2:$N$825,Data!$N424)</f>
        <v>218</v>
      </c>
      <c r="AN424" s="29" t="str">
        <f>VLOOKUP(Data!$N424,'Helpful Tables'!A:D,4,FALSE)</f>
        <v>Washington, DC</v>
      </c>
      <c r="AO424" s="29">
        <f>COUNTIF(AN:AN,Data!$AN424)/COUNTA(AN:AN)</f>
        <v>0.62424242424242427</v>
      </c>
      <c r="AP424" s="29">
        <v>38.934710000000003</v>
      </c>
      <c r="AQ424" s="29">
        <v>-77.058222999999998</v>
      </c>
      <c r="AR424" s="29">
        <f>COUNTIF(Data!$P$2:$P$825,Data!$P424)</f>
        <v>35</v>
      </c>
      <c r="AS424" s="29" cm="1">
        <f t="array" ref="AS424">_xlfn.IFS(Data!$E424&lt;12,((Data!$E424/Data!$D424)*60)*1,AND(Data!$E424&gt;=12,Data!$E424&lt;=15),((Data!$E424/Data!$D424)*60)*1.2,AND(Data!$E424&gt;=16,Data!$E424&lt;=19),((Data!$E424/Data!$D424)*60)*1.5,Data!$E424&gt;=20,((Data!$E424/Data!$D424)*60)*1.8)</f>
        <v>24.406779661016948</v>
      </c>
      <c r="AT424" s="29" cm="1">
        <f t="array" ref="AT424">_xlfn.IFS(Data!$F424&lt;600,((Data!$F424/Data!$D424)*60)*1,AND(Data!$F424&gt;=600,Data!$F424&lt;=625),((Data!$F424/Data!$D424)*60)*1.2,AND(Data!$F424&gt;=626,Data!$F424&lt;=650),((Data!$F424/Data!$D424)*60)*1.5,Data!$F424&gt;=651,((Data!$F424/Data!$D424)*60)*1.8)</f>
        <v>1241.0847457627119</v>
      </c>
      <c r="AU424" s="29">
        <f>(Data!$I424*-1.2)+(Data!$J424*-1.1)+(Data!$K424*1.2)+(Data!$L424*1.3)+(Data!$M424*1.5)</f>
        <v>32.9</v>
      </c>
      <c r="AV424" s="29">
        <f>(Data!$AS424*0.4)+(Data!$AT424*0.4)+(Data!$AU424*0.2)</f>
        <v>512.77661016949151</v>
      </c>
      <c r="AW424" s="29">
        <f>PERCENTRANK(AV:AV,Data!$AV424)*100</f>
        <v>86.1</v>
      </c>
      <c r="AX424" s="29" t="str">
        <f>_xlfn.CONCAT(TEXT(C424,"mmm"),"-",Data!$AE424)</f>
        <v>Jan-2023</v>
      </c>
    </row>
    <row r="425" spans="1:50" ht="17" thickTop="1" thickBot="1" x14ac:dyDescent="0.25">
      <c r="A425" s="22">
        <v>424</v>
      </c>
      <c r="B425" s="23">
        <f t="shared" si="50"/>
        <v>16</v>
      </c>
      <c r="C425" s="41">
        <v>44950</v>
      </c>
      <c r="D425" s="24">
        <f>SUM(Data!$I425:$M425)</f>
        <v>59</v>
      </c>
      <c r="E425" s="23">
        <v>18</v>
      </c>
      <c r="F425" s="23">
        <v>693</v>
      </c>
      <c r="G425" s="23">
        <v>161</v>
      </c>
      <c r="H425" s="23">
        <v>132</v>
      </c>
      <c r="I425" s="23">
        <v>4</v>
      </c>
      <c r="J425" s="23">
        <v>11</v>
      </c>
      <c r="K425" s="23">
        <v>26</v>
      </c>
      <c r="L425" s="23">
        <v>17</v>
      </c>
      <c r="M425" s="23">
        <v>1</v>
      </c>
      <c r="N425" s="23" t="s">
        <v>101</v>
      </c>
      <c r="O425" s="23" t="s">
        <v>39</v>
      </c>
      <c r="P425" s="23" t="s">
        <v>109</v>
      </c>
      <c r="Q425" s="23">
        <f t="shared" si="56"/>
        <v>2</v>
      </c>
      <c r="R425" s="23" t="str">
        <f t="shared" si="51"/>
        <v>1-2023</v>
      </c>
      <c r="S425" s="23" t="s">
        <v>104</v>
      </c>
      <c r="T425" s="23" t="str">
        <f t="shared" si="52"/>
        <v>Tuesday</v>
      </c>
      <c r="U425" s="23">
        <f t="shared" si="53"/>
        <v>1</v>
      </c>
      <c r="V425" s="25">
        <f>IFERROR(Data!$I425/Data!$D425,"")</f>
        <v>6.7796610169491525E-2</v>
      </c>
      <c r="W425" s="25">
        <f>IFERROR(Data!$J425/Data!$D425,"")</f>
        <v>0.1864406779661017</v>
      </c>
      <c r="X425" s="25">
        <f>IFERROR(Data!$K425/Data!$D425,"")</f>
        <v>0.44067796610169491</v>
      </c>
      <c r="Y425" s="25">
        <f>IFERROR(Data!$L425/Data!$D425,"")</f>
        <v>0.28813559322033899</v>
      </c>
      <c r="Z425" s="25">
        <f>IFERROR(Data!$M425/Data!$D425,"")</f>
        <v>1.6949152542372881E-2</v>
      </c>
      <c r="AA425" s="26">
        <v>232.14</v>
      </c>
      <c r="AB425" s="26">
        <f t="shared" si="57"/>
        <v>14.508749999999999</v>
      </c>
      <c r="AC425" s="23">
        <f t="shared" si="54"/>
        <v>625.875</v>
      </c>
      <c r="AD425" s="23">
        <f t="shared" si="55"/>
        <v>15.3125</v>
      </c>
      <c r="AE425" s="23">
        <f>YEAR(Data!$C425)</f>
        <v>2023</v>
      </c>
      <c r="AF425" s="23"/>
      <c r="AG425" s="23">
        <v>12</v>
      </c>
      <c r="AH425" s="27">
        <f>Data!$F425/Data!$D425</f>
        <v>11.745762711864407</v>
      </c>
      <c r="AI425" s="17" t="str">
        <f>RIGHT(Data!$O425,2)</f>
        <v>PM</v>
      </c>
      <c r="AJ425" s="23" t="str">
        <f>Data!$R425&amp;"-"&amp;WEEKNUM(Data!$C425,1)-WEEKNUM(DATE(YEAR(Data!$C425),MONTH(Data!$C425),1),1)+1</f>
        <v>1-2023-4</v>
      </c>
      <c r="AK425" s="23">
        <f>MONTH(Data!$C425)</f>
        <v>1</v>
      </c>
      <c r="AL425" s="23">
        <f>IFERROR(Data!$F425/Data!$E425,0)</f>
        <v>38.5</v>
      </c>
      <c r="AM425" s="23">
        <f>COUNTIF(Data!$N$2:$N$825,Data!$N425)</f>
        <v>191</v>
      </c>
      <c r="AN425" s="23" t="str">
        <f>VLOOKUP(Data!$N425,'Helpful Tables'!A:D,4,FALSE)</f>
        <v>Washington, DC</v>
      </c>
      <c r="AO425" s="23">
        <f>COUNTIF(AN:AN,Data!$AN425)/COUNTA(AN:AN)</f>
        <v>0.62424242424242427</v>
      </c>
      <c r="AP425" s="23">
        <v>38.949649000000001</v>
      </c>
      <c r="AQ425" s="23">
        <v>-77.080878999999996</v>
      </c>
      <c r="AR425" s="23">
        <f>COUNTIF(Data!$P$2:$P$825,Data!$P425)</f>
        <v>66</v>
      </c>
      <c r="AS425" s="23" cm="1">
        <f t="array" ref="AS425">_xlfn.IFS(Data!$E425&lt;12,((Data!$E425/Data!$D425)*60)*1,AND(Data!$E425&gt;=12,Data!$E425&lt;=15),((Data!$E425/Data!$D425)*60)*1.2,AND(Data!$E425&gt;=16,Data!$E425&lt;=19),((Data!$E425/Data!$D425)*60)*1.5,Data!$E425&gt;=20,((Data!$E425/Data!$D425)*60)*1.8)</f>
        <v>27.457627118644069</v>
      </c>
      <c r="AT425" s="23" cm="1">
        <f t="array" ref="AT425">_xlfn.IFS(Data!$F425&lt;600,((Data!$F425/Data!$D425)*60)*1,AND(Data!$F425&gt;=600,Data!$F425&lt;=625),((Data!$F425/Data!$D425)*60)*1.2,AND(Data!$F425&gt;=626,Data!$F425&lt;=650),((Data!$F425/Data!$D425)*60)*1.5,Data!$F425&gt;=651,((Data!$F425/Data!$D425)*60)*1.8)</f>
        <v>1268.542372881356</v>
      </c>
      <c r="AU425" s="23">
        <f>(Data!$I425*-1.2)+(Data!$J425*-1.1)+(Data!$K425*1.2)+(Data!$L425*1.3)+(Data!$M425*1.5)</f>
        <v>37.9</v>
      </c>
      <c r="AV425" s="23">
        <f>(Data!$AS425*0.4)+(Data!$AT425*0.4)+(Data!$AU425*0.2)</f>
        <v>525.98000000000013</v>
      </c>
      <c r="AW425" s="23">
        <f>PERCENTRANK(AV:AV,Data!$AV425)*100</f>
        <v>92.2</v>
      </c>
      <c r="AX425" s="23" t="str">
        <f>_xlfn.CONCAT(TEXT(C425,"mmm"),"-",Data!$AE425)</f>
        <v>Jan-2023</v>
      </c>
    </row>
    <row r="426" spans="1:50" ht="17" thickTop="1" thickBot="1" x14ac:dyDescent="0.25">
      <c r="A426" s="28">
        <v>425</v>
      </c>
      <c r="B426" s="29">
        <f t="shared" si="50"/>
        <v>16</v>
      </c>
      <c r="C426" s="41">
        <v>44951</v>
      </c>
      <c r="D426" s="30">
        <f>SUM(Data!$I426:$M426)</f>
        <v>59</v>
      </c>
      <c r="E426" s="29">
        <v>17</v>
      </c>
      <c r="F426" s="29">
        <v>510</v>
      </c>
      <c r="G426" s="29">
        <v>164</v>
      </c>
      <c r="H426" s="29">
        <v>111</v>
      </c>
      <c r="I426" s="29">
        <v>31</v>
      </c>
      <c r="J426" s="29">
        <v>4</v>
      </c>
      <c r="K426" s="29">
        <v>7</v>
      </c>
      <c r="L426" s="29">
        <v>16</v>
      </c>
      <c r="M426" s="29">
        <v>1</v>
      </c>
      <c r="N426" s="29" t="s">
        <v>101</v>
      </c>
      <c r="O426" s="29" t="s">
        <v>39</v>
      </c>
      <c r="P426" s="29" t="s">
        <v>147</v>
      </c>
      <c r="Q426" s="29">
        <f t="shared" si="56"/>
        <v>1</v>
      </c>
      <c r="R426" s="29" t="str">
        <f t="shared" si="51"/>
        <v>1-2023</v>
      </c>
      <c r="S426" s="29" t="s">
        <v>104</v>
      </c>
      <c r="T426" s="29" t="str">
        <f t="shared" si="52"/>
        <v>Wednesday</v>
      </c>
      <c r="U426" s="29">
        <f t="shared" si="53"/>
        <v>1</v>
      </c>
      <c r="V426" s="31">
        <f>IFERROR(Data!$I426/Data!$D426,"")</f>
        <v>0.52542372881355937</v>
      </c>
      <c r="W426" s="31">
        <f>IFERROR(Data!$J426/Data!$D426,"")</f>
        <v>6.7796610169491525E-2</v>
      </c>
      <c r="X426" s="31">
        <f>IFERROR(Data!$K426/Data!$D426,"")</f>
        <v>0.11864406779661017</v>
      </c>
      <c r="Y426" s="31">
        <f>IFERROR(Data!$L426/Data!$D426,"")</f>
        <v>0.2711864406779661</v>
      </c>
      <c r="Z426" s="31">
        <f>IFERROR(Data!$M426/Data!$D426,"")</f>
        <v>1.6949152542372881E-2</v>
      </c>
      <c r="AA426" s="32">
        <v>232.14</v>
      </c>
      <c r="AB426" s="32">
        <f t="shared" si="57"/>
        <v>14.508749999999999</v>
      </c>
      <c r="AC426" s="29">
        <f t="shared" si="54"/>
        <v>625.875</v>
      </c>
      <c r="AD426" s="29">
        <f t="shared" si="55"/>
        <v>15.3125</v>
      </c>
      <c r="AE426" s="29">
        <f>YEAR(Data!$C426)</f>
        <v>2023</v>
      </c>
      <c r="AF426" s="29"/>
      <c r="AG426" s="29">
        <v>12</v>
      </c>
      <c r="AH426" s="33">
        <f>Data!$F426/Data!$D426</f>
        <v>8.6440677966101696</v>
      </c>
      <c r="AI426" s="17" t="str">
        <f>RIGHT(Data!$O426,2)</f>
        <v>PM</v>
      </c>
      <c r="AJ426" s="29" t="str">
        <f>Data!$R426&amp;"-"&amp;WEEKNUM(Data!$C426,1)-WEEKNUM(DATE(YEAR(Data!$C426),MONTH(Data!$C426),1),1)+1</f>
        <v>1-2023-4</v>
      </c>
      <c r="AK426" s="29">
        <f>MONTH(Data!$C426)</f>
        <v>1</v>
      </c>
      <c r="AL426" s="29">
        <f>IFERROR(Data!$F426/Data!$E426,0)</f>
        <v>30</v>
      </c>
      <c r="AM426" s="29">
        <f>COUNTIF(Data!$N$2:$N$825,Data!$N426)</f>
        <v>191</v>
      </c>
      <c r="AN426" s="29" t="str">
        <f>VLOOKUP(Data!$N426,'Helpful Tables'!A:D,4,FALSE)</f>
        <v>Washington, DC</v>
      </c>
      <c r="AO426" s="29">
        <f>COUNTIF(AN:AN,Data!$AN426)/COUNTA(AN:AN)</f>
        <v>0.62424242424242427</v>
      </c>
      <c r="AP426" s="29">
        <v>38.949649000000001</v>
      </c>
      <c r="AQ426" s="29">
        <v>-77.080878999999996</v>
      </c>
      <c r="AR426" s="29">
        <f>COUNTIF(Data!$P$2:$P$825,Data!$P426)</f>
        <v>17</v>
      </c>
      <c r="AS426" s="29" cm="1">
        <f t="array" ref="AS426">_xlfn.IFS(Data!$E426&lt;12,((Data!$E426/Data!$D426)*60)*1,AND(Data!$E426&gt;=12,Data!$E426&lt;=15),((Data!$E426/Data!$D426)*60)*1.2,AND(Data!$E426&gt;=16,Data!$E426&lt;=19),((Data!$E426/Data!$D426)*60)*1.5,Data!$E426&gt;=20,((Data!$E426/Data!$D426)*60)*1.8)</f>
        <v>25.932203389830509</v>
      </c>
      <c r="AT426" s="29" cm="1">
        <f t="array" ref="AT426">_xlfn.IFS(Data!$F426&lt;600,((Data!$F426/Data!$D426)*60)*1,AND(Data!$F426&gt;=600,Data!$F426&lt;=625),((Data!$F426/Data!$D426)*60)*1.2,AND(Data!$F426&gt;=626,Data!$F426&lt;=650),((Data!$F426/Data!$D426)*60)*1.5,Data!$F426&gt;=651,((Data!$F426/Data!$D426)*60)*1.8)</f>
        <v>518.64406779661022</v>
      </c>
      <c r="AU426" s="29">
        <f>(Data!$I426*-1.2)+(Data!$J426*-1.1)+(Data!$K426*1.2)+(Data!$L426*1.3)+(Data!$M426*1.5)</f>
        <v>-10.899999999999995</v>
      </c>
      <c r="AV426" s="29">
        <f>(Data!$AS426*0.4)+(Data!$AT426*0.4)+(Data!$AU426*0.2)</f>
        <v>215.6505084745763</v>
      </c>
      <c r="AW426" s="29">
        <f>PERCENTRANK(AV:AV,Data!$AV426)*100</f>
        <v>2.8000000000000003</v>
      </c>
      <c r="AX426" s="29" t="str">
        <f>_xlfn.CONCAT(TEXT(C426,"mmm"),"-",Data!$AE426)</f>
        <v>Jan-2023</v>
      </c>
    </row>
    <row r="427" spans="1:50" ht="17" thickTop="1" thickBot="1" x14ac:dyDescent="0.25">
      <c r="A427" s="22">
        <v>426</v>
      </c>
      <c r="B427" s="23">
        <f t="shared" si="50"/>
        <v>16</v>
      </c>
      <c r="C427" s="41">
        <v>44954</v>
      </c>
      <c r="D427" s="24">
        <f>SUM(Data!$I427:$M427)</f>
        <v>58</v>
      </c>
      <c r="E427" s="23">
        <v>13</v>
      </c>
      <c r="F427" s="23">
        <v>633</v>
      </c>
      <c r="G427" s="23">
        <v>163</v>
      </c>
      <c r="H427" s="23">
        <v>126</v>
      </c>
      <c r="I427" s="23">
        <v>7</v>
      </c>
      <c r="J427" s="23">
        <v>15</v>
      </c>
      <c r="K427" s="23">
        <v>23</v>
      </c>
      <c r="L427" s="23">
        <v>11</v>
      </c>
      <c r="M427" s="23">
        <v>2</v>
      </c>
      <c r="N427" s="23" t="s">
        <v>91</v>
      </c>
      <c r="O427" s="23" t="s">
        <v>79</v>
      </c>
      <c r="P427" s="23" t="s">
        <v>168</v>
      </c>
      <c r="Q427" s="23">
        <f t="shared" si="56"/>
        <v>3</v>
      </c>
      <c r="R427" s="23" t="str">
        <f t="shared" si="51"/>
        <v>1-2023</v>
      </c>
      <c r="S427" s="23" t="s">
        <v>104</v>
      </c>
      <c r="T427" s="23" t="str">
        <f t="shared" si="52"/>
        <v>Saturday</v>
      </c>
      <c r="U427" s="23">
        <f t="shared" si="53"/>
        <v>1</v>
      </c>
      <c r="V427" s="25">
        <f>IFERROR(Data!$I427/Data!$D427,"")</f>
        <v>0.1206896551724138</v>
      </c>
      <c r="W427" s="25">
        <f>IFERROR(Data!$J427/Data!$D427,"")</f>
        <v>0.25862068965517243</v>
      </c>
      <c r="X427" s="25">
        <f>IFERROR(Data!$K427/Data!$D427,"")</f>
        <v>0.39655172413793105</v>
      </c>
      <c r="Y427" s="25">
        <f>IFERROR(Data!$L427/Data!$D427,"")</f>
        <v>0.18965517241379309</v>
      </c>
      <c r="Z427" s="25">
        <f>IFERROR(Data!$M427/Data!$D427,"")</f>
        <v>3.4482758620689655E-2</v>
      </c>
      <c r="AA427" s="26">
        <v>232.14</v>
      </c>
      <c r="AB427" s="26">
        <f t="shared" si="57"/>
        <v>14.508749999999999</v>
      </c>
      <c r="AC427" s="23">
        <f t="shared" si="54"/>
        <v>625.875</v>
      </c>
      <c r="AD427" s="23">
        <f t="shared" si="55"/>
        <v>15.3125</v>
      </c>
      <c r="AE427" s="23">
        <f>YEAR(Data!$C427)</f>
        <v>2023</v>
      </c>
      <c r="AF427" s="23"/>
      <c r="AG427" s="23">
        <v>12</v>
      </c>
      <c r="AH427" s="27">
        <f>Data!$F427/Data!$D427</f>
        <v>10.913793103448276</v>
      </c>
      <c r="AI427" s="17" t="str">
        <f>RIGHT(Data!$O427,2)</f>
        <v>AM</v>
      </c>
      <c r="AJ427" s="23" t="str">
        <f>Data!$R427&amp;"-"&amp;WEEKNUM(Data!$C427,1)-WEEKNUM(DATE(YEAR(Data!$C427),MONTH(Data!$C427),1),1)+1</f>
        <v>1-2023-4</v>
      </c>
      <c r="AK427" s="23">
        <f>MONTH(Data!$C427)</f>
        <v>1</v>
      </c>
      <c r="AL427" s="23">
        <f>IFERROR(Data!$F427/Data!$E427,0)</f>
        <v>48.692307692307693</v>
      </c>
      <c r="AM427" s="23">
        <f>COUNTIF(Data!$N$2:$N$825,Data!$N427)</f>
        <v>218</v>
      </c>
      <c r="AN427" s="23" t="str">
        <f>VLOOKUP(Data!$N427,'Helpful Tables'!A:D,4,FALSE)</f>
        <v>Washington, DC</v>
      </c>
      <c r="AO427" s="23">
        <f>COUNTIF(AN:AN,Data!$AN427)/COUNTA(AN:AN)</f>
        <v>0.62424242424242427</v>
      </c>
      <c r="AP427" s="23">
        <v>38.934710000000003</v>
      </c>
      <c r="AQ427" s="23">
        <v>-77.058222999999998</v>
      </c>
      <c r="AR427" s="23">
        <f>COUNTIF(Data!$P$2:$P$825,Data!$P427)</f>
        <v>12</v>
      </c>
      <c r="AS427" s="23" cm="1">
        <f t="array" ref="AS427">_xlfn.IFS(Data!$E427&lt;12,((Data!$E427/Data!$D427)*60)*1,AND(Data!$E427&gt;=12,Data!$E427&lt;=15),((Data!$E427/Data!$D427)*60)*1.2,AND(Data!$E427&gt;=16,Data!$E427&lt;=19),((Data!$E427/Data!$D427)*60)*1.5,Data!$E427&gt;=20,((Data!$E427/Data!$D427)*60)*1.8)</f>
        <v>16.137931034482758</v>
      </c>
      <c r="AT427" s="23" cm="1">
        <f t="array" ref="AT427">_xlfn.IFS(Data!$F427&lt;600,((Data!$F427/Data!$D427)*60)*1,AND(Data!$F427&gt;=600,Data!$F427&lt;=625),((Data!$F427/Data!$D427)*60)*1.2,AND(Data!$F427&gt;=626,Data!$F427&lt;=650),((Data!$F427/Data!$D427)*60)*1.5,Data!$F427&gt;=651,((Data!$F427/Data!$D427)*60)*1.8)</f>
        <v>982.24137931034477</v>
      </c>
      <c r="AU427" s="23">
        <f>(Data!$I427*-1.2)+(Data!$J427*-1.1)+(Data!$K427*1.2)+(Data!$L427*1.3)+(Data!$M427*1.5)</f>
        <v>20</v>
      </c>
      <c r="AV427" s="23">
        <f>(Data!$AS427*0.4)+(Data!$AT427*0.4)+(Data!$AU427*0.2)</f>
        <v>403.351724137931</v>
      </c>
      <c r="AW427" s="23">
        <f>PERCENTRANK(AV:AV,Data!$AV427)*100</f>
        <v>54.2</v>
      </c>
      <c r="AX427" s="23" t="str">
        <f>_xlfn.CONCAT(TEXT(C427,"mmm"),"-",Data!$AE427)</f>
        <v>Jan-2023</v>
      </c>
    </row>
    <row r="428" spans="1:50" ht="17" thickTop="1" thickBot="1" x14ac:dyDescent="0.25">
      <c r="A428" s="28">
        <v>427</v>
      </c>
      <c r="B428" s="29">
        <f t="shared" si="50"/>
        <v>16</v>
      </c>
      <c r="C428" s="41">
        <v>44957</v>
      </c>
      <c r="D428" s="30">
        <f>SUM(Data!$I428:$M428)</f>
        <v>59</v>
      </c>
      <c r="E428" s="29">
        <v>10</v>
      </c>
      <c r="F428" s="29">
        <v>613</v>
      </c>
      <c r="G428" s="29">
        <v>164</v>
      </c>
      <c r="H428" s="29">
        <v>122</v>
      </c>
      <c r="I428" s="29">
        <v>15</v>
      </c>
      <c r="J428" s="29">
        <v>17</v>
      </c>
      <c r="K428" s="29">
        <v>17</v>
      </c>
      <c r="L428" s="29">
        <v>10</v>
      </c>
      <c r="M428" s="29">
        <v>0</v>
      </c>
      <c r="N428" s="29" t="s">
        <v>101</v>
      </c>
      <c r="O428" s="29" t="s">
        <v>39</v>
      </c>
      <c r="P428" s="29" t="s">
        <v>109</v>
      </c>
      <c r="Q428" s="29">
        <f t="shared" si="56"/>
        <v>3</v>
      </c>
      <c r="R428" s="29" t="str">
        <f t="shared" si="51"/>
        <v>1-2023</v>
      </c>
      <c r="S428" s="29" t="s">
        <v>104</v>
      </c>
      <c r="T428" s="29" t="str">
        <f t="shared" si="52"/>
        <v>Tuesday</v>
      </c>
      <c r="U428" s="29">
        <f t="shared" si="53"/>
        <v>0</v>
      </c>
      <c r="V428" s="31">
        <f>IFERROR(Data!$I428/Data!$D428,"")</f>
        <v>0.25423728813559321</v>
      </c>
      <c r="W428" s="31">
        <f>IFERROR(Data!$J428/Data!$D428,"")</f>
        <v>0.28813559322033899</v>
      </c>
      <c r="X428" s="31">
        <f>IFERROR(Data!$K428/Data!$D428,"")</f>
        <v>0.28813559322033899</v>
      </c>
      <c r="Y428" s="31">
        <f>IFERROR(Data!$L428/Data!$D428,"")</f>
        <v>0.16949152542372881</v>
      </c>
      <c r="Z428" s="31">
        <f>IFERROR(Data!$M428/Data!$D428,"")</f>
        <v>0</v>
      </c>
      <c r="AA428" s="32">
        <v>232.14</v>
      </c>
      <c r="AB428" s="32">
        <f t="shared" si="57"/>
        <v>14.508749999999999</v>
      </c>
      <c r="AC428" s="29">
        <f t="shared" si="54"/>
        <v>625.875</v>
      </c>
      <c r="AD428" s="29">
        <f t="shared" si="55"/>
        <v>15.3125</v>
      </c>
      <c r="AE428" s="29">
        <f>YEAR(Data!$C428)</f>
        <v>2023</v>
      </c>
      <c r="AF428" s="29"/>
      <c r="AG428" s="29">
        <v>12</v>
      </c>
      <c r="AH428" s="33">
        <f>Data!$F428/Data!$D428</f>
        <v>10.389830508474576</v>
      </c>
      <c r="AI428" s="17" t="str">
        <f>RIGHT(Data!$O428,2)</f>
        <v>PM</v>
      </c>
      <c r="AJ428" s="29" t="str">
        <f>Data!$R428&amp;"-"&amp;WEEKNUM(Data!$C428,1)-WEEKNUM(DATE(YEAR(Data!$C428),MONTH(Data!$C428),1),1)+1</f>
        <v>1-2023-5</v>
      </c>
      <c r="AK428" s="29">
        <f>MONTH(Data!$C428)</f>
        <v>1</v>
      </c>
      <c r="AL428" s="29">
        <f>IFERROR(Data!$F428/Data!$E428,0)</f>
        <v>61.3</v>
      </c>
      <c r="AM428" s="29">
        <f>COUNTIF(Data!$N$2:$N$825,Data!$N428)</f>
        <v>191</v>
      </c>
      <c r="AN428" s="29" t="str">
        <f>VLOOKUP(Data!$N428,'Helpful Tables'!A:D,4,FALSE)</f>
        <v>Washington, DC</v>
      </c>
      <c r="AO428" s="29">
        <f>COUNTIF(AN:AN,Data!$AN428)/COUNTA(AN:AN)</f>
        <v>0.62424242424242427</v>
      </c>
      <c r="AP428" s="29">
        <v>38.949649000000001</v>
      </c>
      <c r="AQ428" s="29">
        <v>-77.080878999999996</v>
      </c>
      <c r="AR428" s="29">
        <f>COUNTIF(Data!$P$2:$P$825,Data!$P428)</f>
        <v>66</v>
      </c>
      <c r="AS428" s="29" cm="1">
        <f t="array" ref="AS428">_xlfn.IFS(Data!$E428&lt;12,((Data!$E428/Data!$D428)*60)*1,AND(Data!$E428&gt;=12,Data!$E428&lt;=15),((Data!$E428/Data!$D428)*60)*1.2,AND(Data!$E428&gt;=16,Data!$E428&lt;=19),((Data!$E428/Data!$D428)*60)*1.5,Data!$E428&gt;=20,((Data!$E428/Data!$D428)*60)*1.8)</f>
        <v>10.169491525423728</v>
      </c>
      <c r="AT428" s="29" cm="1">
        <f t="array" ref="AT428">_xlfn.IFS(Data!$F428&lt;600,((Data!$F428/Data!$D428)*60)*1,AND(Data!$F428&gt;=600,Data!$F428&lt;=625),((Data!$F428/Data!$D428)*60)*1.2,AND(Data!$F428&gt;=626,Data!$F428&lt;=650),((Data!$F428/Data!$D428)*60)*1.5,Data!$F428&gt;=651,((Data!$F428/Data!$D428)*60)*1.8)</f>
        <v>748.06779661016947</v>
      </c>
      <c r="AU428" s="29">
        <f>(Data!$I428*-1.2)+(Data!$J428*-1.1)+(Data!$K428*1.2)+(Data!$L428*1.3)+(Data!$M428*1.5)</f>
        <v>-3.3000000000000043</v>
      </c>
      <c r="AV428" s="29">
        <f>(Data!$AS428*0.4)+(Data!$AT428*0.4)+(Data!$AU428*0.2)</f>
        <v>302.63491525423723</v>
      </c>
      <c r="AW428" s="29">
        <f>PERCENTRANK(AV:AV,Data!$AV428)*100</f>
        <v>27.500000000000004</v>
      </c>
      <c r="AX428" s="29" t="str">
        <f>_xlfn.CONCAT(TEXT(C428,"mmm"),"-",Data!$AE428)</f>
        <v>Jan-2023</v>
      </c>
    </row>
    <row r="429" spans="1:50" ht="17" thickTop="1" thickBot="1" x14ac:dyDescent="0.25">
      <c r="A429" s="22">
        <v>428</v>
      </c>
      <c r="B429" s="23">
        <f t="shared" si="50"/>
        <v>15</v>
      </c>
      <c r="C429" s="41">
        <v>44958</v>
      </c>
      <c r="D429" s="24">
        <f>SUM(Data!$I429:$M429)</f>
        <v>58</v>
      </c>
      <c r="E429" s="23">
        <v>13</v>
      </c>
      <c r="F429" s="23">
        <v>665</v>
      </c>
      <c r="G429" s="23">
        <v>168</v>
      </c>
      <c r="H429" s="23">
        <v>128</v>
      </c>
      <c r="I429" s="23">
        <v>12</v>
      </c>
      <c r="J429" s="23">
        <v>11</v>
      </c>
      <c r="K429" s="23">
        <v>22</v>
      </c>
      <c r="L429" s="23">
        <v>11</v>
      </c>
      <c r="M429" s="23">
        <v>2</v>
      </c>
      <c r="N429" s="23" t="s">
        <v>160</v>
      </c>
      <c r="O429" s="23" t="s">
        <v>143</v>
      </c>
      <c r="P429" s="23" t="s">
        <v>161</v>
      </c>
      <c r="Q429" s="23">
        <f t="shared" si="56"/>
        <v>1</v>
      </c>
      <c r="R429" s="23" t="str">
        <f t="shared" si="51"/>
        <v>2-2023</v>
      </c>
      <c r="S429" s="23" t="s">
        <v>117</v>
      </c>
      <c r="T429" s="23" t="str">
        <f t="shared" si="52"/>
        <v>Wednesday</v>
      </c>
      <c r="U429" s="23">
        <f t="shared" si="53"/>
        <v>1</v>
      </c>
      <c r="V429" s="25">
        <f>IFERROR(Data!$I429/Data!$D429,"")</f>
        <v>0.20689655172413793</v>
      </c>
      <c r="W429" s="25">
        <f>IFERROR(Data!$J429/Data!$D429,"")</f>
        <v>0.18965517241379309</v>
      </c>
      <c r="X429" s="25">
        <f>IFERROR(Data!$K429/Data!$D429,"")</f>
        <v>0.37931034482758619</v>
      </c>
      <c r="Y429" s="25">
        <f>IFERROR(Data!$L429/Data!$D429,"")</f>
        <v>0.18965517241379309</v>
      </c>
      <c r="Z429" s="25">
        <f>IFERROR(Data!$M429/Data!$D429,"")</f>
        <v>3.4482758620689655E-2</v>
      </c>
      <c r="AA429" s="26">
        <v>232.14</v>
      </c>
      <c r="AB429" s="26">
        <f t="shared" si="57"/>
        <v>15.475999999999999</v>
      </c>
      <c r="AC429" s="23">
        <f t="shared" si="54"/>
        <v>629.4</v>
      </c>
      <c r="AD429" s="23">
        <f t="shared" si="55"/>
        <v>12.8</v>
      </c>
      <c r="AE429" s="23">
        <f>YEAR(Data!$C429)</f>
        <v>2023</v>
      </c>
      <c r="AF429" s="23"/>
      <c r="AG429" s="23">
        <v>12</v>
      </c>
      <c r="AH429" s="27">
        <f>Data!$F429/Data!$D429</f>
        <v>11.46551724137931</v>
      </c>
      <c r="AI429" s="17" t="str">
        <f>RIGHT(Data!$O429,2)</f>
        <v>PM</v>
      </c>
      <c r="AJ429" s="23" t="str">
        <f>Data!$R429&amp;"-"&amp;WEEKNUM(Data!$C429,1)-WEEKNUM(DATE(YEAR(Data!$C429),MONTH(Data!$C429),1),1)+1</f>
        <v>2-2023-1</v>
      </c>
      <c r="AK429" s="23">
        <f>MONTH(Data!$C429)</f>
        <v>2</v>
      </c>
      <c r="AL429" s="23">
        <f>IFERROR(Data!$F429/Data!$E429,0)</f>
        <v>51.153846153846153</v>
      </c>
      <c r="AM429" s="23">
        <f>COUNTIF(Data!$N$2:$N$825,Data!$N429)</f>
        <v>9</v>
      </c>
      <c r="AN429" s="23" t="str">
        <f>VLOOKUP(Data!$N429,'Helpful Tables'!A:D,4,FALSE)</f>
        <v>Virginia</v>
      </c>
      <c r="AO429" s="23">
        <f>COUNTIF(AN:AN,Data!$AN429)/COUNTA(AN:AN)</f>
        <v>6.424242424242424E-2</v>
      </c>
      <c r="AP429" s="23">
        <v>38.880467000000003</v>
      </c>
      <c r="AQ429" s="23">
        <v>-77.111583999999993</v>
      </c>
      <c r="AR429" s="23">
        <f>COUNTIF(Data!$P$2:$P$825,Data!$P429)</f>
        <v>7</v>
      </c>
      <c r="AS429" s="23" cm="1">
        <f t="array" ref="AS429">_xlfn.IFS(Data!$E429&lt;12,((Data!$E429/Data!$D429)*60)*1,AND(Data!$E429&gt;=12,Data!$E429&lt;=15),((Data!$E429/Data!$D429)*60)*1.2,AND(Data!$E429&gt;=16,Data!$E429&lt;=19),((Data!$E429/Data!$D429)*60)*1.5,Data!$E429&gt;=20,((Data!$E429/Data!$D429)*60)*1.8)</f>
        <v>16.137931034482758</v>
      </c>
      <c r="AT429" s="23" cm="1">
        <f t="array" ref="AT429">_xlfn.IFS(Data!$F429&lt;600,((Data!$F429/Data!$D429)*60)*1,AND(Data!$F429&gt;=600,Data!$F429&lt;=625),((Data!$F429/Data!$D429)*60)*1.2,AND(Data!$F429&gt;=626,Data!$F429&lt;=650),((Data!$F429/Data!$D429)*60)*1.5,Data!$F429&gt;=651,((Data!$F429/Data!$D429)*60)*1.8)</f>
        <v>1238.2758620689656</v>
      </c>
      <c r="AU429" s="23">
        <f>(Data!$I429*-1.2)+(Data!$J429*-1.1)+(Data!$K429*1.2)+(Data!$L429*1.3)+(Data!$M429*1.5)</f>
        <v>17.2</v>
      </c>
      <c r="AV429" s="23">
        <f>(Data!$AS429*0.4)+(Data!$AT429*0.4)+(Data!$AU429*0.2)</f>
        <v>505.20551724137937</v>
      </c>
      <c r="AW429" s="23">
        <f>PERCENTRANK(AV:AV,Data!$AV429)*100</f>
        <v>81.399999999999991</v>
      </c>
      <c r="AX429" s="23" t="str">
        <f>_xlfn.CONCAT(TEXT(C429,"mmm"),"-",Data!$AE429)</f>
        <v>Feb-2023</v>
      </c>
    </row>
    <row r="430" spans="1:50" ht="17" thickTop="1" thickBot="1" x14ac:dyDescent="0.25">
      <c r="A430" s="28">
        <v>429</v>
      </c>
      <c r="B430" s="29">
        <f t="shared" si="50"/>
        <v>15</v>
      </c>
      <c r="C430" s="41">
        <v>44961</v>
      </c>
      <c r="D430" s="30">
        <f>SUM(Data!$I430:$M430)</f>
        <v>57</v>
      </c>
      <c r="E430" s="29">
        <v>13</v>
      </c>
      <c r="F430" s="29">
        <v>651</v>
      </c>
      <c r="G430" s="29">
        <v>167</v>
      </c>
      <c r="H430" s="29">
        <v>128</v>
      </c>
      <c r="I430" s="29">
        <v>8</v>
      </c>
      <c r="J430" s="29">
        <v>17</v>
      </c>
      <c r="K430" s="29">
        <v>19</v>
      </c>
      <c r="L430" s="29">
        <v>12</v>
      </c>
      <c r="M430" s="29">
        <v>1</v>
      </c>
      <c r="N430" s="29" t="s">
        <v>91</v>
      </c>
      <c r="O430" s="29" t="s">
        <v>79</v>
      </c>
      <c r="P430" s="29" t="s">
        <v>98</v>
      </c>
      <c r="Q430" s="29">
        <f t="shared" si="56"/>
        <v>3</v>
      </c>
      <c r="R430" s="29" t="str">
        <f t="shared" si="51"/>
        <v>2-2023</v>
      </c>
      <c r="S430" s="29" t="s">
        <v>104</v>
      </c>
      <c r="T430" s="29" t="str">
        <f t="shared" si="52"/>
        <v>Saturday</v>
      </c>
      <c r="U430" s="29">
        <f t="shared" si="53"/>
        <v>1</v>
      </c>
      <c r="V430" s="31">
        <f>IFERROR(Data!$I430/Data!$D430,"")</f>
        <v>0.14035087719298245</v>
      </c>
      <c r="W430" s="31">
        <f>IFERROR(Data!$J430/Data!$D430,"")</f>
        <v>0.2982456140350877</v>
      </c>
      <c r="X430" s="31">
        <f>IFERROR(Data!$K430/Data!$D430,"")</f>
        <v>0.33333333333333331</v>
      </c>
      <c r="Y430" s="31">
        <f>IFERROR(Data!$L430/Data!$D430,"")</f>
        <v>0.21052631578947367</v>
      </c>
      <c r="Z430" s="31">
        <f>IFERROR(Data!$M430/Data!$D430,"")</f>
        <v>1.7543859649122806E-2</v>
      </c>
      <c r="AA430" s="32">
        <v>232.14</v>
      </c>
      <c r="AB430" s="32">
        <f t="shared" si="57"/>
        <v>15.475999999999999</v>
      </c>
      <c r="AC430" s="29">
        <f t="shared" si="54"/>
        <v>629.4</v>
      </c>
      <c r="AD430" s="29">
        <f t="shared" si="55"/>
        <v>12.8</v>
      </c>
      <c r="AE430" s="29">
        <f>YEAR(Data!$C430)</f>
        <v>2023</v>
      </c>
      <c r="AF430" s="29"/>
      <c r="AG430" s="29">
        <v>12</v>
      </c>
      <c r="AH430" s="33">
        <f>Data!$F430/Data!$D430</f>
        <v>11.421052631578947</v>
      </c>
      <c r="AI430" s="17" t="str">
        <f>RIGHT(Data!$O430,2)</f>
        <v>AM</v>
      </c>
      <c r="AJ430" s="29" t="str">
        <f>Data!$R430&amp;"-"&amp;WEEKNUM(Data!$C430,1)-WEEKNUM(DATE(YEAR(Data!$C430),MONTH(Data!$C430),1),1)+1</f>
        <v>2-2023-1</v>
      </c>
      <c r="AK430" s="29">
        <f>MONTH(Data!$C430)</f>
        <v>2</v>
      </c>
      <c r="AL430" s="29">
        <f>IFERROR(Data!$F430/Data!$E430,0)</f>
        <v>50.07692307692308</v>
      </c>
      <c r="AM430" s="29">
        <f>COUNTIF(Data!$N$2:$N$825,Data!$N430)</f>
        <v>218</v>
      </c>
      <c r="AN430" s="29" t="str">
        <f>VLOOKUP(Data!$N430,'Helpful Tables'!A:D,4,FALSE)</f>
        <v>Washington, DC</v>
      </c>
      <c r="AO430" s="29">
        <f>COUNTIF(AN:AN,Data!$AN430)/COUNTA(AN:AN)</f>
        <v>0.62424242424242427</v>
      </c>
      <c r="AP430" s="29">
        <v>38.934710000000003</v>
      </c>
      <c r="AQ430" s="29">
        <v>-77.058222999999998</v>
      </c>
      <c r="AR430" s="29">
        <f>COUNTIF(Data!$P$2:$P$825,Data!$P430)</f>
        <v>28</v>
      </c>
      <c r="AS430" s="29" cm="1">
        <f t="array" ref="AS430">_xlfn.IFS(Data!$E430&lt;12,((Data!$E430/Data!$D430)*60)*1,AND(Data!$E430&gt;=12,Data!$E430&lt;=15),((Data!$E430/Data!$D430)*60)*1.2,AND(Data!$E430&gt;=16,Data!$E430&lt;=19),((Data!$E430/Data!$D430)*60)*1.5,Data!$E430&gt;=20,((Data!$E430/Data!$D430)*60)*1.8)</f>
        <v>16.421052631578945</v>
      </c>
      <c r="AT430" s="29" cm="1">
        <f t="array" ref="AT430">_xlfn.IFS(Data!$F430&lt;600,((Data!$F430/Data!$D430)*60)*1,AND(Data!$F430&gt;=600,Data!$F430&lt;=625),((Data!$F430/Data!$D430)*60)*1.2,AND(Data!$F430&gt;=626,Data!$F430&lt;=650),((Data!$F430/Data!$D430)*60)*1.5,Data!$F430&gt;=651,((Data!$F430/Data!$D430)*60)*1.8)</f>
        <v>1233.4736842105262</v>
      </c>
      <c r="AU430" s="29">
        <f>(Data!$I430*-1.2)+(Data!$J430*-1.1)+(Data!$K430*1.2)+(Data!$L430*1.3)+(Data!$M430*1.5)</f>
        <v>11.599999999999998</v>
      </c>
      <c r="AV430" s="29">
        <f>(Data!$AS430*0.4)+(Data!$AT430*0.4)+(Data!$AU430*0.2)</f>
        <v>502.27789473684214</v>
      </c>
      <c r="AW430" s="29">
        <f>PERCENTRANK(AV:AV,Data!$AV430)*100</f>
        <v>79.3</v>
      </c>
      <c r="AX430" s="29" t="str">
        <f>_xlfn.CONCAT(TEXT(C430,"mmm"),"-",Data!$AE430)</f>
        <v>Feb-2023</v>
      </c>
    </row>
    <row r="431" spans="1:50" ht="17" thickTop="1" thickBot="1" x14ac:dyDescent="0.25">
      <c r="A431" s="22">
        <v>430</v>
      </c>
      <c r="B431" s="23">
        <f t="shared" si="50"/>
        <v>15</v>
      </c>
      <c r="C431" s="41">
        <v>44962</v>
      </c>
      <c r="D431" s="24">
        <f>SUM(Data!$I431:$M431)</f>
        <v>58</v>
      </c>
      <c r="E431" s="23">
        <v>9</v>
      </c>
      <c r="F431" s="23">
        <v>610</v>
      </c>
      <c r="G431" s="23">
        <v>165</v>
      </c>
      <c r="H431" s="23">
        <v>122</v>
      </c>
      <c r="I431" s="23">
        <v>14</v>
      </c>
      <c r="J431" s="23">
        <v>17</v>
      </c>
      <c r="K431" s="23">
        <v>18</v>
      </c>
      <c r="L431" s="23">
        <v>8</v>
      </c>
      <c r="M431" s="23">
        <v>1</v>
      </c>
      <c r="N431" s="23" t="s">
        <v>91</v>
      </c>
      <c r="O431" s="23" t="s">
        <v>79</v>
      </c>
      <c r="P431" s="23" t="s">
        <v>100</v>
      </c>
      <c r="Q431" s="23">
        <f t="shared" si="56"/>
        <v>1</v>
      </c>
      <c r="R431" s="23" t="str">
        <f t="shared" si="51"/>
        <v>2-2023</v>
      </c>
      <c r="S431" s="23" t="s">
        <v>104</v>
      </c>
      <c r="T431" s="23" t="str">
        <f t="shared" si="52"/>
        <v>Sunday</v>
      </c>
      <c r="U431" s="23">
        <f t="shared" si="53"/>
        <v>0</v>
      </c>
      <c r="V431" s="25">
        <f>IFERROR(Data!$I431/Data!$D431,"")</f>
        <v>0.2413793103448276</v>
      </c>
      <c r="W431" s="25">
        <f>IFERROR(Data!$J431/Data!$D431,"")</f>
        <v>0.29310344827586204</v>
      </c>
      <c r="X431" s="25">
        <f>IFERROR(Data!$K431/Data!$D431,"")</f>
        <v>0.31034482758620691</v>
      </c>
      <c r="Y431" s="25">
        <f>IFERROR(Data!$L431/Data!$D431,"")</f>
        <v>0.13793103448275862</v>
      </c>
      <c r="Z431" s="25">
        <f>IFERROR(Data!$M431/Data!$D431,"")</f>
        <v>1.7241379310344827E-2</v>
      </c>
      <c r="AA431" s="26">
        <v>232.14</v>
      </c>
      <c r="AB431" s="26">
        <f t="shared" si="57"/>
        <v>15.475999999999999</v>
      </c>
      <c r="AC431" s="23">
        <f t="shared" si="54"/>
        <v>629.4</v>
      </c>
      <c r="AD431" s="23">
        <f t="shared" si="55"/>
        <v>12.8</v>
      </c>
      <c r="AE431" s="23">
        <f>YEAR(Data!$C431)</f>
        <v>2023</v>
      </c>
      <c r="AF431" s="23"/>
      <c r="AG431" s="23">
        <v>12</v>
      </c>
      <c r="AH431" s="27">
        <f>Data!$F431/Data!$D431</f>
        <v>10.517241379310345</v>
      </c>
      <c r="AI431" s="17" t="str">
        <f>RIGHT(Data!$O431,2)</f>
        <v>AM</v>
      </c>
      <c r="AJ431" s="23" t="str">
        <f>Data!$R431&amp;"-"&amp;WEEKNUM(Data!$C431,1)-WEEKNUM(DATE(YEAR(Data!$C431),MONTH(Data!$C431),1),1)+1</f>
        <v>2-2023-2</v>
      </c>
      <c r="AK431" s="23">
        <f>MONTH(Data!$C431)</f>
        <v>2</v>
      </c>
      <c r="AL431" s="23">
        <f>IFERROR(Data!$F431/Data!$E431,0)</f>
        <v>67.777777777777771</v>
      </c>
      <c r="AM431" s="23">
        <f>COUNTIF(Data!$N$2:$N$825,Data!$N431)</f>
        <v>218</v>
      </c>
      <c r="AN431" s="23" t="str">
        <f>VLOOKUP(Data!$N431,'Helpful Tables'!A:D,4,FALSE)</f>
        <v>Washington, DC</v>
      </c>
      <c r="AO431" s="23">
        <f>COUNTIF(AN:AN,Data!$AN431)/COUNTA(AN:AN)</f>
        <v>0.62424242424242427</v>
      </c>
      <c r="AP431" s="23">
        <v>38.934710000000003</v>
      </c>
      <c r="AQ431" s="23">
        <v>-77.058222999999998</v>
      </c>
      <c r="AR431" s="23">
        <f>COUNTIF(Data!$P$2:$P$825,Data!$P431)</f>
        <v>35</v>
      </c>
      <c r="AS431" s="23" cm="1">
        <f t="array" ref="AS431">_xlfn.IFS(Data!$E431&lt;12,((Data!$E431/Data!$D431)*60)*1,AND(Data!$E431&gt;=12,Data!$E431&lt;=15),((Data!$E431/Data!$D431)*60)*1.2,AND(Data!$E431&gt;=16,Data!$E431&lt;=19),((Data!$E431/Data!$D431)*60)*1.5,Data!$E431&gt;=20,((Data!$E431/Data!$D431)*60)*1.8)</f>
        <v>9.3103448275862064</v>
      </c>
      <c r="AT431" s="23" cm="1">
        <f t="array" ref="AT431">_xlfn.IFS(Data!$F431&lt;600,((Data!$F431/Data!$D431)*60)*1,AND(Data!$F431&gt;=600,Data!$F431&lt;=625),((Data!$F431/Data!$D431)*60)*1.2,AND(Data!$F431&gt;=626,Data!$F431&lt;=650),((Data!$F431/Data!$D431)*60)*1.5,Data!$F431&gt;=651,((Data!$F431/Data!$D431)*60)*1.8)</f>
        <v>757.24137931034477</v>
      </c>
      <c r="AU431" s="23">
        <f>(Data!$I431*-1.2)+(Data!$J431*-1.1)+(Data!$K431*1.2)+(Data!$L431*1.3)+(Data!$M431*1.5)</f>
        <v>-2.0000000000000018</v>
      </c>
      <c r="AV431" s="23">
        <f>(Data!$AS431*0.4)+(Data!$AT431*0.4)+(Data!$AU431*0.2)</f>
        <v>306.22068965517241</v>
      </c>
      <c r="AW431" s="23">
        <f>PERCENTRANK(AV:AV,Data!$AV431)*100</f>
        <v>29.4</v>
      </c>
      <c r="AX431" s="23" t="str">
        <f>_xlfn.CONCAT(TEXT(C431,"mmm"),"-",Data!$AE431)</f>
        <v>Feb-2023</v>
      </c>
    </row>
    <row r="432" spans="1:50" ht="17" thickTop="1" thickBot="1" x14ac:dyDescent="0.25">
      <c r="A432" s="28">
        <v>431</v>
      </c>
      <c r="B432" s="29">
        <f t="shared" si="50"/>
        <v>15</v>
      </c>
      <c r="C432" s="41">
        <v>44964</v>
      </c>
      <c r="D432" s="30">
        <f>SUM(Data!$I432:$M432)</f>
        <v>62</v>
      </c>
      <c r="E432" s="29">
        <v>21</v>
      </c>
      <c r="F432" s="29">
        <v>706</v>
      </c>
      <c r="G432" s="29">
        <v>168</v>
      </c>
      <c r="H432" s="29">
        <v>130</v>
      </c>
      <c r="I432" s="29">
        <v>10</v>
      </c>
      <c r="J432" s="29">
        <v>17</v>
      </c>
      <c r="K432" s="29">
        <v>14</v>
      </c>
      <c r="L432" s="29">
        <v>18</v>
      </c>
      <c r="M432" s="29">
        <v>3</v>
      </c>
      <c r="N432" s="29" t="s">
        <v>101</v>
      </c>
      <c r="O432" s="29" t="s">
        <v>39</v>
      </c>
      <c r="P432" s="29" t="s">
        <v>109</v>
      </c>
      <c r="Q432" s="29">
        <f t="shared" si="56"/>
        <v>2</v>
      </c>
      <c r="R432" s="29" t="str">
        <f t="shared" si="51"/>
        <v>2-2023</v>
      </c>
      <c r="S432" s="29" t="s">
        <v>104</v>
      </c>
      <c r="T432" s="29" t="str">
        <f t="shared" si="52"/>
        <v>Tuesday</v>
      </c>
      <c r="U432" s="29">
        <f t="shared" si="53"/>
        <v>1</v>
      </c>
      <c r="V432" s="31">
        <f>IFERROR(Data!$I432/Data!$D432,"")</f>
        <v>0.16129032258064516</v>
      </c>
      <c r="W432" s="31">
        <f>IFERROR(Data!$J432/Data!$D432,"")</f>
        <v>0.27419354838709675</v>
      </c>
      <c r="X432" s="31">
        <f>IFERROR(Data!$K432/Data!$D432,"")</f>
        <v>0.22580645161290322</v>
      </c>
      <c r="Y432" s="31">
        <f>IFERROR(Data!$L432/Data!$D432,"")</f>
        <v>0.29032258064516131</v>
      </c>
      <c r="Z432" s="31">
        <f>IFERROR(Data!$M432/Data!$D432,"")</f>
        <v>4.8387096774193547E-2</v>
      </c>
      <c r="AA432" s="32">
        <v>232.14</v>
      </c>
      <c r="AB432" s="32">
        <f t="shared" si="57"/>
        <v>15.475999999999999</v>
      </c>
      <c r="AC432" s="29">
        <f t="shared" si="54"/>
        <v>629.4</v>
      </c>
      <c r="AD432" s="29">
        <f t="shared" si="55"/>
        <v>12.8</v>
      </c>
      <c r="AE432" s="29">
        <f>YEAR(Data!$C432)</f>
        <v>2023</v>
      </c>
      <c r="AF432" s="29"/>
      <c r="AG432" s="29">
        <v>12</v>
      </c>
      <c r="AH432" s="33">
        <f>Data!$F432/Data!$D432</f>
        <v>11.387096774193548</v>
      </c>
      <c r="AI432" s="17" t="str">
        <f>RIGHT(Data!$O432,2)</f>
        <v>PM</v>
      </c>
      <c r="AJ432" s="29" t="str">
        <f>Data!$R432&amp;"-"&amp;WEEKNUM(Data!$C432,1)-WEEKNUM(DATE(YEAR(Data!$C432),MONTH(Data!$C432),1),1)+1</f>
        <v>2-2023-2</v>
      </c>
      <c r="AK432" s="29">
        <f>MONTH(Data!$C432)</f>
        <v>2</v>
      </c>
      <c r="AL432" s="29">
        <f>IFERROR(Data!$F432/Data!$E432,0)</f>
        <v>33.61904761904762</v>
      </c>
      <c r="AM432" s="29">
        <f>COUNTIF(Data!$N$2:$N$825,Data!$N432)</f>
        <v>191</v>
      </c>
      <c r="AN432" s="29" t="str">
        <f>VLOOKUP(Data!$N432,'Helpful Tables'!A:D,4,FALSE)</f>
        <v>Washington, DC</v>
      </c>
      <c r="AO432" s="29">
        <f>COUNTIF(AN:AN,Data!$AN432)/COUNTA(AN:AN)</f>
        <v>0.62424242424242427</v>
      </c>
      <c r="AP432" s="29">
        <v>38.949649000000001</v>
      </c>
      <c r="AQ432" s="29">
        <v>-77.080878999999996</v>
      </c>
      <c r="AR432" s="29">
        <f>COUNTIF(Data!$P$2:$P$825,Data!$P432)</f>
        <v>66</v>
      </c>
      <c r="AS432" s="29" cm="1">
        <f t="array" ref="AS432">_xlfn.IFS(Data!$E432&lt;12,((Data!$E432/Data!$D432)*60)*1,AND(Data!$E432&gt;=12,Data!$E432&lt;=15),((Data!$E432/Data!$D432)*60)*1.2,AND(Data!$E432&gt;=16,Data!$E432&lt;=19),((Data!$E432/Data!$D432)*60)*1.5,Data!$E432&gt;=20,((Data!$E432/Data!$D432)*60)*1.8)</f>
        <v>36.58064516129032</v>
      </c>
      <c r="AT432" s="29" cm="1">
        <f t="array" ref="AT432">_xlfn.IFS(Data!$F432&lt;600,((Data!$F432/Data!$D432)*60)*1,AND(Data!$F432&gt;=600,Data!$F432&lt;=625),((Data!$F432/Data!$D432)*60)*1.2,AND(Data!$F432&gt;=626,Data!$F432&lt;=650),((Data!$F432/Data!$D432)*60)*1.5,Data!$F432&gt;=651,((Data!$F432/Data!$D432)*60)*1.8)</f>
        <v>1229.8064516129034</v>
      </c>
      <c r="AU432" s="29">
        <f>(Data!$I432*-1.2)+(Data!$J432*-1.1)+(Data!$K432*1.2)+(Data!$L432*1.3)+(Data!$M432*1.5)</f>
        <v>14</v>
      </c>
      <c r="AV432" s="29">
        <f>(Data!$AS432*0.4)+(Data!$AT432*0.4)+(Data!$AU432*0.2)</f>
        <v>509.35483870967749</v>
      </c>
      <c r="AW432" s="29">
        <f>PERCENTRANK(AV:AV,Data!$AV432)*100</f>
        <v>83.899999999999991</v>
      </c>
      <c r="AX432" s="29" t="str">
        <f>_xlfn.CONCAT(TEXT(C432,"mmm"),"-",Data!$AE432)</f>
        <v>Feb-2023</v>
      </c>
    </row>
    <row r="433" spans="1:50" ht="17" thickTop="1" thickBot="1" x14ac:dyDescent="0.25">
      <c r="A433" s="22">
        <v>432</v>
      </c>
      <c r="B433" s="23">
        <f t="shared" si="50"/>
        <v>15</v>
      </c>
      <c r="C433" s="41">
        <v>44965</v>
      </c>
      <c r="D433" s="24">
        <f>SUM(Data!$I433:$M433)</f>
        <v>61</v>
      </c>
      <c r="E433" s="23">
        <v>14</v>
      </c>
      <c r="F433" s="23">
        <v>683</v>
      </c>
      <c r="G433" s="23">
        <v>161</v>
      </c>
      <c r="H433" s="23">
        <v>129</v>
      </c>
      <c r="I433" s="23">
        <v>9</v>
      </c>
      <c r="J433" s="23">
        <v>14</v>
      </c>
      <c r="K433" s="23">
        <v>24</v>
      </c>
      <c r="L433" s="23">
        <v>14</v>
      </c>
      <c r="M433" s="23">
        <v>0</v>
      </c>
      <c r="N433" s="23" t="s">
        <v>160</v>
      </c>
      <c r="O433" s="23" t="s">
        <v>171</v>
      </c>
      <c r="P433" s="23" t="s">
        <v>170</v>
      </c>
      <c r="Q433" s="23">
        <f t="shared" si="56"/>
        <v>1</v>
      </c>
      <c r="R433" s="23" t="str">
        <f t="shared" si="51"/>
        <v>2-2023</v>
      </c>
      <c r="S433" s="23" t="s">
        <v>117</v>
      </c>
      <c r="T433" s="23" t="str">
        <f t="shared" si="52"/>
        <v>Wednesday</v>
      </c>
      <c r="U433" s="23">
        <f t="shared" si="53"/>
        <v>1</v>
      </c>
      <c r="V433" s="25">
        <f>IFERROR(Data!$I433/Data!$D433,"")</f>
        <v>0.14754098360655737</v>
      </c>
      <c r="W433" s="25">
        <f>IFERROR(Data!$J433/Data!$D433,"")</f>
        <v>0.22950819672131148</v>
      </c>
      <c r="X433" s="25">
        <f>IFERROR(Data!$K433/Data!$D433,"")</f>
        <v>0.39344262295081966</v>
      </c>
      <c r="Y433" s="25">
        <f>IFERROR(Data!$L433/Data!$D433,"")</f>
        <v>0.22950819672131148</v>
      </c>
      <c r="Z433" s="25">
        <f>IFERROR(Data!$M433/Data!$D433,"")</f>
        <v>0</v>
      </c>
      <c r="AA433" s="26">
        <v>232.14</v>
      </c>
      <c r="AB433" s="26">
        <f t="shared" si="57"/>
        <v>15.475999999999999</v>
      </c>
      <c r="AC433" s="23">
        <f t="shared" si="54"/>
        <v>629.4</v>
      </c>
      <c r="AD433" s="23">
        <f t="shared" si="55"/>
        <v>12.8</v>
      </c>
      <c r="AE433" s="23">
        <f>YEAR(Data!$C433)</f>
        <v>2023</v>
      </c>
      <c r="AF433" s="23"/>
      <c r="AG433" s="23">
        <v>12</v>
      </c>
      <c r="AH433" s="27">
        <f>Data!$F433/Data!$D433</f>
        <v>11.196721311475409</v>
      </c>
      <c r="AI433" s="17" t="str">
        <f>RIGHT(Data!$O433,2)</f>
        <v>PM</v>
      </c>
      <c r="AJ433" s="23" t="str">
        <f>Data!$R433&amp;"-"&amp;WEEKNUM(Data!$C433,1)-WEEKNUM(DATE(YEAR(Data!$C433),MONTH(Data!$C433),1),1)+1</f>
        <v>2-2023-2</v>
      </c>
      <c r="AK433" s="23">
        <f>MONTH(Data!$C433)</f>
        <v>2</v>
      </c>
      <c r="AL433" s="23">
        <f>IFERROR(Data!$F433/Data!$E433,0)</f>
        <v>48.785714285714285</v>
      </c>
      <c r="AM433" s="23">
        <f>COUNTIF(Data!$N$2:$N$825,Data!$N433)</f>
        <v>9</v>
      </c>
      <c r="AN433" s="23" t="str">
        <f>VLOOKUP(Data!$N433,'Helpful Tables'!A:D,4,FALSE)</f>
        <v>Virginia</v>
      </c>
      <c r="AO433" s="23">
        <f>COUNTIF(AN:AN,Data!$AN433)/COUNTA(AN:AN)</f>
        <v>6.424242424242424E-2</v>
      </c>
      <c r="AP433" s="23">
        <v>38.880467000000003</v>
      </c>
      <c r="AQ433" s="23">
        <v>-77.111583999999993</v>
      </c>
      <c r="AR433" s="23">
        <f>COUNTIF(Data!$P$2:$P$825,Data!$P433)</f>
        <v>1</v>
      </c>
      <c r="AS433" s="23" cm="1">
        <f t="array" ref="AS433">_xlfn.IFS(Data!$E433&lt;12,((Data!$E433/Data!$D433)*60)*1,AND(Data!$E433&gt;=12,Data!$E433&lt;=15),((Data!$E433/Data!$D433)*60)*1.2,AND(Data!$E433&gt;=16,Data!$E433&lt;=19),((Data!$E433/Data!$D433)*60)*1.5,Data!$E433&gt;=20,((Data!$E433/Data!$D433)*60)*1.8)</f>
        <v>16.524590163934427</v>
      </c>
      <c r="AT433" s="23" cm="1">
        <f t="array" ref="AT433">_xlfn.IFS(Data!$F433&lt;600,((Data!$F433/Data!$D433)*60)*1,AND(Data!$F433&gt;=600,Data!$F433&lt;=625),((Data!$F433/Data!$D433)*60)*1.2,AND(Data!$F433&gt;=626,Data!$F433&lt;=650),((Data!$F433/Data!$D433)*60)*1.5,Data!$F433&gt;=651,((Data!$F433/Data!$D433)*60)*1.8)</f>
        <v>1209.2459016393441</v>
      </c>
      <c r="AU433" s="23">
        <f>(Data!$I433*-1.2)+(Data!$J433*-1.1)+(Data!$K433*1.2)+(Data!$L433*1.3)+(Data!$M433*1.5)</f>
        <v>20.799999999999994</v>
      </c>
      <c r="AV433" s="23">
        <f>(Data!$AS433*0.4)+(Data!$AT433*0.4)+(Data!$AU433*0.2)</f>
        <v>494.46819672131141</v>
      </c>
      <c r="AW433" s="23">
        <f>PERCENTRANK(AV:AV,Data!$AV433)*100</f>
        <v>74.400000000000006</v>
      </c>
      <c r="AX433" s="23" t="str">
        <f>_xlfn.CONCAT(TEXT(C433,"mmm"),"-",Data!$AE433)</f>
        <v>Feb-2023</v>
      </c>
    </row>
    <row r="434" spans="1:50" ht="17" thickTop="1" thickBot="1" x14ac:dyDescent="0.25">
      <c r="A434" s="28">
        <v>433</v>
      </c>
      <c r="B434" s="29">
        <f t="shared" si="50"/>
        <v>15</v>
      </c>
      <c r="C434" s="41">
        <v>44969</v>
      </c>
      <c r="D434" s="30">
        <f>SUM(Data!$I434:$M434)</f>
        <v>56</v>
      </c>
      <c r="E434" s="29">
        <v>9</v>
      </c>
      <c r="F434" s="29">
        <v>556</v>
      </c>
      <c r="G434" s="29">
        <v>160</v>
      </c>
      <c r="H434" s="29">
        <v>118</v>
      </c>
      <c r="I434" s="29">
        <v>18</v>
      </c>
      <c r="J434" s="29">
        <v>18</v>
      </c>
      <c r="K434" s="29">
        <v>11</v>
      </c>
      <c r="L434" s="29">
        <v>9</v>
      </c>
      <c r="M434" s="29">
        <v>0</v>
      </c>
      <c r="N434" s="29" t="s">
        <v>91</v>
      </c>
      <c r="O434" s="29" t="s">
        <v>79</v>
      </c>
      <c r="P434" s="29" t="s">
        <v>100</v>
      </c>
      <c r="Q434" s="29">
        <f t="shared" si="56"/>
        <v>4</v>
      </c>
      <c r="R434" s="29" t="str">
        <f t="shared" si="51"/>
        <v>2-2023</v>
      </c>
      <c r="S434" s="29" t="s">
        <v>104</v>
      </c>
      <c r="T434" s="29" t="str">
        <f t="shared" si="52"/>
        <v>Sunday</v>
      </c>
      <c r="U434" s="29">
        <f t="shared" si="53"/>
        <v>0</v>
      </c>
      <c r="V434" s="31">
        <f>IFERROR(Data!$I434/Data!$D434,"")</f>
        <v>0.32142857142857145</v>
      </c>
      <c r="W434" s="31">
        <f>IFERROR(Data!$J434/Data!$D434,"")</f>
        <v>0.32142857142857145</v>
      </c>
      <c r="X434" s="31">
        <f>IFERROR(Data!$K434/Data!$D434,"")</f>
        <v>0.19642857142857142</v>
      </c>
      <c r="Y434" s="31">
        <f>IFERROR(Data!$L434/Data!$D434,"")</f>
        <v>0.16071428571428573</v>
      </c>
      <c r="Z434" s="31">
        <f>IFERROR(Data!$M434/Data!$D434,"")</f>
        <v>0</v>
      </c>
      <c r="AA434" s="32">
        <v>232.14</v>
      </c>
      <c r="AB434" s="32">
        <f t="shared" si="57"/>
        <v>15.475999999999999</v>
      </c>
      <c r="AC434" s="29">
        <f t="shared" si="54"/>
        <v>629.4</v>
      </c>
      <c r="AD434" s="29">
        <f t="shared" si="55"/>
        <v>12.8</v>
      </c>
      <c r="AE434" s="29">
        <f>YEAR(Data!$C434)</f>
        <v>2023</v>
      </c>
      <c r="AF434" s="29"/>
      <c r="AG434" s="29">
        <v>12</v>
      </c>
      <c r="AH434" s="33">
        <f>Data!$F434/Data!$D434</f>
        <v>9.9285714285714288</v>
      </c>
      <c r="AI434" s="17" t="str">
        <f>RIGHT(Data!$O434,2)</f>
        <v>AM</v>
      </c>
      <c r="AJ434" s="29" t="str">
        <f>Data!$R434&amp;"-"&amp;WEEKNUM(Data!$C434,1)-WEEKNUM(DATE(YEAR(Data!$C434),MONTH(Data!$C434),1),1)+1</f>
        <v>2-2023-3</v>
      </c>
      <c r="AK434" s="29">
        <f>MONTH(Data!$C434)</f>
        <v>2</v>
      </c>
      <c r="AL434" s="29">
        <f>IFERROR(Data!$F434/Data!$E434,0)</f>
        <v>61.777777777777779</v>
      </c>
      <c r="AM434" s="29">
        <f>COUNTIF(Data!$N$2:$N$825,Data!$N434)</f>
        <v>218</v>
      </c>
      <c r="AN434" s="29" t="str">
        <f>VLOOKUP(Data!$N434,'Helpful Tables'!A:D,4,FALSE)</f>
        <v>Washington, DC</v>
      </c>
      <c r="AO434" s="29">
        <f>COUNTIF(AN:AN,Data!$AN434)/COUNTA(AN:AN)</f>
        <v>0.62424242424242427</v>
      </c>
      <c r="AP434" s="29">
        <v>38.934710000000003</v>
      </c>
      <c r="AQ434" s="29">
        <v>-77.058222999999998</v>
      </c>
      <c r="AR434" s="29">
        <f>COUNTIF(Data!$P$2:$P$825,Data!$P434)</f>
        <v>35</v>
      </c>
      <c r="AS434" s="29" cm="1">
        <f t="array" ref="AS434">_xlfn.IFS(Data!$E434&lt;12,((Data!$E434/Data!$D434)*60)*1,AND(Data!$E434&gt;=12,Data!$E434&lt;=15),((Data!$E434/Data!$D434)*60)*1.2,AND(Data!$E434&gt;=16,Data!$E434&lt;=19),((Data!$E434/Data!$D434)*60)*1.5,Data!$E434&gt;=20,((Data!$E434/Data!$D434)*60)*1.8)</f>
        <v>9.6428571428571441</v>
      </c>
      <c r="AT434" s="29" cm="1">
        <f t="array" ref="AT434">_xlfn.IFS(Data!$F434&lt;600,((Data!$F434/Data!$D434)*60)*1,AND(Data!$F434&gt;=600,Data!$F434&lt;=625),((Data!$F434/Data!$D434)*60)*1.2,AND(Data!$F434&gt;=626,Data!$F434&lt;=650),((Data!$F434/Data!$D434)*60)*1.5,Data!$F434&gt;=651,((Data!$F434/Data!$D434)*60)*1.8)</f>
        <v>595.71428571428578</v>
      </c>
      <c r="AU434" s="29">
        <f>(Data!$I434*-1.2)+(Data!$J434*-1.1)+(Data!$K434*1.2)+(Data!$L434*1.3)+(Data!$M434*1.5)</f>
        <v>-16.5</v>
      </c>
      <c r="AV434" s="29">
        <f>(Data!$AS434*0.4)+(Data!$AT434*0.4)+(Data!$AU434*0.2)</f>
        <v>238.84285714285718</v>
      </c>
      <c r="AW434" s="29">
        <f>PERCENTRANK(AV:AV,Data!$AV434)*100</f>
        <v>11.3</v>
      </c>
      <c r="AX434" s="29" t="str">
        <f>_xlfn.CONCAT(TEXT(C434,"mmm"),"-",Data!$AE434)</f>
        <v>Feb-2023</v>
      </c>
    </row>
    <row r="435" spans="1:50" ht="17" thickTop="1" thickBot="1" x14ac:dyDescent="0.25">
      <c r="A435" s="22">
        <v>434</v>
      </c>
      <c r="B435" s="23">
        <f t="shared" si="50"/>
        <v>15</v>
      </c>
      <c r="C435" s="41">
        <v>44971</v>
      </c>
      <c r="D435" s="24">
        <f>SUM(Data!$I435:$M435)</f>
        <v>57</v>
      </c>
      <c r="E435" s="23">
        <v>13</v>
      </c>
      <c r="F435" s="23">
        <v>627</v>
      </c>
      <c r="G435" s="23">
        <v>168</v>
      </c>
      <c r="H435" s="23">
        <v>126</v>
      </c>
      <c r="I435" s="23">
        <v>9</v>
      </c>
      <c r="J435" s="23">
        <v>17</v>
      </c>
      <c r="K435" s="23">
        <v>18</v>
      </c>
      <c r="L435" s="23">
        <v>11</v>
      </c>
      <c r="M435" s="23">
        <v>2</v>
      </c>
      <c r="N435" s="23" t="s">
        <v>101</v>
      </c>
      <c r="O435" s="23" t="s">
        <v>39</v>
      </c>
      <c r="P435" s="23" t="s">
        <v>109</v>
      </c>
      <c r="Q435" s="23">
        <f t="shared" si="56"/>
        <v>2</v>
      </c>
      <c r="R435" s="23" t="str">
        <f t="shared" si="51"/>
        <v>2-2023</v>
      </c>
      <c r="S435" s="23" t="s">
        <v>104</v>
      </c>
      <c r="T435" s="23" t="str">
        <f t="shared" si="52"/>
        <v>Tuesday</v>
      </c>
      <c r="U435" s="23">
        <f t="shared" si="53"/>
        <v>1</v>
      </c>
      <c r="V435" s="25">
        <f>IFERROR(Data!$I435/Data!$D435,"")</f>
        <v>0.15789473684210525</v>
      </c>
      <c r="W435" s="25">
        <f>IFERROR(Data!$J435/Data!$D435,"")</f>
        <v>0.2982456140350877</v>
      </c>
      <c r="X435" s="25">
        <f>IFERROR(Data!$K435/Data!$D435,"")</f>
        <v>0.31578947368421051</v>
      </c>
      <c r="Y435" s="25">
        <f>IFERROR(Data!$L435/Data!$D435,"")</f>
        <v>0.19298245614035087</v>
      </c>
      <c r="Z435" s="25">
        <f>IFERROR(Data!$M435/Data!$D435,"")</f>
        <v>3.5087719298245612E-2</v>
      </c>
      <c r="AA435" s="26">
        <v>232.14</v>
      </c>
      <c r="AB435" s="26">
        <f t="shared" si="57"/>
        <v>15.475999999999999</v>
      </c>
      <c r="AC435" s="23">
        <f t="shared" si="54"/>
        <v>629.4</v>
      </c>
      <c r="AD435" s="23">
        <f t="shared" si="55"/>
        <v>12.8</v>
      </c>
      <c r="AE435" s="23">
        <f>YEAR(Data!$C435)</f>
        <v>2023</v>
      </c>
      <c r="AF435" s="23"/>
      <c r="AG435" s="23">
        <v>12</v>
      </c>
      <c r="AH435" s="27">
        <f>Data!$F435/Data!$D435</f>
        <v>11</v>
      </c>
      <c r="AI435" s="17" t="str">
        <f>RIGHT(Data!$O435,2)</f>
        <v>PM</v>
      </c>
      <c r="AJ435" s="23" t="str">
        <f>Data!$R435&amp;"-"&amp;WEEKNUM(Data!$C435,1)-WEEKNUM(DATE(YEAR(Data!$C435),MONTH(Data!$C435),1),1)+1</f>
        <v>2-2023-3</v>
      </c>
      <c r="AK435" s="23">
        <f>MONTH(Data!$C435)</f>
        <v>2</v>
      </c>
      <c r="AL435" s="23">
        <f>IFERROR(Data!$F435/Data!$E435,0)</f>
        <v>48.230769230769234</v>
      </c>
      <c r="AM435" s="23">
        <f>COUNTIF(Data!$N$2:$N$825,Data!$N435)</f>
        <v>191</v>
      </c>
      <c r="AN435" s="23" t="str">
        <f>VLOOKUP(Data!$N435,'Helpful Tables'!A:D,4,FALSE)</f>
        <v>Washington, DC</v>
      </c>
      <c r="AO435" s="23">
        <f>COUNTIF(AN:AN,Data!$AN435)/COUNTA(AN:AN)</f>
        <v>0.62424242424242427</v>
      </c>
      <c r="AP435" s="23">
        <v>38.949649000000001</v>
      </c>
      <c r="AQ435" s="23">
        <v>-77.080878999999996</v>
      </c>
      <c r="AR435" s="23">
        <f>COUNTIF(Data!$P$2:$P$825,Data!$P435)</f>
        <v>66</v>
      </c>
      <c r="AS435" s="23" cm="1">
        <f t="array" ref="AS435">_xlfn.IFS(Data!$E435&lt;12,((Data!$E435/Data!$D435)*60)*1,AND(Data!$E435&gt;=12,Data!$E435&lt;=15),((Data!$E435/Data!$D435)*60)*1.2,AND(Data!$E435&gt;=16,Data!$E435&lt;=19),((Data!$E435/Data!$D435)*60)*1.5,Data!$E435&gt;=20,((Data!$E435/Data!$D435)*60)*1.8)</f>
        <v>16.421052631578945</v>
      </c>
      <c r="AT435" s="23" cm="1">
        <f t="array" ref="AT435">_xlfn.IFS(Data!$F435&lt;600,((Data!$F435/Data!$D435)*60)*1,AND(Data!$F435&gt;=600,Data!$F435&lt;=625),((Data!$F435/Data!$D435)*60)*1.2,AND(Data!$F435&gt;=626,Data!$F435&lt;=650),((Data!$F435/Data!$D435)*60)*1.5,Data!$F435&gt;=651,((Data!$F435/Data!$D435)*60)*1.8)</f>
        <v>990</v>
      </c>
      <c r="AU435" s="23">
        <f>(Data!$I435*-1.2)+(Data!$J435*-1.1)+(Data!$K435*1.2)+(Data!$L435*1.3)+(Data!$M435*1.5)</f>
        <v>9.3999999999999986</v>
      </c>
      <c r="AV435" s="23">
        <f>(Data!$AS435*0.4)+(Data!$AT435*0.4)+(Data!$AU435*0.2)</f>
        <v>404.4484210526316</v>
      </c>
      <c r="AW435" s="23">
        <f>PERCENTRANK(AV:AV,Data!$AV435)*100</f>
        <v>55.1</v>
      </c>
      <c r="AX435" s="23" t="str">
        <f>_xlfn.CONCAT(TEXT(C435,"mmm"),"-",Data!$AE435)</f>
        <v>Feb-2023</v>
      </c>
    </row>
    <row r="436" spans="1:50" ht="17" thickTop="1" thickBot="1" x14ac:dyDescent="0.25">
      <c r="A436" s="28">
        <v>435</v>
      </c>
      <c r="B436" s="29">
        <f t="shared" si="50"/>
        <v>15</v>
      </c>
      <c r="C436" s="41">
        <v>44972</v>
      </c>
      <c r="D436" s="30">
        <f>SUM(Data!$I436:$M436)</f>
        <v>54</v>
      </c>
      <c r="E436" s="29">
        <v>15</v>
      </c>
      <c r="F436" s="29">
        <v>606</v>
      </c>
      <c r="G436" s="29">
        <v>165</v>
      </c>
      <c r="H436" s="29">
        <v>127</v>
      </c>
      <c r="I436" s="29">
        <v>13</v>
      </c>
      <c r="J436" s="29">
        <v>15</v>
      </c>
      <c r="K436" s="29">
        <v>11</v>
      </c>
      <c r="L436" s="29">
        <v>13</v>
      </c>
      <c r="M436" s="29">
        <v>2</v>
      </c>
      <c r="N436" s="29" t="s">
        <v>91</v>
      </c>
      <c r="O436" s="29" t="s">
        <v>57</v>
      </c>
      <c r="P436" s="29" t="s">
        <v>96</v>
      </c>
      <c r="Q436" s="29">
        <f t="shared" si="56"/>
        <v>1</v>
      </c>
      <c r="R436" s="29" t="str">
        <f t="shared" si="51"/>
        <v>2-2023</v>
      </c>
      <c r="S436" s="29" t="s">
        <v>104</v>
      </c>
      <c r="T436" s="29" t="str">
        <f t="shared" si="52"/>
        <v>Wednesday</v>
      </c>
      <c r="U436" s="29">
        <f t="shared" si="53"/>
        <v>1</v>
      </c>
      <c r="V436" s="31">
        <f>IFERROR(Data!$I436/Data!$D436,"")</f>
        <v>0.24074074074074073</v>
      </c>
      <c r="W436" s="31">
        <f>IFERROR(Data!$J436/Data!$D436,"")</f>
        <v>0.27777777777777779</v>
      </c>
      <c r="X436" s="31">
        <f>IFERROR(Data!$K436/Data!$D436,"")</f>
        <v>0.20370370370370369</v>
      </c>
      <c r="Y436" s="31">
        <f>IFERROR(Data!$L436/Data!$D436,"")</f>
        <v>0.24074074074074073</v>
      </c>
      <c r="Z436" s="31">
        <f>IFERROR(Data!$M436/Data!$D436,"")</f>
        <v>3.7037037037037035E-2</v>
      </c>
      <c r="AA436" s="32">
        <v>232.14</v>
      </c>
      <c r="AB436" s="32">
        <f t="shared" si="57"/>
        <v>15.475999999999999</v>
      </c>
      <c r="AC436" s="29">
        <f t="shared" si="54"/>
        <v>629.4</v>
      </c>
      <c r="AD436" s="29">
        <f t="shared" si="55"/>
        <v>12.8</v>
      </c>
      <c r="AE436" s="29">
        <f>YEAR(Data!$C436)</f>
        <v>2023</v>
      </c>
      <c r="AF436" s="29"/>
      <c r="AG436" s="29">
        <v>12</v>
      </c>
      <c r="AH436" s="33">
        <f>Data!$F436/Data!$D436</f>
        <v>11.222222222222221</v>
      </c>
      <c r="AI436" s="17" t="str">
        <f>RIGHT(Data!$O436,2)</f>
        <v>PM</v>
      </c>
      <c r="AJ436" s="29" t="str">
        <f>Data!$R436&amp;"-"&amp;WEEKNUM(Data!$C436,1)-WEEKNUM(DATE(YEAR(Data!$C436),MONTH(Data!$C436),1),1)+1</f>
        <v>2-2023-3</v>
      </c>
      <c r="AK436" s="29">
        <f>MONTH(Data!$C436)</f>
        <v>2</v>
      </c>
      <c r="AL436" s="29">
        <f>IFERROR(Data!$F436/Data!$E436,0)</f>
        <v>40.4</v>
      </c>
      <c r="AM436" s="29">
        <f>COUNTIF(Data!$N$2:$N$825,Data!$N436)</f>
        <v>218</v>
      </c>
      <c r="AN436" s="29" t="str">
        <f>VLOOKUP(Data!$N436,'Helpful Tables'!A:D,4,FALSE)</f>
        <v>Washington, DC</v>
      </c>
      <c r="AO436" s="29">
        <f>COUNTIF(AN:AN,Data!$AN436)/COUNTA(AN:AN)</f>
        <v>0.62424242424242427</v>
      </c>
      <c r="AP436" s="29">
        <v>38.934710000000003</v>
      </c>
      <c r="AQ436" s="29">
        <v>-77.058222999999998</v>
      </c>
      <c r="AR436" s="29">
        <f>COUNTIF(Data!$P$2:$P$825,Data!$P436)</f>
        <v>71</v>
      </c>
      <c r="AS436" s="29" cm="1">
        <f t="array" ref="AS436">_xlfn.IFS(Data!$E436&lt;12,((Data!$E436/Data!$D436)*60)*1,AND(Data!$E436&gt;=12,Data!$E436&lt;=15),((Data!$E436/Data!$D436)*60)*1.2,AND(Data!$E436&gt;=16,Data!$E436&lt;=19),((Data!$E436/Data!$D436)*60)*1.5,Data!$E436&gt;=20,((Data!$E436/Data!$D436)*60)*1.8)</f>
        <v>20</v>
      </c>
      <c r="AT436" s="29" cm="1">
        <f t="array" ref="AT436">_xlfn.IFS(Data!$F436&lt;600,((Data!$F436/Data!$D436)*60)*1,AND(Data!$F436&gt;=600,Data!$F436&lt;=625),((Data!$F436/Data!$D436)*60)*1.2,AND(Data!$F436&gt;=626,Data!$F436&lt;=650),((Data!$F436/Data!$D436)*60)*1.5,Data!$F436&gt;=651,((Data!$F436/Data!$D436)*60)*1.8)</f>
        <v>807.99999999999989</v>
      </c>
      <c r="AU436" s="29">
        <f>(Data!$I436*-1.2)+(Data!$J436*-1.1)+(Data!$K436*1.2)+(Data!$L436*1.3)+(Data!$M436*1.5)</f>
        <v>1</v>
      </c>
      <c r="AV436" s="29">
        <f>(Data!$AS436*0.4)+(Data!$AT436*0.4)+(Data!$AU436*0.2)</f>
        <v>331.4</v>
      </c>
      <c r="AW436" s="29">
        <f>PERCENTRANK(AV:AV,Data!$AV436)*100</f>
        <v>41.8</v>
      </c>
      <c r="AX436" s="29" t="str">
        <f>_xlfn.CONCAT(TEXT(C436,"mmm"),"-",Data!$AE436)</f>
        <v>Feb-2023</v>
      </c>
    </row>
    <row r="437" spans="1:50" ht="17" thickTop="1" thickBot="1" x14ac:dyDescent="0.25">
      <c r="A437" s="22">
        <v>436</v>
      </c>
      <c r="B437" s="23">
        <f t="shared" si="50"/>
        <v>15</v>
      </c>
      <c r="C437" s="41">
        <v>44974</v>
      </c>
      <c r="D437" s="24">
        <f>SUM(Data!$I437:$M437)</f>
        <v>56</v>
      </c>
      <c r="E437" s="23">
        <v>12</v>
      </c>
      <c r="F437" s="23">
        <v>648</v>
      </c>
      <c r="G437" s="23">
        <v>165</v>
      </c>
      <c r="H437" s="23">
        <v>129</v>
      </c>
      <c r="I437" s="23">
        <v>7</v>
      </c>
      <c r="J437" s="23">
        <v>20</v>
      </c>
      <c r="K437" s="23">
        <v>17</v>
      </c>
      <c r="L437" s="23">
        <v>11</v>
      </c>
      <c r="M437" s="23">
        <v>1</v>
      </c>
      <c r="N437" s="23" t="s">
        <v>101</v>
      </c>
      <c r="O437" s="23" t="s">
        <v>39</v>
      </c>
      <c r="P437" s="23" t="s">
        <v>147</v>
      </c>
      <c r="Q437" s="23">
        <f t="shared" si="56"/>
        <v>2</v>
      </c>
      <c r="R437" s="23" t="str">
        <f t="shared" si="51"/>
        <v>2-2023</v>
      </c>
      <c r="S437" s="23" t="s">
        <v>104</v>
      </c>
      <c r="T437" s="23" t="str">
        <f t="shared" si="52"/>
        <v>Friday</v>
      </c>
      <c r="U437" s="23">
        <f t="shared" si="53"/>
        <v>1</v>
      </c>
      <c r="V437" s="25">
        <f>IFERROR(Data!$I437/Data!$D437,"")</f>
        <v>0.125</v>
      </c>
      <c r="W437" s="25">
        <f>IFERROR(Data!$J437/Data!$D437,"")</f>
        <v>0.35714285714285715</v>
      </c>
      <c r="X437" s="25">
        <f>IFERROR(Data!$K437/Data!$D437,"")</f>
        <v>0.30357142857142855</v>
      </c>
      <c r="Y437" s="25">
        <f>IFERROR(Data!$L437/Data!$D437,"")</f>
        <v>0.19642857142857142</v>
      </c>
      <c r="Z437" s="25">
        <f>IFERROR(Data!$M437/Data!$D437,"")</f>
        <v>1.7857142857142856E-2</v>
      </c>
      <c r="AA437" s="26">
        <v>232.14</v>
      </c>
      <c r="AB437" s="26">
        <f t="shared" si="57"/>
        <v>15.475999999999999</v>
      </c>
      <c r="AC437" s="23">
        <f t="shared" si="54"/>
        <v>629.4</v>
      </c>
      <c r="AD437" s="23">
        <f t="shared" si="55"/>
        <v>12.8</v>
      </c>
      <c r="AE437" s="23">
        <f>YEAR(Data!$C437)</f>
        <v>2023</v>
      </c>
      <c r="AF437" s="23"/>
      <c r="AG437" s="23">
        <v>12</v>
      </c>
      <c r="AH437" s="27">
        <f>Data!$F437/Data!$D437</f>
        <v>11.571428571428571</v>
      </c>
      <c r="AI437" s="17" t="str">
        <f>RIGHT(Data!$O437,2)</f>
        <v>PM</v>
      </c>
      <c r="AJ437" s="23" t="str">
        <f>Data!$R437&amp;"-"&amp;WEEKNUM(Data!$C437,1)-WEEKNUM(DATE(YEAR(Data!$C437),MONTH(Data!$C437),1),1)+1</f>
        <v>2-2023-3</v>
      </c>
      <c r="AK437" s="23">
        <f>MONTH(Data!$C437)</f>
        <v>2</v>
      </c>
      <c r="AL437" s="23">
        <f>IFERROR(Data!$F437/Data!$E437,0)</f>
        <v>54</v>
      </c>
      <c r="AM437" s="23">
        <f>COUNTIF(Data!$N$2:$N$825,Data!$N437)</f>
        <v>191</v>
      </c>
      <c r="AN437" s="23" t="str">
        <f>VLOOKUP(Data!$N437,'Helpful Tables'!A:D,4,FALSE)</f>
        <v>Washington, DC</v>
      </c>
      <c r="AO437" s="23">
        <f>COUNTIF(AN:AN,Data!$AN437)/COUNTA(AN:AN)</f>
        <v>0.62424242424242427</v>
      </c>
      <c r="AP437" s="23">
        <v>38.949649000000001</v>
      </c>
      <c r="AQ437" s="23">
        <v>-77.080878999999996</v>
      </c>
      <c r="AR437" s="23">
        <f>COUNTIF(Data!$P$2:$P$825,Data!$P437)</f>
        <v>17</v>
      </c>
      <c r="AS437" s="23" cm="1">
        <f t="array" ref="AS437">_xlfn.IFS(Data!$E437&lt;12,((Data!$E437/Data!$D437)*60)*1,AND(Data!$E437&gt;=12,Data!$E437&lt;=15),((Data!$E437/Data!$D437)*60)*1.2,AND(Data!$E437&gt;=16,Data!$E437&lt;=19),((Data!$E437/Data!$D437)*60)*1.5,Data!$E437&gt;=20,((Data!$E437/Data!$D437)*60)*1.8)</f>
        <v>15.428571428571427</v>
      </c>
      <c r="AT437" s="23" cm="1">
        <f t="array" ref="AT437">_xlfn.IFS(Data!$F437&lt;600,((Data!$F437/Data!$D437)*60)*1,AND(Data!$F437&gt;=600,Data!$F437&lt;=625),((Data!$F437/Data!$D437)*60)*1.2,AND(Data!$F437&gt;=626,Data!$F437&lt;=650),((Data!$F437/Data!$D437)*60)*1.5,Data!$F437&gt;=651,((Data!$F437/Data!$D437)*60)*1.8)</f>
        <v>1041.4285714285713</v>
      </c>
      <c r="AU437" s="23">
        <f>(Data!$I437*-1.2)+(Data!$J437*-1.1)+(Data!$K437*1.2)+(Data!$L437*1.3)+(Data!$M437*1.5)</f>
        <v>5.8000000000000007</v>
      </c>
      <c r="AV437" s="23">
        <f>(Data!$AS437*0.4)+(Data!$AT437*0.4)+(Data!$AU437*0.2)</f>
        <v>423.90285714285716</v>
      </c>
      <c r="AW437" s="23">
        <f>PERCENTRANK(AV:AV,Data!$AV437)*100</f>
        <v>62.5</v>
      </c>
      <c r="AX437" s="23" t="str">
        <f>_xlfn.CONCAT(TEXT(C437,"mmm"),"-",Data!$AE437)</f>
        <v>Feb-2023</v>
      </c>
    </row>
    <row r="438" spans="1:50" ht="17" thickTop="1" thickBot="1" x14ac:dyDescent="0.25">
      <c r="A438" s="28">
        <v>437</v>
      </c>
      <c r="B438" s="29">
        <f t="shared" si="50"/>
        <v>15</v>
      </c>
      <c r="C438" s="41">
        <v>44976</v>
      </c>
      <c r="D438" s="30">
        <f>SUM(Data!$I438:$M438)</f>
        <v>61</v>
      </c>
      <c r="E438" s="29">
        <v>12</v>
      </c>
      <c r="F438" s="29">
        <v>666</v>
      </c>
      <c r="G438" s="29">
        <v>167</v>
      </c>
      <c r="H438" s="29">
        <v>125</v>
      </c>
      <c r="I438" s="29">
        <v>11</v>
      </c>
      <c r="J438" s="29">
        <v>19</v>
      </c>
      <c r="K438" s="29">
        <v>19</v>
      </c>
      <c r="L438" s="29">
        <v>10</v>
      </c>
      <c r="M438" s="29">
        <v>2</v>
      </c>
      <c r="N438" s="29" t="s">
        <v>85</v>
      </c>
      <c r="O438" s="29" t="s">
        <v>45</v>
      </c>
      <c r="P438" s="29" t="s">
        <v>172</v>
      </c>
      <c r="Q438" s="29">
        <f t="shared" si="56"/>
        <v>2</v>
      </c>
      <c r="R438" s="29" t="str">
        <f t="shared" si="51"/>
        <v>2-2023</v>
      </c>
      <c r="S438" s="29" t="s">
        <v>117</v>
      </c>
      <c r="T438" s="29" t="str">
        <f t="shared" si="52"/>
        <v>Sunday</v>
      </c>
      <c r="U438" s="29">
        <f t="shared" si="53"/>
        <v>1</v>
      </c>
      <c r="V438" s="31">
        <f>IFERROR(Data!$I438/Data!$D438,"")</f>
        <v>0.18032786885245902</v>
      </c>
      <c r="W438" s="31">
        <f>IFERROR(Data!$J438/Data!$D438,"")</f>
        <v>0.31147540983606559</v>
      </c>
      <c r="X438" s="31">
        <f>IFERROR(Data!$K438/Data!$D438,"")</f>
        <v>0.31147540983606559</v>
      </c>
      <c r="Y438" s="31">
        <f>IFERROR(Data!$L438/Data!$D438,"")</f>
        <v>0.16393442622950818</v>
      </c>
      <c r="Z438" s="31">
        <f>IFERROR(Data!$M438/Data!$D438,"")</f>
        <v>3.2786885245901641E-2</v>
      </c>
      <c r="AA438" s="32">
        <v>232.14</v>
      </c>
      <c r="AB438" s="32">
        <f t="shared" si="57"/>
        <v>15.475999999999999</v>
      </c>
      <c r="AC438" s="29">
        <f t="shared" si="54"/>
        <v>629.4</v>
      </c>
      <c r="AD438" s="29">
        <f t="shared" si="55"/>
        <v>12.8</v>
      </c>
      <c r="AE438" s="29">
        <f>YEAR(Data!$C438)</f>
        <v>2023</v>
      </c>
      <c r="AF438" s="29"/>
      <c r="AG438" s="29">
        <v>12</v>
      </c>
      <c r="AH438" s="33">
        <f>Data!$F438/Data!$D438</f>
        <v>10.918032786885245</v>
      </c>
      <c r="AI438" s="17" t="str">
        <f>RIGHT(Data!$O438,2)</f>
        <v>AM</v>
      </c>
      <c r="AJ438" s="29" t="str">
        <f>Data!$R438&amp;"-"&amp;WEEKNUM(Data!$C438,1)-WEEKNUM(DATE(YEAR(Data!$C438),MONTH(Data!$C438),1),1)+1</f>
        <v>2-2023-4</v>
      </c>
      <c r="AK438" s="29">
        <f>MONTH(Data!$C438)</f>
        <v>2</v>
      </c>
      <c r="AL438" s="29">
        <f>IFERROR(Data!$F438/Data!$E438,0)</f>
        <v>55.5</v>
      </c>
      <c r="AM438" s="29">
        <f>COUNTIF(Data!$N$2:$N$825,Data!$N438)</f>
        <v>4</v>
      </c>
      <c r="AN438" s="29" t="str">
        <f>VLOOKUP(Data!$N438,'Helpful Tables'!A:D,4,FALSE)</f>
        <v>Washington, DC</v>
      </c>
      <c r="AO438" s="29">
        <f>COUNTIF(AN:AN,Data!$AN438)/COUNTA(AN:AN)</f>
        <v>0.62424242424242427</v>
      </c>
      <c r="AP438" s="29">
        <v>38.915415000000003</v>
      </c>
      <c r="AQ438" s="29">
        <v>-77.067172999999997</v>
      </c>
      <c r="AR438" s="29">
        <f>COUNTIF(Data!$P$2:$P$825,Data!$P438)</f>
        <v>1</v>
      </c>
      <c r="AS438" s="29" cm="1">
        <f t="array" ref="AS438">_xlfn.IFS(Data!$E438&lt;12,((Data!$E438/Data!$D438)*60)*1,AND(Data!$E438&gt;=12,Data!$E438&lt;=15),((Data!$E438/Data!$D438)*60)*1.2,AND(Data!$E438&gt;=16,Data!$E438&lt;=19),((Data!$E438/Data!$D438)*60)*1.5,Data!$E438&gt;=20,((Data!$E438/Data!$D438)*60)*1.8)</f>
        <v>14.163934426229506</v>
      </c>
      <c r="AT438" s="29" cm="1">
        <f t="array" ref="AT438">_xlfn.IFS(Data!$F438&lt;600,((Data!$F438/Data!$D438)*60)*1,AND(Data!$F438&gt;=600,Data!$F438&lt;=625),((Data!$F438/Data!$D438)*60)*1.2,AND(Data!$F438&gt;=626,Data!$F438&lt;=650),((Data!$F438/Data!$D438)*60)*1.5,Data!$F438&gt;=651,((Data!$F438/Data!$D438)*60)*1.8)</f>
        <v>1179.1475409836064</v>
      </c>
      <c r="AU438" s="29">
        <f>(Data!$I438*-1.2)+(Data!$J438*-1.1)+(Data!$K438*1.2)+(Data!$L438*1.3)+(Data!$M438*1.5)</f>
        <v>4.6999999999999993</v>
      </c>
      <c r="AV438" s="29">
        <f>(Data!$AS438*0.4)+(Data!$AT438*0.4)+(Data!$AU438*0.2)</f>
        <v>478.26459016393437</v>
      </c>
      <c r="AW438" s="29">
        <f>PERCENTRANK(AV:AV,Data!$AV438)*100</f>
        <v>68.400000000000006</v>
      </c>
      <c r="AX438" s="29" t="str">
        <f>_xlfn.CONCAT(TEXT(C438,"mmm"),"-",Data!$AE438)</f>
        <v>Feb-2023</v>
      </c>
    </row>
    <row r="439" spans="1:50" ht="17" thickTop="1" thickBot="1" x14ac:dyDescent="0.25">
      <c r="A439" s="22">
        <v>438</v>
      </c>
      <c r="B439" s="23">
        <f t="shared" si="50"/>
        <v>15</v>
      </c>
      <c r="C439" s="41">
        <v>44978</v>
      </c>
      <c r="D439" s="24">
        <f>SUM(Data!$I439:$M439)</f>
        <v>57</v>
      </c>
      <c r="E439" s="23">
        <v>10</v>
      </c>
      <c r="F439" s="23">
        <v>626</v>
      </c>
      <c r="G439" s="23">
        <v>162</v>
      </c>
      <c r="H439" s="23">
        <v>126</v>
      </c>
      <c r="I439" s="23">
        <v>11</v>
      </c>
      <c r="J439" s="23">
        <v>13</v>
      </c>
      <c r="K439" s="23">
        <v>23</v>
      </c>
      <c r="L439" s="23">
        <v>10</v>
      </c>
      <c r="M439" s="23">
        <v>0</v>
      </c>
      <c r="N439" s="23" t="s">
        <v>91</v>
      </c>
      <c r="O439" s="23" t="s">
        <v>57</v>
      </c>
      <c r="P439" s="23" t="s">
        <v>98</v>
      </c>
      <c r="Q439" s="23">
        <f t="shared" si="56"/>
        <v>2</v>
      </c>
      <c r="R439" s="23" t="str">
        <f t="shared" si="51"/>
        <v>2-2023</v>
      </c>
      <c r="S439" s="23" t="s">
        <v>117</v>
      </c>
      <c r="T439" s="23" t="str">
        <f t="shared" si="52"/>
        <v>Tuesday</v>
      </c>
      <c r="U439" s="23">
        <f t="shared" si="53"/>
        <v>0</v>
      </c>
      <c r="V439" s="25">
        <f>IFERROR(Data!$I439/Data!$D439,"")</f>
        <v>0.19298245614035087</v>
      </c>
      <c r="W439" s="25">
        <f>IFERROR(Data!$J439/Data!$D439,"")</f>
        <v>0.22807017543859648</v>
      </c>
      <c r="X439" s="25">
        <f>IFERROR(Data!$K439/Data!$D439,"")</f>
        <v>0.40350877192982454</v>
      </c>
      <c r="Y439" s="25">
        <f>IFERROR(Data!$L439/Data!$D439,"")</f>
        <v>0.17543859649122806</v>
      </c>
      <c r="Z439" s="25">
        <f>IFERROR(Data!$M439/Data!$D439,"")</f>
        <v>0</v>
      </c>
      <c r="AA439" s="26">
        <v>232.14</v>
      </c>
      <c r="AB439" s="26">
        <f t="shared" si="57"/>
        <v>15.475999999999999</v>
      </c>
      <c r="AC439" s="23">
        <f t="shared" si="54"/>
        <v>629.4</v>
      </c>
      <c r="AD439" s="23">
        <f t="shared" si="55"/>
        <v>12.8</v>
      </c>
      <c r="AE439" s="23">
        <f>YEAR(Data!$C439)</f>
        <v>2023</v>
      </c>
      <c r="AF439" s="23"/>
      <c r="AG439" s="23">
        <v>12</v>
      </c>
      <c r="AH439" s="27">
        <f>Data!$F439/Data!$D439</f>
        <v>10.982456140350877</v>
      </c>
      <c r="AI439" s="17" t="str">
        <f>RIGHT(Data!$O439,2)</f>
        <v>PM</v>
      </c>
      <c r="AJ439" s="23" t="str">
        <f>Data!$R439&amp;"-"&amp;WEEKNUM(Data!$C439,1)-WEEKNUM(DATE(YEAR(Data!$C439),MONTH(Data!$C439),1),1)+1</f>
        <v>2-2023-4</v>
      </c>
      <c r="AK439" s="23">
        <f>MONTH(Data!$C439)</f>
        <v>2</v>
      </c>
      <c r="AL439" s="23">
        <f>IFERROR(Data!$F439/Data!$E439,0)</f>
        <v>62.6</v>
      </c>
      <c r="AM439" s="23">
        <f>COUNTIF(Data!$N$2:$N$825,Data!$N439)</f>
        <v>218</v>
      </c>
      <c r="AN439" s="23" t="str">
        <f>VLOOKUP(Data!$N439,'Helpful Tables'!A:D,4,FALSE)</f>
        <v>Washington, DC</v>
      </c>
      <c r="AO439" s="23">
        <f>COUNTIF(AN:AN,Data!$AN439)/COUNTA(AN:AN)</f>
        <v>0.62424242424242427</v>
      </c>
      <c r="AP439" s="23">
        <v>38.934710000000003</v>
      </c>
      <c r="AQ439" s="23">
        <v>-77.058222999999998</v>
      </c>
      <c r="AR439" s="23">
        <f>COUNTIF(Data!$P$2:$P$825,Data!$P439)</f>
        <v>28</v>
      </c>
      <c r="AS439" s="23" cm="1">
        <f t="array" ref="AS439">_xlfn.IFS(Data!$E439&lt;12,((Data!$E439/Data!$D439)*60)*1,AND(Data!$E439&gt;=12,Data!$E439&lt;=15),((Data!$E439/Data!$D439)*60)*1.2,AND(Data!$E439&gt;=16,Data!$E439&lt;=19),((Data!$E439/Data!$D439)*60)*1.5,Data!$E439&gt;=20,((Data!$E439/Data!$D439)*60)*1.8)</f>
        <v>10.526315789473683</v>
      </c>
      <c r="AT439" s="23" cm="1">
        <f t="array" ref="AT439">_xlfn.IFS(Data!$F439&lt;600,((Data!$F439/Data!$D439)*60)*1,AND(Data!$F439&gt;=600,Data!$F439&lt;=625),((Data!$F439/Data!$D439)*60)*1.2,AND(Data!$F439&gt;=626,Data!$F439&lt;=650),((Data!$F439/Data!$D439)*60)*1.5,Data!$F439&gt;=651,((Data!$F439/Data!$D439)*60)*1.8)</f>
        <v>988.42105263157896</v>
      </c>
      <c r="AU439" s="23">
        <f>(Data!$I439*-1.2)+(Data!$J439*-1.1)+(Data!$K439*1.2)+(Data!$L439*1.3)+(Data!$M439*1.5)</f>
        <v>13.099999999999998</v>
      </c>
      <c r="AV439" s="23">
        <f>(Data!$AS439*0.4)+(Data!$AT439*0.4)+(Data!$AU439*0.2)</f>
        <v>402.1989473684211</v>
      </c>
      <c r="AW439" s="23">
        <f>PERCENTRANK(AV:AV,Data!$AV439)*100</f>
        <v>53.6</v>
      </c>
      <c r="AX439" s="23" t="str">
        <f>_xlfn.CONCAT(TEXT(C439,"mmm"),"-",Data!$AE439)</f>
        <v>Feb-2023</v>
      </c>
    </row>
    <row r="440" spans="1:50" ht="17" thickTop="1" thickBot="1" x14ac:dyDescent="0.25">
      <c r="A440" s="28">
        <v>439</v>
      </c>
      <c r="B440" s="29">
        <f t="shared" si="50"/>
        <v>15</v>
      </c>
      <c r="C440" s="41">
        <v>44979</v>
      </c>
      <c r="D440" s="30">
        <f>SUM(Data!$I440:$M440)</f>
        <v>62</v>
      </c>
      <c r="E440" s="29">
        <v>13</v>
      </c>
      <c r="F440" s="29">
        <v>681</v>
      </c>
      <c r="G440" s="29">
        <v>168</v>
      </c>
      <c r="H440" s="29">
        <v>125</v>
      </c>
      <c r="I440" s="29">
        <v>13</v>
      </c>
      <c r="J440" s="29">
        <v>20</v>
      </c>
      <c r="K440" s="29">
        <v>16</v>
      </c>
      <c r="L440" s="29">
        <v>11</v>
      </c>
      <c r="M440" s="29">
        <v>2</v>
      </c>
      <c r="N440" s="29" t="s">
        <v>160</v>
      </c>
      <c r="O440" s="29" t="s">
        <v>143</v>
      </c>
      <c r="P440" s="29" t="s">
        <v>161</v>
      </c>
      <c r="Q440" s="29">
        <f t="shared" si="56"/>
        <v>1</v>
      </c>
      <c r="R440" s="29" t="str">
        <f t="shared" si="51"/>
        <v>2-2023</v>
      </c>
      <c r="S440" s="29" t="s">
        <v>117</v>
      </c>
      <c r="T440" s="29" t="str">
        <f t="shared" si="52"/>
        <v>Wednesday</v>
      </c>
      <c r="U440" s="29">
        <f t="shared" si="53"/>
        <v>1</v>
      </c>
      <c r="V440" s="31">
        <f>IFERROR(Data!$I440/Data!$D440,"")</f>
        <v>0.20967741935483872</v>
      </c>
      <c r="W440" s="31">
        <f>IFERROR(Data!$J440/Data!$D440,"")</f>
        <v>0.32258064516129031</v>
      </c>
      <c r="X440" s="31">
        <f>IFERROR(Data!$K440/Data!$D440,"")</f>
        <v>0.25806451612903225</v>
      </c>
      <c r="Y440" s="31">
        <f>IFERROR(Data!$L440/Data!$D440,"")</f>
        <v>0.17741935483870969</v>
      </c>
      <c r="Z440" s="31">
        <f>IFERROR(Data!$M440/Data!$D440,"")</f>
        <v>3.2258064516129031E-2</v>
      </c>
      <c r="AA440" s="32">
        <v>232.14</v>
      </c>
      <c r="AB440" s="32">
        <f t="shared" si="57"/>
        <v>15.475999999999999</v>
      </c>
      <c r="AC440" s="29">
        <f t="shared" si="54"/>
        <v>629.4</v>
      </c>
      <c r="AD440" s="29">
        <f t="shared" si="55"/>
        <v>12.8</v>
      </c>
      <c r="AE440" s="29">
        <f>YEAR(Data!$C440)</f>
        <v>2023</v>
      </c>
      <c r="AF440" s="29"/>
      <c r="AG440" s="29">
        <v>12</v>
      </c>
      <c r="AH440" s="33">
        <f>Data!$F440/Data!$D440</f>
        <v>10.983870967741936</v>
      </c>
      <c r="AI440" s="17" t="str">
        <f>RIGHT(Data!$O440,2)</f>
        <v>PM</v>
      </c>
      <c r="AJ440" s="29" t="str">
        <f>Data!$R440&amp;"-"&amp;WEEKNUM(Data!$C440,1)-WEEKNUM(DATE(YEAR(Data!$C440),MONTH(Data!$C440),1),1)+1</f>
        <v>2-2023-4</v>
      </c>
      <c r="AK440" s="29">
        <f>MONTH(Data!$C440)</f>
        <v>2</v>
      </c>
      <c r="AL440" s="29">
        <f>IFERROR(Data!$F440/Data!$E440,0)</f>
        <v>52.384615384615387</v>
      </c>
      <c r="AM440" s="29">
        <f>COUNTIF(Data!$N$2:$N$825,Data!$N440)</f>
        <v>9</v>
      </c>
      <c r="AN440" s="29" t="str">
        <f>VLOOKUP(Data!$N440,'Helpful Tables'!A:D,4,FALSE)</f>
        <v>Virginia</v>
      </c>
      <c r="AO440" s="29">
        <f>COUNTIF(AN:AN,Data!$AN440)/COUNTA(AN:AN)</f>
        <v>6.424242424242424E-2</v>
      </c>
      <c r="AP440" s="29">
        <v>38.880467000000003</v>
      </c>
      <c r="AQ440" s="29">
        <v>-77.111583999999993</v>
      </c>
      <c r="AR440" s="29">
        <f>COUNTIF(Data!$P$2:$P$825,Data!$P440)</f>
        <v>7</v>
      </c>
      <c r="AS440" s="29" cm="1">
        <f t="array" ref="AS440">_xlfn.IFS(Data!$E440&lt;12,((Data!$E440/Data!$D440)*60)*1,AND(Data!$E440&gt;=12,Data!$E440&lt;=15),((Data!$E440/Data!$D440)*60)*1.2,AND(Data!$E440&gt;=16,Data!$E440&lt;=19),((Data!$E440/Data!$D440)*60)*1.5,Data!$E440&gt;=20,((Data!$E440/Data!$D440)*60)*1.8)</f>
        <v>15.096774193548388</v>
      </c>
      <c r="AT440" s="29" cm="1">
        <f t="array" ref="AT440">_xlfn.IFS(Data!$F440&lt;600,((Data!$F440/Data!$D440)*60)*1,AND(Data!$F440&gt;=600,Data!$F440&lt;=625),((Data!$F440/Data!$D440)*60)*1.2,AND(Data!$F440&gt;=626,Data!$F440&lt;=650),((Data!$F440/Data!$D440)*60)*1.5,Data!$F440&gt;=651,((Data!$F440/Data!$D440)*60)*1.8)</f>
        <v>1186.258064516129</v>
      </c>
      <c r="AU440" s="29">
        <f>(Data!$I440*-1.2)+(Data!$J440*-1.1)+(Data!$K440*1.2)+(Data!$L440*1.3)+(Data!$M440*1.5)</f>
        <v>-1.1000000000000014</v>
      </c>
      <c r="AV440" s="29">
        <f>(Data!$AS440*0.4)+(Data!$AT440*0.4)+(Data!$AU440*0.2)</f>
        <v>480.32193548387096</v>
      </c>
      <c r="AW440" s="29">
        <f>PERCENTRANK(AV:AV,Data!$AV440)*100</f>
        <v>69.099999999999994</v>
      </c>
      <c r="AX440" s="29" t="str">
        <f>_xlfn.CONCAT(TEXT(C440,"mmm"),"-",Data!$AE440)</f>
        <v>Feb-2023</v>
      </c>
    </row>
    <row r="441" spans="1:50" ht="17" thickTop="1" thickBot="1" x14ac:dyDescent="0.25">
      <c r="A441" s="22">
        <v>440</v>
      </c>
      <c r="B441" s="23">
        <f t="shared" si="50"/>
        <v>15</v>
      </c>
      <c r="C441" s="41">
        <v>44982</v>
      </c>
      <c r="D441" s="24">
        <f>SUM(Data!$I441:$M441)</f>
        <v>57</v>
      </c>
      <c r="E441" s="23">
        <v>10</v>
      </c>
      <c r="F441" s="23">
        <v>494</v>
      </c>
      <c r="G441" s="23">
        <v>168</v>
      </c>
      <c r="H441" s="23">
        <v>111</v>
      </c>
      <c r="I441" s="23">
        <v>31</v>
      </c>
      <c r="J441" s="23">
        <v>10</v>
      </c>
      <c r="K441" s="23">
        <v>6</v>
      </c>
      <c r="L441" s="23">
        <v>8</v>
      </c>
      <c r="M441" s="23">
        <v>2</v>
      </c>
      <c r="N441" s="23" t="s">
        <v>101</v>
      </c>
      <c r="O441" s="23" t="s">
        <v>93</v>
      </c>
      <c r="P441" s="23" t="s">
        <v>109</v>
      </c>
      <c r="Q441" s="23">
        <f t="shared" si="56"/>
        <v>3</v>
      </c>
      <c r="R441" s="23" t="str">
        <f t="shared" si="51"/>
        <v>2-2023</v>
      </c>
      <c r="S441" s="23" t="s">
        <v>117</v>
      </c>
      <c r="T441" s="23" t="str">
        <f t="shared" si="52"/>
        <v>Saturday</v>
      </c>
      <c r="U441" s="23">
        <f t="shared" si="53"/>
        <v>0</v>
      </c>
      <c r="V441" s="25">
        <f>IFERROR(Data!$I441/Data!$D441,"")</f>
        <v>0.54385964912280704</v>
      </c>
      <c r="W441" s="25">
        <f>IFERROR(Data!$J441/Data!$D441,"")</f>
        <v>0.17543859649122806</v>
      </c>
      <c r="X441" s="25">
        <f>IFERROR(Data!$K441/Data!$D441,"")</f>
        <v>0.10526315789473684</v>
      </c>
      <c r="Y441" s="25">
        <f>IFERROR(Data!$L441/Data!$D441,"")</f>
        <v>0.14035087719298245</v>
      </c>
      <c r="Z441" s="25">
        <f>IFERROR(Data!$M441/Data!$D441,"")</f>
        <v>3.5087719298245612E-2</v>
      </c>
      <c r="AA441" s="26">
        <v>232.14</v>
      </c>
      <c r="AB441" s="26">
        <f t="shared" si="57"/>
        <v>15.475999999999999</v>
      </c>
      <c r="AC441" s="23">
        <f t="shared" si="54"/>
        <v>629.4</v>
      </c>
      <c r="AD441" s="23">
        <f t="shared" si="55"/>
        <v>12.8</v>
      </c>
      <c r="AE441" s="23">
        <f>YEAR(Data!$C441)</f>
        <v>2023</v>
      </c>
      <c r="AF441" s="23"/>
      <c r="AG441" s="23">
        <v>12</v>
      </c>
      <c r="AH441" s="27">
        <f>Data!$F441/Data!$D441</f>
        <v>8.6666666666666661</v>
      </c>
      <c r="AI441" s="17" t="str">
        <f>RIGHT(Data!$O441,2)</f>
        <v>AM</v>
      </c>
      <c r="AJ441" s="23" t="str">
        <f>Data!$R441&amp;"-"&amp;WEEKNUM(Data!$C441,1)-WEEKNUM(DATE(YEAR(Data!$C441),MONTH(Data!$C441),1),1)+1</f>
        <v>2-2023-4</v>
      </c>
      <c r="AK441" s="23">
        <f>MONTH(Data!$C441)</f>
        <v>2</v>
      </c>
      <c r="AL441" s="23">
        <f>IFERROR(Data!$F441/Data!$E441,0)</f>
        <v>49.4</v>
      </c>
      <c r="AM441" s="23">
        <f>COUNTIF(Data!$N$2:$N$825,Data!$N441)</f>
        <v>191</v>
      </c>
      <c r="AN441" s="23" t="str">
        <f>VLOOKUP(Data!$N441,'Helpful Tables'!A:D,4,FALSE)</f>
        <v>Washington, DC</v>
      </c>
      <c r="AO441" s="23">
        <f>COUNTIF(AN:AN,Data!$AN441)/COUNTA(AN:AN)</f>
        <v>0.62424242424242427</v>
      </c>
      <c r="AP441" s="23">
        <v>38.949649000000001</v>
      </c>
      <c r="AQ441" s="23">
        <v>-77.080878999999996</v>
      </c>
      <c r="AR441" s="23">
        <f>COUNTIF(Data!$P$2:$P$825,Data!$P441)</f>
        <v>66</v>
      </c>
      <c r="AS441" s="23" cm="1">
        <f t="array" ref="AS441">_xlfn.IFS(Data!$E441&lt;12,((Data!$E441/Data!$D441)*60)*1,AND(Data!$E441&gt;=12,Data!$E441&lt;=15),((Data!$E441/Data!$D441)*60)*1.2,AND(Data!$E441&gt;=16,Data!$E441&lt;=19),((Data!$E441/Data!$D441)*60)*1.5,Data!$E441&gt;=20,((Data!$E441/Data!$D441)*60)*1.8)</f>
        <v>10.526315789473683</v>
      </c>
      <c r="AT441" s="23" cm="1">
        <f t="array" ref="AT441">_xlfn.IFS(Data!$F441&lt;600,((Data!$F441/Data!$D441)*60)*1,AND(Data!$F441&gt;=600,Data!$F441&lt;=625),((Data!$F441/Data!$D441)*60)*1.2,AND(Data!$F441&gt;=626,Data!$F441&lt;=650),((Data!$F441/Data!$D441)*60)*1.5,Data!$F441&gt;=651,((Data!$F441/Data!$D441)*60)*1.8)</f>
        <v>520</v>
      </c>
      <c r="AU441" s="23">
        <f>(Data!$I441*-1.2)+(Data!$J441*-1.1)+(Data!$K441*1.2)+(Data!$L441*1.3)+(Data!$M441*1.5)</f>
        <v>-27.6</v>
      </c>
      <c r="AV441" s="23">
        <f>(Data!$AS441*0.4)+(Data!$AT441*0.4)+(Data!$AU441*0.2)</f>
        <v>206.69052631578947</v>
      </c>
      <c r="AW441" s="23">
        <f>PERCENTRANK(AV:AV,Data!$AV441)*100</f>
        <v>1.3</v>
      </c>
      <c r="AX441" s="23" t="str">
        <f>_xlfn.CONCAT(TEXT(C441,"mmm"),"-",Data!$AE441)</f>
        <v>Feb-2023</v>
      </c>
    </row>
    <row r="442" spans="1:50" ht="17" thickTop="1" thickBot="1" x14ac:dyDescent="0.25">
      <c r="A442" s="28">
        <v>441</v>
      </c>
      <c r="B442" s="29">
        <f t="shared" si="50"/>
        <v>15</v>
      </c>
      <c r="C442" s="41">
        <v>44983</v>
      </c>
      <c r="D442" s="30">
        <f>SUM(Data!$I442:$M442)</f>
        <v>58</v>
      </c>
      <c r="E442" s="29">
        <v>12</v>
      </c>
      <c r="F442" s="29">
        <v>549</v>
      </c>
      <c r="G442" s="29">
        <v>165</v>
      </c>
      <c r="H442" s="29">
        <v>117</v>
      </c>
      <c r="I442" s="29">
        <v>28</v>
      </c>
      <c r="J442" s="29">
        <v>10</v>
      </c>
      <c r="K442" s="29">
        <v>8</v>
      </c>
      <c r="L442" s="29">
        <v>11</v>
      </c>
      <c r="M442" s="29">
        <v>1</v>
      </c>
      <c r="N442" s="29" t="s">
        <v>101</v>
      </c>
      <c r="O442" s="29" t="s">
        <v>93</v>
      </c>
      <c r="P442" s="29" t="s">
        <v>155</v>
      </c>
      <c r="Q442" s="29">
        <f t="shared" si="56"/>
        <v>1</v>
      </c>
      <c r="R442" s="29" t="str">
        <f t="shared" si="51"/>
        <v>2-2023</v>
      </c>
      <c r="S442" s="29" t="s">
        <v>117</v>
      </c>
      <c r="T442" s="29" t="str">
        <f t="shared" si="52"/>
        <v>Sunday</v>
      </c>
      <c r="U442" s="29">
        <f t="shared" si="53"/>
        <v>1</v>
      </c>
      <c r="V442" s="31">
        <f>IFERROR(Data!$I442/Data!$D442,"")</f>
        <v>0.48275862068965519</v>
      </c>
      <c r="W442" s="31">
        <f>IFERROR(Data!$J442/Data!$D442,"")</f>
        <v>0.17241379310344829</v>
      </c>
      <c r="X442" s="31">
        <f>IFERROR(Data!$K442/Data!$D442,"")</f>
        <v>0.13793103448275862</v>
      </c>
      <c r="Y442" s="31">
        <f>IFERROR(Data!$L442/Data!$D442,"")</f>
        <v>0.18965517241379309</v>
      </c>
      <c r="Z442" s="31">
        <f>IFERROR(Data!$M442/Data!$D442,"")</f>
        <v>1.7241379310344827E-2</v>
      </c>
      <c r="AA442" s="32">
        <v>232.14</v>
      </c>
      <c r="AB442" s="32">
        <f t="shared" si="57"/>
        <v>15.475999999999999</v>
      </c>
      <c r="AC442" s="29">
        <f t="shared" si="54"/>
        <v>629.4</v>
      </c>
      <c r="AD442" s="29">
        <f t="shared" si="55"/>
        <v>12.8</v>
      </c>
      <c r="AE442" s="29">
        <f>YEAR(Data!$C442)</f>
        <v>2023</v>
      </c>
      <c r="AF442" s="29"/>
      <c r="AG442" s="29">
        <v>12</v>
      </c>
      <c r="AH442" s="33">
        <f>Data!$F442/Data!$D442</f>
        <v>9.4655172413793096</v>
      </c>
      <c r="AI442" s="17" t="str">
        <f>RIGHT(Data!$O442,2)</f>
        <v>AM</v>
      </c>
      <c r="AJ442" s="29" t="str">
        <f>Data!$R442&amp;"-"&amp;WEEKNUM(Data!$C442,1)-WEEKNUM(DATE(YEAR(Data!$C442),MONTH(Data!$C442),1),1)+1</f>
        <v>2-2023-5</v>
      </c>
      <c r="AK442" s="29">
        <f>MONTH(Data!$C442)</f>
        <v>2</v>
      </c>
      <c r="AL442" s="29">
        <f>IFERROR(Data!$F442/Data!$E442,0)</f>
        <v>45.75</v>
      </c>
      <c r="AM442" s="29">
        <f>COUNTIF(Data!$N$2:$N$825,Data!$N442)</f>
        <v>191</v>
      </c>
      <c r="AN442" s="29" t="str">
        <f>VLOOKUP(Data!$N442,'Helpful Tables'!A:D,4,FALSE)</f>
        <v>Washington, DC</v>
      </c>
      <c r="AO442" s="29">
        <f>COUNTIF(AN:AN,Data!$AN442)/COUNTA(AN:AN)</f>
        <v>0.62424242424242427</v>
      </c>
      <c r="AP442" s="29">
        <v>38.949649000000001</v>
      </c>
      <c r="AQ442" s="29">
        <v>-77.080878999999996</v>
      </c>
      <c r="AR442" s="29">
        <f>COUNTIF(Data!$P$2:$P$825,Data!$P442)</f>
        <v>13</v>
      </c>
      <c r="AS442" s="29" cm="1">
        <f t="array" ref="AS442">_xlfn.IFS(Data!$E442&lt;12,((Data!$E442/Data!$D442)*60)*1,AND(Data!$E442&gt;=12,Data!$E442&lt;=15),((Data!$E442/Data!$D442)*60)*1.2,AND(Data!$E442&gt;=16,Data!$E442&lt;=19),((Data!$E442/Data!$D442)*60)*1.5,Data!$E442&gt;=20,((Data!$E442/Data!$D442)*60)*1.8)</f>
        <v>14.896551724137931</v>
      </c>
      <c r="AT442" s="29" cm="1">
        <f t="array" ref="AT442">_xlfn.IFS(Data!$F442&lt;600,((Data!$F442/Data!$D442)*60)*1,AND(Data!$F442&gt;=600,Data!$F442&lt;=625),((Data!$F442/Data!$D442)*60)*1.2,AND(Data!$F442&gt;=626,Data!$F442&lt;=650),((Data!$F442/Data!$D442)*60)*1.5,Data!$F442&gt;=651,((Data!$F442/Data!$D442)*60)*1.8)</f>
        <v>567.93103448275861</v>
      </c>
      <c r="AU442" s="29">
        <f>(Data!$I442*-1.2)+(Data!$J442*-1.1)+(Data!$K442*1.2)+(Data!$L442*1.3)+(Data!$M442*1.5)</f>
        <v>-19.2</v>
      </c>
      <c r="AV442" s="29">
        <f>(Data!$AS442*0.4)+(Data!$AT442*0.4)+(Data!$AU442*0.2)</f>
        <v>229.29103448275862</v>
      </c>
      <c r="AW442" s="29">
        <f>PERCENTRANK(AV:AV,Data!$AV442)*100</f>
        <v>6.8000000000000007</v>
      </c>
      <c r="AX442" s="29" t="str">
        <f>_xlfn.CONCAT(TEXT(C442,"mmm"),"-",Data!$AE442)</f>
        <v>Feb-2023</v>
      </c>
    </row>
    <row r="443" spans="1:50" ht="17" thickTop="1" thickBot="1" x14ac:dyDescent="0.25">
      <c r="A443" s="22">
        <v>442</v>
      </c>
      <c r="B443" s="23">
        <f t="shared" si="50"/>
        <v>15</v>
      </c>
      <c r="C443" s="41">
        <v>44985</v>
      </c>
      <c r="D443" s="24">
        <f>SUM(Data!$I443:$M443)</f>
        <v>62</v>
      </c>
      <c r="E443" s="23">
        <v>16</v>
      </c>
      <c r="F443" s="23">
        <v>673</v>
      </c>
      <c r="G443" s="23">
        <v>164</v>
      </c>
      <c r="H443" s="23">
        <v>127</v>
      </c>
      <c r="I443" s="23">
        <v>13</v>
      </c>
      <c r="J443" s="23">
        <v>18</v>
      </c>
      <c r="K443" s="23">
        <v>15</v>
      </c>
      <c r="L443" s="23">
        <v>15</v>
      </c>
      <c r="M443" s="23">
        <v>1</v>
      </c>
      <c r="N443" s="23" t="s">
        <v>101</v>
      </c>
      <c r="O443" s="23" t="s">
        <v>173</v>
      </c>
      <c r="P443" s="23" t="s">
        <v>109</v>
      </c>
      <c r="Q443" s="23">
        <f t="shared" si="56"/>
        <v>2</v>
      </c>
      <c r="R443" s="23" t="str">
        <f t="shared" si="51"/>
        <v>2-2023</v>
      </c>
      <c r="S443" s="23" t="s">
        <v>145</v>
      </c>
      <c r="T443" s="23" t="str">
        <f t="shared" si="52"/>
        <v>Tuesday</v>
      </c>
      <c r="U443" s="23">
        <f t="shared" si="53"/>
        <v>1</v>
      </c>
      <c r="V443" s="25">
        <f>IFERROR(Data!$I443/Data!$D443,"")</f>
        <v>0.20967741935483872</v>
      </c>
      <c r="W443" s="25">
        <f>IFERROR(Data!$J443/Data!$D443,"")</f>
        <v>0.29032258064516131</v>
      </c>
      <c r="X443" s="25">
        <f>IFERROR(Data!$K443/Data!$D443,"")</f>
        <v>0.24193548387096775</v>
      </c>
      <c r="Y443" s="25">
        <f>IFERROR(Data!$L443/Data!$D443,"")</f>
        <v>0.24193548387096775</v>
      </c>
      <c r="Z443" s="25">
        <f>IFERROR(Data!$M443/Data!$D443,"")</f>
        <v>1.6129032258064516E-2</v>
      </c>
      <c r="AA443" s="26">
        <v>232.14</v>
      </c>
      <c r="AB443" s="26">
        <f t="shared" si="57"/>
        <v>15.475999999999999</v>
      </c>
      <c r="AC443" s="23">
        <f t="shared" si="54"/>
        <v>629.4</v>
      </c>
      <c r="AD443" s="23">
        <f t="shared" si="55"/>
        <v>12.8</v>
      </c>
      <c r="AE443" s="23">
        <f>YEAR(Data!$C443)</f>
        <v>2023</v>
      </c>
      <c r="AF443" s="23"/>
      <c r="AG443" s="23">
        <v>12</v>
      </c>
      <c r="AH443" s="27">
        <f>Data!$F443/Data!$D443</f>
        <v>10.85483870967742</v>
      </c>
      <c r="AI443" s="17" t="str">
        <f>RIGHT(Data!$O443,2)</f>
        <v>PM</v>
      </c>
      <c r="AJ443" s="23" t="str">
        <f>Data!$R443&amp;"-"&amp;WEEKNUM(Data!$C443,1)-WEEKNUM(DATE(YEAR(Data!$C443),MONTH(Data!$C443),1),1)+1</f>
        <v>2-2023-5</v>
      </c>
      <c r="AK443" s="23">
        <f>MONTH(Data!$C443)</f>
        <v>2</v>
      </c>
      <c r="AL443" s="23">
        <f>IFERROR(Data!$F443/Data!$E443,0)</f>
        <v>42.0625</v>
      </c>
      <c r="AM443" s="23">
        <f>COUNTIF(Data!$N$2:$N$825,Data!$N443)</f>
        <v>191</v>
      </c>
      <c r="AN443" s="23" t="str">
        <f>VLOOKUP(Data!$N443,'Helpful Tables'!A:D,4,FALSE)</f>
        <v>Washington, DC</v>
      </c>
      <c r="AO443" s="23">
        <f>COUNTIF(AN:AN,Data!$AN443)/COUNTA(AN:AN)</f>
        <v>0.62424242424242427</v>
      </c>
      <c r="AP443" s="23">
        <v>38.949649000000001</v>
      </c>
      <c r="AQ443" s="23">
        <v>-77.080878999999996</v>
      </c>
      <c r="AR443" s="23">
        <f>COUNTIF(Data!$P$2:$P$825,Data!$P443)</f>
        <v>66</v>
      </c>
      <c r="AS443" s="23" cm="1">
        <f t="array" ref="AS443">_xlfn.IFS(Data!$E443&lt;12,((Data!$E443/Data!$D443)*60)*1,AND(Data!$E443&gt;=12,Data!$E443&lt;=15),((Data!$E443/Data!$D443)*60)*1.2,AND(Data!$E443&gt;=16,Data!$E443&lt;=19),((Data!$E443/Data!$D443)*60)*1.5,Data!$E443&gt;=20,((Data!$E443/Data!$D443)*60)*1.8)</f>
        <v>23.225806451612904</v>
      </c>
      <c r="AT443" s="23" cm="1">
        <f t="array" ref="AT443">_xlfn.IFS(Data!$F443&lt;600,((Data!$F443/Data!$D443)*60)*1,AND(Data!$F443&gt;=600,Data!$F443&lt;=625),((Data!$F443/Data!$D443)*60)*1.2,AND(Data!$F443&gt;=626,Data!$F443&lt;=650),((Data!$F443/Data!$D443)*60)*1.5,Data!$F443&gt;=651,((Data!$F443/Data!$D443)*60)*1.8)</f>
        <v>1172.3225806451615</v>
      </c>
      <c r="AU443" s="23">
        <f>(Data!$I443*-1.2)+(Data!$J443*-1.1)+(Data!$K443*1.2)+(Data!$L443*1.3)+(Data!$M443*1.5)</f>
        <v>3.6000000000000014</v>
      </c>
      <c r="AV443" s="23">
        <f>(Data!$AS443*0.4)+(Data!$AT443*0.4)+(Data!$AU443*0.2)</f>
        <v>478.93935483870979</v>
      </c>
      <c r="AW443" s="23">
        <f>PERCENTRANK(AV:AV,Data!$AV443)*100</f>
        <v>68.8</v>
      </c>
      <c r="AX443" s="23" t="str">
        <f>_xlfn.CONCAT(TEXT(C443,"mmm"),"-",Data!$AE443)</f>
        <v>Feb-2023</v>
      </c>
    </row>
    <row r="444" spans="1:50" ht="17" thickTop="1" thickBot="1" x14ac:dyDescent="0.25">
      <c r="A444" s="28">
        <v>443</v>
      </c>
      <c r="B444" s="29">
        <f t="shared" si="50"/>
        <v>15</v>
      </c>
      <c r="C444" s="41">
        <v>44987</v>
      </c>
      <c r="D444" s="30">
        <f>SUM(Data!$I444:$M444)</f>
        <v>60</v>
      </c>
      <c r="E444" s="29">
        <v>15</v>
      </c>
      <c r="F444" s="29">
        <v>644</v>
      </c>
      <c r="G444" s="29">
        <v>167</v>
      </c>
      <c r="H444" s="29">
        <v>125</v>
      </c>
      <c r="I444" s="29">
        <v>16</v>
      </c>
      <c r="J444" s="29">
        <v>13</v>
      </c>
      <c r="K444" s="29">
        <v>16</v>
      </c>
      <c r="L444" s="29">
        <v>13</v>
      </c>
      <c r="M444" s="29">
        <v>2</v>
      </c>
      <c r="N444" s="29" t="s">
        <v>101</v>
      </c>
      <c r="O444" s="29" t="s">
        <v>173</v>
      </c>
      <c r="P444" s="29" t="s">
        <v>118</v>
      </c>
      <c r="Q444" s="29">
        <f t="shared" si="56"/>
        <v>2</v>
      </c>
      <c r="R444" s="29" t="str">
        <f t="shared" si="51"/>
        <v>3-2023</v>
      </c>
      <c r="S444" s="29" t="s">
        <v>104</v>
      </c>
      <c r="T444" s="29" t="str">
        <f t="shared" si="52"/>
        <v>Thursday</v>
      </c>
      <c r="U444" s="29">
        <f t="shared" si="53"/>
        <v>1</v>
      </c>
      <c r="V444" s="31">
        <f>IFERROR(Data!$I444/Data!$D444,"")</f>
        <v>0.26666666666666666</v>
      </c>
      <c r="W444" s="31">
        <f>IFERROR(Data!$J444/Data!$D444,"")</f>
        <v>0.21666666666666667</v>
      </c>
      <c r="X444" s="31">
        <f>IFERROR(Data!$K444/Data!$D444,"")</f>
        <v>0.26666666666666666</v>
      </c>
      <c r="Y444" s="31">
        <f>IFERROR(Data!$L444/Data!$D444,"")</f>
        <v>0.21666666666666667</v>
      </c>
      <c r="Z444" s="31">
        <f>IFERROR(Data!$M444/Data!$D444,"")</f>
        <v>3.3333333333333333E-2</v>
      </c>
      <c r="AA444" s="32">
        <v>232.14</v>
      </c>
      <c r="AB444" s="32">
        <f t="shared" si="57"/>
        <v>15.475999999999999</v>
      </c>
      <c r="AC444" s="29">
        <f t="shared" si="54"/>
        <v>630.21428571428567</v>
      </c>
      <c r="AD444" s="29">
        <f t="shared" si="55"/>
        <v>14.285714285714286</v>
      </c>
      <c r="AE444" s="29">
        <f>YEAR(Data!$C444)</f>
        <v>2023</v>
      </c>
      <c r="AF444" s="29"/>
      <c r="AG444" s="29">
        <v>12</v>
      </c>
      <c r="AH444" s="33">
        <f>Data!$F444/Data!$D444</f>
        <v>10.733333333333333</v>
      </c>
      <c r="AI444" s="17" t="str">
        <f>RIGHT(Data!$O444,2)</f>
        <v>PM</v>
      </c>
      <c r="AJ444" s="29" t="str">
        <f>Data!$R444&amp;"-"&amp;WEEKNUM(Data!$C444,1)-WEEKNUM(DATE(YEAR(Data!$C444),MONTH(Data!$C444),1),1)+1</f>
        <v>3-2023-1</v>
      </c>
      <c r="AK444" s="29">
        <f>MONTH(Data!$C444)</f>
        <v>3</v>
      </c>
      <c r="AL444" s="29">
        <f>IFERROR(Data!$F444/Data!$E444,0)</f>
        <v>42.93333333333333</v>
      </c>
      <c r="AM444" s="29">
        <f>COUNTIF(Data!$N$2:$N$825,Data!$N444)</f>
        <v>191</v>
      </c>
      <c r="AN444" s="29" t="str">
        <f>VLOOKUP(Data!$N444,'Helpful Tables'!A:D,4,FALSE)</f>
        <v>Washington, DC</v>
      </c>
      <c r="AO444" s="29">
        <f>COUNTIF(AN:AN,Data!$AN444)/COUNTA(AN:AN)</f>
        <v>0.62424242424242427</v>
      </c>
      <c r="AP444" s="29">
        <v>38.949649000000001</v>
      </c>
      <c r="AQ444" s="29">
        <v>-77.080878999999996</v>
      </c>
      <c r="AR444" s="29">
        <f>COUNTIF(Data!$P$2:$P$825,Data!$P444)</f>
        <v>16</v>
      </c>
      <c r="AS444" s="29" cm="1">
        <f t="array" ref="AS444">_xlfn.IFS(Data!$E444&lt;12,((Data!$E444/Data!$D444)*60)*1,AND(Data!$E444&gt;=12,Data!$E444&lt;=15),((Data!$E444/Data!$D444)*60)*1.2,AND(Data!$E444&gt;=16,Data!$E444&lt;=19),((Data!$E444/Data!$D444)*60)*1.5,Data!$E444&gt;=20,((Data!$E444/Data!$D444)*60)*1.8)</f>
        <v>18</v>
      </c>
      <c r="AT444" s="29" cm="1">
        <f t="array" ref="AT444">_xlfn.IFS(Data!$F444&lt;600,((Data!$F444/Data!$D444)*60)*1,AND(Data!$F444&gt;=600,Data!$F444&lt;=625),((Data!$F444/Data!$D444)*60)*1.2,AND(Data!$F444&gt;=626,Data!$F444&lt;=650),((Data!$F444/Data!$D444)*60)*1.5,Data!$F444&gt;=651,((Data!$F444/Data!$D444)*60)*1.8)</f>
        <v>966</v>
      </c>
      <c r="AU444" s="29">
        <f>(Data!$I444*-1.2)+(Data!$J444*-1.1)+(Data!$K444*1.2)+(Data!$L444*1.3)+(Data!$M444*1.5)</f>
        <v>5.6000000000000014</v>
      </c>
      <c r="AV444" s="29">
        <f>(Data!$AS444*0.4)+(Data!$AT444*0.4)+(Data!$AU444*0.2)</f>
        <v>394.72</v>
      </c>
      <c r="AW444" s="29">
        <f>PERCENTRANK(AV:AV,Data!$AV444)*100</f>
        <v>49.3</v>
      </c>
      <c r="AX444" s="29" t="str">
        <f>_xlfn.CONCAT(TEXT(C444,"mmm"),"-",Data!$AE444)</f>
        <v>Mar-2023</v>
      </c>
    </row>
    <row r="445" spans="1:50" ht="17" thickTop="1" thickBot="1" x14ac:dyDescent="0.25">
      <c r="A445" s="22">
        <v>444</v>
      </c>
      <c r="B445" s="23">
        <f t="shared" si="50"/>
        <v>15</v>
      </c>
      <c r="C445" s="41">
        <v>44988</v>
      </c>
      <c r="D445" s="24">
        <f>SUM(Data!$I445:$M445)</f>
        <v>58</v>
      </c>
      <c r="E445" s="23">
        <v>13</v>
      </c>
      <c r="F445" s="23">
        <v>547</v>
      </c>
      <c r="G445" s="23">
        <v>169</v>
      </c>
      <c r="H445" s="23">
        <v>115</v>
      </c>
      <c r="I445" s="23">
        <v>25</v>
      </c>
      <c r="J445" s="23">
        <v>11</v>
      </c>
      <c r="K445" s="23">
        <v>9</v>
      </c>
      <c r="L445" s="23">
        <v>12</v>
      </c>
      <c r="M445" s="23">
        <v>1</v>
      </c>
      <c r="N445" s="23" t="s">
        <v>91</v>
      </c>
      <c r="O445" s="23" t="s">
        <v>57</v>
      </c>
      <c r="P445" s="23" t="s">
        <v>96</v>
      </c>
      <c r="Q445" s="23">
        <f t="shared" si="56"/>
        <v>1</v>
      </c>
      <c r="R445" s="23" t="str">
        <f t="shared" si="51"/>
        <v>3-2023</v>
      </c>
      <c r="S445" s="23" t="s">
        <v>104</v>
      </c>
      <c r="T445" s="23" t="str">
        <f t="shared" si="52"/>
        <v>Friday</v>
      </c>
      <c r="U445" s="23">
        <f t="shared" si="53"/>
        <v>1</v>
      </c>
      <c r="V445" s="25">
        <f>IFERROR(Data!$I445/Data!$D445,"")</f>
        <v>0.43103448275862066</v>
      </c>
      <c r="W445" s="25">
        <f>IFERROR(Data!$J445/Data!$D445,"")</f>
        <v>0.18965517241379309</v>
      </c>
      <c r="X445" s="25">
        <f>IFERROR(Data!$K445/Data!$D445,"")</f>
        <v>0.15517241379310345</v>
      </c>
      <c r="Y445" s="25">
        <f>IFERROR(Data!$L445/Data!$D445,"")</f>
        <v>0.20689655172413793</v>
      </c>
      <c r="Z445" s="25">
        <f>IFERROR(Data!$M445/Data!$D445,"")</f>
        <v>1.7241379310344827E-2</v>
      </c>
      <c r="AA445" s="26">
        <v>232.14</v>
      </c>
      <c r="AB445" s="26">
        <f t="shared" si="57"/>
        <v>15.475999999999999</v>
      </c>
      <c r="AC445" s="23">
        <f t="shared" si="54"/>
        <v>630.21428571428567</v>
      </c>
      <c r="AD445" s="23">
        <f t="shared" si="55"/>
        <v>14.285714285714286</v>
      </c>
      <c r="AE445" s="23">
        <f>YEAR(Data!$C445)</f>
        <v>2023</v>
      </c>
      <c r="AF445" s="23"/>
      <c r="AG445" s="23">
        <v>12</v>
      </c>
      <c r="AH445" s="27">
        <f>Data!$F445/Data!$D445</f>
        <v>9.431034482758621</v>
      </c>
      <c r="AI445" s="17" t="str">
        <f>RIGHT(Data!$O445,2)</f>
        <v>PM</v>
      </c>
      <c r="AJ445" s="23" t="str">
        <f>Data!$R445&amp;"-"&amp;WEEKNUM(Data!$C445,1)-WEEKNUM(DATE(YEAR(Data!$C445),MONTH(Data!$C445),1),1)+1</f>
        <v>3-2023-1</v>
      </c>
      <c r="AK445" s="23">
        <f>MONTH(Data!$C445)</f>
        <v>3</v>
      </c>
      <c r="AL445" s="23">
        <f>IFERROR(Data!$F445/Data!$E445,0)</f>
        <v>42.07692307692308</v>
      </c>
      <c r="AM445" s="23">
        <f>COUNTIF(Data!$N$2:$N$825,Data!$N445)</f>
        <v>218</v>
      </c>
      <c r="AN445" s="23" t="str">
        <f>VLOOKUP(Data!$N445,'Helpful Tables'!A:D,4,FALSE)</f>
        <v>Washington, DC</v>
      </c>
      <c r="AO445" s="23">
        <f>COUNTIF(AN:AN,Data!$AN445)/COUNTA(AN:AN)</f>
        <v>0.62424242424242427</v>
      </c>
      <c r="AP445" s="23">
        <v>38.934710000000003</v>
      </c>
      <c r="AQ445" s="23">
        <v>-77.058222999999998</v>
      </c>
      <c r="AR445" s="23">
        <f>COUNTIF(Data!$P$2:$P$825,Data!$P445)</f>
        <v>71</v>
      </c>
      <c r="AS445" s="23" cm="1">
        <f t="array" ref="AS445">_xlfn.IFS(Data!$E445&lt;12,((Data!$E445/Data!$D445)*60)*1,AND(Data!$E445&gt;=12,Data!$E445&lt;=15),((Data!$E445/Data!$D445)*60)*1.2,AND(Data!$E445&gt;=16,Data!$E445&lt;=19),((Data!$E445/Data!$D445)*60)*1.5,Data!$E445&gt;=20,((Data!$E445/Data!$D445)*60)*1.8)</f>
        <v>16.137931034482758</v>
      </c>
      <c r="AT445" s="23" cm="1">
        <f t="array" ref="AT445">_xlfn.IFS(Data!$F445&lt;600,((Data!$F445/Data!$D445)*60)*1,AND(Data!$F445&gt;=600,Data!$F445&lt;=625),((Data!$F445/Data!$D445)*60)*1.2,AND(Data!$F445&gt;=626,Data!$F445&lt;=650),((Data!$F445/Data!$D445)*60)*1.5,Data!$F445&gt;=651,((Data!$F445/Data!$D445)*60)*1.8)</f>
        <v>565.86206896551721</v>
      </c>
      <c r="AU445" s="23">
        <f>(Data!$I445*-1.2)+(Data!$J445*-1.1)+(Data!$K445*1.2)+(Data!$L445*1.3)+(Data!$M445*1.5)</f>
        <v>-14.200000000000003</v>
      </c>
      <c r="AV445" s="23">
        <f>(Data!$AS445*0.4)+(Data!$AT445*0.4)+(Data!$AU445*0.2)</f>
        <v>229.95999999999998</v>
      </c>
      <c r="AW445" s="23">
        <f>PERCENTRANK(AV:AV,Data!$AV445)*100</f>
        <v>7.0000000000000009</v>
      </c>
      <c r="AX445" s="23" t="str">
        <f>_xlfn.CONCAT(TEXT(C445,"mmm"),"-",Data!$AE445)</f>
        <v>Mar-2023</v>
      </c>
    </row>
    <row r="446" spans="1:50" ht="17" thickTop="1" thickBot="1" x14ac:dyDescent="0.25">
      <c r="A446" s="28">
        <v>445</v>
      </c>
      <c r="B446" s="29">
        <f t="shared" si="50"/>
        <v>15</v>
      </c>
      <c r="C446" s="41">
        <v>44990</v>
      </c>
      <c r="D446" s="30">
        <f>SUM(Data!$I446:$M446)</f>
        <v>56</v>
      </c>
      <c r="E446" s="29">
        <v>13</v>
      </c>
      <c r="F446" s="29">
        <v>575</v>
      </c>
      <c r="G446" s="29">
        <v>164</v>
      </c>
      <c r="H446" s="29">
        <v>121</v>
      </c>
      <c r="I446" s="29">
        <v>21</v>
      </c>
      <c r="J446" s="29">
        <v>10</v>
      </c>
      <c r="K446" s="29">
        <v>12</v>
      </c>
      <c r="L446" s="29">
        <v>12</v>
      </c>
      <c r="M446" s="29">
        <v>1</v>
      </c>
      <c r="N446" s="29" t="s">
        <v>101</v>
      </c>
      <c r="O446" s="29" t="s">
        <v>93</v>
      </c>
      <c r="P446" s="29" t="s">
        <v>155</v>
      </c>
      <c r="Q446" s="29">
        <f t="shared" si="56"/>
        <v>2</v>
      </c>
      <c r="R446" s="29" t="str">
        <f t="shared" si="51"/>
        <v>3-2023</v>
      </c>
      <c r="S446" s="29" t="s">
        <v>117</v>
      </c>
      <c r="T446" s="29" t="str">
        <f t="shared" si="52"/>
        <v>Sunday</v>
      </c>
      <c r="U446" s="29">
        <f t="shared" si="53"/>
        <v>1</v>
      </c>
      <c r="V446" s="31">
        <f>IFERROR(Data!$I446/Data!$D446,"")</f>
        <v>0.375</v>
      </c>
      <c r="W446" s="31">
        <f>IFERROR(Data!$J446/Data!$D446,"")</f>
        <v>0.17857142857142858</v>
      </c>
      <c r="X446" s="31">
        <f>IFERROR(Data!$K446/Data!$D446,"")</f>
        <v>0.21428571428571427</v>
      </c>
      <c r="Y446" s="31">
        <f>IFERROR(Data!$L446/Data!$D446,"")</f>
        <v>0.21428571428571427</v>
      </c>
      <c r="Z446" s="31">
        <f>IFERROR(Data!$M446/Data!$D446,"")</f>
        <v>1.7857142857142856E-2</v>
      </c>
      <c r="AA446" s="32">
        <v>232.14</v>
      </c>
      <c r="AB446" s="32">
        <f t="shared" si="57"/>
        <v>15.475999999999999</v>
      </c>
      <c r="AC446" s="29">
        <f t="shared" si="54"/>
        <v>630.21428571428567</v>
      </c>
      <c r="AD446" s="29">
        <f t="shared" si="55"/>
        <v>14.285714285714286</v>
      </c>
      <c r="AE446" s="29">
        <f>YEAR(Data!$C446)</f>
        <v>2023</v>
      </c>
      <c r="AF446" s="29"/>
      <c r="AG446" s="29">
        <v>12</v>
      </c>
      <c r="AH446" s="33">
        <f>Data!$F446/Data!$D446</f>
        <v>10.267857142857142</v>
      </c>
      <c r="AI446" s="17" t="str">
        <f>RIGHT(Data!$O446,2)</f>
        <v>AM</v>
      </c>
      <c r="AJ446" s="29" t="str">
        <f>Data!$R446&amp;"-"&amp;WEEKNUM(Data!$C446,1)-WEEKNUM(DATE(YEAR(Data!$C446),MONTH(Data!$C446),1),1)+1</f>
        <v>3-2023-2</v>
      </c>
      <c r="AK446" s="29">
        <f>MONTH(Data!$C446)</f>
        <v>3</v>
      </c>
      <c r="AL446" s="29">
        <f>IFERROR(Data!$F446/Data!$E446,0)</f>
        <v>44.230769230769234</v>
      </c>
      <c r="AM446" s="29">
        <f>COUNTIF(Data!$N$2:$N$825,Data!$N446)</f>
        <v>191</v>
      </c>
      <c r="AN446" s="29" t="str">
        <f>VLOOKUP(Data!$N446,'Helpful Tables'!A:D,4,FALSE)</f>
        <v>Washington, DC</v>
      </c>
      <c r="AO446" s="29">
        <f>COUNTIF(AN:AN,Data!$AN446)/COUNTA(AN:AN)</f>
        <v>0.62424242424242427</v>
      </c>
      <c r="AP446" s="29">
        <v>38.949649000000001</v>
      </c>
      <c r="AQ446" s="29">
        <v>-77.080878999999996</v>
      </c>
      <c r="AR446" s="29">
        <f>COUNTIF(Data!$P$2:$P$825,Data!$P446)</f>
        <v>13</v>
      </c>
      <c r="AS446" s="29" cm="1">
        <f t="array" ref="AS446">_xlfn.IFS(Data!$E446&lt;12,((Data!$E446/Data!$D446)*60)*1,AND(Data!$E446&gt;=12,Data!$E446&lt;=15),((Data!$E446/Data!$D446)*60)*1.2,AND(Data!$E446&gt;=16,Data!$E446&lt;=19),((Data!$E446/Data!$D446)*60)*1.5,Data!$E446&gt;=20,((Data!$E446/Data!$D446)*60)*1.8)</f>
        <v>16.714285714285715</v>
      </c>
      <c r="AT446" s="29" cm="1">
        <f t="array" ref="AT446">_xlfn.IFS(Data!$F446&lt;600,((Data!$F446/Data!$D446)*60)*1,AND(Data!$F446&gt;=600,Data!$F446&lt;=625),((Data!$F446/Data!$D446)*60)*1.2,AND(Data!$F446&gt;=626,Data!$F446&lt;=650),((Data!$F446/Data!$D446)*60)*1.5,Data!$F446&gt;=651,((Data!$F446/Data!$D446)*60)*1.8)</f>
        <v>616.07142857142856</v>
      </c>
      <c r="AU446" s="29">
        <f>(Data!$I446*-1.2)+(Data!$J446*-1.1)+(Data!$K446*1.2)+(Data!$L446*1.3)+(Data!$M446*1.5)</f>
        <v>-4.7000000000000028</v>
      </c>
      <c r="AV446" s="29">
        <f>(Data!$AS446*0.4)+(Data!$AT446*0.4)+(Data!$AU446*0.2)</f>
        <v>252.17428571428573</v>
      </c>
      <c r="AW446" s="29">
        <f>PERCENTRANK(AV:AV,Data!$AV446)*100</f>
        <v>17.7</v>
      </c>
      <c r="AX446" s="29" t="str">
        <f>_xlfn.CONCAT(TEXT(C446,"mmm"),"-",Data!$AE446)</f>
        <v>Mar-2023</v>
      </c>
    </row>
    <row r="447" spans="1:50" ht="17" thickTop="1" thickBot="1" x14ac:dyDescent="0.25">
      <c r="A447" s="22">
        <v>446</v>
      </c>
      <c r="B447" s="23">
        <f t="shared" si="50"/>
        <v>15</v>
      </c>
      <c r="C447" s="41">
        <v>44991</v>
      </c>
      <c r="D447" s="24">
        <f>SUM(Data!$I447:$M447)</f>
        <v>59</v>
      </c>
      <c r="E447" s="23">
        <v>16</v>
      </c>
      <c r="F447" s="23">
        <v>666</v>
      </c>
      <c r="G447" s="23">
        <v>171</v>
      </c>
      <c r="H447" s="23">
        <v>128</v>
      </c>
      <c r="I447" s="23">
        <v>14</v>
      </c>
      <c r="J447" s="23">
        <v>8</v>
      </c>
      <c r="K447" s="23">
        <v>21</v>
      </c>
      <c r="L447" s="23">
        <v>13</v>
      </c>
      <c r="M447" s="23">
        <v>3</v>
      </c>
      <c r="N447" s="23" t="s">
        <v>91</v>
      </c>
      <c r="O447" s="23" t="s">
        <v>57</v>
      </c>
      <c r="P447" s="23" t="s">
        <v>98</v>
      </c>
      <c r="Q447" s="23">
        <f t="shared" si="56"/>
        <v>1</v>
      </c>
      <c r="R447" s="23" t="str">
        <f t="shared" si="51"/>
        <v>3-2023</v>
      </c>
      <c r="S447" s="23" t="s">
        <v>117</v>
      </c>
      <c r="T447" s="23" t="str">
        <f t="shared" si="52"/>
        <v>Monday</v>
      </c>
      <c r="U447" s="23">
        <f t="shared" si="53"/>
        <v>1</v>
      </c>
      <c r="V447" s="25">
        <f>IFERROR(Data!$I447/Data!$D447,"")</f>
        <v>0.23728813559322035</v>
      </c>
      <c r="W447" s="25">
        <f>IFERROR(Data!$J447/Data!$D447,"")</f>
        <v>0.13559322033898305</v>
      </c>
      <c r="X447" s="25">
        <f>IFERROR(Data!$K447/Data!$D447,"")</f>
        <v>0.3559322033898305</v>
      </c>
      <c r="Y447" s="25">
        <f>IFERROR(Data!$L447/Data!$D447,"")</f>
        <v>0.22033898305084745</v>
      </c>
      <c r="Z447" s="25">
        <f>IFERROR(Data!$M447/Data!$D447,"")</f>
        <v>5.0847457627118647E-2</v>
      </c>
      <c r="AA447" s="26">
        <v>232.14</v>
      </c>
      <c r="AB447" s="26">
        <f t="shared" si="57"/>
        <v>15.475999999999999</v>
      </c>
      <c r="AC447" s="23">
        <f t="shared" si="54"/>
        <v>630.21428571428567</v>
      </c>
      <c r="AD447" s="23">
        <f t="shared" si="55"/>
        <v>14.285714285714286</v>
      </c>
      <c r="AE447" s="23">
        <f>YEAR(Data!$C447)</f>
        <v>2023</v>
      </c>
      <c r="AF447" s="23"/>
      <c r="AG447" s="23">
        <v>12</v>
      </c>
      <c r="AH447" s="27">
        <f>Data!$F447/Data!$D447</f>
        <v>11.288135593220339</v>
      </c>
      <c r="AI447" s="17" t="str">
        <f>RIGHT(Data!$O447,2)</f>
        <v>PM</v>
      </c>
      <c r="AJ447" s="23" t="str">
        <f>Data!$R447&amp;"-"&amp;WEEKNUM(Data!$C447,1)-WEEKNUM(DATE(YEAR(Data!$C447),MONTH(Data!$C447),1),1)+1</f>
        <v>3-2023-2</v>
      </c>
      <c r="AK447" s="23">
        <f>MONTH(Data!$C447)</f>
        <v>3</v>
      </c>
      <c r="AL447" s="23">
        <f>IFERROR(Data!$F447/Data!$E447,0)</f>
        <v>41.625</v>
      </c>
      <c r="AM447" s="23">
        <f>COUNTIF(Data!$N$2:$N$825,Data!$N447)</f>
        <v>218</v>
      </c>
      <c r="AN447" s="23" t="str">
        <f>VLOOKUP(Data!$N447,'Helpful Tables'!A:D,4,FALSE)</f>
        <v>Washington, DC</v>
      </c>
      <c r="AO447" s="23">
        <f>COUNTIF(AN:AN,Data!$AN447)/COUNTA(AN:AN)</f>
        <v>0.62424242424242427</v>
      </c>
      <c r="AP447" s="23">
        <v>38.934710000000003</v>
      </c>
      <c r="AQ447" s="23">
        <v>-77.058222999999998</v>
      </c>
      <c r="AR447" s="23">
        <f>COUNTIF(Data!$P$2:$P$825,Data!$P447)</f>
        <v>28</v>
      </c>
      <c r="AS447" s="23" cm="1">
        <f t="array" ref="AS447">_xlfn.IFS(Data!$E447&lt;12,((Data!$E447/Data!$D447)*60)*1,AND(Data!$E447&gt;=12,Data!$E447&lt;=15),((Data!$E447/Data!$D447)*60)*1.2,AND(Data!$E447&gt;=16,Data!$E447&lt;=19),((Data!$E447/Data!$D447)*60)*1.5,Data!$E447&gt;=20,((Data!$E447/Data!$D447)*60)*1.8)</f>
        <v>24.406779661016948</v>
      </c>
      <c r="AT447" s="23" cm="1">
        <f t="array" ref="AT447">_xlfn.IFS(Data!$F447&lt;600,((Data!$F447/Data!$D447)*60)*1,AND(Data!$F447&gt;=600,Data!$F447&lt;=625),((Data!$F447/Data!$D447)*60)*1.2,AND(Data!$F447&gt;=626,Data!$F447&lt;=650),((Data!$F447/Data!$D447)*60)*1.5,Data!$F447&gt;=651,((Data!$F447/Data!$D447)*60)*1.8)</f>
        <v>1219.1186440677966</v>
      </c>
      <c r="AU447" s="23">
        <f>(Data!$I447*-1.2)+(Data!$J447*-1.1)+(Data!$K447*1.2)+(Data!$L447*1.3)+(Data!$M447*1.5)</f>
        <v>21</v>
      </c>
      <c r="AV447" s="23">
        <f>(Data!$AS447*0.4)+(Data!$AT447*0.4)+(Data!$AU447*0.2)</f>
        <v>501.61016949152543</v>
      </c>
      <c r="AW447" s="23">
        <f>PERCENTRANK(AV:AV,Data!$AV447)*100</f>
        <v>78.600000000000009</v>
      </c>
      <c r="AX447" s="23" t="str">
        <f>_xlfn.CONCAT(TEXT(C447,"mmm"),"-",Data!$AE447)</f>
        <v>Mar-2023</v>
      </c>
    </row>
    <row r="448" spans="1:50" ht="17" thickTop="1" thickBot="1" x14ac:dyDescent="0.25">
      <c r="A448" s="28">
        <v>447</v>
      </c>
      <c r="B448" s="29">
        <f t="shared" si="50"/>
        <v>15</v>
      </c>
      <c r="C448" s="41">
        <v>44993</v>
      </c>
      <c r="D448" s="30">
        <f>SUM(Data!$I448:$M448)</f>
        <v>57</v>
      </c>
      <c r="E448" s="29">
        <v>14</v>
      </c>
      <c r="F448" s="29">
        <v>648</v>
      </c>
      <c r="G448" s="29">
        <v>168</v>
      </c>
      <c r="H448" s="29">
        <v>128</v>
      </c>
      <c r="I448" s="29">
        <v>8</v>
      </c>
      <c r="J448" s="29">
        <v>14</v>
      </c>
      <c r="K448" s="29">
        <v>21</v>
      </c>
      <c r="L448" s="29">
        <v>12</v>
      </c>
      <c r="M448" s="29">
        <v>2</v>
      </c>
      <c r="N448" s="29" t="s">
        <v>101</v>
      </c>
      <c r="O448" s="29" t="s">
        <v>173</v>
      </c>
      <c r="P448" s="29" t="s">
        <v>147</v>
      </c>
      <c r="Q448" s="29">
        <f t="shared" si="56"/>
        <v>2</v>
      </c>
      <c r="R448" s="29" t="str">
        <f t="shared" si="51"/>
        <v>3-2023</v>
      </c>
      <c r="S448" s="29" t="s">
        <v>104</v>
      </c>
      <c r="T448" s="29" t="str">
        <f t="shared" si="52"/>
        <v>Wednesday</v>
      </c>
      <c r="U448" s="29">
        <f t="shared" si="53"/>
        <v>1</v>
      </c>
      <c r="V448" s="31">
        <f>IFERROR(Data!$I448/Data!$D448,"")</f>
        <v>0.14035087719298245</v>
      </c>
      <c r="W448" s="31">
        <f>IFERROR(Data!$J448/Data!$D448,"")</f>
        <v>0.24561403508771928</v>
      </c>
      <c r="X448" s="31">
        <f>IFERROR(Data!$K448/Data!$D448,"")</f>
        <v>0.36842105263157893</v>
      </c>
      <c r="Y448" s="31">
        <f>IFERROR(Data!$L448/Data!$D448,"")</f>
        <v>0.21052631578947367</v>
      </c>
      <c r="Z448" s="31">
        <f>IFERROR(Data!$M448/Data!$D448,"")</f>
        <v>3.5087719298245612E-2</v>
      </c>
      <c r="AA448" s="32">
        <v>232.14</v>
      </c>
      <c r="AB448" s="32">
        <f t="shared" si="57"/>
        <v>15.475999999999999</v>
      </c>
      <c r="AC448" s="29">
        <f t="shared" si="54"/>
        <v>630.21428571428567</v>
      </c>
      <c r="AD448" s="29">
        <f t="shared" si="55"/>
        <v>14.285714285714286</v>
      </c>
      <c r="AE448" s="29">
        <f>YEAR(Data!$C448)</f>
        <v>2023</v>
      </c>
      <c r="AF448" s="29"/>
      <c r="AG448" s="29">
        <v>12</v>
      </c>
      <c r="AH448" s="33">
        <f>Data!$F448/Data!$D448</f>
        <v>11.368421052631579</v>
      </c>
      <c r="AI448" s="17" t="str">
        <f>RIGHT(Data!$O448,2)</f>
        <v>PM</v>
      </c>
      <c r="AJ448" s="29" t="str">
        <f>Data!$R448&amp;"-"&amp;WEEKNUM(Data!$C448,1)-WEEKNUM(DATE(YEAR(Data!$C448),MONTH(Data!$C448),1),1)+1</f>
        <v>3-2023-2</v>
      </c>
      <c r="AK448" s="29">
        <f>MONTH(Data!$C448)</f>
        <v>3</v>
      </c>
      <c r="AL448" s="29">
        <f>IFERROR(Data!$F448/Data!$E448,0)</f>
        <v>46.285714285714285</v>
      </c>
      <c r="AM448" s="29">
        <f>COUNTIF(Data!$N$2:$N$825,Data!$N448)</f>
        <v>191</v>
      </c>
      <c r="AN448" s="29" t="str">
        <f>VLOOKUP(Data!$N448,'Helpful Tables'!A:D,4,FALSE)</f>
        <v>Washington, DC</v>
      </c>
      <c r="AO448" s="29">
        <f>COUNTIF(AN:AN,Data!$AN448)/COUNTA(AN:AN)</f>
        <v>0.62424242424242427</v>
      </c>
      <c r="AP448" s="29">
        <v>38.949649000000001</v>
      </c>
      <c r="AQ448" s="29">
        <v>-77.080878999999996</v>
      </c>
      <c r="AR448" s="29">
        <f>COUNTIF(Data!$P$2:$P$825,Data!$P448)</f>
        <v>17</v>
      </c>
      <c r="AS448" s="29" cm="1">
        <f t="array" ref="AS448">_xlfn.IFS(Data!$E448&lt;12,((Data!$E448/Data!$D448)*60)*1,AND(Data!$E448&gt;=12,Data!$E448&lt;=15),((Data!$E448/Data!$D448)*60)*1.2,AND(Data!$E448&gt;=16,Data!$E448&lt;=19),((Data!$E448/Data!$D448)*60)*1.5,Data!$E448&gt;=20,((Data!$E448/Data!$D448)*60)*1.8)</f>
        <v>17.684210526315788</v>
      </c>
      <c r="AT448" s="29" cm="1">
        <f t="array" ref="AT448">_xlfn.IFS(Data!$F448&lt;600,((Data!$F448/Data!$D448)*60)*1,AND(Data!$F448&gt;=600,Data!$F448&lt;=625),((Data!$F448/Data!$D448)*60)*1.2,AND(Data!$F448&gt;=626,Data!$F448&lt;=650),((Data!$F448/Data!$D448)*60)*1.5,Data!$F448&gt;=651,((Data!$F448/Data!$D448)*60)*1.8)</f>
        <v>1023.1578947368421</v>
      </c>
      <c r="AU448" s="29">
        <f>(Data!$I448*-1.2)+(Data!$J448*-1.1)+(Data!$K448*1.2)+(Data!$L448*1.3)+(Data!$M448*1.5)</f>
        <v>18.8</v>
      </c>
      <c r="AV448" s="29">
        <f>(Data!$AS448*0.4)+(Data!$AT448*0.4)+(Data!$AU448*0.2)</f>
        <v>420.09684210526319</v>
      </c>
      <c r="AW448" s="29">
        <f>PERCENTRANK(AV:AV,Data!$AV448)*100</f>
        <v>61.1</v>
      </c>
      <c r="AX448" s="29" t="str">
        <f>_xlfn.CONCAT(TEXT(C448,"mmm"),"-",Data!$AE448)</f>
        <v>Mar-2023</v>
      </c>
    </row>
    <row r="449" spans="1:50" ht="17" thickTop="1" thickBot="1" x14ac:dyDescent="0.25">
      <c r="A449" s="22">
        <v>448</v>
      </c>
      <c r="B449" s="23">
        <f t="shared" si="50"/>
        <v>15</v>
      </c>
      <c r="C449" s="41">
        <v>44995</v>
      </c>
      <c r="D449" s="24">
        <f>SUM(Data!$I449:$M449)</f>
        <v>57</v>
      </c>
      <c r="E449" s="23">
        <v>13</v>
      </c>
      <c r="F449" s="23">
        <v>606</v>
      </c>
      <c r="G449" s="23">
        <v>160</v>
      </c>
      <c r="H449" s="23">
        <v>124</v>
      </c>
      <c r="I449" s="23">
        <v>14</v>
      </c>
      <c r="J449" s="23">
        <v>15</v>
      </c>
      <c r="K449" s="23">
        <v>15</v>
      </c>
      <c r="L449" s="23">
        <v>13</v>
      </c>
      <c r="M449" s="23">
        <v>0</v>
      </c>
      <c r="N449" s="23" t="s">
        <v>91</v>
      </c>
      <c r="O449" s="23" t="s">
        <v>174</v>
      </c>
      <c r="P449" s="23" t="s">
        <v>168</v>
      </c>
      <c r="Q449" s="23">
        <f t="shared" si="56"/>
        <v>2</v>
      </c>
      <c r="R449" s="23" t="str">
        <f t="shared" si="51"/>
        <v>3-2023</v>
      </c>
      <c r="S449" s="23" t="s">
        <v>104</v>
      </c>
      <c r="T449" s="23" t="str">
        <f t="shared" si="52"/>
        <v>Friday</v>
      </c>
      <c r="U449" s="23">
        <f t="shared" si="53"/>
        <v>1</v>
      </c>
      <c r="V449" s="25">
        <f>IFERROR(Data!$I449/Data!$D449,"")</f>
        <v>0.24561403508771928</v>
      </c>
      <c r="W449" s="25">
        <f>IFERROR(Data!$J449/Data!$D449,"")</f>
        <v>0.26315789473684209</v>
      </c>
      <c r="X449" s="25">
        <f>IFERROR(Data!$K449/Data!$D449,"")</f>
        <v>0.26315789473684209</v>
      </c>
      <c r="Y449" s="25">
        <f>IFERROR(Data!$L449/Data!$D449,"")</f>
        <v>0.22807017543859648</v>
      </c>
      <c r="Z449" s="25">
        <f>IFERROR(Data!$M449/Data!$D449,"")</f>
        <v>0</v>
      </c>
      <c r="AA449" s="26">
        <v>232.14</v>
      </c>
      <c r="AB449" s="26">
        <f t="shared" si="57"/>
        <v>15.475999999999999</v>
      </c>
      <c r="AC449" s="23">
        <f t="shared" si="54"/>
        <v>630.21428571428567</v>
      </c>
      <c r="AD449" s="23">
        <f t="shared" si="55"/>
        <v>14.285714285714286</v>
      </c>
      <c r="AE449" s="23">
        <f>YEAR(Data!$C449)</f>
        <v>2023</v>
      </c>
      <c r="AF449" s="23"/>
      <c r="AG449" s="23">
        <v>12</v>
      </c>
      <c r="AH449" s="27">
        <f>Data!$F449/Data!$D449</f>
        <v>10.631578947368421</v>
      </c>
      <c r="AI449" s="17" t="str">
        <f>RIGHT(Data!$O449,2)</f>
        <v>AM</v>
      </c>
      <c r="AJ449" s="23" t="str">
        <f>Data!$R449&amp;"-"&amp;WEEKNUM(Data!$C449,1)-WEEKNUM(DATE(YEAR(Data!$C449),MONTH(Data!$C449),1),1)+1</f>
        <v>3-2023-2</v>
      </c>
      <c r="AK449" s="23">
        <f>MONTH(Data!$C449)</f>
        <v>3</v>
      </c>
      <c r="AL449" s="23">
        <f>IFERROR(Data!$F449/Data!$E449,0)</f>
        <v>46.615384615384613</v>
      </c>
      <c r="AM449" s="23">
        <f>COUNTIF(Data!$N$2:$N$825,Data!$N449)</f>
        <v>218</v>
      </c>
      <c r="AN449" s="23" t="str">
        <f>VLOOKUP(Data!$N449,'Helpful Tables'!A:D,4,FALSE)</f>
        <v>Washington, DC</v>
      </c>
      <c r="AO449" s="23">
        <f>COUNTIF(AN:AN,Data!$AN449)/COUNTA(AN:AN)</f>
        <v>0.62424242424242427</v>
      </c>
      <c r="AP449" s="23">
        <v>38.934710000000003</v>
      </c>
      <c r="AQ449" s="23">
        <v>-77.058222999999998</v>
      </c>
      <c r="AR449" s="23">
        <f>COUNTIF(Data!$P$2:$P$825,Data!$P449)</f>
        <v>12</v>
      </c>
      <c r="AS449" s="23" cm="1">
        <f t="array" ref="AS449">_xlfn.IFS(Data!$E449&lt;12,((Data!$E449/Data!$D449)*60)*1,AND(Data!$E449&gt;=12,Data!$E449&lt;=15),((Data!$E449/Data!$D449)*60)*1.2,AND(Data!$E449&gt;=16,Data!$E449&lt;=19),((Data!$E449/Data!$D449)*60)*1.5,Data!$E449&gt;=20,((Data!$E449/Data!$D449)*60)*1.8)</f>
        <v>16.421052631578945</v>
      </c>
      <c r="AT449" s="23" cm="1">
        <f t="array" ref="AT449">_xlfn.IFS(Data!$F449&lt;600,((Data!$F449/Data!$D449)*60)*1,AND(Data!$F449&gt;=600,Data!$F449&lt;=625),((Data!$F449/Data!$D449)*60)*1.2,AND(Data!$F449&gt;=626,Data!$F449&lt;=650),((Data!$F449/Data!$D449)*60)*1.5,Data!$F449&gt;=651,((Data!$F449/Data!$D449)*60)*1.8)</f>
        <v>765.47368421052636</v>
      </c>
      <c r="AU449" s="23">
        <f>(Data!$I449*-1.2)+(Data!$J449*-1.1)+(Data!$K449*1.2)+(Data!$L449*1.3)+(Data!$M449*1.5)</f>
        <v>1.600000000000005</v>
      </c>
      <c r="AV449" s="23">
        <f>(Data!$AS449*0.4)+(Data!$AT449*0.4)+(Data!$AU449*0.2)</f>
        <v>313.0778947368421</v>
      </c>
      <c r="AW449" s="23">
        <f>PERCENTRANK(AV:AV,Data!$AV449)*100</f>
        <v>32.700000000000003</v>
      </c>
      <c r="AX449" s="23" t="str">
        <f>_xlfn.CONCAT(TEXT(C449,"mmm"),"-",Data!$AE449)</f>
        <v>Mar-2023</v>
      </c>
    </row>
    <row r="450" spans="1:50" ht="17" thickTop="1" thickBot="1" x14ac:dyDescent="0.25">
      <c r="A450" s="28">
        <v>449</v>
      </c>
      <c r="B450" s="29">
        <f t="shared" ref="B450:B513" si="58">COUNTIF(R:R,R450)</f>
        <v>15</v>
      </c>
      <c r="C450" s="41">
        <v>44997</v>
      </c>
      <c r="D450" s="30">
        <f>SUM(Data!$I450:$M450)</f>
        <v>58</v>
      </c>
      <c r="E450" s="29">
        <v>11</v>
      </c>
      <c r="F450" s="29">
        <v>612</v>
      </c>
      <c r="G450" s="29">
        <v>166</v>
      </c>
      <c r="H450" s="29">
        <v>124</v>
      </c>
      <c r="I450" s="29">
        <v>13</v>
      </c>
      <c r="J450" s="29">
        <v>16</v>
      </c>
      <c r="K450" s="29">
        <v>18</v>
      </c>
      <c r="L450" s="29">
        <v>10</v>
      </c>
      <c r="M450" s="29">
        <v>1</v>
      </c>
      <c r="N450" s="29" t="s">
        <v>91</v>
      </c>
      <c r="O450" s="29" t="s">
        <v>79</v>
      </c>
      <c r="P450" s="29" t="s">
        <v>100</v>
      </c>
      <c r="Q450" s="29">
        <f t="shared" si="56"/>
        <v>2</v>
      </c>
      <c r="R450" s="29" t="str">
        <f t="shared" ref="R450:R513" si="59">MONTH(C450)&amp;"-"&amp;YEAR(C450)</f>
        <v>3-2023</v>
      </c>
      <c r="S450" s="29" t="s">
        <v>117</v>
      </c>
      <c r="T450" s="29" t="str">
        <f t="shared" ref="T450:T513" si="60">IF(WEEKDAY(C450)=1,"Sunday",IF(WEEKDAY(C450)=2,"Monday",IF(WEEKDAY(C450)=3,"Tuesday",IF(WEEKDAY(C450)=4,"Wednesday",IF(WEEKDAY(C450)=5,"Thursday",IF(WEEKDAY(C450)=6,"Friday","Saturday"))))))</f>
        <v>Sunday</v>
      </c>
      <c r="U450" s="29">
        <f t="shared" ref="U450:U513" si="61">IF(E450&gt;=12,1,0)</f>
        <v>0</v>
      </c>
      <c r="V450" s="31">
        <f>IFERROR(Data!$I450/Data!$D450,"")</f>
        <v>0.22413793103448276</v>
      </c>
      <c r="W450" s="31">
        <f>IFERROR(Data!$J450/Data!$D450,"")</f>
        <v>0.27586206896551724</v>
      </c>
      <c r="X450" s="31">
        <f>IFERROR(Data!$K450/Data!$D450,"")</f>
        <v>0.31034482758620691</v>
      </c>
      <c r="Y450" s="31">
        <f>IFERROR(Data!$L450/Data!$D450,"")</f>
        <v>0.17241379310344829</v>
      </c>
      <c r="Z450" s="31">
        <f>IFERROR(Data!$M450/Data!$D450,"")</f>
        <v>1.7241379310344827E-2</v>
      </c>
      <c r="AA450" s="32">
        <v>232.14</v>
      </c>
      <c r="AB450" s="32">
        <f t="shared" si="57"/>
        <v>15.475999999999999</v>
      </c>
      <c r="AC450" s="29">
        <f t="shared" ref="AC450:AC513" si="62">AVERAGEIF(R:R,R450,F:F)</f>
        <v>630.21428571428567</v>
      </c>
      <c r="AD450" s="29">
        <f t="shared" ref="AD450:AD513" si="63">AVERAGEIF(R:R,R450,E:E)</f>
        <v>14.285714285714286</v>
      </c>
      <c r="AE450" s="29">
        <f>YEAR(Data!$C450)</f>
        <v>2023</v>
      </c>
      <c r="AF450" s="29"/>
      <c r="AG450" s="29">
        <v>12</v>
      </c>
      <c r="AH450" s="33">
        <f>Data!$F450/Data!$D450</f>
        <v>10.551724137931034</v>
      </c>
      <c r="AI450" s="17" t="str">
        <f>RIGHT(Data!$O450,2)</f>
        <v>AM</v>
      </c>
      <c r="AJ450" s="29" t="str">
        <f>Data!$R450&amp;"-"&amp;WEEKNUM(Data!$C450,1)-WEEKNUM(DATE(YEAR(Data!$C450),MONTH(Data!$C450),1),1)+1</f>
        <v>3-2023-3</v>
      </c>
      <c r="AK450" s="29">
        <f>MONTH(Data!$C450)</f>
        <v>3</v>
      </c>
      <c r="AL450" s="29">
        <f>IFERROR(Data!$F450/Data!$E450,0)</f>
        <v>55.636363636363633</v>
      </c>
      <c r="AM450" s="29">
        <f>COUNTIF(Data!$N$2:$N$825,Data!$N450)</f>
        <v>218</v>
      </c>
      <c r="AN450" s="29" t="str">
        <f>VLOOKUP(Data!$N450,'Helpful Tables'!A:D,4,FALSE)</f>
        <v>Washington, DC</v>
      </c>
      <c r="AO450" s="29">
        <f>COUNTIF(AN:AN,Data!$AN450)/COUNTA(AN:AN)</f>
        <v>0.62424242424242427</v>
      </c>
      <c r="AP450" s="29">
        <v>38.934710000000003</v>
      </c>
      <c r="AQ450" s="29">
        <v>-77.058222999999998</v>
      </c>
      <c r="AR450" s="29">
        <f>COUNTIF(Data!$P$2:$P$825,Data!$P450)</f>
        <v>35</v>
      </c>
      <c r="AS450" s="29" cm="1">
        <f t="array" ref="AS450">_xlfn.IFS(Data!$E450&lt;12,((Data!$E450/Data!$D450)*60)*1,AND(Data!$E450&gt;=12,Data!$E450&lt;=15),((Data!$E450/Data!$D450)*60)*1.2,AND(Data!$E450&gt;=16,Data!$E450&lt;=19),((Data!$E450/Data!$D450)*60)*1.5,Data!$E450&gt;=20,((Data!$E450/Data!$D450)*60)*1.8)</f>
        <v>11.379310344827585</v>
      </c>
      <c r="AT450" s="29" cm="1">
        <f t="array" ref="AT450">_xlfn.IFS(Data!$F450&lt;600,((Data!$F450/Data!$D450)*60)*1,AND(Data!$F450&gt;=600,Data!$F450&lt;=625),((Data!$F450/Data!$D450)*60)*1.2,AND(Data!$F450&gt;=626,Data!$F450&lt;=650),((Data!$F450/Data!$D450)*60)*1.5,Data!$F450&gt;=651,((Data!$F450/Data!$D450)*60)*1.8)</f>
        <v>759.72413793103431</v>
      </c>
      <c r="AU450" s="29">
        <f>(Data!$I450*-1.2)+(Data!$J450*-1.1)+(Data!$K450*1.2)+(Data!$L450*1.3)+(Data!$M450*1.5)</f>
        <v>2.899999999999995</v>
      </c>
      <c r="AV450" s="29">
        <f>(Data!$AS450*0.4)+(Data!$AT450*0.4)+(Data!$AU450*0.2)</f>
        <v>309.02137931034474</v>
      </c>
      <c r="AW450" s="29">
        <f>PERCENTRANK(AV:AV,Data!$AV450)*100</f>
        <v>30.599999999999998</v>
      </c>
      <c r="AX450" s="29" t="str">
        <f>_xlfn.CONCAT(TEXT(C450,"mmm"),"-",Data!$AE450)</f>
        <v>Mar-2023</v>
      </c>
    </row>
    <row r="451" spans="1:50" ht="17" thickTop="1" thickBot="1" x14ac:dyDescent="0.25">
      <c r="A451" s="22">
        <v>450</v>
      </c>
      <c r="B451" s="23">
        <f t="shared" si="58"/>
        <v>15</v>
      </c>
      <c r="C451" s="41">
        <v>44998</v>
      </c>
      <c r="D451" s="24">
        <f>SUM(Data!$I451:$M451)</f>
        <v>59</v>
      </c>
      <c r="E451" s="23">
        <v>17</v>
      </c>
      <c r="F451" s="23">
        <v>658</v>
      </c>
      <c r="G451" s="23">
        <v>165</v>
      </c>
      <c r="H451" s="23">
        <v>127</v>
      </c>
      <c r="I451" s="23">
        <v>10</v>
      </c>
      <c r="J451" s="23">
        <v>18</v>
      </c>
      <c r="K451" s="23">
        <v>14</v>
      </c>
      <c r="L451" s="23">
        <v>14</v>
      </c>
      <c r="M451" s="23">
        <v>3</v>
      </c>
      <c r="N451" s="23" t="s">
        <v>101</v>
      </c>
      <c r="O451" s="23" t="s">
        <v>173</v>
      </c>
      <c r="P451" s="23" t="s">
        <v>109</v>
      </c>
      <c r="Q451" s="23">
        <f t="shared" ref="Q451:Q514" si="64">C451-C450</f>
        <v>1</v>
      </c>
      <c r="R451" s="23" t="str">
        <f t="shared" si="59"/>
        <v>3-2023</v>
      </c>
      <c r="S451" s="23" t="s">
        <v>104</v>
      </c>
      <c r="T451" s="23" t="str">
        <f t="shared" si="60"/>
        <v>Monday</v>
      </c>
      <c r="U451" s="23">
        <f t="shared" si="61"/>
        <v>1</v>
      </c>
      <c r="V451" s="25">
        <f>IFERROR(Data!$I451/Data!$D451,"")</f>
        <v>0.16949152542372881</v>
      </c>
      <c r="W451" s="25">
        <f>IFERROR(Data!$J451/Data!$D451,"")</f>
        <v>0.30508474576271188</v>
      </c>
      <c r="X451" s="25">
        <f>IFERROR(Data!$K451/Data!$D451,"")</f>
        <v>0.23728813559322035</v>
      </c>
      <c r="Y451" s="25">
        <f>IFERROR(Data!$L451/Data!$D451,"")</f>
        <v>0.23728813559322035</v>
      </c>
      <c r="Z451" s="25">
        <f>IFERROR(Data!$M451/Data!$D451,"")</f>
        <v>5.0847457627118647E-2</v>
      </c>
      <c r="AA451" s="26">
        <v>232.14</v>
      </c>
      <c r="AB451" s="26">
        <f t="shared" si="57"/>
        <v>15.475999999999999</v>
      </c>
      <c r="AC451" s="23">
        <f t="shared" si="62"/>
        <v>630.21428571428567</v>
      </c>
      <c r="AD451" s="23">
        <f t="shared" si="63"/>
        <v>14.285714285714286</v>
      </c>
      <c r="AE451" s="23">
        <f>YEAR(Data!$C451)</f>
        <v>2023</v>
      </c>
      <c r="AF451" s="23"/>
      <c r="AG451" s="23">
        <v>12</v>
      </c>
      <c r="AH451" s="27">
        <f>Data!$F451/Data!$D451</f>
        <v>11.152542372881356</v>
      </c>
      <c r="AI451" s="17" t="str">
        <f>RIGHT(Data!$O451,2)</f>
        <v>PM</v>
      </c>
      <c r="AJ451" s="23" t="str">
        <f>Data!$R451&amp;"-"&amp;WEEKNUM(Data!$C451,1)-WEEKNUM(DATE(YEAR(Data!$C451),MONTH(Data!$C451),1),1)+1</f>
        <v>3-2023-3</v>
      </c>
      <c r="AK451" s="23">
        <f>MONTH(Data!$C451)</f>
        <v>3</v>
      </c>
      <c r="AL451" s="23">
        <f>IFERROR(Data!$F451/Data!$E451,0)</f>
        <v>38.705882352941174</v>
      </c>
      <c r="AM451" s="23">
        <f>COUNTIF(Data!$N$2:$N$825,Data!$N451)</f>
        <v>191</v>
      </c>
      <c r="AN451" s="23" t="str">
        <f>VLOOKUP(Data!$N451,'Helpful Tables'!A:D,4,FALSE)</f>
        <v>Washington, DC</v>
      </c>
      <c r="AO451" s="23">
        <f>COUNTIF(AN:AN,Data!$AN451)/COUNTA(AN:AN)</f>
        <v>0.62424242424242427</v>
      </c>
      <c r="AP451" s="23">
        <v>38.949649000000001</v>
      </c>
      <c r="AQ451" s="23">
        <v>-77.080878999999996</v>
      </c>
      <c r="AR451" s="23">
        <f>COUNTIF(Data!$P$2:$P$825,Data!$P451)</f>
        <v>66</v>
      </c>
      <c r="AS451" s="23" cm="1">
        <f t="array" ref="AS451">_xlfn.IFS(Data!$E451&lt;12,((Data!$E451/Data!$D451)*60)*1,AND(Data!$E451&gt;=12,Data!$E451&lt;=15),((Data!$E451/Data!$D451)*60)*1.2,AND(Data!$E451&gt;=16,Data!$E451&lt;=19),((Data!$E451/Data!$D451)*60)*1.5,Data!$E451&gt;=20,((Data!$E451/Data!$D451)*60)*1.8)</f>
        <v>25.932203389830509</v>
      </c>
      <c r="AT451" s="23" cm="1">
        <f t="array" ref="AT451">_xlfn.IFS(Data!$F451&lt;600,((Data!$F451/Data!$D451)*60)*1,AND(Data!$F451&gt;=600,Data!$F451&lt;=625),((Data!$F451/Data!$D451)*60)*1.2,AND(Data!$F451&gt;=626,Data!$F451&lt;=650),((Data!$F451/Data!$D451)*60)*1.5,Data!$F451&gt;=651,((Data!$F451/Data!$D451)*60)*1.8)</f>
        <v>1204.4745762711866</v>
      </c>
      <c r="AU451" s="23">
        <f>(Data!$I451*-1.2)+(Data!$J451*-1.1)+(Data!$K451*1.2)+(Data!$L451*1.3)+(Data!$M451*1.5)</f>
        <v>7.6999999999999993</v>
      </c>
      <c r="AV451" s="23">
        <f>(Data!$AS451*0.4)+(Data!$AT451*0.4)+(Data!$AU451*0.2)</f>
        <v>493.70271186440687</v>
      </c>
      <c r="AW451" s="23">
        <f>PERCENTRANK(AV:AV,Data!$AV451)*100</f>
        <v>73.8</v>
      </c>
      <c r="AX451" s="23" t="str">
        <f>_xlfn.CONCAT(TEXT(C451,"mmm"),"-",Data!$AE451)</f>
        <v>Mar-2023</v>
      </c>
    </row>
    <row r="452" spans="1:50" ht="17" thickTop="1" thickBot="1" x14ac:dyDescent="0.25">
      <c r="A452" s="28">
        <v>451</v>
      </c>
      <c r="B452" s="29">
        <f t="shared" si="58"/>
        <v>15</v>
      </c>
      <c r="C452" s="41">
        <v>45002</v>
      </c>
      <c r="D452" s="30">
        <f>SUM(Data!$I452:$M452)</f>
        <v>54</v>
      </c>
      <c r="E452" s="29">
        <v>13</v>
      </c>
      <c r="F452" s="29">
        <v>614</v>
      </c>
      <c r="G452" s="29">
        <v>165</v>
      </c>
      <c r="H452" s="29">
        <v>129</v>
      </c>
      <c r="I452" s="29">
        <v>6</v>
      </c>
      <c r="J452" s="29">
        <v>18</v>
      </c>
      <c r="K452" s="29">
        <v>17</v>
      </c>
      <c r="L452" s="29">
        <v>12</v>
      </c>
      <c r="M452" s="29">
        <v>1</v>
      </c>
      <c r="N452" s="29" t="s">
        <v>160</v>
      </c>
      <c r="O452" s="29" t="s">
        <v>45</v>
      </c>
      <c r="P452" s="29" t="s">
        <v>175</v>
      </c>
      <c r="Q452" s="29">
        <f t="shared" si="64"/>
        <v>4</v>
      </c>
      <c r="R452" s="29" t="str">
        <f t="shared" si="59"/>
        <v>3-2023</v>
      </c>
      <c r="S452" s="29" t="s">
        <v>104</v>
      </c>
      <c r="T452" s="29" t="str">
        <f t="shared" si="60"/>
        <v>Friday</v>
      </c>
      <c r="U452" s="29">
        <f t="shared" si="61"/>
        <v>1</v>
      </c>
      <c r="V452" s="31">
        <f>IFERROR(Data!$I452/Data!$D452,"")</f>
        <v>0.1111111111111111</v>
      </c>
      <c r="W452" s="31">
        <f>IFERROR(Data!$J452/Data!$D452,"")</f>
        <v>0.33333333333333331</v>
      </c>
      <c r="X452" s="31">
        <f>IFERROR(Data!$K452/Data!$D452,"")</f>
        <v>0.31481481481481483</v>
      </c>
      <c r="Y452" s="31">
        <f>IFERROR(Data!$L452/Data!$D452,"")</f>
        <v>0.22222222222222221</v>
      </c>
      <c r="Z452" s="31">
        <f>IFERROR(Data!$M452/Data!$D452,"")</f>
        <v>1.8518518518518517E-2</v>
      </c>
      <c r="AA452" s="32">
        <v>232.14</v>
      </c>
      <c r="AB452" s="32">
        <f t="shared" si="57"/>
        <v>15.475999999999999</v>
      </c>
      <c r="AC452" s="29">
        <f t="shared" si="62"/>
        <v>630.21428571428567</v>
      </c>
      <c r="AD452" s="29">
        <f t="shared" si="63"/>
        <v>14.285714285714286</v>
      </c>
      <c r="AE452" s="29">
        <f>YEAR(Data!$C452)</f>
        <v>2023</v>
      </c>
      <c r="AF452" s="29"/>
      <c r="AG452" s="29">
        <v>12</v>
      </c>
      <c r="AH452" s="33">
        <f>Data!$F452/Data!$D452</f>
        <v>11.37037037037037</v>
      </c>
      <c r="AI452" s="17" t="str">
        <f>RIGHT(Data!$O452,2)</f>
        <v>AM</v>
      </c>
      <c r="AJ452" s="29" t="str">
        <f>Data!$R452&amp;"-"&amp;WEEKNUM(Data!$C452,1)-WEEKNUM(DATE(YEAR(Data!$C452),MONTH(Data!$C452),1),1)+1</f>
        <v>3-2023-3</v>
      </c>
      <c r="AK452" s="29">
        <f>MONTH(Data!$C452)</f>
        <v>3</v>
      </c>
      <c r="AL452" s="29">
        <f>IFERROR(Data!$F452/Data!$E452,0)</f>
        <v>47.230769230769234</v>
      </c>
      <c r="AM452" s="29">
        <f>COUNTIF(Data!$N$2:$N$825,Data!$N452)</f>
        <v>9</v>
      </c>
      <c r="AN452" s="29" t="str">
        <f>VLOOKUP(Data!$N452,'Helpful Tables'!A:D,4,FALSE)</f>
        <v>Virginia</v>
      </c>
      <c r="AO452" s="29">
        <f>COUNTIF(AN:AN,Data!$AN452)/COUNTA(AN:AN)</f>
        <v>6.424242424242424E-2</v>
      </c>
      <c r="AP452" s="29">
        <v>38.880467000000003</v>
      </c>
      <c r="AQ452" s="29">
        <v>-77.111583999999993</v>
      </c>
      <c r="AR452" s="29">
        <f>COUNTIF(Data!$P$2:$P$825,Data!$P452)</f>
        <v>1</v>
      </c>
      <c r="AS452" s="29" cm="1">
        <f t="array" ref="AS452">_xlfn.IFS(Data!$E452&lt;12,((Data!$E452/Data!$D452)*60)*1,AND(Data!$E452&gt;=12,Data!$E452&lt;=15),((Data!$E452/Data!$D452)*60)*1.2,AND(Data!$E452&gt;=16,Data!$E452&lt;=19),((Data!$E452/Data!$D452)*60)*1.5,Data!$E452&gt;=20,((Data!$E452/Data!$D452)*60)*1.8)</f>
        <v>17.333333333333332</v>
      </c>
      <c r="AT452" s="29" cm="1">
        <f t="array" ref="AT452">_xlfn.IFS(Data!$F452&lt;600,((Data!$F452/Data!$D452)*60)*1,AND(Data!$F452&gt;=600,Data!$F452&lt;=625),((Data!$F452/Data!$D452)*60)*1.2,AND(Data!$F452&gt;=626,Data!$F452&lt;=650),((Data!$F452/Data!$D452)*60)*1.5,Data!$F452&gt;=651,((Data!$F452/Data!$D452)*60)*1.8)</f>
        <v>818.66666666666663</v>
      </c>
      <c r="AU452" s="29">
        <f>(Data!$I452*-1.2)+(Data!$J452*-1.1)+(Data!$K452*1.2)+(Data!$L452*1.3)+(Data!$M452*1.5)</f>
        <v>10.5</v>
      </c>
      <c r="AV452" s="29">
        <f>(Data!$AS452*0.4)+(Data!$AT452*0.4)+(Data!$AU452*0.2)</f>
        <v>336.50000000000006</v>
      </c>
      <c r="AW452" s="29">
        <f>PERCENTRANK(AV:AV,Data!$AV452)*100</f>
        <v>43.2</v>
      </c>
      <c r="AX452" s="29" t="str">
        <f>_xlfn.CONCAT(TEXT(C452,"mmm"),"-",Data!$AE452)</f>
        <v>Mar-2023</v>
      </c>
    </row>
    <row r="453" spans="1:50" ht="17" thickTop="1" thickBot="1" x14ac:dyDescent="0.25">
      <c r="A453" s="22">
        <v>452</v>
      </c>
      <c r="B453" s="23">
        <f t="shared" si="58"/>
        <v>15</v>
      </c>
      <c r="C453" s="41">
        <v>45004</v>
      </c>
      <c r="D453" s="24">
        <f>SUM(Data!$I453:$M453)</f>
        <v>64</v>
      </c>
      <c r="E453" s="23">
        <v>15</v>
      </c>
      <c r="F453" s="23">
        <v>672</v>
      </c>
      <c r="G453" s="23">
        <v>165</v>
      </c>
      <c r="H453" s="23">
        <v>124</v>
      </c>
      <c r="I453" s="23">
        <v>20</v>
      </c>
      <c r="J453" s="23">
        <v>13</v>
      </c>
      <c r="K453" s="23">
        <v>16</v>
      </c>
      <c r="L453" s="23">
        <v>14</v>
      </c>
      <c r="M453" s="23">
        <v>1</v>
      </c>
      <c r="N453" s="23" t="s">
        <v>121</v>
      </c>
      <c r="O453" s="23" t="s">
        <v>81</v>
      </c>
      <c r="P453" s="23" t="s">
        <v>176</v>
      </c>
      <c r="Q453" s="23">
        <f t="shared" si="64"/>
        <v>2</v>
      </c>
      <c r="R453" s="23" t="str">
        <f t="shared" si="59"/>
        <v>3-2023</v>
      </c>
      <c r="S453" s="23" t="s">
        <v>117</v>
      </c>
      <c r="T453" s="23" t="str">
        <f t="shared" si="60"/>
        <v>Sunday</v>
      </c>
      <c r="U453" s="23">
        <f t="shared" si="61"/>
        <v>1</v>
      </c>
      <c r="V453" s="25">
        <f>IFERROR(Data!$I453/Data!$D453,"")</f>
        <v>0.3125</v>
      </c>
      <c r="W453" s="25">
        <f>IFERROR(Data!$J453/Data!$D453,"")</f>
        <v>0.203125</v>
      </c>
      <c r="X453" s="25">
        <f>IFERROR(Data!$K453/Data!$D453,"")</f>
        <v>0.25</v>
      </c>
      <c r="Y453" s="25">
        <f>IFERROR(Data!$L453/Data!$D453,"")</f>
        <v>0.21875</v>
      </c>
      <c r="Z453" s="25">
        <f>IFERROR(Data!$M453/Data!$D453,"")</f>
        <v>1.5625E-2</v>
      </c>
      <c r="AA453" s="26">
        <v>232.14</v>
      </c>
      <c r="AB453" s="26">
        <f t="shared" si="57"/>
        <v>15.475999999999999</v>
      </c>
      <c r="AC453" s="23">
        <f t="shared" si="62"/>
        <v>630.21428571428567</v>
      </c>
      <c r="AD453" s="23">
        <f t="shared" si="63"/>
        <v>14.285714285714286</v>
      </c>
      <c r="AE453" s="23">
        <f>YEAR(Data!$C453)</f>
        <v>2023</v>
      </c>
      <c r="AF453" s="23"/>
      <c r="AG453" s="23">
        <v>12</v>
      </c>
      <c r="AH453" s="27">
        <f>Data!$F453/Data!$D453</f>
        <v>10.5</v>
      </c>
      <c r="AI453" s="17" t="str">
        <f>RIGHT(Data!$O453,2)</f>
        <v>AM</v>
      </c>
      <c r="AJ453" s="23" t="str">
        <f>Data!$R453&amp;"-"&amp;WEEKNUM(Data!$C453,1)-WEEKNUM(DATE(YEAR(Data!$C453),MONTH(Data!$C453),1),1)+1</f>
        <v>3-2023-4</v>
      </c>
      <c r="AK453" s="23">
        <f>MONTH(Data!$C453)</f>
        <v>3</v>
      </c>
      <c r="AL453" s="23">
        <f>IFERROR(Data!$F453/Data!$E453,0)</f>
        <v>44.8</v>
      </c>
      <c r="AM453" s="23">
        <f>COUNTIF(Data!$N$2:$N$825,Data!$N453)</f>
        <v>2</v>
      </c>
      <c r="AN453" s="23" t="str">
        <f>VLOOKUP(Data!$N453,'Helpful Tables'!A:D,4,FALSE)</f>
        <v>Connecticut</v>
      </c>
      <c r="AO453" s="23">
        <f>COUNTIF(AN:AN,Data!$AN453)/COUNTA(AN:AN)</f>
        <v>2.4242424242424242E-3</v>
      </c>
      <c r="AP453" s="23">
        <v>41.370860999999998</v>
      </c>
      <c r="AQ453" s="23">
        <v>-72.915813999999997</v>
      </c>
      <c r="AR453" s="23">
        <f>COUNTIF(Data!$P$2:$P$825,Data!$P453)</f>
        <v>1</v>
      </c>
      <c r="AS453" s="23" cm="1">
        <f t="array" ref="AS453">_xlfn.IFS(Data!$E453&lt;12,((Data!$E453/Data!$D453)*60)*1,AND(Data!$E453&gt;=12,Data!$E453&lt;=15),((Data!$E453/Data!$D453)*60)*1.2,AND(Data!$E453&gt;=16,Data!$E453&lt;=19),((Data!$E453/Data!$D453)*60)*1.5,Data!$E453&gt;=20,((Data!$E453/Data!$D453)*60)*1.8)</f>
        <v>16.875</v>
      </c>
      <c r="AT453" s="23" cm="1">
        <f t="array" ref="AT453">_xlfn.IFS(Data!$F453&lt;600,((Data!$F453/Data!$D453)*60)*1,AND(Data!$F453&gt;=600,Data!$F453&lt;=625),((Data!$F453/Data!$D453)*60)*1.2,AND(Data!$F453&gt;=626,Data!$F453&lt;=650),((Data!$F453/Data!$D453)*60)*1.5,Data!$F453&gt;=651,((Data!$F453/Data!$D453)*60)*1.8)</f>
        <v>1134</v>
      </c>
      <c r="AU453" s="23">
        <f>(Data!$I453*-1.2)+(Data!$J453*-1.1)+(Data!$K453*1.2)+(Data!$L453*1.3)+(Data!$M453*1.5)</f>
        <v>0.60000000000000142</v>
      </c>
      <c r="AV453" s="23">
        <f>(Data!$AS453*0.4)+(Data!$AT453*0.4)+(Data!$AU453*0.2)</f>
        <v>460.47</v>
      </c>
      <c r="AW453" s="23">
        <f>PERCENTRANK(AV:AV,Data!$AV453)*100</f>
        <v>65.8</v>
      </c>
      <c r="AX453" s="23" t="str">
        <f>_xlfn.CONCAT(TEXT(C453,"mmm"),"-",Data!$AE453)</f>
        <v>Mar-2023</v>
      </c>
    </row>
    <row r="454" spans="1:50" ht="17" thickTop="1" thickBot="1" x14ac:dyDescent="0.25">
      <c r="A454" s="28">
        <v>453</v>
      </c>
      <c r="B454" s="29">
        <f t="shared" si="58"/>
        <v>15</v>
      </c>
      <c r="C454" s="41">
        <v>45006</v>
      </c>
      <c r="D454" s="30">
        <f>SUM(Data!$I454:$M454)</f>
        <v>0</v>
      </c>
      <c r="E454" s="29"/>
      <c r="F454" s="29"/>
      <c r="G454" s="29"/>
      <c r="H454" s="29"/>
      <c r="I454" s="29"/>
      <c r="J454" s="29"/>
      <c r="K454" s="29"/>
      <c r="L454" s="29"/>
      <c r="M454" s="29"/>
      <c r="N454" s="29" t="s">
        <v>138</v>
      </c>
      <c r="O454" s="29" t="s">
        <v>76</v>
      </c>
      <c r="P454" s="29" t="s">
        <v>141</v>
      </c>
      <c r="Q454" s="29">
        <f t="shared" si="64"/>
        <v>2</v>
      </c>
      <c r="R454" s="29" t="str">
        <f t="shared" si="59"/>
        <v>3-2023</v>
      </c>
      <c r="S454" s="29"/>
      <c r="T454" s="29" t="str">
        <f t="shared" si="60"/>
        <v>Tuesday</v>
      </c>
      <c r="U454" s="29">
        <f t="shared" si="61"/>
        <v>0</v>
      </c>
      <c r="V454" s="31" t="str">
        <f>IFERROR(Data!$I454/Data!$D454,"")</f>
        <v/>
      </c>
      <c r="W454" s="31" t="str">
        <f>IFERROR(Data!$J454/Data!$D454,"")</f>
        <v/>
      </c>
      <c r="X454" s="31" t="str">
        <f>IFERROR(Data!$K454/Data!$D454,"")</f>
        <v/>
      </c>
      <c r="Y454" s="31" t="str">
        <f>IFERROR(Data!$L454/Data!$D454,"")</f>
        <v/>
      </c>
      <c r="Z454" s="31" t="str">
        <f>IFERROR(Data!$M454/Data!$D454,"")</f>
        <v/>
      </c>
      <c r="AA454" s="32">
        <v>232.14</v>
      </c>
      <c r="AB454" s="32">
        <f t="shared" si="57"/>
        <v>15.475999999999999</v>
      </c>
      <c r="AC454" s="29">
        <f t="shared" si="62"/>
        <v>630.21428571428567</v>
      </c>
      <c r="AD454" s="29">
        <f t="shared" si="63"/>
        <v>14.285714285714286</v>
      </c>
      <c r="AE454" s="29">
        <f>YEAR(Data!$C454)</f>
        <v>2023</v>
      </c>
      <c r="AF454" s="29"/>
      <c r="AG454" s="29">
        <v>12</v>
      </c>
      <c r="AH454" s="33" t="e">
        <f>Data!$F454/Data!$D454</f>
        <v>#DIV/0!</v>
      </c>
      <c r="AI454" s="17" t="str">
        <f>RIGHT(Data!$O454,2)</f>
        <v>AM</v>
      </c>
      <c r="AJ454" s="29" t="str">
        <f>Data!$R454&amp;"-"&amp;WEEKNUM(Data!$C454,1)-WEEKNUM(DATE(YEAR(Data!$C454),MONTH(Data!$C454),1),1)+1</f>
        <v>3-2023-4</v>
      </c>
      <c r="AK454" s="29">
        <f>MONTH(Data!$C454)</f>
        <v>3</v>
      </c>
      <c r="AL454" s="29">
        <f>IFERROR(Data!$F454/Data!$E454,0)</f>
        <v>0</v>
      </c>
      <c r="AM454" s="29">
        <f>COUNTIF(Data!$N$2:$N$825,Data!$N454)</f>
        <v>11</v>
      </c>
      <c r="AN454" s="29" t="str">
        <f>VLOOKUP(Data!$N454,'Helpful Tables'!A:D,4,FALSE)</f>
        <v>Massachusetts</v>
      </c>
      <c r="AO454" s="29">
        <f>COUNTIF(AN:AN,Data!$AN454)/COUNTA(AN:AN)</f>
        <v>1.9393939393939394E-2</v>
      </c>
      <c r="AP454" s="29">
        <v>42.350487000000001</v>
      </c>
      <c r="AQ454" s="29">
        <v>-71.152720000000002</v>
      </c>
      <c r="AR454" s="29">
        <f>COUNTIF(Data!$P$2:$P$825,Data!$P454)</f>
        <v>2</v>
      </c>
      <c r="AS454" s="29"/>
      <c r="AT454" s="29"/>
      <c r="AU454" s="29"/>
      <c r="AV454" s="29"/>
      <c r="AW454" s="29"/>
      <c r="AX454" s="29" t="str">
        <f>_xlfn.CONCAT(TEXT(C454,"mmm"),"-",Data!$AE454)</f>
        <v>Mar-2023</v>
      </c>
    </row>
    <row r="455" spans="1:50" ht="17" thickTop="1" thickBot="1" x14ac:dyDescent="0.25">
      <c r="A455" s="22">
        <v>454</v>
      </c>
      <c r="B455" s="23">
        <f t="shared" si="58"/>
        <v>15</v>
      </c>
      <c r="C455" s="41">
        <v>45008</v>
      </c>
      <c r="D455" s="24">
        <f>SUM(Data!$I455:$M455)</f>
        <v>55</v>
      </c>
      <c r="E455" s="23">
        <v>18</v>
      </c>
      <c r="F455" s="23">
        <v>675</v>
      </c>
      <c r="G455" s="23">
        <v>172</v>
      </c>
      <c r="H455" s="23">
        <v>134</v>
      </c>
      <c r="I455" s="23">
        <v>7</v>
      </c>
      <c r="J455" s="23">
        <v>9</v>
      </c>
      <c r="K455" s="23">
        <v>21</v>
      </c>
      <c r="L455" s="23">
        <v>14</v>
      </c>
      <c r="M455" s="23">
        <v>4</v>
      </c>
      <c r="N455" s="23" t="s">
        <v>91</v>
      </c>
      <c r="O455" s="23" t="s">
        <v>83</v>
      </c>
      <c r="P455" s="23" t="s">
        <v>96</v>
      </c>
      <c r="Q455" s="23">
        <f t="shared" si="64"/>
        <v>2</v>
      </c>
      <c r="R455" s="23" t="str">
        <f t="shared" si="59"/>
        <v>3-2023</v>
      </c>
      <c r="S455" s="23" t="s">
        <v>104</v>
      </c>
      <c r="T455" s="23" t="str">
        <f t="shared" si="60"/>
        <v>Thursday</v>
      </c>
      <c r="U455" s="23">
        <f t="shared" si="61"/>
        <v>1</v>
      </c>
      <c r="V455" s="25">
        <f>IFERROR(Data!$I455/Data!$D455,"")</f>
        <v>0.12727272727272726</v>
      </c>
      <c r="W455" s="25">
        <f>IFERROR(Data!$J455/Data!$D455,"")</f>
        <v>0.16363636363636364</v>
      </c>
      <c r="X455" s="25">
        <f>IFERROR(Data!$K455/Data!$D455,"")</f>
        <v>0.38181818181818183</v>
      </c>
      <c r="Y455" s="25">
        <f>IFERROR(Data!$L455/Data!$D455,"")</f>
        <v>0.25454545454545452</v>
      </c>
      <c r="Z455" s="25">
        <f>IFERROR(Data!$M455/Data!$D455,"")</f>
        <v>7.2727272727272724E-2</v>
      </c>
      <c r="AA455" s="26">
        <v>232.14</v>
      </c>
      <c r="AB455" s="26">
        <f t="shared" si="57"/>
        <v>15.475999999999999</v>
      </c>
      <c r="AC455" s="23">
        <f t="shared" si="62"/>
        <v>630.21428571428567</v>
      </c>
      <c r="AD455" s="23">
        <f t="shared" si="63"/>
        <v>14.285714285714286</v>
      </c>
      <c r="AE455" s="23">
        <f>YEAR(Data!$C455)</f>
        <v>2023</v>
      </c>
      <c r="AF455" s="23"/>
      <c r="AG455" s="23">
        <v>12</v>
      </c>
      <c r="AH455" s="27">
        <f>Data!$F455/Data!$D455</f>
        <v>12.272727272727273</v>
      </c>
      <c r="AI455" s="17" t="str">
        <f>RIGHT(Data!$O455,2)</f>
        <v>PM</v>
      </c>
      <c r="AJ455" s="23" t="str">
        <f>Data!$R455&amp;"-"&amp;WEEKNUM(Data!$C455,1)-WEEKNUM(DATE(YEAR(Data!$C455),MONTH(Data!$C455),1),1)+1</f>
        <v>3-2023-4</v>
      </c>
      <c r="AK455" s="23">
        <f>MONTH(Data!$C455)</f>
        <v>3</v>
      </c>
      <c r="AL455" s="23">
        <f>IFERROR(Data!$F455/Data!$E455,0)</f>
        <v>37.5</v>
      </c>
      <c r="AM455" s="23">
        <f>COUNTIF(Data!$N$2:$N$825,Data!$N455)</f>
        <v>218</v>
      </c>
      <c r="AN455" s="23" t="str">
        <f>VLOOKUP(Data!$N455,'Helpful Tables'!A:D,4,FALSE)</f>
        <v>Washington, DC</v>
      </c>
      <c r="AO455" s="23">
        <f>COUNTIF(AN:AN,Data!$AN455)/COUNTA(AN:AN)</f>
        <v>0.62424242424242427</v>
      </c>
      <c r="AP455" s="23">
        <v>38.934710000000003</v>
      </c>
      <c r="AQ455" s="23">
        <v>-77.058222999999998</v>
      </c>
      <c r="AR455" s="23">
        <f>COUNTIF(Data!$P$2:$P$825,Data!$P455)</f>
        <v>71</v>
      </c>
      <c r="AS455" s="23" cm="1">
        <f t="array" ref="AS455">_xlfn.IFS(Data!$E455&lt;12,((Data!$E455/Data!$D455)*60)*1,AND(Data!$E455&gt;=12,Data!$E455&lt;=15),((Data!$E455/Data!$D455)*60)*1.2,AND(Data!$E455&gt;=16,Data!$E455&lt;=19),((Data!$E455/Data!$D455)*60)*1.5,Data!$E455&gt;=20,((Data!$E455/Data!$D455)*60)*1.8)</f>
        <v>29.454545454545453</v>
      </c>
      <c r="AT455" s="23" cm="1">
        <f t="array" ref="AT455">_xlfn.IFS(Data!$F455&lt;600,((Data!$F455/Data!$D455)*60)*1,AND(Data!$F455&gt;=600,Data!$F455&lt;=625),((Data!$F455/Data!$D455)*60)*1.2,AND(Data!$F455&gt;=626,Data!$F455&lt;=650),((Data!$F455/Data!$D455)*60)*1.5,Data!$F455&gt;=651,((Data!$F455/Data!$D455)*60)*1.8)</f>
        <v>1325.4545454545455</v>
      </c>
      <c r="AU455" s="23">
        <f>(Data!$I455*-1.2)+(Data!$J455*-1.1)+(Data!$K455*1.2)+(Data!$L455*1.3)+(Data!$M455*1.5)</f>
        <v>31.099999999999998</v>
      </c>
      <c r="AV455" s="23">
        <f>(Data!$AS455*0.4)+(Data!$AT455*0.4)+(Data!$AU455*0.2)</f>
        <v>548.18363636363642</v>
      </c>
      <c r="AW455" s="23">
        <f>PERCENTRANK(AV:AV,Data!$AV455)*100</f>
        <v>97.6</v>
      </c>
      <c r="AX455" s="23" t="str">
        <f>_xlfn.CONCAT(TEXT(C455,"mmm"),"-",Data!$AE455)</f>
        <v>Mar-2023</v>
      </c>
    </row>
    <row r="456" spans="1:50" ht="17" thickTop="1" thickBot="1" x14ac:dyDescent="0.25">
      <c r="A456" s="28">
        <v>455</v>
      </c>
      <c r="B456" s="29">
        <f t="shared" si="58"/>
        <v>15</v>
      </c>
      <c r="C456" s="41">
        <v>45010</v>
      </c>
      <c r="D456" s="30">
        <f>SUM(Data!$I456:$M456)</f>
        <v>54</v>
      </c>
      <c r="E456" s="29">
        <v>12</v>
      </c>
      <c r="F456" s="29">
        <v>589</v>
      </c>
      <c r="G456" s="29">
        <v>166</v>
      </c>
      <c r="H456" s="29">
        <v>125</v>
      </c>
      <c r="I456" s="29">
        <v>14</v>
      </c>
      <c r="J456" s="29">
        <v>16</v>
      </c>
      <c r="K456" s="29">
        <v>12</v>
      </c>
      <c r="L456" s="29">
        <v>10</v>
      </c>
      <c r="M456" s="29">
        <v>2</v>
      </c>
      <c r="N456" s="29" t="s">
        <v>91</v>
      </c>
      <c r="O456" s="29" t="s">
        <v>79</v>
      </c>
      <c r="P456" s="29" t="s">
        <v>168</v>
      </c>
      <c r="Q456" s="29">
        <f t="shared" si="64"/>
        <v>2</v>
      </c>
      <c r="R456" s="29" t="str">
        <f t="shared" si="59"/>
        <v>3-2023</v>
      </c>
      <c r="S456" s="29" t="s">
        <v>104</v>
      </c>
      <c r="T456" s="29" t="str">
        <f t="shared" si="60"/>
        <v>Saturday</v>
      </c>
      <c r="U456" s="29">
        <f t="shared" si="61"/>
        <v>1</v>
      </c>
      <c r="V456" s="31">
        <f>IFERROR(Data!$I456/Data!$D456,"")</f>
        <v>0.25925925925925924</v>
      </c>
      <c r="W456" s="31">
        <f>IFERROR(Data!$J456/Data!$D456,"")</f>
        <v>0.29629629629629628</v>
      </c>
      <c r="X456" s="31">
        <f>IFERROR(Data!$K456/Data!$D456,"")</f>
        <v>0.22222222222222221</v>
      </c>
      <c r="Y456" s="31">
        <f>IFERROR(Data!$L456/Data!$D456,"")</f>
        <v>0.18518518518518517</v>
      </c>
      <c r="Z456" s="31">
        <f>IFERROR(Data!$M456/Data!$D456,"")</f>
        <v>3.7037037037037035E-2</v>
      </c>
      <c r="AA456" s="32">
        <v>232.14</v>
      </c>
      <c r="AB456" s="32">
        <f t="shared" si="57"/>
        <v>15.475999999999999</v>
      </c>
      <c r="AC456" s="29">
        <f t="shared" si="62"/>
        <v>630.21428571428567</v>
      </c>
      <c r="AD456" s="29">
        <f t="shared" si="63"/>
        <v>14.285714285714286</v>
      </c>
      <c r="AE456" s="29">
        <f>YEAR(Data!$C456)</f>
        <v>2023</v>
      </c>
      <c r="AF456" s="29"/>
      <c r="AG456" s="29">
        <v>12</v>
      </c>
      <c r="AH456" s="33">
        <f>Data!$F456/Data!$D456</f>
        <v>10.907407407407407</v>
      </c>
      <c r="AI456" s="17" t="str">
        <f>RIGHT(Data!$O456,2)</f>
        <v>AM</v>
      </c>
      <c r="AJ456" s="29" t="str">
        <f>Data!$R456&amp;"-"&amp;WEEKNUM(Data!$C456,1)-WEEKNUM(DATE(YEAR(Data!$C456),MONTH(Data!$C456),1),1)+1</f>
        <v>3-2023-4</v>
      </c>
      <c r="AK456" s="29">
        <f>MONTH(Data!$C456)</f>
        <v>3</v>
      </c>
      <c r="AL456" s="29">
        <f>IFERROR(Data!$F456/Data!$E456,0)</f>
        <v>49.083333333333336</v>
      </c>
      <c r="AM456" s="29">
        <f>COUNTIF(Data!$N$2:$N$825,Data!$N456)</f>
        <v>218</v>
      </c>
      <c r="AN456" s="29" t="str">
        <f>VLOOKUP(Data!$N456,'Helpful Tables'!A:D,4,FALSE)</f>
        <v>Washington, DC</v>
      </c>
      <c r="AO456" s="29">
        <f>COUNTIF(AN:AN,Data!$AN456)/COUNTA(AN:AN)</f>
        <v>0.62424242424242427</v>
      </c>
      <c r="AP456" s="29">
        <v>38.934710000000003</v>
      </c>
      <c r="AQ456" s="29">
        <v>-77.058222999999998</v>
      </c>
      <c r="AR456" s="29">
        <f>COUNTIF(Data!$P$2:$P$825,Data!$P456)</f>
        <v>12</v>
      </c>
      <c r="AS456" s="29" cm="1">
        <f t="array" ref="AS456">_xlfn.IFS(Data!$E456&lt;12,((Data!$E456/Data!$D456)*60)*1,AND(Data!$E456&gt;=12,Data!$E456&lt;=15),((Data!$E456/Data!$D456)*60)*1.2,AND(Data!$E456&gt;=16,Data!$E456&lt;=19),((Data!$E456/Data!$D456)*60)*1.5,Data!$E456&gt;=20,((Data!$E456/Data!$D456)*60)*1.8)</f>
        <v>15.999999999999998</v>
      </c>
      <c r="AT456" s="29" cm="1">
        <f t="array" ref="AT456">_xlfn.IFS(Data!$F456&lt;600,((Data!$F456/Data!$D456)*60)*1,AND(Data!$F456&gt;=600,Data!$F456&lt;=625),((Data!$F456/Data!$D456)*60)*1.2,AND(Data!$F456&gt;=626,Data!$F456&lt;=650),((Data!$F456/Data!$D456)*60)*1.5,Data!$F456&gt;=651,((Data!$F456/Data!$D456)*60)*1.8)</f>
        <v>654.44444444444434</v>
      </c>
      <c r="AU456" s="29">
        <f>(Data!$I456*-1.2)+(Data!$J456*-1.1)+(Data!$K456*1.2)+(Data!$L456*1.3)+(Data!$M456*1.5)</f>
        <v>-4.0000000000000071</v>
      </c>
      <c r="AV456" s="29">
        <f>(Data!$AS456*0.4)+(Data!$AT456*0.4)+(Data!$AU456*0.2)</f>
        <v>267.37777777777774</v>
      </c>
      <c r="AW456" s="29">
        <f>PERCENTRANK(AV:AV,Data!$AV456)*100</f>
        <v>22.1</v>
      </c>
      <c r="AX456" s="29" t="str">
        <f>_xlfn.CONCAT(TEXT(C456,"mmm"),"-",Data!$AE456)</f>
        <v>Mar-2023</v>
      </c>
    </row>
    <row r="457" spans="1:50" ht="17" thickTop="1" thickBot="1" x14ac:dyDescent="0.25">
      <c r="A457" s="22">
        <v>456</v>
      </c>
      <c r="B457" s="23">
        <f t="shared" si="58"/>
        <v>15</v>
      </c>
      <c r="C457" s="41">
        <v>45012</v>
      </c>
      <c r="D457" s="24">
        <f>SUM(Data!$I457:$M457)</f>
        <v>55</v>
      </c>
      <c r="E457" s="23">
        <v>14</v>
      </c>
      <c r="F457" s="23">
        <v>637</v>
      </c>
      <c r="G457" s="23">
        <v>167</v>
      </c>
      <c r="H457" s="23">
        <v>129</v>
      </c>
      <c r="I457" s="23">
        <v>11</v>
      </c>
      <c r="J457" s="23">
        <v>11</v>
      </c>
      <c r="K457" s="23">
        <v>19</v>
      </c>
      <c r="L457" s="23">
        <v>12</v>
      </c>
      <c r="M457" s="23">
        <v>2</v>
      </c>
      <c r="N457" s="23" t="s">
        <v>91</v>
      </c>
      <c r="O457" s="23" t="s">
        <v>57</v>
      </c>
      <c r="P457" s="23" t="s">
        <v>98</v>
      </c>
      <c r="Q457" s="23">
        <f t="shared" si="64"/>
        <v>2</v>
      </c>
      <c r="R457" s="23" t="str">
        <f t="shared" si="59"/>
        <v>3-2023</v>
      </c>
      <c r="S457" s="23" t="s">
        <v>117</v>
      </c>
      <c r="T457" s="23" t="str">
        <f t="shared" si="60"/>
        <v>Monday</v>
      </c>
      <c r="U457" s="23">
        <f t="shared" si="61"/>
        <v>1</v>
      </c>
      <c r="V457" s="25">
        <f>IFERROR(Data!$I457/Data!$D457,"")</f>
        <v>0.2</v>
      </c>
      <c r="W457" s="25">
        <f>IFERROR(Data!$J457/Data!$D457,"")</f>
        <v>0.2</v>
      </c>
      <c r="X457" s="25">
        <f>IFERROR(Data!$K457/Data!$D457,"")</f>
        <v>0.34545454545454546</v>
      </c>
      <c r="Y457" s="25">
        <f>IFERROR(Data!$L457/Data!$D457,"")</f>
        <v>0.21818181818181817</v>
      </c>
      <c r="Z457" s="25">
        <f>IFERROR(Data!$M457/Data!$D457,"")</f>
        <v>3.6363636363636362E-2</v>
      </c>
      <c r="AA457" s="26">
        <v>232.14</v>
      </c>
      <c r="AB457" s="26">
        <f t="shared" si="57"/>
        <v>15.475999999999999</v>
      </c>
      <c r="AC457" s="23">
        <f t="shared" si="62"/>
        <v>630.21428571428567</v>
      </c>
      <c r="AD457" s="23">
        <f t="shared" si="63"/>
        <v>14.285714285714286</v>
      </c>
      <c r="AE457" s="23">
        <f>YEAR(Data!$C457)</f>
        <v>2023</v>
      </c>
      <c r="AF457" s="23"/>
      <c r="AG457" s="23">
        <v>12</v>
      </c>
      <c r="AH457" s="27">
        <f>Data!$F457/Data!$D457</f>
        <v>11.581818181818182</v>
      </c>
      <c r="AI457" s="17" t="str">
        <f>RIGHT(Data!$O457,2)</f>
        <v>PM</v>
      </c>
      <c r="AJ457" s="23" t="str">
        <f>Data!$R457&amp;"-"&amp;WEEKNUM(Data!$C457,1)-WEEKNUM(DATE(YEAR(Data!$C457),MONTH(Data!$C457),1),1)+1</f>
        <v>3-2023-5</v>
      </c>
      <c r="AK457" s="23">
        <f>MONTH(Data!$C457)</f>
        <v>3</v>
      </c>
      <c r="AL457" s="23">
        <f>IFERROR(Data!$F457/Data!$E457,0)</f>
        <v>45.5</v>
      </c>
      <c r="AM457" s="23">
        <f>COUNTIF(Data!$N$2:$N$825,Data!$N457)</f>
        <v>218</v>
      </c>
      <c r="AN457" s="23" t="str">
        <f>VLOOKUP(Data!$N457,'Helpful Tables'!A:D,4,FALSE)</f>
        <v>Washington, DC</v>
      </c>
      <c r="AO457" s="23">
        <f>COUNTIF(AN:AN,Data!$AN457)/COUNTA(AN:AN)</f>
        <v>0.62424242424242427</v>
      </c>
      <c r="AP457" s="23">
        <v>38.934710000000003</v>
      </c>
      <c r="AQ457" s="23">
        <v>-77.058222999999998</v>
      </c>
      <c r="AR457" s="23">
        <f>COUNTIF(Data!$P$2:$P$825,Data!$P457)</f>
        <v>28</v>
      </c>
      <c r="AS457" s="23" cm="1">
        <f t="array" ref="AS457">_xlfn.IFS(Data!$E457&lt;12,((Data!$E457/Data!$D457)*60)*1,AND(Data!$E457&gt;=12,Data!$E457&lt;=15),((Data!$E457/Data!$D457)*60)*1.2,AND(Data!$E457&gt;=16,Data!$E457&lt;=19),((Data!$E457/Data!$D457)*60)*1.5,Data!$E457&gt;=20,((Data!$E457/Data!$D457)*60)*1.8)</f>
        <v>18.327272727272724</v>
      </c>
      <c r="AT457" s="23" cm="1">
        <f t="array" ref="AT457">_xlfn.IFS(Data!$F457&lt;600,((Data!$F457/Data!$D457)*60)*1,AND(Data!$F457&gt;=600,Data!$F457&lt;=625),((Data!$F457/Data!$D457)*60)*1.2,AND(Data!$F457&gt;=626,Data!$F457&lt;=650),((Data!$F457/Data!$D457)*60)*1.5,Data!$F457&gt;=651,((Data!$F457/Data!$D457)*60)*1.8)</f>
        <v>1042.3636363636363</v>
      </c>
      <c r="AU457" s="23">
        <f>(Data!$I457*-1.2)+(Data!$J457*-1.1)+(Data!$K457*1.2)+(Data!$L457*1.3)+(Data!$M457*1.5)</f>
        <v>16.100000000000001</v>
      </c>
      <c r="AV457" s="23">
        <f>(Data!$AS457*0.4)+(Data!$AT457*0.4)+(Data!$AU457*0.2)</f>
        <v>427.49636363636364</v>
      </c>
      <c r="AW457" s="23">
        <f>PERCENTRANK(AV:AV,Data!$AV457)*100</f>
        <v>63.6</v>
      </c>
      <c r="AX457" s="23" t="str">
        <f>_xlfn.CONCAT(TEXT(C457,"mmm"),"-",Data!$AE457)</f>
        <v>Mar-2023</v>
      </c>
    </row>
    <row r="458" spans="1:50" ht="17" thickTop="1" thickBot="1" x14ac:dyDescent="0.25">
      <c r="A458" s="28">
        <v>457</v>
      </c>
      <c r="B458" s="29">
        <f t="shared" si="58"/>
        <v>15</v>
      </c>
      <c r="C458" s="41">
        <v>45014</v>
      </c>
      <c r="D458" s="30">
        <f>SUM(Data!$I458:$M458)</f>
        <v>58</v>
      </c>
      <c r="E458" s="29">
        <v>16</v>
      </c>
      <c r="F458" s="29">
        <v>680</v>
      </c>
      <c r="G458" s="29">
        <v>167</v>
      </c>
      <c r="H458" s="29">
        <v>130</v>
      </c>
      <c r="I458" s="29">
        <v>8</v>
      </c>
      <c r="J458" s="29">
        <v>16</v>
      </c>
      <c r="K458" s="29">
        <v>18</v>
      </c>
      <c r="L458" s="29">
        <v>15</v>
      </c>
      <c r="M458" s="29">
        <v>1</v>
      </c>
      <c r="N458" s="29" t="s">
        <v>101</v>
      </c>
      <c r="O458" s="29" t="s">
        <v>173</v>
      </c>
      <c r="P458" s="29" t="s">
        <v>147</v>
      </c>
      <c r="Q458" s="29">
        <f t="shared" si="64"/>
        <v>2</v>
      </c>
      <c r="R458" s="29" t="str">
        <f t="shared" si="59"/>
        <v>3-2023</v>
      </c>
      <c r="S458" s="29" t="s">
        <v>104</v>
      </c>
      <c r="T458" s="29" t="str">
        <f t="shared" si="60"/>
        <v>Wednesday</v>
      </c>
      <c r="U458" s="29">
        <f t="shared" si="61"/>
        <v>1</v>
      </c>
      <c r="V458" s="31">
        <f>IFERROR(Data!$I458/Data!$D458,"")</f>
        <v>0.13793103448275862</v>
      </c>
      <c r="W458" s="31">
        <f>IFERROR(Data!$J458/Data!$D458,"")</f>
        <v>0.27586206896551724</v>
      </c>
      <c r="X458" s="31">
        <f>IFERROR(Data!$K458/Data!$D458,"")</f>
        <v>0.31034482758620691</v>
      </c>
      <c r="Y458" s="31">
        <f>IFERROR(Data!$L458/Data!$D458,"")</f>
        <v>0.25862068965517243</v>
      </c>
      <c r="Z458" s="31">
        <f>IFERROR(Data!$M458/Data!$D458,"")</f>
        <v>1.7241379310344827E-2</v>
      </c>
      <c r="AA458" s="32">
        <v>232.14</v>
      </c>
      <c r="AB458" s="32">
        <f t="shared" si="57"/>
        <v>15.475999999999999</v>
      </c>
      <c r="AC458" s="29">
        <f t="shared" si="62"/>
        <v>630.21428571428567</v>
      </c>
      <c r="AD458" s="29">
        <f t="shared" si="63"/>
        <v>14.285714285714286</v>
      </c>
      <c r="AE458" s="29">
        <f>YEAR(Data!$C458)</f>
        <v>2023</v>
      </c>
      <c r="AF458" s="29"/>
      <c r="AG458" s="29">
        <v>12</v>
      </c>
      <c r="AH458" s="33">
        <f>Data!$F458/Data!$D458</f>
        <v>11.724137931034482</v>
      </c>
      <c r="AI458" s="17" t="str">
        <f>RIGHT(Data!$O458,2)</f>
        <v>PM</v>
      </c>
      <c r="AJ458" s="29" t="str">
        <f>Data!$R458&amp;"-"&amp;WEEKNUM(Data!$C458,1)-WEEKNUM(DATE(YEAR(Data!$C458),MONTH(Data!$C458),1),1)+1</f>
        <v>3-2023-5</v>
      </c>
      <c r="AK458" s="29">
        <f>MONTH(Data!$C458)</f>
        <v>3</v>
      </c>
      <c r="AL458" s="29">
        <f>IFERROR(Data!$F458/Data!$E458,0)</f>
        <v>42.5</v>
      </c>
      <c r="AM458" s="29">
        <f>COUNTIF(Data!$N$2:$N$825,Data!$N458)</f>
        <v>191</v>
      </c>
      <c r="AN458" s="29" t="str">
        <f>VLOOKUP(Data!$N458,'Helpful Tables'!A:D,4,FALSE)</f>
        <v>Washington, DC</v>
      </c>
      <c r="AO458" s="29">
        <f>COUNTIF(AN:AN,Data!$AN458)/COUNTA(AN:AN)</f>
        <v>0.62424242424242427</v>
      </c>
      <c r="AP458" s="29">
        <v>38.949649000000001</v>
      </c>
      <c r="AQ458" s="29">
        <v>-77.080878999999996</v>
      </c>
      <c r="AR458" s="29">
        <f>COUNTIF(Data!$P$2:$P$825,Data!$P458)</f>
        <v>17</v>
      </c>
      <c r="AS458" s="29" cm="1">
        <f t="array" ref="AS458">_xlfn.IFS(Data!$E458&lt;12,((Data!$E458/Data!$D458)*60)*1,AND(Data!$E458&gt;=12,Data!$E458&lt;=15),((Data!$E458/Data!$D458)*60)*1.2,AND(Data!$E458&gt;=16,Data!$E458&lt;=19),((Data!$E458/Data!$D458)*60)*1.5,Data!$E458&gt;=20,((Data!$E458/Data!$D458)*60)*1.8)</f>
        <v>24.827586206896555</v>
      </c>
      <c r="AT458" s="29" cm="1">
        <f t="array" ref="AT458">_xlfn.IFS(Data!$F458&lt;600,((Data!$F458/Data!$D458)*60)*1,AND(Data!$F458&gt;=600,Data!$F458&lt;=625),((Data!$F458/Data!$D458)*60)*1.2,AND(Data!$F458&gt;=626,Data!$F458&lt;=650),((Data!$F458/Data!$D458)*60)*1.5,Data!$F458&gt;=651,((Data!$F458/Data!$D458)*60)*1.8)</f>
        <v>1266.2068965517242</v>
      </c>
      <c r="AU458" s="29">
        <f>(Data!$I458*-1.2)+(Data!$J458*-1.1)+(Data!$K458*1.2)+(Data!$L458*1.3)+(Data!$M458*1.5)</f>
        <v>15.399999999999995</v>
      </c>
      <c r="AV458" s="29">
        <f>(Data!$AS458*0.4)+(Data!$AT458*0.4)+(Data!$AU458*0.2)</f>
        <v>519.49379310344841</v>
      </c>
      <c r="AW458" s="29">
        <f>PERCENTRANK(AV:AV,Data!$AV458)*100</f>
        <v>88.9</v>
      </c>
      <c r="AX458" s="29" t="str">
        <f>_xlfn.CONCAT(TEXT(C458,"mmm"),"-",Data!$AE458)</f>
        <v>Mar-2023</v>
      </c>
    </row>
    <row r="459" spans="1:50" ht="17" thickTop="1" thickBot="1" x14ac:dyDescent="0.25">
      <c r="A459" s="22">
        <v>458</v>
      </c>
      <c r="B459" s="23">
        <f t="shared" si="58"/>
        <v>15</v>
      </c>
      <c r="C459" s="41">
        <v>45017</v>
      </c>
      <c r="D459" s="24">
        <f>SUM(Data!$I459:$M459)</f>
        <v>61</v>
      </c>
      <c r="E459" s="23">
        <v>15</v>
      </c>
      <c r="F459" s="23">
        <v>684</v>
      </c>
      <c r="G459" s="23">
        <v>166</v>
      </c>
      <c r="H459" s="23">
        <v>127</v>
      </c>
      <c r="I459" s="23">
        <v>11</v>
      </c>
      <c r="J459" s="23">
        <v>16</v>
      </c>
      <c r="K459" s="23">
        <v>19</v>
      </c>
      <c r="L459" s="23">
        <v>14</v>
      </c>
      <c r="M459" s="23">
        <v>1</v>
      </c>
      <c r="N459" s="23" t="s">
        <v>162</v>
      </c>
      <c r="O459" s="23" t="s">
        <v>45</v>
      </c>
      <c r="P459" s="23" t="s">
        <v>177</v>
      </c>
      <c r="Q459" s="23">
        <f t="shared" si="64"/>
        <v>3</v>
      </c>
      <c r="R459" s="23" t="str">
        <f t="shared" si="59"/>
        <v>4-2023</v>
      </c>
      <c r="S459" s="23" t="s">
        <v>117</v>
      </c>
      <c r="T459" s="23" t="str">
        <f t="shared" si="60"/>
        <v>Saturday</v>
      </c>
      <c r="U459" s="23">
        <f t="shared" si="61"/>
        <v>1</v>
      </c>
      <c r="V459" s="25">
        <f>IFERROR(Data!$I459/Data!$D459,"")</f>
        <v>0.18032786885245902</v>
      </c>
      <c r="W459" s="25">
        <f>IFERROR(Data!$J459/Data!$D459,"")</f>
        <v>0.26229508196721313</v>
      </c>
      <c r="X459" s="25">
        <f>IFERROR(Data!$K459/Data!$D459,"")</f>
        <v>0.31147540983606559</v>
      </c>
      <c r="Y459" s="25">
        <f>IFERROR(Data!$L459/Data!$D459,"")</f>
        <v>0.22950819672131148</v>
      </c>
      <c r="Z459" s="25">
        <f>IFERROR(Data!$M459/Data!$D459,"")</f>
        <v>1.6393442622950821E-2</v>
      </c>
      <c r="AA459" s="26">
        <v>232.14</v>
      </c>
      <c r="AB459" s="26">
        <f t="shared" si="57"/>
        <v>15.475999999999999</v>
      </c>
      <c r="AC459" s="23">
        <f t="shared" si="62"/>
        <v>632.6</v>
      </c>
      <c r="AD459" s="23">
        <f t="shared" si="63"/>
        <v>13.733333333333333</v>
      </c>
      <c r="AE459" s="23">
        <f>YEAR(Data!$C459)</f>
        <v>2023</v>
      </c>
      <c r="AF459" s="23"/>
      <c r="AG459" s="23">
        <v>12</v>
      </c>
      <c r="AH459" s="27">
        <f>Data!$F459/Data!$D459</f>
        <v>11.21311475409836</v>
      </c>
      <c r="AI459" s="17" t="str">
        <f>RIGHT(Data!$O459,2)</f>
        <v>AM</v>
      </c>
      <c r="AJ459" s="23" t="str">
        <f>Data!$R459&amp;"-"&amp;WEEKNUM(Data!$C459,1)-WEEKNUM(DATE(YEAR(Data!$C459),MONTH(Data!$C459),1),1)+1</f>
        <v>4-2023-1</v>
      </c>
      <c r="AK459" s="23">
        <f>MONTH(Data!$C459)</f>
        <v>4</v>
      </c>
      <c r="AL459" s="23">
        <f>IFERROR(Data!$F459/Data!$E459,0)</f>
        <v>45.6</v>
      </c>
      <c r="AM459" s="23">
        <f>COUNTIF(Data!$N$2:$N$825,Data!$N459)</f>
        <v>5</v>
      </c>
      <c r="AN459" s="23" t="str">
        <f>VLOOKUP(Data!$N459,'Helpful Tables'!A:D,4,FALSE)</f>
        <v>Maryland</v>
      </c>
      <c r="AO459" s="23">
        <f>COUNTIF(AN:AN,Data!$AN459)/COUNTA(AN:AN)</f>
        <v>6.0606060606060606E-3</v>
      </c>
      <c r="AP459" s="23">
        <v>38.989806999999999</v>
      </c>
      <c r="AQ459" s="23">
        <v>-77.096371000000005</v>
      </c>
      <c r="AR459" s="23">
        <f>COUNTIF(Data!$P$2:$P$825,Data!$P459)</f>
        <v>1</v>
      </c>
      <c r="AS459" s="23" cm="1">
        <f t="array" ref="AS459">_xlfn.IFS(Data!$E459&lt;12,((Data!$E459/Data!$D459)*60)*1,AND(Data!$E459&gt;=12,Data!$E459&lt;=15),((Data!$E459/Data!$D459)*60)*1.2,AND(Data!$E459&gt;=16,Data!$E459&lt;=19),((Data!$E459/Data!$D459)*60)*1.5,Data!$E459&gt;=20,((Data!$E459/Data!$D459)*60)*1.8)</f>
        <v>17.704918032786885</v>
      </c>
      <c r="AT459" s="23" cm="1">
        <f t="array" ref="AT459">_xlfn.IFS(Data!$F459&lt;600,((Data!$F459/Data!$D459)*60)*1,AND(Data!$F459&gt;=600,Data!$F459&lt;=625),((Data!$F459/Data!$D459)*60)*1.2,AND(Data!$F459&gt;=626,Data!$F459&lt;=650),((Data!$F459/Data!$D459)*60)*1.5,Data!$F459&gt;=651,((Data!$F459/Data!$D459)*60)*1.8)</f>
        <v>1211.0163934426228</v>
      </c>
      <c r="AU459" s="23">
        <f>(Data!$I459*-1.2)+(Data!$J459*-1.1)+(Data!$K459*1.2)+(Data!$L459*1.3)+(Data!$M459*1.5)</f>
        <v>11.7</v>
      </c>
      <c r="AV459" s="23">
        <f>(Data!$AS459*0.4)+(Data!$AT459*0.4)+(Data!$AU459*0.2)</f>
        <v>493.82852459016385</v>
      </c>
      <c r="AW459" s="23">
        <f>PERCENTRANK(AV:AV,Data!$AV459)*100</f>
        <v>74</v>
      </c>
      <c r="AX459" s="23" t="str">
        <f>_xlfn.CONCAT(TEXT(C459,"mmm"),"-",Data!$AE459)</f>
        <v>Apr-2023</v>
      </c>
    </row>
    <row r="460" spans="1:50" ht="17" thickTop="1" thickBot="1" x14ac:dyDescent="0.25">
      <c r="A460" s="28">
        <v>459</v>
      </c>
      <c r="B460" s="29">
        <f t="shared" si="58"/>
        <v>15</v>
      </c>
      <c r="C460" s="41">
        <v>45018</v>
      </c>
      <c r="D460" s="30">
        <f>SUM(Data!$I460:$M460)</f>
        <v>56</v>
      </c>
      <c r="E460" s="29">
        <v>13</v>
      </c>
      <c r="F460" s="29">
        <v>618</v>
      </c>
      <c r="G460" s="29">
        <v>170</v>
      </c>
      <c r="H460" s="29">
        <v>126</v>
      </c>
      <c r="I460" s="29">
        <v>13</v>
      </c>
      <c r="J460" s="29">
        <v>13</v>
      </c>
      <c r="K460" s="29">
        <v>17</v>
      </c>
      <c r="L460" s="29">
        <v>12</v>
      </c>
      <c r="M460" s="29">
        <v>1</v>
      </c>
      <c r="N460" s="29" t="s">
        <v>91</v>
      </c>
      <c r="O460" s="29" t="s">
        <v>79</v>
      </c>
      <c r="P460" s="29" t="s">
        <v>100</v>
      </c>
      <c r="Q460" s="29">
        <f t="shared" si="64"/>
        <v>1</v>
      </c>
      <c r="R460" s="29" t="str">
        <f t="shared" si="59"/>
        <v>4-2023</v>
      </c>
      <c r="S460" s="29" t="s">
        <v>117</v>
      </c>
      <c r="T460" s="29" t="str">
        <f t="shared" si="60"/>
        <v>Sunday</v>
      </c>
      <c r="U460" s="29">
        <f t="shared" si="61"/>
        <v>1</v>
      </c>
      <c r="V460" s="31">
        <f>IFERROR(Data!$I460/Data!$D460,"")</f>
        <v>0.23214285714285715</v>
      </c>
      <c r="W460" s="31">
        <f>IFERROR(Data!$J460/Data!$D460,"")</f>
        <v>0.23214285714285715</v>
      </c>
      <c r="X460" s="31">
        <f>IFERROR(Data!$K460/Data!$D460,"")</f>
        <v>0.30357142857142855</v>
      </c>
      <c r="Y460" s="31">
        <f>IFERROR(Data!$L460/Data!$D460,"")</f>
        <v>0.21428571428571427</v>
      </c>
      <c r="Z460" s="31">
        <f>IFERROR(Data!$M460/Data!$D460,"")</f>
        <v>1.7857142857142856E-2</v>
      </c>
      <c r="AA460" s="32">
        <v>232.14</v>
      </c>
      <c r="AB460" s="32">
        <f t="shared" si="57"/>
        <v>15.475999999999999</v>
      </c>
      <c r="AC460" s="29">
        <f t="shared" si="62"/>
        <v>632.6</v>
      </c>
      <c r="AD460" s="29">
        <f t="shared" si="63"/>
        <v>13.733333333333333</v>
      </c>
      <c r="AE460" s="29">
        <f>YEAR(Data!$C460)</f>
        <v>2023</v>
      </c>
      <c r="AF460" s="29"/>
      <c r="AG460" s="29">
        <v>12</v>
      </c>
      <c r="AH460" s="33">
        <f>Data!$F460/Data!$D460</f>
        <v>11.035714285714286</v>
      </c>
      <c r="AI460" s="17" t="str">
        <f>RIGHT(Data!$O460,2)</f>
        <v>AM</v>
      </c>
      <c r="AJ460" s="29" t="str">
        <f>Data!$R460&amp;"-"&amp;WEEKNUM(Data!$C460,1)-WEEKNUM(DATE(YEAR(Data!$C460),MONTH(Data!$C460),1),1)+1</f>
        <v>4-2023-2</v>
      </c>
      <c r="AK460" s="29">
        <f>MONTH(Data!$C460)</f>
        <v>4</v>
      </c>
      <c r="AL460" s="29">
        <f>IFERROR(Data!$F460/Data!$E460,0)</f>
        <v>47.53846153846154</v>
      </c>
      <c r="AM460" s="29">
        <f>COUNTIF(Data!$N$2:$N$825,Data!$N460)</f>
        <v>218</v>
      </c>
      <c r="AN460" s="29" t="str">
        <f>VLOOKUP(Data!$N460,'Helpful Tables'!A:D,4,FALSE)</f>
        <v>Washington, DC</v>
      </c>
      <c r="AO460" s="29">
        <f>COUNTIF(AN:AN,Data!$AN460)/COUNTA(AN:AN)</f>
        <v>0.62424242424242427</v>
      </c>
      <c r="AP460" s="29">
        <v>38.934710000000003</v>
      </c>
      <c r="AQ460" s="29">
        <v>-77.058222999999998</v>
      </c>
      <c r="AR460" s="29">
        <f>COUNTIF(Data!$P$2:$P$825,Data!$P460)</f>
        <v>35</v>
      </c>
      <c r="AS460" s="29" cm="1">
        <f t="array" ref="AS460">_xlfn.IFS(Data!$E460&lt;12,((Data!$E460/Data!$D460)*60)*1,AND(Data!$E460&gt;=12,Data!$E460&lt;=15),((Data!$E460/Data!$D460)*60)*1.2,AND(Data!$E460&gt;=16,Data!$E460&lt;=19),((Data!$E460/Data!$D460)*60)*1.5,Data!$E460&gt;=20,((Data!$E460/Data!$D460)*60)*1.8)</f>
        <v>16.714285714285715</v>
      </c>
      <c r="AT460" s="29" cm="1">
        <f t="array" ref="AT460">_xlfn.IFS(Data!$F460&lt;600,((Data!$F460/Data!$D460)*60)*1,AND(Data!$F460&gt;=600,Data!$F460&lt;=625),((Data!$F460/Data!$D460)*60)*1.2,AND(Data!$F460&gt;=626,Data!$F460&lt;=650),((Data!$F460/Data!$D460)*60)*1.5,Data!$F460&gt;=651,((Data!$F460/Data!$D460)*60)*1.8)</f>
        <v>794.57142857142867</v>
      </c>
      <c r="AU460" s="29">
        <f>(Data!$I460*-1.2)+(Data!$J460*-1.1)+(Data!$K460*1.2)+(Data!$L460*1.3)+(Data!$M460*1.5)</f>
        <v>7.6000000000000014</v>
      </c>
      <c r="AV460" s="29">
        <f>(Data!$AS460*0.4)+(Data!$AT460*0.4)+(Data!$AU460*0.2)</f>
        <v>326.03428571428577</v>
      </c>
      <c r="AW460" s="29">
        <f>PERCENTRANK(AV:AV,Data!$AV460)*100</f>
        <v>40</v>
      </c>
      <c r="AX460" s="29" t="str">
        <f>_xlfn.CONCAT(TEXT(C460,"mmm"),"-",Data!$AE460)</f>
        <v>Apr-2023</v>
      </c>
    </row>
    <row r="461" spans="1:50" ht="17" thickTop="1" thickBot="1" x14ac:dyDescent="0.25">
      <c r="A461" s="22">
        <v>460</v>
      </c>
      <c r="B461" s="23">
        <f t="shared" si="58"/>
        <v>15</v>
      </c>
      <c r="C461" s="41">
        <v>45020</v>
      </c>
      <c r="D461" s="24">
        <f>SUM(Data!$I461:$M461)</f>
        <v>58</v>
      </c>
      <c r="E461" s="23">
        <v>16</v>
      </c>
      <c r="F461" s="23">
        <v>658</v>
      </c>
      <c r="G461" s="23">
        <v>167</v>
      </c>
      <c r="H461" s="23">
        <v>129</v>
      </c>
      <c r="I461" s="23">
        <v>10</v>
      </c>
      <c r="J461" s="23">
        <v>16</v>
      </c>
      <c r="K461" s="23">
        <v>16</v>
      </c>
      <c r="L461" s="23">
        <v>14</v>
      </c>
      <c r="M461" s="23">
        <v>2</v>
      </c>
      <c r="N461" s="23" t="s">
        <v>101</v>
      </c>
      <c r="O461" s="23" t="s">
        <v>173</v>
      </c>
      <c r="P461" s="23" t="s">
        <v>109</v>
      </c>
      <c r="Q461" s="23">
        <f t="shared" si="64"/>
        <v>2</v>
      </c>
      <c r="R461" s="23" t="str">
        <f t="shared" si="59"/>
        <v>4-2023</v>
      </c>
      <c r="S461" s="23" t="s">
        <v>104</v>
      </c>
      <c r="T461" s="23" t="str">
        <f t="shared" si="60"/>
        <v>Tuesday</v>
      </c>
      <c r="U461" s="23">
        <f t="shared" si="61"/>
        <v>1</v>
      </c>
      <c r="V461" s="25">
        <f>IFERROR(Data!$I461/Data!$D461,"")</f>
        <v>0.17241379310344829</v>
      </c>
      <c r="W461" s="25">
        <f>IFERROR(Data!$J461/Data!$D461,"")</f>
        <v>0.27586206896551724</v>
      </c>
      <c r="X461" s="25">
        <f>IFERROR(Data!$K461/Data!$D461,"")</f>
        <v>0.27586206896551724</v>
      </c>
      <c r="Y461" s="25">
        <f>IFERROR(Data!$L461/Data!$D461,"")</f>
        <v>0.2413793103448276</v>
      </c>
      <c r="Z461" s="25">
        <f>IFERROR(Data!$M461/Data!$D461,"")</f>
        <v>3.4482758620689655E-2</v>
      </c>
      <c r="AA461" s="26">
        <v>232.14</v>
      </c>
      <c r="AB461" s="26">
        <f t="shared" si="57"/>
        <v>15.475999999999999</v>
      </c>
      <c r="AC461" s="23">
        <f t="shared" si="62"/>
        <v>632.6</v>
      </c>
      <c r="AD461" s="23">
        <f t="shared" si="63"/>
        <v>13.733333333333333</v>
      </c>
      <c r="AE461" s="23">
        <f>YEAR(Data!$C461)</f>
        <v>2023</v>
      </c>
      <c r="AF461" s="23"/>
      <c r="AG461" s="23">
        <v>12</v>
      </c>
      <c r="AH461" s="27">
        <f>Data!$F461/Data!$D461</f>
        <v>11.344827586206897</v>
      </c>
      <c r="AI461" s="17" t="str">
        <f>RIGHT(Data!$O461,2)</f>
        <v>PM</v>
      </c>
      <c r="AJ461" s="23" t="str">
        <f>Data!$R461&amp;"-"&amp;WEEKNUM(Data!$C461,1)-WEEKNUM(DATE(YEAR(Data!$C461),MONTH(Data!$C461),1),1)+1</f>
        <v>4-2023-2</v>
      </c>
      <c r="AK461" s="23">
        <f>MONTH(Data!$C461)</f>
        <v>4</v>
      </c>
      <c r="AL461" s="23">
        <f>IFERROR(Data!$F461/Data!$E461,0)</f>
        <v>41.125</v>
      </c>
      <c r="AM461" s="23">
        <f>COUNTIF(Data!$N$2:$N$825,Data!$N461)</f>
        <v>191</v>
      </c>
      <c r="AN461" s="23" t="str">
        <f>VLOOKUP(Data!$N461,'Helpful Tables'!A:D,4,FALSE)</f>
        <v>Washington, DC</v>
      </c>
      <c r="AO461" s="23">
        <f>COUNTIF(AN:AN,Data!$AN461)/COUNTA(AN:AN)</f>
        <v>0.62424242424242427</v>
      </c>
      <c r="AP461" s="23">
        <v>38.949649000000001</v>
      </c>
      <c r="AQ461" s="23">
        <v>-77.080878999999996</v>
      </c>
      <c r="AR461" s="23">
        <f>COUNTIF(Data!$P$2:$P$825,Data!$P461)</f>
        <v>66</v>
      </c>
      <c r="AS461" s="23" cm="1">
        <f t="array" ref="AS461">_xlfn.IFS(Data!$E461&lt;12,((Data!$E461/Data!$D461)*60)*1,AND(Data!$E461&gt;=12,Data!$E461&lt;=15),((Data!$E461/Data!$D461)*60)*1.2,AND(Data!$E461&gt;=16,Data!$E461&lt;=19),((Data!$E461/Data!$D461)*60)*1.5,Data!$E461&gt;=20,((Data!$E461/Data!$D461)*60)*1.8)</f>
        <v>24.827586206896555</v>
      </c>
      <c r="AT461" s="23" cm="1">
        <f t="array" ref="AT461">_xlfn.IFS(Data!$F461&lt;600,((Data!$F461/Data!$D461)*60)*1,AND(Data!$F461&gt;=600,Data!$F461&lt;=625),((Data!$F461/Data!$D461)*60)*1.2,AND(Data!$F461&gt;=626,Data!$F461&lt;=650),((Data!$F461/Data!$D461)*60)*1.5,Data!$F461&gt;=651,((Data!$F461/Data!$D461)*60)*1.8)</f>
        <v>1225.2413793103449</v>
      </c>
      <c r="AU461" s="23">
        <f>(Data!$I461*-1.2)+(Data!$J461*-1.1)+(Data!$K461*1.2)+(Data!$L461*1.3)+(Data!$M461*1.5)</f>
        <v>10.799999999999997</v>
      </c>
      <c r="AV461" s="23">
        <f>(Data!$AS461*0.4)+(Data!$AT461*0.4)+(Data!$AU461*0.2)</f>
        <v>502.18758620689658</v>
      </c>
      <c r="AW461" s="23">
        <f>PERCENTRANK(AV:AV,Data!$AV461)*100</f>
        <v>79.2</v>
      </c>
      <c r="AX461" s="23" t="str">
        <f>_xlfn.CONCAT(TEXT(C461,"mmm"),"-",Data!$AE461)</f>
        <v>Apr-2023</v>
      </c>
    </row>
    <row r="462" spans="1:50" ht="17" thickTop="1" thickBot="1" x14ac:dyDescent="0.25">
      <c r="A462" s="28">
        <v>461</v>
      </c>
      <c r="B462" s="29">
        <f t="shared" si="58"/>
        <v>15</v>
      </c>
      <c r="C462" s="41">
        <v>45021</v>
      </c>
      <c r="D462" s="30">
        <f>SUM(Data!$I462:$M462)</f>
        <v>56</v>
      </c>
      <c r="E462" s="29">
        <v>2</v>
      </c>
      <c r="F462" s="29">
        <v>500</v>
      </c>
      <c r="G462" s="29">
        <v>152</v>
      </c>
      <c r="H462" s="29">
        <v>113</v>
      </c>
      <c r="I462" s="29">
        <v>25</v>
      </c>
      <c r="J462" s="29">
        <v>13</v>
      </c>
      <c r="K462" s="29">
        <v>16</v>
      </c>
      <c r="L462" s="29">
        <v>2</v>
      </c>
      <c r="M462" s="29">
        <v>0</v>
      </c>
      <c r="N462" s="29" t="s">
        <v>101</v>
      </c>
      <c r="O462" s="29" t="s">
        <v>173</v>
      </c>
      <c r="P462" s="29" t="s">
        <v>147</v>
      </c>
      <c r="Q462" s="29">
        <f t="shared" si="64"/>
        <v>1</v>
      </c>
      <c r="R462" s="29" t="str">
        <f t="shared" si="59"/>
        <v>4-2023</v>
      </c>
      <c r="S462" s="29" t="s">
        <v>104</v>
      </c>
      <c r="T462" s="29" t="str">
        <f t="shared" si="60"/>
        <v>Wednesday</v>
      </c>
      <c r="U462" s="29">
        <f t="shared" si="61"/>
        <v>0</v>
      </c>
      <c r="V462" s="31">
        <f>IFERROR(Data!$I462/Data!$D462,"")</f>
        <v>0.44642857142857145</v>
      </c>
      <c r="W462" s="31">
        <f>IFERROR(Data!$J462/Data!$D462,"")</f>
        <v>0.23214285714285715</v>
      </c>
      <c r="X462" s="31">
        <f>IFERROR(Data!$K462/Data!$D462,"")</f>
        <v>0.2857142857142857</v>
      </c>
      <c r="Y462" s="31">
        <f>IFERROR(Data!$L462/Data!$D462,"")</f>
        <v>3.5714285714285712E-2</v>
      </c>
      <c r="Z462" s="31">
        <f>IFERROR(Data!$M462/Data!$D462,"")</f>
        <v>0</v>
      </c>
      <c r="AA462" s="32">
        <v>232.14</v>
      </c>
      <c r="AB462" s="32">
        <f t="shared" si="57"/>
        <v>15.475999999999999</v>
      </c>
      <c r="AC462" s="29">
        <f t="shared" si="62"/>
        <v>632.6</v>
      </c>
      <c r="AD462" s="29">
        <f t="shared" si="63"/>
        <v>13.733333333333333</v>
      </c>
      <c r="AE462" s="29">
        <f>YEAR(Data!$C462)</f>
        <v>2023</v>
      </c>
      <c r="AF462" s="29"/>
      <c r="AG462" s="29">
        <v>12</v>
      </c>
      <c r="AH462" s="33">
        <f>Data!$F462/Data!$D462</f>
        <v>8.9285714285714288</v>
      </c>
      <c r="AI462" s="17" t="str">
        <f>RIGHT(Data!$O462,2)</f>
        <v>PM</v>
      </c>
      <c r="AJ462" s="29" t="str">
        <f>Data!$R462&amp;"-"&amp;WEEKNUM(Data!$C462,1)-WEEKNUM(DATE(YEAR(Data!$C462),MONTH(Data!$C462),1),1)+1</f>
        <v>4-2023-2</v>
      </c>
      <c r="AK462" s="29">
        <f>MONTH(Data!$C462)</f>
        <v>4</v>
      </c>
      <c r="AL462" s="29">
        <f>IFERROR(Data!$F462/Data!$E462,0)</f>
        <v>250</v>
      </c>
      <c r="AM462" s="29">
        <f>COUNTIF(Data!$N$2:$N$825,Data!$N462)</f>
        <v>191</v>
      </c>
      <c r="AN462" s="29" t="str">
        <f>VLOOKUP(Data!$N462,'Helpful Tables'!A:D,4,FALSE)</f>
        <v>Washington, DC</v>
      </c>
      <c r="AO462" s="29">
        <f>COUNTIF(AN:AN,Data!$AN462)/COUNTA(AN:AN)</f>
        <v>0.62424242424242427</v>
      </c>
      <c r="AP462" s="29">
        <v>38.949649000000001</v>
      </c>
      <c r="AQ462" s="29">
        <v>-77.080878999999996</v>
      </c>
      <c r="AR462" s="29">
        <f>COUNTIF(Data!$P$2:$P$825,Data!$P462)</f>
        <v>17</v>
      </c>
      <c r="AS462" s="29" cm="1">
        <f t="array" ref="AS462">_xlfn.IFS(Data!$E462&lt;12,((Data!$E462/Data!$D462)*60)*1,AND(Data!$E462&gt;=12,Data!$E462&lt;=15),((Data!$E462/Data!$D462)*60)*1.2,AND(Data!$E462&gt;=16,Data!$E462&lt;=19),((Data!$E462/Data!$D462)*60)*1.5,Data!$E462&gt;=20,((Data!$E462/Data!$D462)*60)*1.8)</f>
        <v>2.1428571428571428</v>
      </c>
      <c r="AT462" s="29" cm="1">
        <f t="array" ref="AT462">_xlfn.IFS(Data!$F462&lt;600,((Data!$F462/Data!$D462)*60)*1,AND(Data!$F462&gt;=600,Data!$F462&lt;=625),((Data!$F462/Data!$D462)*60)*1.2,AND(Data!$F462&gt;=626,Data!$F462&lt;=650),((Data!$F462/Data!$D462)*60)*1.5,Data!$F462&gt;=651,((Data!$F462/Data!$D462)*60)*1.8)</f>
        <v>535.71428571428578</v>
      </c>
      <c r="AU462" s="29">
        <f>(Data!$I462*-1.2)+(Data!$J462*-1.1)+(Data!$K462*1.2)+(Data!$L462*1.3)+(Data!$M462*1.5)</f>
        <v>-22.499999999999996</v>
      </c>
      <c r="AV462" s="29">
        <f>(Data!$AS462*0.4)+(Data!$AT462*0.4)+(Data!$AU462*0.2)</f>
        <v>210.6428571428572</v>
      </c>
      <c r="AW462" s="29">
        <f>PERCENTRANK(AV:AV,Data!$AV462)*100</f>
        <v>1.7999999999999998</v>
      </c>
      <c r="AX462" s="29" t="str">
        <f>_xlfn.CONCAT(TEXT(C462,"mmm"),"-",Data!$AE462)</f>
        <v>Apr-2023</v>
      </c>
    </row>
    <row r="463" spans="1:50" ht="17" thickTop="1" thickBot="1" x14ac:dyDescent="0.25">
      <c r="A463" s="22">
        <v>462</v>
      </c>
      <c r="B463" s="23">
        <f t="shared" si="58"/>
        <v>15</v>
      </c>
      <c r="C463" s="41">
        <v>45023</v>
      </c>
      <c r="D463" s="24">
        <f>SUM(Data!$I463:$M463)</f>
        <v>59</v>
      </c>
      <c r="E463" s="23">
        <v>15</v>
      </c>
      <c r="F463" s="23">
        <v>616</v>
      </c>
      <c r="G463" s="23">
        <v>165</v>
      </c>
      <c r="H463" s="23">
        <v>122</v>
      </c>
      <c r="I463" s="23">
        <v>25</v>
      </c>
      <c r="J463" s="23">
        <v>6</v>
      </c>
      <c r="K463" s="23">
        <v>13</v>
      </c>
      <c r="L463" s="23">
        <v>14</v>
      </c>
      <c r="M463" s="23">
        <v>1</v>
      </c>
      <c r="N463" s="23" t="s">
        <v>91</v>
      </c>
      <c r="O463" s="23" t="s">
        <v>57</v>
      </c>
      <c r="P463" s="23" t="s">
        <v>96</v>
      </c>
      <c r="Q463" s="23">
        <f t="shared" si="64"/>
        <v>2</v>
      </c>
      <c r="R463" s="23" t="str">
        <f t="shared" si="59"/>
        <v>4-2023</v>
      </c>
      <c r="S463" s="23" t="s">
        <v>104</v>
      </c>
      <c r="T463" s="23" t="str">
        <f t="shared" si="60"/>
        <v>Friday</v>
      </c>
      <c r="U463" s="23">
        <f t="shared" si="61"/>
        <v>1</v>
      </c>
      <c r="V463" s="25">
        <f>IFERROR(Data!$I463/Data!$D463,"")</f>
        <v>0.42372881355932202</v>
      </c>
      <c r="W463" s="25">
        <f>IFERROR(Data!$J463/Data!$D463,"")</f>
        <v>0.10169491525423729</v>
      </c>
      <c r="X463" s="25">
        <f>IFERROR(Data!$K463/Data!$D463,"")</f>
        <v>0.22033898305084745</v>
      </c>
      <c r="Y463" s="25">
        <f>IFERROR(Data!$L463/Data!$D463,"")</f>
        <v>0.23728813559322035</v>
      </c>
      <c r="Z463" s="25">
        <f>IFERROR(Data!$M463/Data!$D463,"")</f>
        <v>1.6949152542372881E-2</v>
      </c>
      <c r="AA463" s="26">
        <v>232.14</v>
      </c>
      <c r="AB463" s="26">
        <f t="shared" si="57"/>
        <v>15.475999999999999</v>
      </c>
      <c r="AC463" s="23">
        <f t="shared" si="62"/>
        <v>632.6</v>
      </c>
      <c r="AD463" s="23">
        <f t="shared" si="63"/>
        <v>13.733333333333333</v>
      </c>
      <c r="AE463" s="23">
        <f>YEAR(Data!$C463)</f>
        <v>2023</v>
      </c>
      <c r="AF463" s="23"/>
      <c r="AG463" s="23">
        <v>12</v>
      </c>
      <c r="AH463" s="27">
        <f>Data!$F463/Data!$D463</f>
        <v>10.440677966101696</v>
      </c>
      <c r="AI463" s="17" t="str">
        <f>RIGHT(Data!$O463,2)</f>
        <v>PM</v>
      </c>
      <c r="AJ463" s="23" t="str">
        <f>Data!$R463&amp;"-"&amp;WEEKNUM(Data!$C463,1)-WEEKNUM(DATE(YEAR(Data!$C463),MONTH(Data!$C463),1),1)+1</f>
        <v>4-2023-2</v>
      </c>
      <c r="AK463" s="23">
        <f>MONTH(Data!$C463)</f>
        <v>4</v>
      </c>
      <c r="AL463" s="23">
        <f>IFERROR(Data!$F463/Data!$E463,0)</f>
        <v>41.06666666666667</v>
      </c>
      <c r="AM463" s="23">
        <f>COUNTIF(Data!$N$2:$N$825,Data!$N463)</f>
        <v>218</v>
      </c>
      <c r="AN463" s="23" t="str">
        <f>VLOOKUP(Data!$N463,'Helpful Tables'!A:D,4,FALSE)</f>
        <v>Washington, DC</v>
      </c>
      <c r="AO463" s="23">
        <f>COUNTIF(AN:AN,Data!$AN463)/COUNTA(AN:AN)</f>
        <v>0.62424242424242427</v>
      </c>
      <c r="AP463" s="23">
        <v>38.934710000000003</v>
      </c>
      <c r="AQ463" s="23">
        <v>-77.058222999999998</v>
      </c>
      <c r="AR463" s="23">
        <f>COUNTIF(Data!$P$2:$P$825,Data!$P463)</f>
        <v>71</v>
      </c>
      <c r="AS463" s="23" cm="1">
        <f t="array" ref="AS463">_xlfn.IFS(Data!$E463&lt;12,((Data!$E463/Data!$D463)*60)*1,AND(Data!$E463&gt;=12,Data!$E463&lt;=15),((Data!$E463/Data!$D463)*60)*1.2,AND(Data!$E463&gt;=16,Data!$E463&lt;=19),((Data!$E463/Data!$D463)*60)*1.5,Data!$E463&gt;=20,((Data!$E463/Data!$D463)*60)*1.8)</f>
        <v>18.305084745762709</v>
      </c>
      <c r="AT463" s="23" cm="1">
        <f t="array" ref="AT463">_xlfn.IFS(Data!$F463&lt;600,((Data!$F463/Data!$D463)*60)*1,AND(Data!$F463&gt;=600,Data!$F463&lt;=625),((Data!$F463/Data!$D463)*60)*1.2,AND(Data!$F463&gt;=626,Data!$F463&lt;=650),((Data!$F463/Data!$D463)*60)*1.5,Data!$F463&gt;=651,((Data!$F463/Data!$D463)*60)*1.8)</f>
        <v>751.72881355932202</v>
      </c>
      <c r="AU463" s="23">
        <f>(Data!$I463*-1.2)+(Data!$J463*-1.1)+(Data!$K463*1.2)+(Data!$L463*1.3)+(Data!$M463*1.5)</f>
        <v>-1.3000000000000007</v>
      </c>
      <c r="AV463" s="23">
        <f>(Data!$AS463*0.4)+(Data!$AT463*0.4)+(Data!$AU463*0.2)</f>
        <v>307.75355932203394</v>
      </c>
      <c r="AW463" s="23">
        <f>PERCENTRANK(AV:AV,Data!$AV463)*100</f>
        <v>29.799999999999997</v>
      </c>
      <c r="AX463" s="23" t="str">
        <f>_xlfn.CONCAT(TEXT(C463,"mmm"),"-",Data!$AE463)</f>
        <v>Apr-2023</v>
      </c>
    </row>
    <row r="464" spans="1:50" ht="17" thickTop="1" thickBot="1" x14ac:dyDescent="0.25">
      <c r="A464" s="28">
        <v>463</v>
      </c>
      <c r="B464" s="29">
        <f t="shared" si="58"/>
        <v>15</v>
      </c>
      <c r="C464" s="41">
        <v>45025</v>
      </c>
      <c r="D464" s="30">
        <f>SUM(Data!$I464:$M464)</f>
        <v>59</v>
      </c>
      <c r="E464" s="29">
        <v>14</v>
      </c>
      <c r="F464" s="29">
        <v>636</v>
      </c>
      <c r="G464" s="29">
        <v>167</v>
      </c>
      <c r="H464" s="29">
        <v>125</v>
      </c>
      <c r="I464" s="29">
        <v>17</v>
      </c>
      <c r="J464" s="29">
        <v>11</v>
      </c>
      <c r="K464" s="29">
        <v>17</v>
      </c>
      <c r="L464" s="29">
        <v>12</v>
      </c>
      <c r="M464" s="29">
        <v>2</v>
      </c>
      <c r="N464" s="29" t="s">
        <v>101</v>
      </c>
      <c r="O464" s="29" t="s">
        <v>93</v>
      </c>
      <c r="P464" s="29" t="s">
        <v>155</v>
      </c>
      <c r="Q464" s="29">
        <f t="shared" si="64"/>
        <v>2</v>
      </c>
      <c r="R464" s="29" t="str">
        <f t="shared" si="59"/>
        <v>4-2023</v>
      </c>
      <c r="S464" s="29" t="s">
        <v>117</v>
      </c>
      <c r="T464" s="29" t="str">
        <f t="shared" si="60"/>
        <v>Sunday</v>
      </c>
      <c r="U464" s="29">
        <f t="shared" si="61"/>
        <v>1</v>
      </c>
      <c r="V464" s="31">
        <f>IFERROR(Data!$I464/Data!$D464,"")</f>
        <v>0.28813559322033899</v>
      </c>
      <c r="W464" s="31">
        <f>IFERROR(Data!$J464/Data!$D464,"")</f>
        <v>0.1864406779661017</v>
      </c>
      <c r="X464" s="31">
        <f>IFERROR(Data!$K464/Data!$D464,"")</f>
        <v>0.28813559322033899</v>
      </c>
      <c r="Y464" s="31">
        <f>IFERROR(Data!$L464/Data!$D464,"")</f>
        <v>0.20338983050847459</v>
      </c>
      <c r="Z464" s="31">
        <f>IFERROR(Data!$M464/Data!$D464,"")</f>
        <v>3.3898305084745763E-2</v>
      </c>
      <c r="AA464" s="32">
        <v>232.14</v>
      </c>
      <c r="AB464" s="32">
        <f t="shared" ref="AB464:AB527" si="65">AA464/B464</f>
        <v>15.475999999999999</v>
      </c>
      <c r="AC464" s="29">
        <f t="shared" si="62"/>
        <v>632.6</v>
      </c>
      <c r="AD464" s="29">
        <f t="shared" si="63"/>
        <v>13.733333333333333</v>
      </c>
      <c r="AE464" s="29">
        <f>YEAR(Data!$C464)</f>
        <v>2023</v>
      </c>
      <c r="AF464" s="29"/>
      <c r="AG464" s="29">
        <v>12</v>
      </c>
      <c r="AH464" s="33">
        <f>Data!$F464/Data!$D464</f>
        <v>10.779661016949152</v>
      </c>
      <c r="AI464" s="17" t="str">
        <f>RIGHT(Data!$O464,2)</f>
        <v>AM</v>
      </c>
      <c r="AJ464" s="29" t="str">
        <f>Data!$R464&amp;"-"&amp;WEEKNUM(Data!$C464,1)-WEEKNUM(DATE(YEAR(Data!$C464),MONTH(Data!$C464),1),1)+1</f>
        <v>4-2023-3</v>
      </c>
      <c r="AK464" s="29">
        <f>MONTH(Data!$C464)</f>
        <v>4</v>
      </c>
      <c r="AL464" s="29">
        <f>IFERROR(Data!$F464/Data!$E464,0)</f>
        <v>45.428571428571431</v>
      </c>
      <c r="AM464" s="29">
        <f>COUNTIF(Data!$N$2:$N$825,Data!$N464)</f>
        <v>191</v>
      </c>
      <c r="AN464" s="29" t="str">
        <f>VLOOKUP(Data!$N464,'Helpful Tables'!A:D,4,FALSE)</f>
        <v>Washington, DC</v>
      </c>
      <c r="AO464" s="29">
        <f>COUNTIF(AN:AN,Data!$AN464)/COUNTA(AN:AN)</f>
        <v>0.62424242424242427</v>
      </c>
      <c r="AP464" s="29">
        <v>38.949649000000001</v>
      </c>
      <c r="AQ464" s="29">
        <v>-77.080878999999996</v>
      </c>
      <c r="AR464" s="29">
        <f>COUNTIF(Data!$P$2:$P$825,Data!$P464)</f>
        <v>13</v>
      </c>
      <c r="AS464" s="29" cm="1">
        <f t="array" ref="AS464">_xlfn.IFS(Data!$E464&lt;12,((Data!$E464/Data!$D464)*60)*1,AND(Data!$E464&gt;=12,Data!$E464&lt;=15),((Data!$E464/Data!$D464)*60)*1.2,AND(Data!$E464&gt;=16,Data!$E464&lt;=19),((Data!$E464/Data!$D464)*60)*1.5,Data!$E464&gt;=20,((Data!$E464/Data!$D464)*60)*1.8)</f>
        <v>17.084745762711865</v>
      </c>
      <c r="AT464" s="29" cm="1">
        <f t="array" ref="AT464">_xlfn.IFS(Data!$F464&lt;600,((Data!$F464/Data!$D464)*60)*1,AND(Data!$F464&gt;=600,Data!$F464&lt;=625),((Data!$F464/Data!$D464)*60)*1.2,AND(Data!$F464&gt;=626,Data!$F464&lt;=650),((Data!$F464/Data!$D464)*60)*1.5,Data!$F464&gt;=651,((Data!$F464/Data!$D464)*60)*1.8)</f>
        <v>970.16949152542372</v>
      </c>
      <c r="AU464" s="29">
        <f>(Data!$I464*-1.2)+(Data!$J464*-1.1)+(Data!$K464*1.2)+(Data!$L464*1.3)+(Data!$M464*1.5)</f>
        <v>6.5</v>
      </c>
      <c r="AV464" s="29">
        <f>(Data!$AS464*0.4)+(Data!$AT464*0.4)+(Data!$AU464*0.2)</f>
        <v>396.20169491525428</v>
      </c>
      <c r="AW464" s="29">
        <f>PERCENTRANK(AV:AV,Data!$AV464)*100</f>
        <v>50.4</v>
      </c>
      <c r="AX464" s="29" t="str">
        <f>_xlfn.CONCAT(TEXT(C464,"mmm"),"-",Data!$AE464)</f>
        <v>Apr-2023</v>
      </c>
    </row>
    <row r="465" spans="1:50" ht="17" thickTop="1" thickBot="1" x14ac:dyDescent="0.25">
      <c r="A465" s="22">
        <v>464</v>
      </c>
      <c r="B465" s="23">
        <f t="shared" si="58"/>
        <v>15</v>
      </c>
      <c r="C465" s="41">
        <v>45028</v>
      </c>
      <c r="D465" s="24">
        <f>SUM(Data!$I465:$M465)</f>
        <v>58</v>
      </c>
      <c r="E465" s="23">
        <v>14</v>
      </c>
      <c r="F465" s="23">
        <v>675</v>
      </c>
      <c r="G465" s="23">
        <v>169</v>
      </c>
      <c r="H465" s="23">
        <v>129</v>
      </c>
      <c r="I465" s="23">
        <v>12</v>
      </c>
      <c r="J465" s="23">
        <v>10</v>
      </c>
      <c r="K465" s="23">
        <v>22</v>
      </c>
      <c r="L465" s="23">
        <v>13</v>
      </c>
      <c r="M465" s="23">
        <v>1</v>
      </c>
      <c r="N465" s="23" t="s">
        <v>101</v>
      </c>
      <c r="O465" s="23" t="s">
        <v>173</v>
      </c>
      <c r="P465" s="23" t="s">
        <v>147</v>
      </c>
      <c r="Q465" s="23">
        <f t="shared" si="64"/>
        <v>3</v>
      </c>
      <c r="R465" s="23" t="str">
        <f t="shared" si="59"/>
        <v>4-2023</v>
      </c>
      <c r="S465" s="23" t="s">
        <v>104</v>
      </c>
      <c r="T465" s="23" t="str">
        <f t="shared" si="60"/>
        <v>Wednesday</v>
      </c>
      <c r="U465" s="23">
        <f t="shared" si="61"/>
        <v>1</v>
      </c>
      <c r="V465" s="25">
        <f>IFERROR(Data!$I465/Data!$D465,"")</f>
        <v>0.20689655172413793</v>
      </c>
      <c r="W465" s="25">
        <f>IFERROR(Data!$J465/Data!$D465,"")</f>
        <v>0.17241379310344829</v>
      </c>
      <c r="X465" s="25">
        <f>IFERROR(Data!$K465/Data!$D465,"")</f>
        <v>0.37931034482758619</v>
      </c>
      <c r="Y465" s="25">
        <f>IFERROR(Data!$L465/Data!$D465,"")</f>
        <v>0.22413793103448276</v>
      </c>
      <c r="Z465" s="25">
        <f>IFERROR(Data!$M465/Data!$D465,"")</f>
        <v>1.7241379310344827E-2</v>
      </c>
      <c r="AA465" s="26">
        <v>232.14</v>
      </c>
      <c r="AB465" s="26">
        <f t="shared" si="65"/>
        <v>15.475999999999999</v>
      </c>
      <c r="AC465" s="23">
        <f t="shared" si="62"/>
        <v>632.6</v>
      </c>
      <c r="AD465" s="23">
        <f t="shared" si="63"/>
        <v>13.733333333333333</v>
      </c>
      <c r="AE465" s="23">
        <f>YEAR(Data!$C465)</f>
        <v>2023</v>
      </c>
      <c r="AF465" s="23"/>
      <c r="AG465" s="23">
        <v>12</v>
      </c>
      <c r="AH465" s="27">
        <f>Data!$F465/Data!$D465</f>
        <v>11.637931034482758</v>
      </c>
      <c r="AI465" s="17" t="str">
        <f>RIGHT(Data!$O465,2)</f>
        <v>PM</v>
      </c>
      <c r="AJ465" s="23" t="str">
        <f>Data!$R465&amp;"-"&amp;WEEKNUM(Data!$C465,1)-WEEKNUM(DATE(YEAR(Data!$C465),MONTH(Data!$C465),1),1)+1</f>
        <v>4-2023-3</v>
      </c>
      <c r="AK465" s="23">
        <f>MONTH(Data!$C465)</f>
        <v>4</v>
      </c>
      <c r="AL465" s="23">
        <f>IFERROR(Data!$F465/Data!$E465,0)</f>
        <v>48.214285714285715</v>
      </c>
      <c r="AM465" s="23">
        <f>COUNTIF(Data!$N$2:$N$825,Data!$N465)</f>
        <v>191</v>
      </c>
      <c r="AN465" s="23" t="str">
        <f>VLOOKUP(Data!$N465,'Helpful Tables'!A:D,4,FALSE)</f>
        <v>Washington, DC</v>
      </c>
      <c r="AO465" s="23">
        <f>COUNTIF(AN:AN,Data!$AN465)/COUNTA(AN:AN)</f>
        <v>0.62424242424242427</v>
      </c>
      <c r="AP465" s="23">
        <v>38.949649000000001</v>
      </c>
      <c r="AQ465" s="23">
        <v>-77.080878999999996</v>
      </c>
      <c r="AR465" s="23">
        <f>COUNTIF(Data!$P$2:$P$825,Data!$P465)</f>
        <v>17</v>
      </c>
      <c r="AS465" s="23" cm="1">
        <f t="array" ref="AS465">_xlfn.IFS(Data!$E465&lt;12,((Data!$E465/Data!$D465)*60)*1,AND(Data!$E465&gt;=12,Data!$E465&lt;=15),((Data!$E465/Data!$D465)*60)*1.2,AND(Data!$E465&gt;=16,Data!$E465&lt;=19),((Data!$E465/Data!$D465)*60)*1.5,Data!$E465&gt;=20,((Data!$E465/Data!$D465)*60)*1.8)</f>
        <v>17.379310344827587</v>
      </c>
      <c r="AT465" s="23" cm="1">
        <f t="array" ref="AT465">_xlfn.IFS(Data!$F465&lt;600,((Data!$F465/Data!$D465)*60)*1,AND(Data!$F465&gt;=600,Data!$F465&lt;=625),((Data!$F465/Data!$D465)*60)*1.2,AND(Data!$F465&gt;=626,Data!$F465&lt;=650),((Data!$F465/Data!$D465)*60)*1.5,Data!$F465&gt;=651,((Data!$F465/Data!$D465)*60)*1.8)</f>
        <v>1256.8965517241379</v>
      </c>
      <c r="AU465" s="23">
        <f>(Data!$I465*-1.2)+(Data!$J465*-1.1)+(Data!$K465*1.2)+(Data!$L465*1.3)+(Data!$M465*1.5)</f>
        <v>19.400000000000002</v>
      </c>
      <c r="AV465" s="23">
        <f>(Data!$AS465*0.4)+(Data!$AT465*0.4)+(Data!$AU465*0.2)</f>
        <v>513.59034482758625</v>
      </c>
      <c r="AW465" s="23">
        <f>PERCENTRANK(AV:AV,Data!$AV465)*100</f>
        <v>86.4</v>
      </c>
      <c r="AX465" s="23" t="str">
        <f>_xlfn.CONCAT(TEXT(C465,"mmm"),"-",Data!$AE465)</f>
        <v>Apr-2023</v>
      </c>
    </row>
    <row r="466" spans="1:50" ht="17" thickTop="1" thickBot="1" x14ac:dyDescent="0.25">
      <c r="A466" s="28">
        <v>465</v>
      </c>
      <c r="B466" s="29">
        <f t="shared" si="58"/>
        <v>15</v>
      </c>
      <c r="C466" s="41">
        <v>45030</v>
      </c>
      <c r="D466" s="30">
        <f>SUM(Data!$I466:$M466)</f>
        <v>57</v>
      </c>
      <c r="E466" s="29">
        <v>13</v>
      </c>
      <c r="F466" s="29">
        <v>599</v>
      </c>
      <c r="G466" s="29">
        <v>166</v>
      </c>
      <c r="H466" s="29">
        <v>123</v>
      </c>
      <c r="I466" s="29">
        <v>19</v>
      </c>
      <c r="J466" s="29">
        <v>9</v>
      </c>
      <c r="K466" s="29">
        <v>16</v>
      </c>
      <c r="L466" s="29">
        <v>12</v>
      </c>
      <c r="M466" s="29">
        <v>1</v>
      </c>
      <c r="N466" s="29" t="s">
        <v>91</v>
      </c>
      <c r="O466" s="29" t="s">
        <v>57</v>
      </c>
      <c r="P466" s="29" t="s">
        <v>96</v>
      </c>
      <c r="Q466" s="29">
        <f t="shared" si="64"/>
        <v>2</v>
      </c>
      <c r="R466" s="29" t="str">
        <f t="shared" si="59"/>
        <v>4-2023</v>
      </c>
      <c r="S466" s="29" t="s">
        <v>104</v>
      </c>
      <c r="T466" s="29" t="str">
        <f t="shared" si="60"/>
        <v>Friday</v>
      </c>
      <c r="U466" s="29">
        <f t="shared" si="61"/>
        <v>1</v>
      </c>
      <c r="V466" s="31">
        <f>IFERROR(Data!$I466/Data!$D466,"")</f>
        <v>0.33333333333333331</v>
      </c>
      <c r="W466" s="31">
        <f>IFERROR(Data!$J466/Data!$D466,"")</f>
        <v>0.15789473684210525</v>
      </c>
      <c r="X466" s="31">
        <f>IFERROR(Data!$K466/Data!$D466,"")</f>
        <v>0.2807017543859649</v>
      </c>
      <c r="Y466" s="31">
        <f>IFERROR(Data!$L466/Data!$D466,"")</f>
        <v>0.21052631578947367</v>
      </c>
      <c r="Z466" s="31">
        <f>IFERROR(Data!$M466/Data!$D466,"")</f>
        <v>1.7543859649122806E-2</v>
      </c>
      <c r="AA466" s="32">
        <v>232.14</v>
      </c>
      <c r="AB466" s="32">
        <f t="shared" si="65"/>
        <v>15.475999999999999</v>
      </c>
      <c r="AC466" s="29">
        <f t="shared" si="62"/>
        <v>632.6</v>
      </c>
      <c r="AD466" s="29">
        <f t="shared" si="63"/>
        <v>13.733333333333333</v>
      </c>
      <c r="AE466" s="29">
        <f>YEAR(Data!$C466)</f>
        <v>2023</v>
      </c>
      <c r="AF466" s="29"/>
      <c r="AG466" s="29">
        <v>12</v>
      </c>
      <c r="AH466" s="33">
        <f>Data!$F466/Data!$D466</f>
        <v>10.508771929824562</v>
      </c>
      <c r="AI466" s="17" t="str">
        <f>RIGHT(Data!$O466,2)</f>
        <v>PM</v>
      </c>
      <c r="AJ466" s="29" t="str">
        <f>Data!$R466&amp;"-"&amp;WEEKNUM(Data!$C466,1)-WEEKNUM(DATE(YEAR(Data!$C466),MONTH(Data!$C466),1),1)+1</f>
        <v>4-2023-3</v>
      </c>
      <c r="AK466" s="29">
        <f>MONTH(Data!$C466)</f>
        <v>4</v>
      </c>
      <c r="AL466" s="29">
        <f>IFERROR(Data!$F466/Data!$E466,0)</f>
        <v>46.07692307692308</v>
      </c>
      <c r="AM466" s="29">
        <f>COUNTIF(Data!$N$2:$N$825,Data!$N466)</f>
        <v>218</v>
      </c>
      <c r="AN466" s="29" t="str">
        <f>VLOOKUP(Data!$N466,'Helpful Tables'!A:D,4,FALSE)</f>
        <v>Washington, DC</v>
      </c>
      <c r="AO466" s="29">
        <f>COUNTIF(AN:AN,Data!$AN466)/COUNTA(AN:AN)</f>
        <v>0.62424242424242427</v>
      </c>
      <c r="AP466" s="29">
        <v>38.934710000000003</v>
      </c>
      <c r="AQ466" s="29">
        <v>-77.058222999999998</v>
      </c>
      <c r="AR466" s="29">
        <f>COUNTIF(Data!$P$2:$P$825,Data!$P466)</f>
        <v>71</v>
      </c>
      <c r="AS466" s="29" cm="1">
        <f t="array" ref="AS466">_xlfn.IFS(Data!$E466&lt;12,((Data!$E466/Data!$D466)*60)*1,AND(Data!$E466&gt;=12,Data!$E466&lt;=15),((Data!$E466/Data!$D466)*60)*1.2,AND(Data!$E466&gt;=16,Data!$E466&lt;=19),((Data!$E466/Data!$D466)*60)*1.5,Data!$E466&gt;=20,((Data!$E466/Data!$D466)*60)*1.8)</f>
        <v>16.421052631578945</v>
      </c>
      <c r="AT466" s="29" cm="1">
        <f t="array" ref="AT466">_xlfn.IFS(Data!$F466&lt;600,((Data!$F466/Data!$D466)*60)*1,AND(Data!$F466&gt;=600,Data!$F466&lt;=625),((Data!$F466/Data!$D466)*60)*1.2,AND(Data!$F466&gt;=626,Data!$F466&lt;=650),((Data!$F466/Data!$D466)*60)*1.5,Data!$F466&gt;=651,((Data!$F466/Data!$D466)*60)*1.8)</f>
        <v>630.52631578947376</v>
      </c>
      <c r="AU466" s="29">
        <f>(Data!$I466*-1.2)+(Data!$J466*-1.1)+(Data!$K466*1.2)+(Data!$L466*1.3)+(Data!$M466*1.5)</f>
        <v>3.5999999999999979</v>
      </c>
      <c r="AV466" s="29">
        <f>(Data!$AS466*0.4)+(Data!$AT466*0.4)+(Data!$AU466*0.2)</f>
        <v>259.49894736842111</v>
      </c>
      <c r="AW466" s="29">
        <f>PERCENTRANK(AV:AV,Data!$AV466)*100</f>
        <v>20.599999999999998</v>
      </c>
      <c r="AX466" s="29" t="str">
        <f>_xlfn.CONCAT(TEXT(C466,"mmm"),"-",Data!$AE466)</f>
        <v>Apr-2023</v>
      </c>
    </row>
    <row r="467" spans="1:50" ht="17" thickTop="1" thickBot="1" x14ac:dyDescent="0.25">
      <c r="A467" s="22">
        <v>466</v>
      </c>
      <c r="B467" s="23">
        <f t="shared" si="58"/>
        <v>15</v>
      </c>
      <c r="C467" s="41">
        <v>45032</v>
      </c>
      <c r="D467" s="24">
        <f>SUM(Data!$I467:$M467)</f>
        <v>58</v>
      </c>
      <c r="E467" s="23">
        <v>13</v>
      </c>
      <c r="F467" s="23">
        <v>610</v>
      </c>
      <c r="G467" s="23">
        <v>164</v>
      </c>
      <c r="H467" s="23">
        <v>124</v>
      </c>
      <c r="I467" s="23">
        <v>18</v>
      </c>
      <c r="J467" s="23">
        <v>13</v>
      </c>
      <c r="K467" s="23">
        <v>14</v>
      </c>
      <c r="L467" s="23">
        <v>12</v>
      </c>
      <c r="M467" s="23">
        <v>1</v>
      </c>
      <c r="N467" s="23" t="s">
        <v>101</v>
      </c>
      <c r="O467" s="23" t="s">
        <v>93</v>
      </c>
      <c r="P467" s="23" t="s">
        <v>168</v>
      </c>
      <c r="Q467" s="23">
        <f t="shared" si="64"/>
        <v>2</v>
      </c>
      <c r="R467" s="23" t="str">
        <f t="shared" si="59"/>
        <v>4-2023</v>
      </c>
      <c r="S467" s="23" t="s">
        <v>117</v>
      </c>
      <c r="T467" s="23" t="str">
        <f t="shared" si="60"/>
        <v>Sunday</v>
      </c>
      <c r="U467" s="23">
        <f t="shared" si="61"/>
        <v>1</v>
      </c>
      <c r="V467" s="25">
        <f>IFERROR(Data!$I467/Data!$D467,"")</f>
        <v>0.31034482758620691</v>
      </c>
      <c r="W467" s="25">
        <f>IFERROR(Data!$J467/Data!$D467,"")</f>
        <v>0.22413793103448276</v>
      </c>
      <c r="X467" s="25">
        <f>IFERROR(Data!$K467/Data!$D467,"")</f>
        <v>0.2413793103448276</v>
      </c>
      <c r="Y467" s="25">
        <f>IFERROR(Data!$L467/Data!$D467,"")</f>
        <v>0.20689655172413793</v>
      </c>
      <c r="Z467" s="25">
        <f>IFERROR(Data!$M467/Data!$D467,"")</f>
        <v>1.7241379310344827E-2</v>
      </c>
      <c r="AA467" s="26">
        <v>232.14</v>
      </c>
      <c r="AB467" s="26">
        <f t="shared" si="65"/>
        <v>15.475999999999999</v>
      </c>
      <c r="AC467" s="23">
        <f t="shared" si="62"/>
        <v>632.6</v>
      </c>
      <c r="AD467" s="23">
        <f t="shared" si="63"/>
        <v>13.733333333333333</v>
      </c>
      <c r="AE467" s="23">
        <f>YEAR(Data!$C467)</f>
        <v>2023</v>
      </c>
      <c r="AF467" s="23"/>
      <c r="AG467" s="23">
        <v>12</v>
      </c>
      <c r="AH467" s="27">
        <f>Data!$F467/Data!$D467</f>
        <v>10.517241379310345</v>
      </c>
      <c r="AI467" s="17" t="str">
        <f>RIGHT(Data!$O467,2)</f>
        <v>AM</v>
      </c>
      <c r="AJ467" s="23" t="str">
        <f>Data!$R467&amp;"-"&amp;WEEKNUM(Data!$C467,1)-WEEKNUM(DATE(YEAR(Data!$C467),MONTH(Data!$C467),1),1)+1</f>
        <v>4-2023-4</v>
      </c>
      <c r="AK467" s="23">
        <f>MONTH(Data!$C467)</f>
        <v>4</v>
      </c>
      <c r="AL467" s="23">
        <f>IFERROR(Data!$F467/Data!$E467,0)</f>
        <v>46.92307692307692</v>
      </c>
      <c r="AM467" s="23">
        <f>COUNTIF(Data!$N$2:$N$825,Data!$N467)</f>
        <v>191</v>
      </c>
      <c r="AN467" s="23" t="str">
        <f>VLOOKUP(Data!$N467,'Helpful Tables'!A:D,4,FALSE)</f>
        <v>Washington, DC</v>
      </c>
      <c r="AO467" s="23">
        <f>COUNTIF(AN:AN,Data!$AN467)/COUNTA(AN:AN)</f>
        <v>0.62424242424242427</v>
      </c>
      <c r="AP467" s="23">
        <v>38.949649000000001</v>
      </c>
      <c r="AQ467" s="23">
        <v>-77.080878999999996</v>
      </c>
      <c r="AR467" s="23">
        <f>COUNTIF(Data!$P$2:$P$825,Data!$P467)</f>
        <v>12</v>
      </c>
      <c r="AS467" s="23" cm="1">
        <f t="array" ref="AS467">_xlfn.IFS(Data!$E467&lt;12,((Data!$E467/Data!$D467)*60)*1,AND(Data!$E467&gt;=12,Data!$E467&lt;=15),((Data!$E467/Data!$D467)*60)*1.2,AND(Data!$E467&gt;=16,Data!$E467&lt;=19),((Data!$E467/Data!$D467)*60)*1.5,Data!$E467&gt;=20,((Data!$E467/Data!$D467)*60)*1.8)</f>
        <v>16.137931034482758</v>
      </c>
      <c r="AT467" s="23" cm="1">
        <f t="array" ref="AT467">_xlfn.IFS(Data!$F467&lt;600,((Data!$F467/Data!$D467)*60)*1,AND(Data!$F467&gt;=600,Data!$F467&lt;=625),((Data!$F467/Data!$D467)*60)*1.2,AND(Data!$F467&gt;=626,Data!$F467&lt;=650),((Data!$F467/Data!$D467)*60)*1.5,Data!$F467&gt;=651,((Data!$F467/Data!$D467)*60)*1.8)</f>
        <v>757.24137931034477</v>
      </c>
      <c r="AU467" s="23">
        <f>(Data!$I467*-1.2)+(Data!$J467*-1.1)+(Data!$K467*1.2)+(Data!$L467*1.3)+(Data!$M467*1.5)</f>
        <v>-1.9999999999999964</v>
      </c>
      <c r="AV467" s="23">
        <f>(Data!$AS467*0.4)+(Data!$AT467*0.4)+(Data!$AU467*0.2)</f>
        <v>308.95172413793102</v>
      </c>
      <c r="AW467" s="23">
        <f>PERCENTRANK(AV:AV,Data!$AV467)*100</f>
        <v>30.5</v>
      </c>
      <c r="AX467" s="23" t="str">
        <f>_xlfn.CONCAT(TEXT(C467,"mmm"),"-",Data!$AE467)</f>
        <v>Apr-2023</v>
      </c>
    </row>
    <row r="468" spans="1:50" ht="17" thickTop="1" thickBot="1" x14ac:dyDescent="0.25">
      <c r="A468" s="28">
        <v>467</v>
      </c>
      <c r="B468" s="29">
        <f t="shared" si="58"/>
        <v>15</v>
      </c>
      <c r="C468" s="41">
        <v>45035</v>
      </c>
      <c r="D468" s="30">
        <f>SUM(Data!$I468:$M468)</f>
        <v>58</v>
      </c>
      <c r="E468" s="29">
        <v>17</v>
      </c>
      <c r="F468" s="29">
        <v>681</v>
      </c>
      <c r="G468" s="29">
        <v>170</v>
      </c>
      <c r="H468" s="29">
        <v>132</v>
      </c>
      <c r="I468" s="29">
        <v>6</v>
      </c>
      <c r="J468" s="29">
        <v>14</v>
      </c>
      <c r="K468" s="29">
        <v>21</v>
      </c>
      <c r="L468" s="29">
        <v>14</v>
      </c>
      <c r="M468" s="29">
        <v>3</v>
      </c>
      <c r="N468" s="29" t="s">
        <v>101</v>
      </c>
      <c r="O468" s="29" t="s">
        <v>173</v>
      </c>
      <c r="P468" s="29" t="s">
        <v>147</v>
      </c>
      <c r="Q468" s="29">
        <f t="shared" si="64"/>
        <v>3</v>
      </c>
      <c r="R468" s="29" t="str">
        <f t="shared" si="59"/>
        <v>4-2023</v>
      </c>
      <c r="S468" s="29" t="s">
        <v>104</v>
      </c>
      <c r="T468" s="29" t="str">
        <f t="shared" si="60"/>
        <v>Wednesday</v>
      </c>
      <c r="U468" s="29">
        <f t="shared" si="61"/>
        <v>1</v>
      </c>
      <c r="V468" s="31">
        <f>IFERROR(Data!$I468/Data!$D468,"")</f>
        <v>0.10344827586206896</v>
      </c>
      <c r="W468" s="31">
        <f>IFERROR(Data!$J468/Data!$D468,"")</f>
        <v>0.2413793103448276</v>
      </c>
      <c r="X468" s="31">
        <f>IFERROR(Data!$K468/Data!$D468,"")</f>
        <v>0.36206896551724138</v>
      </c>
      <c r="Y468" s="31">
        <f>IFERROR(Data!$L468/Data!$D468,"")</f>
        <v>0.2413793103448276</v>
      </c>
      <c r="Z468" s="31">
        <f>IFERROR(Data!$M468/Data!$D468,"")</f>
        <v>5.1724137931034482E-2</v>
      </c>
      <c r="AA468" s="32">
        <v>232.14</v>
      </c>
      <c r="AB468" s="32">
        <f t="shared" si="65"/>
        <v>15.475999999999999</v>
      </c>
      <c r="AC468" s="29">
        <f t="shared" si="62"/>
        <v>632.6</v>
      </c>
      <c r="AD468" s="29">
        <f t="shared" si="63"/>
        <v>13.733333333333333</v>
      </c>
      <c r="AE468" s="29">
        <f>YEAR(Data!$C468)</f>
        <v>2023</v>
      </c>
      <c r="AF468" s="29"/>
      <c r="AG468" s="29">
        <v>12</v>
      </c>
      <c r="AH468" s="33">
        <f>Data!$F468/Data!$D468</f>
        <v>11.741379310344827</v>
      </c>
      <c r="AI468" s="17" t="str">
        <f>RIGHT(Data!$O468,2)</f>
        <v>PM</v>
      </c>
      <c r="AJ468" s="29" t="str">
        <f>Data!$R468&amp;"-"&amp;WEEKNUM(Data!$C468,1)-WEEKNUM(DATE(YEAR(Data!$C468),MONTH(Data!$C468),1),1)+1</f>
        <v>4-2023-4</v>
      </c>
      <c r="AK468" s="29">
        <f>MONTH(Data!$C468)</f>
        <v>4</v>
      </c>
      <c r="AL468" s="29">
        <f>IFERROR(Data!$F468/Data!$E468,0)</f>
        <v>40.058823529411768</v>
      </c>
      <c r="AM468" s="29">
        <f>COUNTIF(Data!$N$2:$N$825,Data!$N468)</f>
        <v>191</v>
      </c>
      <c r="AN468" s="29" t="str">
        <f>VLOOKUP(Data!$N468,'Helpful Tables'!A:D,4,FALSE)</f>
        <v>Washington, DC</v>
      </c>
      <c r="AO468" s="29">
        <f>COUNTIF(AN:AN,Data!$AN468)/COUNTA(AN:AN)</f>
        <v>0.62424242424242427</v>
      </c>
      <c r="AP468" s="29">
        <v>38.949649000000001</v>
      </c>
      <c r="AQ468" s="29">
        <v>-77.080878999999996</v>
      </c>
      <c r="AR468" s="29">
        <f>COUNTIF(Data!$P$2:$P$825,Data!$P468)</f>
        <v>17</v>
      </c>
      <c r="AS468" s="29" cm="1">
        <f t="array" ref="AS468">_xlfn.IFS(Data!$E468&lt;12,((Data!$E468/Data!$D468)*60)*1,AND(Data!$E468&gt;=12,Data!$E468&lt;=15),((Data!$E468/Data!$D468)*60)*1.2,AND(Data!$E468&gt;=16,Data!$E468&lt;=19),((Data!$E468/Data!$D468)*60)*1.5,Data!$E468&gt;=20,((Data!$E468/Data!$D468)*60)*1.8)</f>
        <v>26.379310344827584</v>
      </c>
      <c r="AT468" s="29" cm="1">
        <f t="array" ref="AT468">_xlfn.IFS(Data!$F468&lt;600,((Data!$F468/Data!$D468)*60)*1,AND(Data!$F468&gt;=600,Data!$F468&lt;=625),((Data!$F468/Data!$D468)*60)*1.2,AND(Data!$F468&gt;=626,Data!$F468&lt;=650),((Data!$F468/Data!$D468)*60)*1.5,Data!$F468&gt;=651,((Data!$F468/Data!$D468)*60)*1.8)</f>
        <v>1268.0689655172414</v>
      </c>
      <c r="AU468" s="29">
        <f>(Data!$I468*-1.2)+(Data!$J468*-1.1)+(Data!$K468*1.2)+(Data!$L468*1.3)+(Data!$M468*1.5)</f>
        <v>25.299999999999997</v>
      </c>
      <c r="AV468" s="29">
        <f>(Data!$AS468*0.4)+(Data!$AT468*0.4)+(Data!$AU468*0.2)</f>
        <v>522.8393103448276</v>
      </c>
      <c r="AW468" s="29">
        <f>PERCENTRANK(AV:AV,Data!$AV468)*100</f>
        <v>90.7</v>
      </c>
      <c r="AX468" s="29" t="str">
        <f>_xlfn.CONCAT(TEXT(C468,"mmm"),"-",Data!$AE468)</f>
        <v>Apr-2023</v>
      </c>
    </row>
    <row r="469" spans="1:50" ht="17" thickTop="1" thickBot="1" x14ac:dyDescent="0.25">
      <c r="A469" s="22">
        <v>468</v>
      </c>
      <c r="B469" s="23">
        <f t="shared" si="58"/>
        <v>15</v>
      </c>
      <c r="C469" s="41">
        <v>45037</v>
      </c>
      <c r="D469" s="24">
        <f>SUM(Data!$I469:$M469)</f>
        <v>59</v>
      </c>
      <c r="E469" s="23">
        <v>14</v>
      </c>
      <c r="F469" s="23">
        <v>642</v>
      </c>
      <c r="G469" s="23">
        <v>167</v>
      </c>
      <c r="H469" s="23">
        <v>125</v>
      </c>
      <c r="I469" s="23">
        <v>15</v>
      </c>
      <c r="J469" s="23">
        <v>14</v>
      </c>
      <c r="K469" s="23">
        <v>16</v>
      </c>
      <c r="L469" s="23">
        <v>13</v>
      </c>
      <c r="M469" s="23">
        <v>1</v>
      </c>
      <c r="N469" s="23" t="s">
        <v>91</v>
      </c>
      <c r="O469" s="23" t="s">
        <v>57</v>
      </c>
      <c r="P469" s="23" t="s">
        <v>96</v>
      </c>
      <c r="Q469" s="23">
        <f t="shared" si="64"/>
        <v>2</v>
      </c>
      <c r="R469" s="23" t="str">
        <f t="shared" si="59"/>
        <v>4-2023</v>
      </c>
      <c r="S469" s="23" t="s">
        <v>104</v>
      </c>
      <c r="T469" s="23" t="str">
        <f t="shared" si="60"/>
        <v>Friday</v>
      </c>
      <c r="U469" s="23">
        <f t="shared" si="61"/>
        <v>1</v>
      </c>
      <c r="V469" s="25">
        <f>IFERROR(Data!$I469/Data!$D469,"")</f>
        <v>0.25423728813559321</v>
      </c>
      <c r="W469" s="25">
        <f>IFERROR(Data!$J469/Data!$D469,"")</f>
        <v>0.23728813559322035</v>
      </c>
      <c r="X469" s="25">
        <f>IFERROR(Data!$K469/Data!$D469,"")</f>
        <v>0.2711864406779661</v>
      </c>
      <c r="Y469" s="25">
        <f>IFERROR(Data!$L469/Data!$D469,"")</f>
        <v>0.22033898305084745</v>
      </c>
      <c r="Z469" s="25">
        <f>IFERROR(Data!$M469/Data!$D469,"")</f>
        <v>1.6949152542372881E-2</v>
      </c>
      <c r="AA469" s="26">
        <v>232.14</v>
      </c>
      <c r="AB469" s="26">
        <f t="shared" si="65"/>
        <v>15.475999999999999</v>
      </c>
      <c r="AC469" s="23">
        <f t="shared" si="62"/>
        <v>632.6</v>
      </c>
      <c r="AD469" s="23">
        <f t="shared" si="63"/>
        <v>13.733333333333333</v>
      </c>
      <c r="AE469" s="23">
        <f>YEAR(Data!$C469)</f>
        <v>2023</v>
      </c>
      <c r="AF469" s="23"/>
      <c r="AG469" s="23">
        <v>12</v>
      </c>
      <c r="AH469" s="27">
        <f>Data!$F469/Data!$D469</f>
        <v>10.881355932203389</v>
      </c>
      <c r="AI469" s="17" t="str">
        <f>RIGHT(Data!$O469,2)</f>
        <v>PM</v>
      </c>
      <c r="AJ469" s="23" t="str">
        <f>Data!$R469&amp;"-"&amp;WEEKNUM(Data!$C469,1)-WEEKNUM(DATE(YEAR(Data!$C469),MONTH(Data!$C469),1),1)+1</f>
        <v>4-2023-4</v>
      </c>
      <c r="AK469" s="23">
        <f>MONTH(Data!$C469)</f>
        <v>4</v>
      </c>
      <c r="AL469" s="23">
        <f>IFERROR(Data!$F469/Data!$E469,0)</f>
        <v>45.857142857142854</v>
      </c>
      <c r="AM469" s="23">
        <f>COUNTIF(Data!$N$2:$N$825,Data!$N469)</f>
        <v>218</v>
      </c>
      <c r="AN469" s="23" t="str">
        <f>VLOOKUP(Data!$N469,'Helpful Tables'!A:D,4,FALSE)</f>
        <v>Washington, DC</v>
      </c>
      <c r="AO469" s="23">
        <f>COUNTIF(AN:AN,Data!$AN469)/COUNTA(AN:AN)</f>
        <v>0.62424242424242427</v>
      </c>
      <c r="AP469" s="23">
        <v>38.934710000000003</v>
      </c>
      <c r="AQ469" s="23">
        <v>-77.058222999999998</v>
      </c>
      <c r="AR469" s="23">
        <f>COUNTIF(Data!$P$2:$P$825,Data!$P469)</f>
        <v>71</v>
      </c>
      <c r="AS469" s="23" cm="1">
        <f t="array" ref="AS469">_xlfn.IFS(Data!$E469&lt;12,((Data!$E469/Data!$D469)*60)*1,AND(Data!$E469&gt;=12,Data!$E469&lt;=15),((Data!$E469/Data!$D469)*60)*1.2,AND(Data!$E469&gt;=16,Data!$E469&lt;=19),((Data!$E469/Data!$D469)*60)*1.5,Data!$E469&gt;=20,((Data!$E469/Data!$D469)*60)*1.8)</f>
        <v>17.084745762711865</v>
      </c>
      <c r="AT469" s="23" cm="1">
        <f t="array" ref="AT469">_xlfn.IFS(Data!$F469&lt;600,((Data!$F469/Data!$D469)*60)*1,AND(Data!$F469&gt;=600,Data!$F469&lt;=625),((Data!$F469/Data!$D469)*60)*1.2,AND(Data!$F469&gt;=626,Data!$F469&lt;=650),((Data!$F469/Data!$D469)*60)*1.5,Data!$F469&gt;=651,((Data!$F469/Data!$D469)*60)*1.8)</f>
        <v>979.32203389830511</v>
      </c>
      <c r="AU469" s="23">
        <f>(Data!$I469*-1.2)+(Data!$J469*-1.1)+(Data!$K469*1.2)+(Data!$L469*1.3)+(Data!$M469*1.5)</f>
        <v>4.1999999999999957</v>
      </c>
      <c r="AV469" s="23">
        <f>(Data!$AS469*0.4)+(Data!$AT469*0.4)+(Data!$AU469*0.2)</f>
        <v>399.4027118644068</v>
      </c>
      <c r="AW469" s="23">
        <f>PERCENTRANK(AV:AV,Data!$AV469)*100</f>
        <v>52.300000000000004</v>
      </c>
      <c r="AX469" s="23" t="str">
        <f>_xlfn.CONCAT(TEXT(C469,"mmm"),"-",Data!$AE469)</f>
        <v>Apr-2023</v>
      </c>
    </row>
    <row r="470" spans="1:50" ht="17" thickTop="1" thickBot="1" x14ac:dyDescent="0.25">
      <c r="A470" s="28">
        <v>469</v>
      </c>
      <c r="B470" s="29">
        <f t="shared" si="58"/>
        <v>15</v>
      </c>
      <c r="C470" s="41">
        <v>45039</v>
      </c>
      <c r="D470" s="30">
        <f>SUM(Data!$I470:$M470)</f>
        <v>60</v>
      </c>
      <c r="E470" s="29">
        <v>17</v>
      </c>
      <c r="F470" s="29">
        <v>616</v>
      </c>
      <c r="G470" s="29">
        <v>164</v>
      </c>
      <c r="H470" s="29">
        <v>121</v>
      </c>
      <c r="I470" s="29">
        <v>24</v>
      </c>
      <c r="J470" s="29">
        <v>9</v>
      </c>
      <c r="K470" s="29">
        <v>10</v>
      </c>
      <c r="L470" s="29">
        <v>16</v>
      </c>
      <c r="M470" s="29">
        <v>1</v>
      </c>
      <c r="N470" s="29" t="s">
        <v>91</v>
      </c>
      <c r="O470" s="29" t="s">
        <v>79</v>
      </c>
      <c r="P470" s="29" t="s">
        <v>100</v>
      </c>
      <c r="Q470" s="29">
        <f t="shared" si="64"/>
        <v>2</v>
      </c>
      <c r="R470" s="29" t="str">
        <f t="shared" si="59"/>
        <v>4-2023</v>
      </c>
      <c r="S470" s="29" t="s">
        <v>104</v>
      </c>
      <c r="T470" s="29" t="str">
        <f t="shared" si="60"/>
        <v>Sunday</v>
      </c>
      <c r="U470" s="29">
        <f t="shared" si="61"/>
        <v>1</v>
      </c>
      <c r="V470" s="31">
        <f>IFERROR(Data!$I470/Data!$D470,"")</f>
        <v>0.4</v>
      </c>
      <c r="W470" s="31">
        <f>IFERROR(Data!$J470/Data!$D470,"")</f>
        <v>0.15</v>
      </c>
      <c r="X470" s="31">
        <f>IFERROR(Data!$K470/Data!$D470,"")</f>
        <v>0.16666666666666666</v>
      </c>
      <c r="Y470" s="31">
        <f>IFERROR(Data!$L470/Data!$D470,"")</f>
        <v>0.26666666666666666</v>
      </c>
      <c r="Z470" s="31">
        <f>IFERROR(Data!$M470/Data!$D470,"")</f>
        <v>1.6666666666666666E-2</v>
      </c>
      <c r="AA470" s="32">
        <v>232.14</v>
      </c>
      <c r="AB470" s="32">
        <f t="shared" si="65"/>
        <v>15.475999999999999</v>
      </c>
      <c r="AC470" s="29">
        <f t="shared" si="62"/>
        <v>632.6</v>
      </c>
      <c r="AD470" s="29">
        <f t="shared" si="63"/>
        <v>13.733333333333333</v>
      </c>
      <c r="AE470" s="29">
        <f>YEAR(Data!$C470)</f>
        <v>2023</v>
      </c>
      <c r="AF470" s="29"/>
      <c r="AG470" s="29">
        <v>12</v>
      </c>
      <c r="AH470" s="33">
        <f>Data!$F470/Data!$D470</f>
        <v>10.266666666666667</v>
      </c>
      <c r="AI470" s="17" t="str">
        <f>RIGHT(Data!$O470,2)</f>
        <v>AM</v>
      </c>
      <c r="AJ470" s="29" t="str">
        <f>Data!$R470&amp;"-"&amp;WEEKNUM(Data!$C470,1)-WEEKNUM(DATE(YEAR(Data!$C470),MONTH(Data!$C470),1),1)+1</f>
        <v>4-2023-5</v>
      </c>
      <c r="AK470" s="29">
        <f>MONTH(Data!$C470)</f>
        <v>4</v>
      </c>
      <c r="AL470" s="29">
        <f>IFERROR(Data!$F470/Data!$E470,0)</f>
        <v>36.235294117647058</v>
      </c>
      <c r="AM470" s="29">
        <f>COUNTIF(Data!$N$2:$N$825,Data!$N470)</f>
        <v>218</v>
      </c>
      <c r="AN470" s="29" t="str">
        <f>VLOOKUP(Data!$N470,'Helpful Tables'!A:D,4,FALSE)</f>
        <v>Washington, DC</v>
      </c>
      <c r="AO470" s="29">
        <f>COUNTIF(AN:AN,Data!$AN470)/COUNTA(AN:AN)</f>
        <v>0.62424242424242427</v>
      </c>
      <c r="AP470" s="29">
        <v>38.934710000000003</v>
      </c>
      <c r="AQ470" s="29">
        <v>-77.058222999999998</v>
      </c>
      <c r="AR470" s="29">
        <f>COUNTIF(Data!$P$2:$P$825,Data!$P470)</f>
        <v>35</v>
      </c>
      <c r="AS470" s="29" cm="1">
        <f t="array" ref="AS470">_xlfn.IFS(Data!$E470&lt;12,((Data!$E470/Data!$D470)*60)*1,AND(Data!$E470&gt;=12,Data!$E470&lt;=15),((Data!$E470/Data!$D470)*60)*1.2,AND(Data!$E470&gt;=16,Data!$E470&lt;=19),((Data!$E470/Data!$D470)*60)*1.5,Data!$E470&gt;=20,((Data!$E470/Data!$D470)*60)*1.8)</f>
        <v>25.5</v>
      </c>
      <c r="AT470" s="29" cm="1">
        <f t="array" ref="AT470">_xlfn.IFS(Data!$F470&lt;600,((Data!$F470/Data!$D470)*60)*1,AND(Data!$F470&gt;=600,Data!$F470&lt;=625),((Data!$F470/Data!$D470)*60)*1.2,AND(Data!$F470&gt;=626,Data!$F470&lt;=650),((Data!$F470/Data!$D470)*60)*1.5,Data!$F470&gt;=651,((Data!$F470/Data!$D470)*60)*1.8)</f>
        <v>739.19999999999993</v>
      </c>
      <c r="AU470" s="29">
        <f>(Data!$I470*-1.2)+(Data!$J470*-1.1)+(Data!$K470*1.2)+(Data!$L470*1.3)+(Data!$M470*1.5)</f>
        <v>-4.399999999999995</v>
      </c>
      <c r="AV470" s="29">
        <f>(Data!$AS470*0.4)+(Data!$AT470*0.4)+(Data!$AU470*0.2)</f>
        <v>305</v>
      </c>
      <c r="AW470" s="29">
        <f>PERCENTRANK(AV:AV,Data!$AV470)*100</f>
        <v>28.9</v>
      </c>
      <c r="AX470" s="29" t="str">
        <f>_xlfn.CONCAT(TEXT(C470,"mmm"),"-",Data!$AE470)</f>
        <v>Apr-2023</v>
      </c>
    </row>
    <row r="471" spans="1:50" ht="17" thickTop="1" thickBot="1" x14ac:dyDescent="0.25">
      <c r="A471" s="22">
        <v>470</v>
      </c>
      <c r="B471" s="23">
        <f t="shared" si="58"/>
        <v>15</v>
      </c>
      <c r="C471" s="41">
        <v>45040</v>
      </c>
      <c r="D471" s="24">
        <f>SUM(Data!$I471:$M471)</f>
        <v>56</v>
      </c>
      <c r="E471" s="23">
        <v>13</v>
      </c>
      <c r="F471" s="23">
        <v>630</v>
      </c>
      <c r="G471" s="23">
        <v>165</v>
      </c>
      <c r="H471" s="23">
        <v>128</v>
      </c>
      <c r="I471" s="23">
        <v>10</v>
      </c>
      <c r="J471" s="23">
        <v>13</v>
      </c>
      <c r="K471" s="23">
        <v>20</v>
      </c>
      <c r="L471" s="23">
        <v>12</v>
      </c>
      <c r="M471" s="23">
        <v>1</v>
      </c>
      <c r="N471" s="23" t="s">
        <v>101</v>
      </c>
      <c r="O471" s="23" t="s">
        <v>173</v>
      </c>
      <c r="P471" s="23" t="s">
        <v>109</v>
      </c>
      <c r="Q471" s="23">
        <f t="shared" si="64"/>
        <v>1</v>
      </c>
      <c r="R471" s="23" t="str">
        <f t="shared" si="59"/>
        <v>4-2023</v>
      </c>
      <c r="S471" s="23" t="s">
        <v>104</v>
      </c>
      <c r="T471" s="23" t="str">
        <f t="shared" si="60"/>
        <v>Monday</v>
      </c>
      <c r="U471" s="23">
        <f t="shared" si="61"/>
        <v>1</v>
      </c>
      <c r="V471" s="25">
        <f>IFERROR(Data!$I471/Data!$D471,"")</f>
        <v>0.17857142857142858</v>
      </c>
      <c r="W471" s="25">
        <f>IFERROR(Data!$J471/Data!$D471,"")</f>
        <v>0.23214285714285715</v>
      </c>
      <c r="X471" s="25">
        <f>IFERROR(Data!$K471/Data!$D471,"")</f>
        <v>0.35714285714285715</v>
      </c>
      <c r="Y471" s="25">
        <f>IFERROR(Data!$L471/Data!$D471,"")</f>
        <v>0.21428571428571427</v>
      </c>
      <c r="Z471" s="25">
        <f>IFERROR(Data!$M471/Data!$D471,"")</f>
        <v>1.7857142857142856E-2</v>
      </c>
      <c r="AA471" s="26">
        <v>232.14</v>
      </c>
      <c r="AB471" s="26">
        <f t="shared" si="65"/>
        <v>15.475999999999999</v>
      </c>
      <c r="AC471" s="23">
        <f t="shared" si="62"/>
        <v>632.6</v>
      </c>
      <c r="AD471" s="23">
        <f t="shared" si="63"/>
        <v>13.733333333333333</v>
      </c>
      <c r="AE471" s="23">
        <f>YEAR(Data!$C471)</f>
        <v>2023</v>
      </c>
      <c r="AF471" s="23"/>
      <c r="AG471" s="23">
        <v>12</v>
      </c>
      <c r="AH471" s="27">
        <f>Data!$F471/Data!$D471</f>
        <v>11.25</v>
      </c>
      <c r="AI471" s="17" t="str">
        <f>RIGHT(Data!$O471,2)</f>
        <v>PM</v>
      </c>
      <c r="AJ471" s="23" t="str">
        <f>Data!$R471&amp;"-"&amp;WEEKNUM(Data!$C471,1)-WEEKNUM(DATE(YEAR(Data!$C471),MONTH(Data!$C471),1),1)+1</f>
        <v>4-2023-5</v>
      </c>
      <c r="AK471" s="23">
        <f>MONTH(Data!$C471)</f>
        <v>4</v>
      </c>
      <c r="AL471" s="23">
        <f>IFERROR(Data!$F471/Data!$E471,0)</f>
        <v>48.46153846153846</v>
      </c>
      <c r="AM471" s="23">
        <f>COUNTIF(Data!$N$2:$N$825,Data!$N471)</f>
        <v>191</v>
      </c>
      <c r="AN471" s="23" t="str">
        <f>VLOOKUP(Data!$N471,'Helpful Tables'!A:D,4,FALSE)</f>
        <v>Washington, DC</v>
      </c>
      <c r="AO471" s="23">
        <f>COUNTIF(AN:AN,Data!$AN471)/COUNTA(AN:AN)</f>
        <v>0.62424242424242427</v>
      </c>
      <c r="AP471" s="23">
        <v>38.949649000000001</v>
      </c>
      <c r="AQ471" s="23">
        <v>-77.080878999999996</v>
      </c>
      <c r="AR471" s="23">
        <f>COUNTIF(Data!$P$2:$P$825,Data!$P471)</f>
        <v>66</v>
      </c>
      <c r="AS471" s="23" cm="1">
        <f t="array" ref="AS471">_xlfn.IFS(Data!$E471&lt;12,((Data!$E471/Data!$D471)*60)*1,AND(Data!$E471&gt;=12,Data!$E471&lt;=15),((Data!$E471/Data!$D471)*60)*1.2,AND(Data!$E471&gt;=16,Data!$E471&lt;=19),((Data!$E471/Data!$D471)*60)*1.5,Data!$E471&gt;=20,((Data!$E471/Data!$D471)*60)*1.8)</f>
        <v>16.714285714285715</v>
      </c>
      <c r="AT471" s="23" cm="1">
        <f t="array" ref="AT471">_xlfn.IFS(Data!$F471&lt;600,((Data!$F471/Data!$D471)*60)*1,AND(Data!$F471&gt;=600,Data!$F471&lt;=625),((Data!$F471/Data!$D471)*60)*1.2,AND(Data!$F471&gt;=626,Data!$F471&lt;=650),((Data!$F471/Data!$D471)*60)*1.5,Data!$F471&gt;=651,((Data!$F471/Data!$D471)*60)*1.8)</f>
        <v>1012.5</v>
      </c>
      <c r="AU471" s="23">
        <f>(Data!$I471*-1.2)+(Data!$J471*-1.1)+(Data!$K471*1.2)+(Data!$L471*1.3)+(Data!$M471*1.5)</f>
        <v>14.8</v>
      </c>
      <c r="AV471" s="23">
        <f>(Data!$AS471*0.4)+(Data!$AT471*0.4)+(Data!$AU471*0.2)</f>
        <v>414.64571428571429</v>
      </c>
      <c r="AW471" s="23">
        <f>PERCENTRANK(AV:AV,Data!$AV471)*100</f>
        <v>59.199999999999996</v>
      </c>
      <c r="AX471" s="23" t="str">
        <f>_xlfn.CONCAT(TEXT(C471,"mmm"),"-",Data!$AE471)</f>
        <v>Apr-2023</v>
      </c>
    </row>
    <row r="472" spans="1:50" ht="17" thickTop="1" thickBot="1" x14ac:dyDescent="0.25">
      <c r="A472" s="28">
        <v>471</v>
      </c>
      <c r="B472" s="29">
        <f t="shared" si="58"/>
        <v>15</v>
      </c>
      <c r="C472" s="41">
        <v>45042</v>
      </c>
      <c r="D472" s="30">
        <f>SUM(Data!$I472:$M472)</f>
        <v>55</v>
      </c>
      <c r="E472" s="29">
        <v>14</v>
      </c>
      <c r="F472" s="29">
        <v>655</v>
      </c>
      <c r="G472" s="29">
        <v>169</v>
      </c>
      <c r="H472" s="29">
        <v>131</v>
      </c>
      <c r="I472" s="29">
        <v>6</v>
      </c>
      <c r="J472" s="29">
        <v>14</v>
      </c>
      <c r="K472" s="29">
        <v>21</v>
      </c>
      <c r="L472" s="29">
        <v>11</v>
      </c>
      <c r="M472" s="29">
        <v>3</v>
      </c>
      <c r="N472" s="29" t="s">
        <v>91</v>
      </c>
      <c r="O472" s="29" t="s">
        <v>57</v>
      </c>
      <c r="P472" s="29" t="s">
        <v>96</v>
      </c>
      <c r="Q472" s="29">
        <f t="shared" si="64"/>
        <v>2</v>
      </c>
      <c r="R472" s="29" t="str">
        <f t="shared" si="59"/>
        <v>4-2023</v>
      </c>
      <c r="S472" s="29" t="s">
        <v>104</v>
      </c>
      <c r="T472" s="29" t="str">
        <f t="shared" si="60"/>
        <v>Wednesday</v>
      </c>
      <c r="U472" s="29">
        <f t="shared" si="61"/>
        <v>1</v>
      </c>
      <c r="V472" s="31">
        <f>IFERROR(Data!$I472/Data!$D472,"")</f>
        <v>0.10909090909090909</v>
      </c>
      <c r="W472" s="31">
        <f>IFERROR(Data!$J472/Data!$D472,"")</f>
        <v>0.25454545454545452</v>
      </c>
      <c r="X472" s="31">
        <f>IFERROR(Data!$K472/Data!$D472,"")</f>
        <v>0.38181818181818183</v>
      </c>
      <c r="Y472" s="31">
        <f>IFERROR(Data!$L472/Data!$D472,"")</f>
        <v>0.2</v>
      </c>
      <c r="Z472" s="31">
        <f>IFERROR(Data!$M472/Data!$D472,"")</f>
        <v>5.4545454545454543E-2</v>
      </c>
      <c r="AA472" s="32">
        <v>232.14</v>
      </c>
      <c r="AB472" s="32">
        <f t="shared" si="65"/>
        <v>15.475999999999999</v>
      </c>
      <c r="AC472" s="29">
        <f t="shared" si="62"/>
        <v>632.6</v>
      </c>
      <c r="AD472" s="29">
        <f t="shared" si="63"/>
        <v>13.733333333333333</v>
      </c>
      <c r="AE472" s="29">
        <f>YEAR(Data!$C472)</f>
        <v>2023</v>
      </c>
      <c r="AF472" s="29"/>
      <c r="AG472" s="29">
        <v>12</v>
      </c>
      <c r="AH472" s="33">
        <f>Data!$F472/Data!$D472</f>
        <v>11.909090909090908</v>
      </c>
      <c r="AI472" s="17" t="str">
        <f>RIGHT(Data!$O472,2)</f>
        <v>PM</v>
      </c>
      <c r="AJ472" s="29" t="str">
        <f>Data!$R472&amp;"-"&amp;WEEKNUM(Data!$C472,1)-WEEKNUM(DATE(YEAR(Data!$C472),MONTH(Data!$C472),1),1)+1</f>
        <v>4-2023-5</v>
      </c>
      <c r="AK472" s="29">
        <f>MONTH(Data!$C472)</f>
        <v>4</v>
      </c>
      <c r="AL472" s="29">
        <f>IFERROR(Data!$F472/Data!$E472,0)</f>
        <v>46.785714285714285</v>
      </c>
      <c r="AM472" s="29">
        <f>COUNTIF(Data!$N$2:$N$825,Data!$N472)</f>
        <v>218</v>
      </c>
      <c r="AN472" s="29" t="str">
        <f>VLOOKUP(Data!$N472,'Helpful Tables'!A:D,4,FALSE)</f>
        <v>Washington, DC</v>
      </c>
      <c r="AO472" s="29">
        <f>COUNTIF(AN:AN,Data!$AN472)/COUNTA(AN:AN)</f>
        <v>0.62424242424242427</v>
      </c>
      <c r="AP472" s="29">
        <v>38.934710000000003</v>
      </c>
      <c r="AQ472" s="29">
        <v>-77.058222999999998</v>
      </c>
      <c r="AR472" s="29">
        <f>COUNTIF(Data!$P$2:$P$825,Data!$P472)</f>
        <v>71</v>
      </c>
      <c r="AS472" s="29" cm="1">
        <f t="array" ref="AS472">_xlfn.IFS(Data!$E472&lt;12,((Data!$E472/Data!$D472)*60)*1,AND(Data!$E472&gt;=12,Data!$E472&lt;=15),((Data!$E472/Data!$D472)*60)*1.2,AND(Data!$E472&gt;=16,Data!$E472&lt;=19),((Data!$E472/Data!$D472)*60)*1.5,Data!$E472&gt;=20,((Data!$E472/Data!$D472)*60)*1.8)</f>
        <v>18.327272727272724</v>
      </c>
      <c r="AT472" s="29" cm="1">
        <f t="array" ref="AT472">_xlfn.IFS(Data!$F472&lt;600,((Data!$F472/Data!$D472)*60)*1,AND(Data!$F472&gt;=600,Data!$F472&lt;=625),((Data!$F472/Data!$D472)*60)*1.2,AND(Data!$F472&gt;=626,Data!$F472&lt;=650),((Data!$F472/Data!$D472)*60)*1.5,Data!$F472&gt;=651,((Data!$F472/Data!$D472)*60)*1.8)</f>
        <v>1286.1818181818182</v>
      </c>
      <c r="AU472" s="29">
        <f>(Data!$I472*-1.2)+(Data!$J472*-1.1)+(Data!$K472*1.2)+(Data!$L472*1.3)+(Data!$M472*1.5)</f>
        <v>21.4</v>
      </c>
      <c r="AV472" s="29">
        <f>(Data!$AS472*0.4)+(Data!$AT472*0.4)+(Data!$AU472*0.2)</f>
        <v>526.0836363636364</v>
      </c>
      <c r="AW472" s="29">
        <f>PERCENTRANK(AV:AV,Data!$AV472)*100</f>
        <v>92.4</v>
      </c>
      <c r="AX472" s="29" t="str">
        <f>_xlfn.CONCAT(TEXT(C472,"mmm"),"-",Data!$AE472)</f>
        <v>Apr-2023</v>
      </c>
    </row>
    <row r="473" spans="1:50" ht="17" thickTop="1" thickBot="1" x14ac:dyDescent="0.25">
      <c r="A473" s="22">
        <v>472</v>
      </c>
      <c r="B473" s="23">
        <f t="shared" si="58"/>
        <v>15</v>
      </c>
      <c r="C473" s="41">
        <v>45045</v>
      </c>
      <c r="D473" s="24">
        <f>SUM(Data!$I473:$M473)</f>
        <v>59</v>
      </c>
      <c r="E473" s="23">
        <v>16</v>
      </c>
      <c r="F473" s="23">
        <v>669</v>
      </c>
      <c r="G473" s="23">
        <v>168</v>
      </c>
      <c r="H473" s="23">
        <v>127</v>
      </c>
      <c r="I473" s="23">
        <v>15</v>
      </c>
      <c r="J473" s="23">
        <v>12</v>
      </c>
      <c r="K473" s="23">
        <v>16</v>
      </c>
      <c r="L473" s="23">
        <v>12</v>
      </c>
      <c r="M473" s="23">
        <v>4</v>
      </c>
      <c r="N473" s="23" t="s">
        <v>101</v>
      </c>
      <c r="O473" s="23" t="s">
        <v>178</v>
      </c>
      <c r="P473" s="23" t="s">
        <v>109</v>
      </c>
      <c r="Q473" s="23">
        <f t="shared" si="64"/>
        <v>3</v>
      </c>
      <c r="R473" s="23" t="str">
        <f t="shared" si="59"/>
        <v>4-2023</v>
      </c>
      <c r="S473" s="23" t="s">
        <v>104</v>
      </c>
      <c r="T473" s="23" t="str">
        <f t="shared" si="60"/>
        <v>Saturday</v>
      </c>
      <c r="U473" s="23">
        <f t="shared" si="61"/>
        <v>1</v>
      </c>
      <c r="V473" s="25">
        <f>IFERROR(Data!$I473/Data!$D473,"")</f>
        <v>0.25423728813559321</v>
      </c>
      <c r="W473" s="25">
        <f>IFERROR(Data!$J473/Data!$D473,"")</f>
        <v>0.20338983050847459</v>
      </c>
      <c r="X473" s="25">
        <f>IFERROR(Data!$K473/Data!$D473,"")</f>
        <v>0.2711864406779661</v>
      </c>
      <c r="Y473" s="25">
        <f>IFERROR(Data!$L473/Data!$D473,"")</f>
        <v>0.20338983050847459</v>
      </c>
      <c r="Z473" s="25">
        <f>IFERROR(Data!$M473/Data!$D473,"")</f>
        <v>6.7796610169491525E-2</v>
      </c>
      <c r="AA473" s="26">
        <v>232.14</v>
      </c>
      <c r="AB473" s="26">
        <f t="shared" si="65"/>
        <v>15.475999999999999</v>
      </c>
      <c r="AC473" s="23">
        <f t="shared" si="62"/>
        <v>632.6</v>
      </c>
      <c r="AD473" s="23">
        <f t="shared" si="63"/>
        <v>13.733333333333333</v>
      </c>
      <c r="AE473" s="23">
        <f>YEAR(Data!$C473)</f>
        <v>2023</v>
      </c>
      <c r="AF473" s="23"/>
      <c r="AG473" s="23">
        <v>12</v>
      </c>
      <c r="AH473" s="27">
        <f>Data!$F473/Data!$D473</f>
        <v>11.338983050847459</v>
      </c>
      <c r="AI473" s="17" t="str">
        <f>RIGHT(Data!$O473,2)</f>
        <v>AM</v>
      </c>
      <c r="AJ473" s="23" t="str">
        <f>Data!$R473&amp;"-"&amp;WEEKNUM(Data!$C473,1)-WEEKNUM(DATE(YEAR(Data!$C473),MONTH(Data!$C473),1),1)+1</f>
        <v>4-2023-5</v>
      </c>
      <c r="AK473" s="23">
        <f>MONTH(Data!$C473)</f>
        <v>4</v>
      </c>
      <c r="AL473" s="23">
        <f>IFERROR(Data!$F473/Data!$E473,0)</f>
        <v>41.8125</v>
      </c>
      <c r="AM473" s="23">
        <f>COUNTIF(Data!$N$2:$N$825,Data!$N473)</f>
        <v>191</v>
      </c>
      <c r="AN473" s="23" t="str">
        <f>VLOOKUP(Data!$N473,'Helpful Tables'!A:D,4,FALSE)</f>
        <v>Washington, DC</v>
      </c>
      <c r="AO473" s="23">
        <f>COUNTIF(AN:AN,Data!$AN473)/COUNTA(AN:AN)</f>
        <v>0.62424242424242427</v>
      </c>
      <c r="AP473" s="23">
        <v>38.949649000000001</v>
      </c>
      <c r="AQ473" s="23">
        <v>-77.080878999999996</v>
      </c>
      <c r="AR473" s="23">
        <f>COUNTIF(Data!$P$2:$P$825,Data!$P473)</f>
        <v>66</v>
      </c>
      <c r="AS473" s="23" cm="1">
        <f t="array" ref="AS473">_xlfn.IFS(Data!$E473&lt;12,((Data!$E473/Data!$D473)*60)*1,AND(Data!$E473&gt;=12,Data!$E473&lt;=15),((Data!$E473/Data!$D473)*60)*1.2,AND(Data!$E473&gt;=16,Data!$E473&lt;=19),((Data!$E473/Data!$D473)*60)*1.5,Data!$E473&gt;=20,((Data!$E473/Data!$D473)*60)*1.8)</f>
        <v>24.406779661016948</v>
      </c>
      <c r="AT473" s="23" cm="1">
        <f t="array" ref="AT473">_xlfn.IFS(Data!$F473&lt;600,((Data!$F473/Data!$D473)*60)*1,AND(Data!$F473&gt;=600,Data!$F473&lt;=625),((Data!$F473/Data!$D473)*60)*1.2,AND(Data!$F473&gt;=626,Data!$F473&lt;=650),((Data!$F473/Data!$D473)*60)*1.5,Data!$F473&gt;=651,((Data!$F473/Data!$D473)*60)*1.8)</f>
        <v>1224.6101694915255</v>
      </c>
      <c r="AU473" s="23">
        <f>(Data!$I473*-1.2)+(Data!$J473*-1.1)+(Data!$K473*1.2)+(Data!$L473*1.3)+(Data!$M473*1.5)</f>
        <v>9.5999999999999979</v>
      </c>
      <c r="AV473" s="23">
        <f>(Data!$AS473*0.4)+(Data!$AT473*0.4)+(Data!$AU473*0.2)</f>
        <v>501.52677966101703</v>
      </c>
      <c r="AW473" s="23">
        <f>PERCENTRANK(AV:AV,Data!$AV473)*100</f>
        <v>78.400000000000006</v>
      </c>
      <c r="AX473" s="23" t="str">
        <f>_xlfn.CONCAT(TEXT(C473,"mmm"),"-",Data!$AE473)</f>
        <v>Apr-2023</v>
      </c>
    </row>
    <row r="474" spans="1:50" ht="17" thickTop="1" thickBot="1" x14ac:dyDescent="0.25">
      <c r="A474" s="28">
        <v>473</v>
      </c>
      <c r="B474" s="29">
        <f t="shared" si="58"/>
        <v>7</v>
      </c>
      <c r="C474" s="41">
        <v>45048</v>
      </c>
      <c r="D474" s="30">
        <f>SUM(Data!$I474:$M474)</f>
        <v>55</v>
      </c>
      <c r="E474" s="29">
        <v>14</v>
      </c>
      <c r="F474" s="29">
        <v>634</v>
      </c>
      <c r="G474" s="29">
        <v>165</v>
      </c>
      <c r="H474" s="29">
        <v>129</v>
      </c>
      <c r="I474" s="29">
        <v>9</v>
      </c>
      <c r="J474" s="29">
        <v>14</v>
      </c>
      <c r="K474" s="29">
        <v>18</v>
      </c>
      <c r="L474" s="29">
        <v>13</v>
      </c>
      <c r="M474" s="29">
        <v>1</v>
      </c>
      <c r="N474" s="29" t="s">
        <v>91</v>
      </c>
      <c r="O474" s="29" t="s">
        <v>57</v>
      </c>
      <c r="P474" s="29" t="s">
        <v>98</v>
      </c>
      <c r="Q474" s="29">
        <f t="shared" si="64"/>
        <v>3</v>
      </c>
      <c r="R474" s="29" t="str">
        <f t="shared" si="59"/>
        <v>5-2023</v>
      </c>
      <c r="S474" s="29" t="s">
        <v>117</v>
      </c>
      <c r="T474" s="29" t="str">
        <f t="shared" si="60"/>
        <v>Tuesday</v>
      </c>
      <c r="U474" s="29">
        <f t="shared" si="61"/>
        <v>1</v>
      </c>
      <c r="V474" s="31">
        <f>IFERROR(Data!$I474/Data!$D474,"")</f>
        <v>0.16363636363636364</v>
      </c>
      <c r="W474" s="31">
        <f>IFERROR(Data!$J474/Data!$D474,"")</f>
        <v>0.25454545454545452</v>
      </c>
      <c r="X474" s="31">
        <f>IFERROR(Data!$K474/Data!$D474,"")</f>
        <v>0.32727272727272727</v>
      </c>
      <c r="Y474" s="31">
        <f>IFERROR(Data!$L474/Data!$D474,"")</f>
        <v>0.23636363636363636</v>
      </c>
      <c r="Z474" s="31">
        <f>IFERROR(Data!$M474/Data!$D474,"")</f>
        <v>1.8181818181818181E-2</v>
      </c>
      <c r="AA474" s="32">
        <v>232.14</v>
      </c>
      <c r="AB474" s="32">
        <f t="shared" si="65"/>
        <v>33.162857142857142</v>
      </c>
      <c r="AC474" s="29">
        <f t="shared" si="62"/>
        <v>644</v>
      </c>
      <c r="AD474" s="29">
        <f t="shared" si="63"/>
        <v>14</v>
      </c>
      <c r="AE474" s="29">
        <f>YEAR(Data!$C474)</f>
        <v>2023</v>
      </c>
      <c r="AF474" s="29"/>
      <c r="AG474" s="29">
        <v>12</v>
      </c>
      <c r="AH474" s="33">
        <f>Data!$F474/Data!$D474</f>
        <v>11.527272727272727</v>
      </c>
      <c r="AI474" s="17" t="str">
        <f>RIGHT(Data!$O474,2)</f>
        <v>PM</v>
      </c>
      <c r="AJ474" s="29" t="str">
        <f>Data!$R474&amp;"-"&amp;WEEKNUM(Data!$C474,1)-WEEKNUM(DATE(YEAR(Data!$C474),MONTH(Data!$C474),1),1)+1</f>
        <v>5-2023-1</v>
      </c>
      <c r="AK474" s="29">
        <f>MONTH(Data!$C474)</f>
        <v>5</v>
      </c>
      <c r="AL474" s="29">
        <f>IFERROR(Data!$F474/Data!$E474,0)</f>
        <v>45.285714285714285</v>
      </c>
      <c r="AM474" s="29">
        <f>COUNTIF(Data!$N$2:$N$825,Data!$N474)</f>
        <v>218</v>
      </c>
      <c r="AN474" s="29" t="str">
        <f>VLOOKUP(Data!$N474,'Helpful Tables'!A:D,4,FALSE)</f>
        <v>Washington, DC</v>
      </c>
      <c r="AO474" s="29">
        <f>COUNTIF(AN:AN,Data!$AN474)/COUNTA(AN:AN)</f>
        <v>0.62424242424242427</v>
      </c>
      <c r="AP474" s="29">
        <v>38.934710000000003</v>
      </c>
      <c r="AQ474" s="29">
        <v>-77.058222999999998</v>
      </c>
      <c r="AR474" s="29">
        <f>COUNTIF(Data!$P$2:$P$825,Data!$P474)</f>
        <v>28</v>
      </c>
      <c r="AS474" s="29" cm="1">
        <f t="array" ref="AS474">_xlfn.IFS(Data!$E474&lt;12,((Data!$E474/Data!$D474)*60)*1,AND(Data!$E474&gt;=12,Data!$E474&lt;=15),((Data!$E474/Data!$D474)*60)*1.2,AND(Data!$E474&gt;=16,Data!$E474&lt;=19),((Data!$E474/Data!$D474)*60)*1.5,Data!$E474&gt;=20,((Data!$E474/Data!$D474)*60)*1.8)</f>
        <v>18.327272727272724</v>
      </c>
      <c r="AT474" s="29" cm="1">
        <f t="array" ref="AT474">_xlfn.IFS(Data!$F474&lt;600,((Data!$F474/Data!$D474)*60)*1,AND(Data!$F474&gt;=600,Data!$F474&lt;=625),((Data!$F474/Data!$D474)*60)*1.2,AND(Data!$F474&gt;=626,Data!$F474&lt;=650),((Data!$F474/Data!$D474)*60)*1.5,Data!$F474&gt;=651,((Data!$F474/Data!$D474)*60)*1.8)</f>
        <v>1037.4545454545455</v>
      </c>
      <c r="AU474" s="29">
        <f>(Data!$I474*-1.2)+(Data!$J474*-1.1)+(Data!$K474*1.2)+(Data!$L474*1.3)+(Data!$M474*1.5)</f>
        <v>13.799999999999997</v>
      </c>
      <c r="AV474" s="29">
        <f>(Data!$AS474*0.4)+(Data!$AT474*0.4)+(Data!$AU474*0.2)</f>
        <v>425.07272727272726</v>
      </c>
      <c r="AW474" s="29">
        <f>PERCENTRANK(AV:AV,Data!$AV474)*100</f>
        <v>63</v>
      </c>
      <c r="AX474" s="29" t="str">
        <f>_xlfn.CONCAT(TEXT(C474,"mmm"),"-",Data!$AE474)</f>
        <v>May-2023</v>
      </c>
    </row>
    <row r="475" spans="1:50" ht="17" thickTop="1" thickBot="1" x14ac:dyDescent="0.25">
      <c r="A475" s="22">
        <v>474</v>
      </c>
      <c r="B475" s="23">
        <f t="shared" si="58"/>
        <v>7</v>
      </c>
      <c r="C475" s="41">
        <v>45049</v>
      </c>
      <c r="D475" s="24">
        <f>SUM(Data!$I475:$M475)</f>
        <v>59</v>
      </c>
      <c r="E475" s="23">
        <v>15</v>
      </c>
      <c r="F475" s="23">
        <v>691</v>
      </c>
      <c r="G475" s="23">
        <v>168</v>
      </c>
      <c r="H475" s="23">
        <v>130</v>
      </c>
      <c r="I475" s="23">
        <v>8</v>
      </c>
      <c r="J475" s="23">
        <v>15</v>
      </c>
      <c r="K475" s="23">
        <v>21</v>
      </c>
      <c r="L475" s="23">
        <v>12</v>
      </c>
      <c r="M475" s="23">
        <v>3</v>
      </c>
      <c r="N475" s="23" t="s">
        <v>101</v>
      </c>
      <c r="O475" s="23" t="s">
        <v>173</v>
      </c>
      <c r="P475" s="23" t="s">
        <v>118</v>
      </c>
      <c r="Q475" s="23">
        <f t="shared" si="64"/>
        <v>1</v>
      </c>
      <c r="R475" s="23" t="str">
        <f t="shared" si="59"/>
        <v>5-2023</v>
      </c>
      <c r="S475" s="23" t="s">
        <v>104</v>
      </c>
      <c r="T475" s="23" t="str">
        <f t="shared" si="60"/>
        <v>Wednesday</v>
      </c>
      <c r="U475" s="23">
        <f t="shared" si="61"/>
        <v>1</v>
      </c>
      <c r="V475" s="25">
        <f>IFERROR(Data!$I475/Data!$D475,"")</f>
        <v>0.13559322033898305</v>
      </c>
      <c r="W475" s="25">
        <f>IFERROR(Data!$J475/Data!$D475,"")</f>
        <v>0.25423728813559321</v>
      </c>
      <c r="X475" s="25">
        <f>IFERROR(Data!$K475/Data!$D475,"")</f>
        <v>0.3559322033898305</v>
      </c>
      <c r="Y475" s="25">
        <f>IFERROR(Data!$L475/Data!$D475,"")</f>
        <v>0.20338983050847459</v>
      </c>
      <c r="Z475" s="25">
        <f>IFERROR(Data!$M475/Data!$D475,"")</f>
        <v>5.0847457627118647E-2</v>
      </c>
      <c r="AA475" s="26">
        <v>232.14</v>
      </c>
      <c r="AB475" s="26">
        <f t="shared" si="65"/>
        <v>33.162857142857142</v>
      </c>
      <c r="AC475" s="23">
        <f t="shared" si="62"/>
        <v>644</v>
      </c>
      <c r="AD475" s="23">
        <f t="shared" si="63"/>
        <v>14</v>
      </c>
      <c r="AE475" s="23">
        <f>YEAR(Data!$C475)</f>
        <v>2023</v>
      </c>
      <c r="AF475" s="23"/>
      <c r="AG475" s="23">
        <v>12</v>
      </c>
      <c r="AH475" s="27">
        <f>Data!$F475/Data!$D475</f>
        <v>11.711864406779661</v>
      </c>
      <c r="AI475" s="17" t="str">
        <f>RIGHT(Data!$O475,2)</f>
        <v>PM</v>
      </c>
      <c r="AJ475" s="23" t="str">
        <f>Data!$R475&amp;"-"&amp;WEEKNUM(Data!$C475,1)-WEEKNUM(DATE(YEAR(Data!$C475),MONTH(Data!$C475),1),1)+1</f>
        <v>5-2023-1</v>
      </c>
      <c r="AK475" s="23">
        <f>MONTH(Data!$C475)</f>
        <v>5</v>
      </c>
      <c r="AL475" s="23">
        <f>IFERROR(Data!$F475/Data!$E475,0)</f>
        <v>46.06666666666667</v>
      </c>
      <c r="AM475" s="23">
        <f>COUNTIF(Data!$N$2:$N$825,Data!$N475)</f>
        <v>191</v>
      </c>
      <c r="AN475" s="23" t="str">
        <f>VLOOKUP(Data!$N475,'Helpful Tables'!A:D,4,FALSE)</f>
        <v>Washington, DC</v>
      </c>
      <c r="AO475" s="23">
        <f>COUNTIF(AN:AN,Data!$AN475)/COUNTA(AN:AN)</f>
        <v>0.62424242424242427</v>
      </c>
      <c r="AP475" s="23">
        <v>38.949649000000001</v>
      </c>
      <c r="AQ475" s="23">
        <v>-77.080878999999996</v>
      </c>
      <c r="AR475" s="23">
        <f>COUNTIF(Data!$P$2:$P$825,Data!$P475)</f>
        <v>16</v>
      </c>
      <c r="AS475" s="23" cm="1">
        <f t="array" ref="AS475">_xlfn.IFS(Data!$E475&lt;12,((Data!$E475/Data!$D475)*60)*1,AND(Data!$E475&gt;=12,Data!$E475&lt;=15),((Data!$E475/Data!$D475)*60)*1.2,AND(Data!$E475&gt;=16,Data!$E475&lt;=19),((Data!$E475/Data!$D475)*60)*1.5,Data!$E475&gt;=20,((Data!$E475/Data!$D475)*60)*1.8)</f>
        <v>18.305084745762709</v>
      </c>
      <c r="AT475" s="23" cm="1">
        <f t="array" ref="AT475">_xlfn.IFS(Data!$F475&lt;600,((Data!$F475/Data!$D475)*60)*1,AND(Data!$F475&gt;=600,Data!$F475&lt;=625),((Data!$F475/Data!$D475)*60)*1.2,AND(Data!$F475&gt;=626,Data!$F475&lt;=650),((Data!$F475/Data!$D475)*60)*1.5,Data!$F475&gt;=651,((Data!$F475/Data!$D475)*60)*1.8)</f>
        <v>1264.8813559322034</v>
      </c>
      <c r="AU475" s="23">
        <f>(Data!$I475*-1.2)+(Data!$J475*-1.1)+(Data!$K475*1.2)+(Data!$L475*1.3)+(Data!$M475*1.5)</f>
        <v>19.2</v>
      </c>
      <c r="AV475" s="23">
        <f>(Data!$AS475*0.4)+(Data!$AT475*0.4)+(Data!$AU475*0.2)</f>
        <v>517.11457627118648</v>
      </c>
      <c r="AW475" s="23">
        <f>PERCENTRANK(AV:AV,Data!$AV475)*100</f>
        <v>88.1</v>
      </c>
      <c r="AX475" s="23" t="str">
        <f>_xlfn.CONCAT(TEXT(C475,"mmm"),"-",Data!$AE475)</f>
        <v>May-2023</v>
      </c>
    </row>
    <row r="476" spans="1:50" ht="17" thickTop="1" thickBot="1" x14ac:dyDescent="0.25">
      <c r="A476" s="28">
        <v>475</v>
      </c>
      <c r="B476" s="29">
        <f t="shared" si="58"/>
        <v>7</v>
      </c>
      <c r="C476" s="41">
        <v>45052</v>
      </c>
      <c r="D476" s="30">
        <f>SUM(Data!$I476:$M476)</f>
        <v>56</v>
      </c>
      <c r="E476" s="29">
        <v>15</v>
      </c>
      <c r="F476" s="29">
        <v>619</v>
      </c>
      <c r="G476" s="29">
        <v>167</v>
      </c>
      <c r="H476" s="29">
        <v>126</v>
      </c>
      <c r="I476" s="29">
        <v>17</v>
      </c>
      <c r="J476" s="29">
        <v>10</v>
      </c>
      <c r="K476" s="29">
        <v>14</v>
      </c>
      <c r="L476" s="29">
        <v>11</v>
      </c>
      <c r="M476" s="29">
        <v>4</v>
      </c>
      <c r="N476" s="29" t="s">
        <v>101</v>
      </c>
      <c r="O476" s="29" t="s">
        <v>179</v>
      </c>
      <c r="P476" s="29" t="s">
        <v>148</v>
      </c>
      <c r="Q476" s="29">
        <f t="shared" si="64"/>
        <v>3</v>
      </c>
      <c r="R476" s="29" t="str">
        <f t="shared" si="59"/>
        <v>5-2023</v>
      </c>
      <c r="S476" s="29" t="s">
        <v>104</v>
      </c>
      <c r="T476" s="29" t="str">
        <f t="shared" si="60"/>
        <v>Saturday</v>
      </c>
      <c r="U476" s="29">
        <f t="shared" si="61"/>
        <v>1</v>
      </c>
      <c r="V476" s="31">
        <f>IFERROR(Data!$I476/Data!$D476,"")</f>
        <v>0.30357142857142855</v>
      </c>
      <c r="W476" s="31">
        <f>IFERROR(Data!$J476/Data!$D476,"")</f>
        <v>0.17857142857142858</v>
      </c>
      <c r="X476" s="31">
        <f>IFERROR(Data!$K476/Data!$D476,"")</f>
        <v>0.25</v>
      </c>
      <c r="Y476" s="31">
        <f>IFERROR(Data!$L476/Data!$D476,"")</f>
        <v>0.19642857142857142</v>
      </c>
      <c r="Z476" s="31">
        <f>IFERROR(Data!$M476/Data!$D476,"")</f>
        <v>7.1428571428571425E-2</v>
      </c>
      <c r="AA476" s="32">
        <v>232.14</v>
      </c>
      <c r="AB476" s="32">
        <f t="shared" si="65"/>
        <v>33.162857142857142</v>
      </c>
      <c r="AC476" s="29">
        <f t="shared" si="62"/>
        <v>644</v>
      </c>
      <c r="AD476" s="29">
        <f t="shared" si="63"/>
        <v>14</v>
      </c>
      <c r="AE476" s="29">
        <f>YEAR(Data!$C476)</f>
        <v>2023</v>
      </c>
      <c r="AF476" s="29"/>
      <c r="AG476" s="29">
        <v>12</v>
      </c>
      <c r="AH476" s="33">
        <f>Data!$F476/Data!$D476</f>
        <v>11.053571428571429</v>
      </c>
      <c r="AI476" s="17" t="str">
        <f>RIGHT(Data!$O476,2)</f>
        <v>AM</v>
      </c>
      <c r="AJ476" s="29" t="str">
        <f>Data!$R476&amp;"-"&amp;WEEKNUM(Data!$C476,1)-WEEKNUM(DATE(YEAR(Data!$C476),MONTH(Data!$C476),1),1)+1</f>
        <v>5-2023-1</v>
      </c>
      <c r="AK476" s="29">
        <f>MONTH(Data!$C476)</f>
        <v>5</v>
      </c>
      <c r="AL476" s="29">
        <f>IFERROR(Data!$F476/Data!$E476,0)</f>
        <v>41.266666666666666</v>
      </c>
      <c r="AM476" s="29">
        <f>COUNTIF(Data!$N$2:$N$825,Data!$N476)</f>
        <v>191</v>
      </c>
      <c r="AN476" s="29" t="str">
        <f>VLOOKUP(Data!$N476,'Helpful Tables'!A:D,4,FALSE)</f>
        <v>Washington, DC</v>
      </c>
      <c r="AO476" s="29">
        <f>COUNTIF(AN:AN,Data!$AN476)/COUNTA(AN:AN)</f>
        <v>0.62424242424242427</v>
      </c>
      <c r="AP476" s="29">
        <v>38.949649000000001</v>
      </c>
      <c r="AQ476" s="29">
        <v>-77.080878999999996</v>
      </c>
      <c r="AR476" s="29">
        <f>COUNTIF(Data!$P$2:$P$825,Data!$P476)</f>
        <v>14</v>
      </c>
      <c r="AS476" s="29" cm="1">
        <f t="array" ref="AS476">_xlfn.IFS(Data!$E476&lt;12,((Data!$E476/Data!$D476)*60)*1,AND(Data!$E476&gt;=12,Data!$E476&lt;=15),((Data!$E476/Data!$D476)*60)*1.2,AND(Data!$E476&gt;=16,Data!$E476&lt;=19),((Data!$E476/Data!$D476)*60)*1.5,Data!$E476&gt;=20,((Data!$E476/Data!$D476)*60)*1.8)</f>
        <v>19.285714285714281</v>
      </c>
      <c r="AT476" s="29" cm="1">
        <f t="array" ref="AT476">_xlfn.IFS(Data!$F476&lt;600,((Data!$F476/Data!$D476)*60)*1,AND(Data!$F476&gt;=600,Data!$F476&lt;=625),((Data!$F476/Data!$D476)*60)*1.2,AND(Data!$F476&gt;=626,Data!$F476&lt;=650),((Data!$F476/Data!$D476)*60)*1.5,Data!$F476&gt;=651,((Data!$F476/Data!$D476)*60)*1.8)</f>
        <v>795.85714285714289</v>
      </c>
      <c r="AU476" s="29">
        <f>(Data!$I476*-1.2)+(Data!$J476*-1.1)+(Data!$K476*1.2)+(Data!$L476*1.3)+(Data!$M476*1.5)</f>
        <v>5.7000000000000028</v>
      </c>
      <c r="AV476" s="29">
        <f>(Data!$AS476*0.4)+(Data!$AT476*0.4)+(Data!$AU476*0.2)</f>
        <v>327.19714285714286</v>
      </c>
      <c r="AW476" s="29">
        <f>PERCENTRANK(AV:AV,Data!$AV476)*100</f>
        <v>40.200000000000003</v>
      </c>
      <c r="AX476" s="29" t="str">
        <f>_xlfn.CONCAT(TEXT(C476,"mmm"),"-",Data!$AE476)</f>
        <v>May-2023</v>
      </c>
    </row>
    <row r="477" spans="1:50" ht="17" thickTop="1" thickBot="1" x14ac:dyDescent="0.25">
      <c r="A477" s="22">
        <v>476</v>
      </c>
      <c r="B477" s="23">
        <f t="shared" si="58"/>
        <v>7</v>
      </c>
      <c r="C477" s="41">
        <v>45053</v>
      </c>
      <c r="D477" s="24">
        <f>SUM(Data!$I477:$M477)</f>
        <v>0</v>
      </c>
      <c r="E477" s="23"/>
      <c r="F477" s="23"/>
      <c r="G477" s="23"/>
      <c r="H477" s="23"/>
      <c r="I477" s="23"/>
      <c r="J477" s="23"/>
      <c r="K477" s="23"/>
      <c r="L477" s="23"/>
      <c r="M477" s="23"/>
      <c r="N477" s="23" t="s">
        <v>101</v>
      </c>
      <c r="O477" s="23" t="s">
        <v>93</v>
      </c>
      <c r="P477" s="23" t="s">
        <v>147</v>
      </c>
      <c r="Q477" s="23">
        <f t="shared" si="64"/>
        <v>1</v>
      </c>
      <c r="R477" s="23" t="str">
        <f t="shared" si="59"/>
        <v>5-2023</v>
      </c>
      <c r="S477" s="23"/>
      <c r="T477" s="23" t="str">
        <f t="shared" si="60"/>
        <v>Sunday</v>
      </c>
      <c r="U477" s="23">
        <f t="shared" si="61"/>
        <v>0</v>
      </c>
      <c r="V477" s="25" t="str">
        <f>IFERROR(Data!$I477/Data!$D477,"")</f>
        <v/>
      </c>
      <c r="W477" s="25" t="str">
        <f>IFERROR(Data!$J477/Data!$D477,"")</f>
        <v/>
      </c>
      <c r="X477" s="25" t="str">
        <f>IFERROR(Data!$K477/Data!$D477,"")</f>
        <v/>
      </c>
      <c r="Y477" s="25" t="str">
        <f>IFERROR(Data!$L477/Data!$D477,"")</f>
        <v/>
      </c>
      <c r="Z477" s="25" t="str">
        <f>IFERROR(Data!$M477/Data!$D477,"")</f>
        <v/>
      </c>
      <c r="AA477" s="26">
        <v>232.14</v>
      </c>
      <c r="AB477" s="26">
        <f t="shared" si="65"/>
        <v>33.162857142857142</v>
      </c>
      <c r="AC477" s="23">
        <f t="shared" si="62"/>
        <v>644</v>
      </c>
      <c r="AD477" s="23">
        <f t="shared" si="63"/>
        <v>14</v>
      </c>
      <c r="AE477" s="23">
        <f>YEAR(Data!$C477)</f>
        <v>2023</v>
      </c>
      <c r="AF477" s="23"/>
      <c r="AG477" s="23">
        <v>12</v>
      </c>
      <c r="AH477" s="27" t="e">
        <f>Data!$F477/Data!$D477</f>
        <v>#DIV/0!</v>
      </c>
      <c r="AI477" s="17" t="str">
        <f>RIGHT(Data!$O477,2)</f>
        <v>AM</v>
      </c>
      <c r="AJ477" s="23" t="str">
        <f>Data!$R477&amp;"-"&amp;WEEKNUM(Data!$C477,1)-WEEKNUM(DATE(YEAR(Data!$C477),MONTH(Data!$C477),1),1)+1</f>
        <v>5-2023-2</v>
      </c>
      <c r="AK477" s="23">
        <f>MONTH(Data!$C477)</f>
        <v>5</v>
      </c>
      <c r="AL477" s="23">
        <f>IFERROR(Data!$F477/Data!$E477,0)</f>
        <v>0</v>
      </c>
      <c r="AM477" s="23">
        <f>COUNTIF(Data!$N$2:$N$825,Data!$N477)</f>
        <v>191</v>
      </c>
      <c r="AN477" s="23" t="str">
        <f>VLOOKUP(Data!$N477,'Helpful Tables'!A:D,4,FALSE)</f>
        <v>Washington, DC</v>
      </c>
      <c r="AO477" s="23">
        <f>COUNTIF(AN:AN,Data!$AN477)/COUNTA(AN:AN)</f>
        <v>0.62424242424242427</v>
      </c>
      <c r="AP477" s="23">
        <v>38.949649000000001</v>
      </c>
      <c r="AQ477" s="23">
        <v>-77.080878999999996</v>
      </c>
      <c r="AR477" s="23">
        <f>COUNTIF(Data!$P$2:$P$825,Data!$P477)</f>
        <v>17</v>
      </c>
      <c r="AS477" s="23"/>
      <c r="AT477" s="23"/>
      <c r="AU477" s="23"/>
      <c r="AV477" s="23"/>
      <c r="AW477" s="23"/>
      <c r="AX477" s="23" t="str">
        <f>_xlfn.CONCAT(TEXT(C477,"mmm"),"-",Data!$AE477)</f>
        <v>May-2023</v>
      </c>
    </row>
    <row r="478" spans="1:50" ht="17" thickTop="1" thickBot="1" x14ac:dyDescent="0.25">
      <c r="A478" s="28">
        <v>477</v>
      </c>
      <c r="B478" s="29">
        <f t="shared" si="58"/>
        <v>7</v>
      </c>
      <c r="C478" s="41">
        <v>45073</v>
      </c>
      <c r="D478" s="30">
        <f>SUM(Data!$I478:$M478)</f>
        <v>60</v>
      </c>
      <c r="E478" s="29">
        <v>17</v>
      </c>
      <c r="F478" s="29">
        <v>681</v>
      </c>
      <c r="G478" s="29">
        <v>169</v>
      </c>
      <c r="H478" s="29">
        <v>128</v>
      </c>
      <c r="I478" s="29">
        <v>12</v>
      </c>
      <c r="J478" s="29">
        <v>15</v>
      </c>
      <c r="K478" s="29">
        <v>16</v>
      </c>
      <c r="L478" s="29">
        <v>15</v>
      </c>
      <c r="M478" s="29">
        <v>2</v>
      </c>
      <c r="N478" s="29" t="s">
        <v>101</v>
      </c>
      <c r="O478" s="29" t="s">
        <v>180</v>
      </c>
      <c r="P478" s="29" t="s">
        <v>148</v>
      </c>
      <c r="Q478" s="29">
        <f t="shared" si="64"/>
        <v>20</v>
      </c>
      <c r="R478" s="29" t="str">
        <f t="shared" si="59"/>
        <v>5-2023</v>
      </c>
      <c r="S478" s="29" t="s">
        <v>117</v>
      </c>
      <c r="T478" s="29" t="str">
        <f t="shared" si="60"/>
        <v>Saturday</v>
      </c>
      <c r="U478" s="29">
        <f t="shared" si="61"/>
        <v>1</v>
      </c>
      <c r="V478" s="31">
        <f>IFERROR(Data!$I478/Data!$D478,"")</f>
        <v>0.2</v>
      </c>
      <c r="W478" s="31">
        <f>IFERROR(Data!$J478/Data!$D478,"")</f>
        <v>0.25</v>
      </c>
      <c r="X478" s="31">
        <f>IFERROR(Data!$K478/Data!$D478,"")</f>
        <v>0.26666666666666666</v>
      </c>
      <c r="Y478" s="31">
        <f>IFERROR(Data!$L478/Data!$D478,"")</f>
        <v>0.25</v>
      </c>
      <c r="Z478" s="31">
        <f>IFERROR(Data!$M478/Data!$D478,"")</f>
        <v>3.3333333333333333E-2</v>
      </c>
      <c r="AA478" s="32">
        <v>232.14</v>
      </c>
      <c r="AB478" s="32">
        <f t="shared" si="65"/>
        <v>33.162857142857142</v>
      </c>
      <c r="AC478" s="29">
        <f t="shared" si="62"/>
        <v>644</v>
      </c>
      <c r="AD478" s="29">
        <f t="shared" si="63"/>
        <v>14</v>
      </c>
      <c r="AE478" s="29">
        <f>YEAR(Data!$C478)</f>
        <v>2023</v>
      </c>
      <c r="AF478" s="29"/>
      <c r="AG478" s="29">
        <v>12</v>
      </c>
      <c r="AH478" s="33">
        <f>Data!$F478/Data!$D478</f>
        <v>11.35</v>
      </c>
      <c r="AI478" s="17" t="str">
        <f>RIGHT(Data!$O478,2)</f>
        <v>AM</v>
      </c>
      <c r="AJ478" s="29" t="str">
        <f>Data!$R478&amp;"-"&amp;WEEKNUM(Data!$C478,1)-WEEKNUM(DATE(YEAR(Data!$C478),MONTH(Data!$C478),1),1)+1</f>
        <v>5-2023-4</v>
      </c>
      <c r="AK478" s="29">
        <f>MONTH(Data!$C478)</f>
        <v>5</v>
      </c>
      <c r="AL478" s="29">
        <f>IFERROR(Data!$F478/Data!$E478,0)</f>
        <v>40.058823529411768</v>
      </c>
      <c r="AM478" s="29">
        <f>COUNTIF(Data!$N$2:$N$825,Data!$N478)</f>
        <v>191</v>
      </c>
      <c r="AN478" s="29" t="str">
        <f>VLOOKUP(Data!$N478,'Helpful Tables'!A:D,4,FALSE)</f>
        <v>Washington, DC</v>
      </c>
      <c r="AO478" s="29">
        <f>COUNTIF(AN:AN,Data!$AN478)/COUNTA(AN:AN)</f>
        <v>0.62424242424242427</v>
      </c>
      <c r="AP478" s="29">
        <v>38.949649000000001</v>
      </c>
      <c r="AQ478" s="29">
        <v>-77.080878999999996</v>
      </c>
      <c r="AR478" s="29">
        <f>COUNTIF(Data!$P$2:$P$825,Data!$P478)</f>
        <v>14</v>
      </c>
      <c r="AS478" s="29" cm="1">
        <f t="array" ref="AS478">_xlfn.IFS(Data!$E478&lt;12,((Data!$E478/Data!$D478)*60)*1,AND(Data!$E478&gt;=12,Data!$E478&lt;=15),((Data!$E478/Data!$D478)*60)*1.2,AND(Data!$E478&gt;=16,Data!$E478&lt;=19),((Data!$E478/Data!$D478)*60)*1.5,Data!$E478&gt;=20,((Data!$E478/Data!$D478)*60)*1.8)</f>
        <v>25.5</v>
      </c>
      <c r="AT478" s="29" cm="1">
        <f t="array" ref="AT478">_xlfn.IFS(Data!$F478&lt;600,((Data!$F478/Data!$D478)*60)*1,AND(Data!$F478&gt;=600,Data!$F478&lt;=625),((Data!$F478/Data!$D478)*60)*1.2,AND(Data!$F478&gt;=626,Data!$F478&lt;=650),((Data!$F478/Data!$D478)*60)*1.5,Data!$F478&gt;=651,((Data!$F478/Data!$D478)*60)*1.8)</f>
        <v>1225.8</v>
      </c>
      <c r="AU478" s="29">
        <f>(Data!$I478*-1.2)+(Data!$J478*-1.1)+(Data!$K478*1.2)+(Data!$L478*1.3)+(Data!$M478*1.5)</f>
        <v>10.8</v>
      </c>
      <c r="AV478" s="29">
        <f>(Data!$AS478*0.4)+(Data!$AT478*0.4)+(Data!$AU478*0.2)</f>
        <v>502.68</v>
      </c>
      <c r="AW478" s="34">
        <f>PERCENTRANK(AV:AV,Data!$AV478)*100</f>
        <v>79.5</v>
      </c>
      <c r="AX478" s="29" t="str">
        <f>_xlfn.CONCAT(TEXT(C478,"mmm"),"-",Data!$AE478)</f>
        <v>May-2023</v>
      </c>
    </row>
    <row r="479" spans="1:50" ht="17" thickTop="1" thickBot="1" x14ac:dyDescent="0.25">
      <c r="A479" s="22">
        <v>478</v>
      </c>
      <c r="B479" s="23">
        <f t="shared" si="58"/>
        <v>7</v>
      </c>
      <c r="C479" s="41">
        <v>45075</v>
      </c>
      <c r="D479" s="24">
        <f>SUM(Data!$I479:$M479)</f>
        <v>55</v>
      </c>
      <c r="E479" s="23">
        <v>14</v>
      </c>
      <c r="F479" s="23">
        <v>638</v>
      </c>
      <c r="G479" s="23">
        <v>165</v>
      </c>
      <c r="H479" s="23">
        <v>131</v>
      </c>
      <c r="I479" s="23">
        <v>5</v>
      </c>
      <c r="J479" s="23">
        <v>17</v>
      </c>
      <c r="K479" s="23">
        <v>19</v>
      </c>
      <c r="L479" s="23">
        <v>11</v>
      </c>
      <c r="M479" s="23">
        <v>3</v>
      </c>
      <c r="N479" s="23" t="s">
        <v>91</v>
      </c>
      <c r="O479" s="23" t="s">
        <v>32</v>
      </c>
      <c r="P479" s="23" t="s">
        <v>181</v>
      </c>
      <c r="Q479" s="23">
        <f t="shared" si="64"/>
        <v>2</v>
      </c>
      <c r="R479" s="23" t="str">
        <f t="shared" si="59"/>
        <v>5-2023</v>
      </c>
      <c r="S479" s="23" t="s">
        <v>104</v>
      </c>
      <c r="T479" s="23" t="str">
        <f t="shared" si="60"/>
        <v>Monday</v>
      </c>
      <c r="U479" s="23">
        <f t="shared" si="61"/>
        <v>1</v>
      </c>
      <c r="V479" s="25">
        <f>IFERROR(Data!$I479/Data!$D479,"")</f>
        <v>9.0909090909090912E-2</v>
      </c>
      <c r="W479" s="25">
        <f>IFERROR(Data!$J479/Data!$D479,"")</f>
        <v>0.30909090909090908</v>
      </c>
      <c r="X479" s="25">
        <f>IFERROR(Data!$K479/Data!$D479,"")</f>
        <v>0.34545454545454546</v>
      </c>
      <c r="Y479" s="25">
        <f>IFERROR(Data!$L479/Data!$D479,"")</f>
        <v>0.2</v>
      </c>
      <c r="Z479" s="25">
        <f>IFERROR(Data!$M479/Data!$D479,"")</f>
        <v>5.4545454545454543E-2</v>
      </c>
      <c r="AA479" s="26">
        <v>232.14</v>
      </c>
      <c r="AB479" s="26">
        <f t="shared" si="65"/>
        <v>33.162857142857142</v>
      </c>
      <c r="AC479" s="23">
        <f t="shared" si="62"/>
        <v>644</v>
      </c>
      <c r="AD479" s="23">
        <f t="shared" si="63"/>
        <v>14</v>
      </c>
      <c r="AE479" s="23">
        <f>YEAR(Data!$C479)</f>
        <v>2023</v>
      </c>
      <c r="AF479" s="23"/>
      <c r="AG479" s="23">
        <v>12</v>
      </c>
      <c r="AH479" s="27">
        <f>Data!$F479/Data!$D479</f>
        <v>11.6</v>
      </c>
      <c r="AI479" s="17" t="str">
        <f>RIGHT(Data!$O479,2)</f>
        <v>AM</v>
      </c>
      <c r="AJ479" s="23" t="str">
        <f>Data!$R479&amp;"-"&amp;WEEKNUM(Data!$C479,1)-WEEKNUM(DATE(YEAR(Data!$C479),MONTH(Data!$C479),1),1)+1</f>
        <v>5-2023-5</v>
      </c>
      <c r="AK479" s="23">
        <f>MONTH(Data!$C479)</f>
        <v>5</v>
      </c>
      <c r="AL479" s="23">
        <f>IFERROR(Data!$F479/Data!$E479,0)</f>
        <v>45.571428571428569</v>
      </c>
      <c r="AM479" s="23">
        <f>COUNTIF(Data!$N$2:$N$825,Data!$N479)</f>
        <v>218</v>
      </c>
      <c r="AN479" s="23" t="str">
        <f>VLOOKUP(Data!$N479,'Helpful Tables'!A:D,4,FALSE)</f>
        <v>Washington, DC</v>
      </c>
      <c r="AO479" s="23">
        <f>COUNTIF(AN:AN,Data!$AN479)/COUNTA(AN:AN)</f>
        <v>0.62424242424242427</v>
      </c>
      <c r="AP479" s="23">
        <v>38.934710000000003</v>
      </c>
      <c r="AQ479" s="23">
        <v>-77.058222999999998</v>
      </c>
      <c r="AR479" s="23">
        <f>COUNTIF(Data!$P$2:$P$825,Data!$P479)</f>
        <v>1</v>
      </c>
      <c r="AS479" s="23" cm="1">
        <f t="array" ref="AS479">_xlfn.IFS(Data!$E479&lt;12,((Data!$E479/Data!$D479)*60)*1,AND(Data!$E479&gt;=12,Data!$E479&lt;=15),((Data!$E479/Data!$D479)*60)*1.2,AND(Data!$E479&gt;=16,Data!$E479&lt;=19),((Data!$E479/Data!$D479)*60)*1.5,Data!$E479&gt;=20,((Data!$E479/Data!$D479)*60)*1.8)</f>
        <v>18.327272727272724</v>
      </c>
      <c r="AT479" s="23" cm="1">
        <f t="array" ref="AT479">_xlfn.IFS(Data!$F479&lt;600,((Data!$F479/Data!$D479)*60)*1,AND(Data!$F479&gt;=600,Data!$F479&lt;=625),((Data!$F479/Data!$D479)*60)*1.2,AND(Data!$F479&gt;=626,Data!$F479&lt;=650),((Data!$F479/Data!$D479)*60)*1.5,Data!$F479&gt;=651,((Data!$F479/Data!$D479)*60)*1.8)</f>
        <v>1044</v>
      </c>
      <c r="AU479" s="23">
        <f>(Data!$I479*-1.2)+(Data!$J479*-1.1)+(Data!$K479*1.2)+(Data!$L479*1.3)+(Data!$M479*1.5)</f>
        <v>16.899999999999999</v>
      </c>
      <c r="AV479" s="23">
        <f>(Data!$AS479*0.4)+(Data!$AT479*0.4)+(Data!$AU479*0.2)</f>
        <v>428.31090909090909</v>
      </c>
      <c r="AW479" s="35">
        <f>PERCENTRANK(AV:AV,Data!$AV479)*100</f>
        <v>63.800000000000004</v>
      </c>
      <c r="AX479" s="23" t="str">
        <f>_xlfn.CONCAT(TEXT(C479,"mmm"),"-",Data!$AE479)</f>
        <v>May-2023</v>
      </c>
    </row>
    <row r="480" spans="1:50" ht="17" thickTop="1" thickBot="1" x14ac:dyDescent="0.25">
      <c r="A480" s="28">
        <v>479</v>
      </c>
      <c r="B480" s="29">
        <f t="shared" si="58"/>
        <v>7</v>
      </c>
      <c r="C480" s="41">
        <v>45077</v>
      </c>
      <c r="D480" s="30">
        <f>SUM(Data!$I480:$M480)</f>
        <v>58</v>
      </c>
      <c r="E480" s="29">
        <v>9</v>
      </c>
      <c r="F480" s="29">
        <v>601</v>
      </c>
      <c r="G480" s="29">
        <v>163</v>
      </c>
      <c r="H480" s="29">
        <v>122</v>
      </c>
      <c r="I480" s="29">
        <v>17</v>
      </c>
      <c r="J480" s="29">
        <v>13</v>
      </c>
      <c r="K480" s="29">
        <v>19</v>
      </c>
      <c r="L480" s="29">
        <v>9</v>
      </c>
      <c r="M480" s="29">
        <v>0</v>
      </c>
      <c r="N480" s="29" t="s">
        <v>91</v>
      </c>
      <c r="O480" s="29" t="s">
        <v>57</v>
      </c>
      <c r="P480" s="29" t="s">
        <v>96</v>
      </c>
      <c r="Q480" s="29">
        <f t="shared" si="64"/>
        <v>2</v>
      </c>
      <c r="R480" s="29" t="str">
        <f t="shared" si="59"/>
        <v>5-2023</v>
      </c>
      <c r="S480" s="29" t="s">
        <v>104</v>
      </c>
      <c r="T480" s="29" t="str">
        <f t="shared" si="60"/>
        <v>Wednesday</v>
      </c>
      <c r="U480" s="29">
        <f t="shared" si="61"/>
        <v>0</v>
      </c>
      <c r="V480" s="31">
        <f>IFERROR(Data!$I480/Data!$D480,"")</f>
        <v>0.29310344827586204</v>
      </c>
      <c r="W480" s="31">
        <f>IFERROR(Data!$J480/Data!$D480,"")</f>
        <v>0.22413793103448276</v>
      </c>
      <c r="X480" s="31">
        <f>IFERROR(Data!$K480/Data!$D480,"")</f>
        <v>0.32758620689655171</v>
      </c>
      <c r="Y480" s="31">
        <f>IFERROR(Data!$L480/Data!$D480,"")</f>
        <v>0.15517241379310345</v>
      </c>
      <c r="Z480" s="31">
        <f>IFERROR(Data!$M480/Data!$D480,"")</f>
        <v>0</v>
      </c>
      <c r="AA480" s="32">
        <v>232.14</v>
      </c>
      <c r="AB480" s="32">
        <f t="shared" si="65"/>
        <v>33.162857142857142</v>
      </c>
      <c r="AC480" s="29">
        <f t="shared" si="62"/>
        <v>644</v>
      </c>
      <c r="AD480" s="29">
        <f t="shared" si="63"/>
        <v>14</v>
      </c>
      <c r="AE480" s="29">
        <f>YEAR(Data!$C480)</f>
        <v>2023</v>
      </c>
      <c r="AF480" s="29"/>
      <c r="AG480" s="29">
        <v>12</v>
      </c>
      <c r="AH480" s="33">
        <f>Data!$F480/Data!$D480</f>
        <v>10.362068965517242</v>
      </c>
      <c r="AI480" s="17" t="str">
        <f>RIGHT(Data!$O480,2)</f>
        <v>PM</v>
      </c>
      <c r="AJ480" s="29" t="str">
        <f>Data!$R480&amp;"-"&amp;WEEKNUM(Data!$C480,1)-WEEKNUM(DATE(YEAR(Data!$C480),MONTH(Data!$C480),1),1)+1</f>
        <v>5-2023-5</v>
      </c>
      <c r="AK480" s="29">
        <f>MONTH(Data!$C480)</f>
        <v>5</v>
      </c>
      <c r="AL480" s="29">
        <f>IFERROR(Data!$F480/Data!$E480,0)</f>
        <v>66.777777777777771</v>
      </c>
      <c r="AM480" s="29">
        <f>COUNTIF(Data!$N$2:$N$825,Data!$N480)</f>
        <v>218</v>
      </c>
      <c r="AN480" s="29" t="str">
        <f>VLOOKUP(Data!$N480,'Helpful Tables'!A:D,4,FALSE)</f>
        <v>Washington, DC</v>
      </c>
      <c r="AO480" s="29">
        <f>COUNTIF(AN:AN,Data!$AN480)/COUNTA(AN:AN)</f>
        <v>0.62424242424242427</v>
      </c>
      <c r="AP480" s="29">
        <v>38.934710000000003</v>
      </c>
      <c r="AQ480" s="29">
        <v>-77.058222999999998</v>
      </c>
      <c r="AR480" s="29">
        <f>COUNTIF(Data!$P$2:$P$825,Data!$P480)</f>
        <v>71</v>
      </c>
      <c r="AS480" s="29" cm="1">
        <f t="array" ref="AS480">_xlfn.IFS(Data!$E480&lt;12,((Data!$E480/Data!$D480)*60)*1,AND(Data!$E480&gt;=12,Data!$E480&lt;=15),((Data!$E480/Data!$D480)*60)*1.2,AND(Data!$E480&gt;=16,Data!$E480&lt;=19),((Data!$E480/Data!$D480)*60)*1.5,Data!$E480&gt;=20,((Data!$E480/Data!$D480)*60)*1.8)</f>
        <v>9.3103448275862064</v>
      </c>
      <c r="AT480" s="29" cm="1">
        <f t="array" ref="AT480">_xlfn.IFS(Data!$F480&lt;600,((Data!$F480/Data!$D480)*60)*1,AND(Data!$F480&gt;=600,Data!$F480&lt;=625),((Data!$F480/Data!$D480)*60)*1.2,AND(Data!$F480&gt;=626,Data!$F480&lt;=650),((Data!$F480/Data!$D480)*60)*1.5,Data!$F480&gt;=651,((Data!$F480/Data!$D480)*60)*1.8)</f>
        <v>746.06896551724139</v>
      </c>
      <c r="AU480" s="29">
        <f>(Data!$I480*-1.2)+(Data!$J480*-1.1)+(Data!$K480*1.2)+(Data!$L480*1.3)+(Data!$M480*1.5)</f>
        <v>-0.20000000000000107</v>
      </c>
      <c r="AV480" s="29">
        <f>(Data!$AS480*0.4)+(Data!$AT480*0.4)+(Data!$AU480*0.2)</f>
        <v>302.11172413793105</v>
      </c>
      <c r="AW480" s="34">
        <f>PERCENTRANK(AV:AV,Data!$AV480)*100</f>
        <v>27.1</v>
      </c>
      <c r="AX480" s="29" t="str">
        <f>_xlfn.CONCAT(TEXT(C480,"mmm"),"-",Data!$AE480)</f>
        <v>May-2023</v>
      </c>
    </row>
    <row r="481" spans="1:50" ht="17" thickTop="1" thickBot="1" x14ac:dyDescent="0.25">
      <c r="A481" s="22">
        <v>480</v>
      </c>
      <c r="B481" s="23">
        <f t="shared" si="58"/>
        <v>13</v>
      </c>
      <c r="C481" s="41">
        <v>45079</v>
      </c>
      <c r="D481" s="24">
        <f>SUM(Data!$I481:$M481)</f>
        <v>56</v>
      </c>
      <c r="E481" s="23">
        <v>16</v>
      </c>
      <c r="F481" s="23">
        <v>634</v>
      </c>
      <c r="G481" s="23">
        <v>169</v>
      </c>
      <c r="H481" s="23">
        <v>127</v>
      </c>
      <c r="I481" s="23">
        <v>13</v>
      </c>
      <c r="J481" s="23">
        <v>15</v>
      </c>
      <c r="K481" s="23">
        <v>12</v>
      </c>
      <c r="L481" s="23">
        <v>15</v>
      </c>
      <c r="M481" s="23">
        <v>1</v>
      </c>
      <c r="N481" s="23" t="s">
        <v>91</v>
      </c>
      <c r="O481" s="23" t="s">
        <v>26</v>
      </c>
      <c r="P481" s="23" t="s">
        <v>96</v>
      </c>
      <c r="Q481" s="23">
        <f t="shared" si="64"/>
        <v>2</v>
      </c>
      <c r="R481" s="23" t="str">
        <f t="shared" si="59"/>
        <v>6-2023</v>
      </c>
      <c r="S481" s="23" t="s">
        <v>104</v>
      </c>
      <c r="T481" s="23" t="str">
        <f t="shared" si="60"/>
        <v>Friday</v>
      </c>
      <c r="U481" s="23">
        <f t="shared" si="61"/>
        <v>1</v>
      </c>
      <c r="V481" s="25">
        <f>IFERROR(Data!$I481/Data!$D481,"")</f>
        <v>0.23214285714285715</v>
      </c>
      <c r="W481" s="25">
        <f>IFERROR(Data!$J481/Data!$D481,"")</f>
        <v>0.26785714285714285</v>
      </c>
      <c r="X481" s="25">
        <f>IFERROR(Data!$K481/Data!$D481,"")</f>
        <v>0.21428571428571427</v>
      </c>
      <c r="Y481" s="25">
        <f>IFERROR(Data!$L481/Data!$D481,"")</f>
        <v>0.26785714285714285</v>
      </c>
      <c r="Z481" s="25">
        <f>IFERROR(Data!$M481/Data!$D481,"")</f>
        <v>1.7857142857142856E-2</v>
      </c>
      <c r="AA481" s="26">
        <v>232.14</v>
      </c>
      <c r="AB481" s="26">
        <f t="shared" si="65"/>
        <v>17.856923076923074</v>
      </c>
      <c r="AC481" s="23">
        <f t="shared" si="62"/>
        <v>622.92307692307691</v>
      </c>
      <c r="AD481" s="23">
        <f t="shared" si="63"/>
        <v>13.153846153846153</v>
      </c>
      <c r="AE481" s="23">
        <f>YEAR(Data!$C481)</f>
        <v>2023</v>
      </c>
      <c r="AF481" s="23"/>
      <c r="AG481" s="23">
        <v>12</v>
      </c>
      <c r="AH481" s="27">
        <f>Data!$F481/Data!$D481</f>
        <v>11.321428571428571</v>
      </c>
      <c r="AI481" s="17" t="str">
        <f>RIGHT(Data!$O481,2)</f>
        <v>PM</v>
      </c>
      <c r="AJ481" s="23" t="str">
        <f>Data!$R481&amp;"-"&amp;WEEKNUM(Data!$C481,1)-WEEKNUM(DATE(YEAR(Data!$C481),MONTH(Data!$C481),1),1)+1</f>
        <v>6-2023-1</v>
      </c>
      <c r="AK481" s="23">
        <f>MONTH(Data!$C481)</f>
        <v>6</v>
      </c>
      <c r="AL481" s="23">
        <f>IFERROR(Data!$F481/Data!$E481,0)</f>
        <v>39.625</v>
      </c>
      <c r="AM481" s="23">
        <f>COUNTIF(Data!$N$2:$N$825,Data!$N481)</f>
        <v>218</v>
      </c>
      <c r="AN481" s="23" t="str">
        <f>VLOOKUP(Data!$N481,'Helpful Tables'!A:D,4,FALSE)</f>
        <v>Washington, DC</v>
      </c>
      <c r="AO481" s="23">
        <f>COUNTIF(AN:AN,Data!$AN481)/COUNTA(AN:AN)</f>
        <v>0.62424242424242427</v>
      </c>
      <c r="AP481" s="23">
        <v>38.934710000000003</v>
      </c>
      <c r="AQ481" s="23">
        <v>-77.058222999999998</v>
      </c>
      <c r="AR481" s="23">
        <f>COUNTIF(Data!$P$2:$P$825,Data!$P481)</f>
        <v>71</v>
      </c>
      <c r="AS481" s="23" cm="1">
        <f t="array" ref="AS481">_xlfn.IFS(Data!$E481&lt;12,((Data!$E481/Data!$D481)*60)*1,AND(Data!$E481&gt;=12,Data!$E481&lt;=15),((Data!$E481/Data!$D481)*60)*1.2,AND(Data!$E481&gt;=16,Data!$E481&lt;=19),((Data!$E481/Data!$D481)*60)*1.5,Data!$E481&gt;=20,((Data!$E481/Data!$D481)*60)*1.8)</f>
        <v>25.714285714285715</v>
      </c>
      <c r="AT481" s="23" cm="1">
        <f t="array" ref="AT481">_xlfn.IFS(Data!$F481&lt;600,((Data!$F481/Data!$D481)*60)*1,AND(Data!$F481&gt;=600,Data!$F481&lt;=625),((Data!$F481/Data!$D481)*60)*1.2,AND(Data!$F481&gt;=626,Data!$F481&lt;=650),((Data!$F481/Data!$D481)*60)*1.5,Data!$F481&gt;=651,((Data!$F481/Data!$D481)*60)*1.8)</f>
        <v>1018.9285714285713</v>
      </c>
      <c r="AU481" s="23">
        <f>(Data!$I481*-1.2)+(Data!$J481*-1.1)+(Data!$K481*1.2)+(Data!$L481*1.3)+(Data!$M481*1.5)</f>
        <v>3.2999999999999972</v>
      </c>
      <c r="AV481" s="23">
        <f>(Data!$AS481*0.4)+(Data!$AT481*0.4)+(Data!$AU481*0.2)</f>
        <v>418.51714285714286</v>
      </c>
      <c r="AW481" s="35">
        <f>PERCENTRANK(AV:AV,Data!$AV481)*100</f>
        <v>60.6</v>
      </c>
      <c r="AX481" s="23" t="str">
        <f>_xlfn.CONCAT(TEXT(C481,"mmm"),"-",Data!$AE481)</f>
        <v>Jun-2023</v>
      </c>
    </row>
    <row r="482" spans="1:50" ht="17" thickTop="1" thickBot="1" x14ac:dyDescent="0.25">
      <c r="A482" s="28">
        <v>481</v>
      </c>
      <c r="B482" s="29">
        <f t="shared" si="58"/>
        <v>13</v>
      </c>
      <c r="C482" s="41">
        <v>45080</v>
      </c>
      <c r="D482" s="30">
        <f>SUM(Data!$I482:$M482)</f>
        <v>59</v>
      </c>
      <c r="E482" s="29">
        <v>7</v>
      </c>
      <c r="F482" s="29">
        <v>493</v>
      </c>
      <c r="G482" s="29">
        <v>162</v>
      </c>
      <c r="H482" s="29">
        <v>108</v>
      </c>
      <c r="I482" s="29">
        <v>36</v>
      </c>
      <c r="J482" s="29">
        <v>7</v>
      </c>
      <c r="K482" s="29">
        <v>9</v>
      </c>
      <c r="L482" s="29">
        <v>7</v>
      </c>
      <c r="M482" s="29">
        <v>0</v>
      </c>
      <c r="N482" s="29" t="s">
        <v>101</v>
      </c>
      <c r="O482" s="29" t="s">
        <v>93</v>
      </c>
      <c r="P482" s="29" t="s">
        <v>109</v>
      </c>
      <c r="Q482" s="29">
        <f t="shared" si="64"/>
        <v>1</v>
      </c>
      <c r="R482" s="29" t="str">
        <f t="shared" si="59"/>
        <v>6-2023</v>
      </c>
      <c r="S482" s="29" t="s">
        <v>117</v>
      </c>
      <c r="T482" s="29" t="str">
        <f t="shared" si="60"/>
        <v>Saturday</v>
      </c>
      <c r="U482" s="29">
        <f t="shared" si="61"/>
        <v>0</v>
      </c>
      <c r="V482" s="31">
        <f>IFERROR(Data!$I482/Data!$D482,"")</f>
        <v>0.61016949152542377</v>
      </c>
      <c r="W482" s="31">
        <f>IFERROR(Data!$J482/Data!$D482,"")</f>
        <v>0.11864406779661017</v>
      </c>
      <c r="X482" s="31">
        <f>IFERROR(Data!$K482/Data!$D482,"")</f>
        <v>0.15254237288135594</v>
      </c>
      <c r="Y482" s="31">
        <f>IFERROR(Data!$L482/Data!$D482,"")</f>
        <v>0.11864406779661017</v>
      </c>
      <c r="Z482" s="31">
        <f>IFERROR(Data!$M482/Data!$D482,"")</f>
        <v>0</v>
      </c>
      <c r="AA482" s="32">
        <v>232.14</v>
      </c>
      <c r="AB482" s="32">
        <f t="shared" si="65"/>
        <v>17.856923076923074</v>
      </c>
      <c r="AC482" s="29">
        <f t="shared" si="62"/>
        <v>622.92307692307691</v>
      </c>
      <c r="AD482" s="29">
        <f t="shared" si="63"/>
        <v>13.153846153846153</v>
      </c>
      <c r="AE482" s="29">
        <f>YEAR(Data!$C482)</f>
        <v>2023</v>
      </c>
      <c r="AF482" s="29"/>
      <c r="AG482" s="29">
        <v>12</v>
      </c>
      <c r="AH482" s="33">
        <f>Data!$F482/Data!$D482</f>
        <v>8.3559322033898304</v>
      </c>
      <c r="AI482" s="17" t="str">
        <f>RIGHT(Data!$O482,2)</f>
        <v>AM</v>
      </c>
      <c r="AJ482" s="29" t="str">
        <f>Data!$R482&amp;"-"&amp;WEEKNUM(Data!$C482,1)-WEEKNUM(DATE(YEAR(Data!$C482),MONTH(Data!$C482),1),1)+1</f>
        <v>6-2023-1</v>
      </c>
      <c r="AK482" s="29">
        <f>MONTH(Data!$C482)</f>
        <v>6</v>
      </c>
      <c r="AL482" s="29">
        <f>IFERROR(Data!$F482/Data!$E482,0)</f>
        <v>70.428571428571431</v>
      </c>
      <c r="AM482" s="29">
        <f>COUNTIF(Data!$N$2:$N$825,Data!$N482)</f>
        <v>191</v>
      </c>
      <c r="AN482" s="29" t="str">
        <f>VLOOKUP(Data!$N482,'Helpful Tables'!A:D,4,FALSE)</f>
        <v>Washington, DC</v>
      </c>
      <c r="AO482" s="29">
        <f>COUNTIF(AN:AN,Data!$AN482)/COUNTA(AN:AN)</f>
        <v>0.62424242424242427</v>
      </c>
      <c r="AP482" s="29">
        <v>38.949649000000001</v>
      </c>
      <c r="AQ482" s="29">
        <v>-77.080878999999996</v>
      </c>
      <c r="AR482" s="29">
        <f>COUNTIF(Data!$P$2:$P$825,Data!$P482)</f>
        <v>66</v>
      </c>
      <c r="AS482" s="29" cm="1">
        <f t="array" ref="AS482">_xlfn.IFS(Data!$E482&lt;12,((Data!$E482/Data!$D482)*60)*1,AND(Data!$E482&gt;=12,Data!$E482&lt;=15),((Data!$E482/Data!$D482)*60)*1.2,AND(Data!$E482&gt;=16,Data!$E482&lt;=19),((Data!$E482/Data!$D482)*60)*1.5,Data!$E482&gt;=20,((Data!$E482/Data!$D482)*60)*1.8)</f>
        <v>7.1186440677966107</v>
      </c>
      <c r="AT482" s="29" cm="1">
        <f t="array" ref="AT482">_xlfn.IFS(Data!$F482&lt;600,((Data!$F482/Data!$D482)*60)*1,AND(Data!$F482&gt;=600,Data!$F482&lt;=625),((Data!$F482/Data!$D482)*60)*1.2,AND(Data!$F482&gt;=626,Data!$F482&lt;=650),((Data!$F482/Data!$D482)*60)*1.5,Data!$F482&gt;=651,((Data!$F482/Data!$D482)*60)*1.8)</f>
        <v>501.35593220338984</v>
      </c>
      <c r="AU482" s="29">
        <f>(Data!$I482*-1.2)+(Data!$J482*-1.1)+(Data!$K482*1.2)+(Data!$L482*1.3)+(Data!$M482*1.5)</f>
        <v>-31</v>
      </c>
      <c r="AV482" s="29">
        <f>(Data!$AS482*0.4)+(Data!$AT482*0.4)+(Data!$AU482*0.2)</f>
        <v>197.18983050847461</v>
      </c>
      <c r="AW482" s="34">
        <f>PERCENTRANK(AV:AV,Data!$AV482)*100</f>
        <v>0.6</v>
      </c>
      <c r="AX482" s="29" t="str">
        <f>_xlfn.CONCAT(TEXT(C482,"mmm"),"-",Data!$AE482)</f>
        <v>Jun-2023</v>
      </c>
    </row>
    <row r="483" spans="1:50" ht="17" thickTop="1" thickBot="1" x14ac:dyDescent="0.25">
      <c r="A483" s="22">
        <v>482</v>
      </c>
      <c r="B483" s="23">
        <f t="shared" si="58"/>
        <v>13</v>
      </c>
      <c r="C483" s="41">
        <v>45082</v>
      </c>
      <c r="D483" s="24">
        <f>SUM(Data!$I483:$M483)</f>
        <v>55</v>
      </c>
      <c r="E483" s="23">
        <v>7</v>
      </c>
      <c r="F483" s="23">
        <v>525</v>
      </c>
      <c r="G483" s="23">
        <v>163</v>
      </c>
      <c r="H483" s="23">
        <v>116</v>
      </c>
      <c r="I483" s="23">
        <v>27</v>
      </c>
      <c r="J483" s="23">
        <v>7</v>
      </c>
      <c r="K483" s="23">
        <v>14</v>
      </c>
      <c r="L483" s="23">
        <v>7</v>
      </c>
      <c r="M483" s="23">
        <v>0</v>
      </c>
      <c r="N483" s="23" t="s">
        <v>101</v>
      </c>
      <c r="O483" s="23" t="s">
        <v>173</v>
      </c>
      <c r="P483" s="23" t="s">
        <v>109</v>
      </c>
      <c r="Q483" s="23">
        <f t="shared" si="64"/>
        <v>2</v>
      </c>
      <c r="R483" s="23" t="str">
        <f t="shared" si="59"/>
        <v>6-2023</v>
      </c>
      <c r="S483" s="23" t="s">
        <v>104</v>
      </c>
      <c r="T483" s="23" t="str">
        <f t="shared" si="60"/>
        <v>Monday</v>
      </c>
      <c r="U483" s="23">
        <f t="shared" si="61"/>
        <v>0</v>
      </c>
      <c r="V483" s="25">
        <f>IFERROR(Data!$I483/Data!$D483,"")</f>
        <v>0.49090909090909091</v>
      </c>
      <c r="W483" s="25">
        <f>IFERROR(Data!$J483/Data!$D483,"")</f>
        <v>0.12727272727272726</v>
      </c>
      <c r="X483" s="25">
        <f>IFERROR(Data!$K483/Data!$D483,"")</f>
        <v>0.25454545454545452</v>
      </c>
      <c r="Y483" s="25">
        <f>IFERROR(Data!$L483/Data!$D483,"")</f>
        <v>0.12727272727272726</v>
      </c>
      <c r="Z483" s="25">
        <f>IFERROR(Data!$M483/Data!$D483,"")</f>
        <v>0</v>
      </c>
      <c r="AA483" s="26">
        <v>232.14</v>
      </c>
      <c r="AB483" s="26">
        <f t="shared" si="65"/>
        <v>17.856923076923074</v>
      </c>
      <c r="AC483" s="23">
        <f t="shared" si="62"/>
        <v>622.92307692307691</v>
      </c>
      <c r="AD483" s="23">
        <f t="shared" si="63"/>
        <v>13.153846153846153</v>
      </c>
      <c r="AE483" s="23">
        <f>YEAR(Data!$C483)</f>
        <v>2023</v>
      </c>
      <c r="AF483" s="23"/>
      <c r="AG483" s="23">
        <v>12</v>
      </c>
      <c r="AH483" s="27">
        <f>Data!$F483/Data!$D483</f>
        <v>9.545454545454545</v>
      </c>
      <c r="AI483" s="17" t="str">
        <f>RIGHT(Data!$O483,2)</f>
        <v>PM</v>
      </c>
      <c r="AJ483" s="23" t="str">
        <f>Data!$R483&amp;"-"&amp;WEEKNUM(Data!$C483,1)-WEEKNUM(DATE(YEAR(Data!$C483),MONTH(Data!$C483),1),1)+1</f>
        <v>6-2023-2</v>
      </c>
      <c r="AK483" s="23">
        <f>MONTH(Data!$C483)</f>
        <v>6</v>
      </c>
      <c r="AL483" s="23">
        <f>IFERROR(Data!$F483/Data!$E483,0)</f>
        <v>75</v>
      </c>
      <c r="AM483" s="23">
        <f>COUNTIF(Data!$N$2:$N$825,Data!$N483)</f>
        <v>191</v>
      </c>
      <c r="AN483" s="23" t="str">
        <f>VLOOKUP(Data!$N483,'Helpful Tables'!A:D,4,FALSE)</f>
        <v>Washington, DC</v>
      </c>
      <c r="AO483" s="23">
        <f>COUNTIF(AN:AN,Data!$AN483)/COUNTA(AN:AN)</f>
        <v>0.62424242424242427</v>
      </c>
      <c r="AP483" s="23">
        <v>38.949649000000001</v>
      </c>
      <c r="AQ483" s="23">
        <v>-77.080878999999996</v>
      </c>
      <c r="AR483" s="23">
        <f>COUNTIF(Data!$P$2:$P$825,Data!$P483)</f>
        <v>66</v>
      </c>
      <c r="AS483" s="23" cm="1">
        <f t="array" ref="AS483">_xlfn.IFS(Data!$E483&lt;12,((Data!$E483/Data!$D483)*60)*1,AND(Data!$E483&gt;=12,Data!$E483&lt;=15),((Data!$E483/Data!$D483)*60)*1.2,AND(Data!$E483&gt;=16,Data!$E483&lt;=19),((Data!$E483/Data!$D483)*60)*1.5,Data!$E483&gt;=20,((Data!$E483/Data!$D483)*60)*1.8)</f>
        <v>7.6363636363636358</v>
      </c>
      <c r="AT483" s="23" cm="1">
        <f t="array" ref="AT483">_xlfn.IFS(Data!$F483&lt;600,((Data!$F483/Data!$D483)*60)*1,AND(Data!$F483&gt;=600,Data!$F483&lt;=625),((Data!$F483/Data!$D483)*60)*1.2,AND(Data!$F483&gt;=626,Data!$F483&lt;=650),((Data!$F483/Data!$D483)*60)*1.5,Data!$F483&gt;=651,((Data!$F483/Data!$D483)*60)*1.8)</f>
        <v>572.72727272727275</v>
      </c>
      <c r="AU483" s="23">
        <f>(Data!$I483*-1.2)+(Data!$J483*-1.1)+(Data!$K483*1.2)+(Data!$L483*1.3)+(Data!$M483*1.5)</f>
        <v>-14.200000000000001</v>
      </c>
      <c r="AV483" s="23">
        <f>(Data!$AS483*0.4)+(Data!$AT483*0.4)+(Data!$AU483*0.2)</f>
        <v>229.30545454545458</v>
      </c>
      <c r="AW483" s="35">
        <f>PERCENTRANK(AV:AV,Data!$AV483)*100</f>
        <v>6.9</v>
      </c>
      <c r="AX483" s="23" t="str">
        <f>_xlfn.CONCAT(TEXT(C483,"mmm"),"-",Data!$AE483)</f>
        <v>Jun-2023</v>
      </c>
    </row>
    <row r="484" spans="1:50" ht="17" thickTop="1" thickBot="1" x14ac:dyDescent="0.25">
      <c r="A484" s="28">
        <v>483</v>
      </c>
      <c r="B484" s="29">
        <f t="shared" si="58"/>
        <v>13</v>
      </c>
      <c r="C484" s="41">
        <v>45084</v>
      </c>
      <c r="D484" s="30">
        <f>SUM(Data!$I484:$M484)</f>
        <v>58</v>
      </c>
      <c r="E484" s="29">
        <v>22</v>
      </c>
      <c r="F484" s="29">
        <v>739</v>
      </c>
      <c r="G484" s="29">
        <v>167</v>
      </c>
      <c r="H484" s="29">
        <v>138</v>
      </c>
      <c r="I484" s="29">
        <v>1</v>
      </c>
      <c r="J484" s="29">
        <v>13</v>
      </c>
      <c r="K484" s="29">
        <v>22</v>
      </c>
      <c r="L484" s="29">
        <v>17</v>
      </c>
      <c r="M484" s="29">
        <v>5</v>
      </c>
      <c r="N484" s="29" t="s">
        <v>91</v>
      </c>
      <c r="O484" s="29" t="s">
        <v>57</v>
      </c>
      <c r="P484" s="29" t="s">
        <v>96</v>
      </c>
      <c r="Q484" s="29">
        <f t="shared" si="64"/>
        <v>2</v>
      </c>
      <c r="R484" s="29" t="str">
        <f t="shared" si="59"/>
        <v>6-2023</v>
      </c>
      <c r="S484" s="29" t="s">
        <v>104</v>
      </c>
      <c r="T484" s="29" t="str">
        <f t="shared" si="60"/>
        <v>Wednesday</v>
      </c>
      <c r="U484" s="29">
        <f t="shared" si="61"/>
        <v>1</v>
      </c>
      <c r="V484" s="31">
        <f>IFERROR(Data!$I484/Data!$D484,"")</f>
        <v>1.7241379310344827E-2</v>
      </c>
      <c r="W484" s="31">
        <f>IFERROR(Data!$J484/Data!$D484,"")</f>
        <v>0.22413793103448276</v>
      </c>
      <c r="X484" s="31">
        <f>IFERROR(Data!$K484/Data!$D484,"")</f>
        <v>0.37931034482758619</v>
      </c>
      <c r="Y484" s="31">
        <f>IFERROR(Data!$L484/Data!$D484,"")</f>
        <v>0.29310344827586204</v>
      </c>
      <c r="Z484" s="31">
        <f>IFERROR(Data!$M484/Data!$D484,"")</f>
        <v>8.6206896551724144E-2</v>
      </c>
      <c r="AA484" s="32">
        <v>232.14</v>
      </c>
      <c r="AB484" s="32">
        <f t="shared" si="65"/>
        <v>17.856923076923074</v>
      </c>
      <c r="AC484" s="29">
        <f t="shared" si="62"/>
        <v>622.92307692307691</v>
      </c>
      <c r="AD484" s="29">
        <f t="shared" si="63"/>
        <v>13.153846153846153</v>
      </c>
      <c r="AE484" s="29">
        <f>YEAR(Data!$C484)</f>
        <v>2023</v>
      </c>
      <c r="AF484" s="29"/>
      <c r="AG484" s="29">
        <v>12</v>
      </c>
      <c r="AH484" s="33">
        <f>Data!$F484/Data!$D484</f>
        <v>12.741379310344827</v>
      </c>
      <c r="AI484" s="17" t="str">
        <f>RIGHT(Data!$O484,2)</f>
        <v>PM</v>
      </c>
      <c r="AJ484" s="29" t="str">
        <f>Data!$R484&amp;"-"&amp;WEEKNUM(Data!$C484,1)-WEEKNUM(DATE(YEAR(Data!$C484),MONTH(Data!$C484),1),1)+1</f>
        <v>6-2023-2</v>
      </c>
      <c r="AK484" s="29">
        <f>MONTH(Data!$C484)</f>
        <v>6</v>
      </c>
      <c r="AL484" s="29">
        <f>IFERROR(Data!$F484/Data!$E484,0)</f>
        <v>33.590909090909093</v>
      </c>
      <c r="AM484" s="29">
        <f>COUNTIF(Data!$N$2:$N$825,Data!$N484)</f>
        <v>218</v>
      </c>
      <c r="AN484" s="29" t="str">
        <f>VLOOKUP(Data!$N484,'Helpful Tables'!A:D,4,FALSE)</f>
        <v>Washington, DC</v>
      </c>
      <c r="AO484" s="29">
        <f>COUNTIF(AN:AN,Data!$AN484)/COUNTA(AN:AN)</f>
        <v>0.62424242424242427</v>
      </c>
      <c r="AP484" s="29">
        <v>38.934710000000003</v>
      </c>
      <c r="AQ484" s="29">
        <v>-77.058222999999998</v>
      </c>
      <c r="AR484" s="29">
        <f>COUNTIF(Data!$P$2:$P$825,Data!$P484)</f>
        <v>71</v>
      </c>
      <c r="AS484" s="29" cm="1">
        <f t="array" ref="AS484">_xlfn.IFS(Data!$E484&lt;12,((Data!$E484/Data!$D484)*60)*1,AND(Data!$E484&gt;=12,Data!$E484&lt;=15),((Data!$E484/Data!$D484)*60)*1.2,AND(Data!$E484&gt;=16,Data!$E484&lt;=19),((Data!$E484/Data!$D484)*60)*1.5,Data!$E484&gt;=20,((Data!$E484/Data!$D484)*60)*1.8)</f>
        <v>40.96551724137931</v>
      </c>
      <c r="AT484" s="29" cm="1">
        <f t="array" ref="AT484">_xlfn.IFS(Data!$F484&lt;600,((Data!$F484/Data!$D484)*60)*1,AND(Data!$F484&gt;=600,Data!$F484&lt;=625),((Data!$F484/Data!$D484)*60)*1.2,AND(Data!$F484&gt;=626,Data!$F484&lt;=650),((Data!$F484/Data!$D484)*60)*1.5,Data!$F484&gt;=651,((Data!$F484/Data!$D484)*60)*1.8)</f>
        <v>1376.0689655172414</v>
      </c>
      <c r="AU484" s="29">
        <f>(Data!$I484*-1.2)+(Data!$J484*-1.1)+(Data!$K484*1.2)+(Data!$L484*1.3)+(Data!$M484*1.5)</f>
        <v>40.5</v>
      </c>
      <c r="AV484" s="29">
        <f>(Data!$AS484*0.4)+(Data!$AT484*0.4)+(Data!$AU484*0.2)</f>
        <v>574.91379310344826</v>
      </c>
      <c r="AW484" s="34">
        <f>PERCENTRANK(AV:AV,Data!$AV484)*100</f>
        <v>99.6</v>
      </c>
      <c r="AX484" s="29" t="str">
        <f>_xlfn.CONCAT(TEXT(C484,"mmm"),"-",Data!$AE484)</f>
        <v>Jun-2023</v>
      </c>
    </row>
    <row r="485" spans="1:50" ht="17" thickTop="1" thickBot="1" x14ac:dyDescent="0.25">
      <c r="A485" s="22">
        <v>484</v>
      </c>
      <c r="B485" s="23">
        <f t="shared" si="58"/>
        <v>13</v>
      </c>
      <c r="C485" s="41">
        <v>45086</v>
      </c>
      <c r="D485" s="24">
        <f>SUM(Data!$I485:$M485)</f>
        <v>56</v>
      </c>
      <c r="E485" s="23">
        <v>13</v>
      </c>
      <c r="F485" s="23">
        <v>637</v>
      </c>
      <c r="G485" s="23">
        <v>169</v>
      </c>
      <c r="H485" s="23">
        <v>129</v>
      </c>
      <c r="I485" s="23">
        <v>11</v>
      </c>
      <c r="J485" s="23">
        <v>14</v>
      </c>
      <c r="K485" s="23">
        <v>18</v>
      </c>
      <c r="L485" s="23">
        <v>11</v>
      </c>
      <c r="M485" s="23">
        <v>2</v>
      </c>
      <c r="N485" s="23" t="s">
        <v>91</v>
      </c>
      <c r="O485" s="23" t="s">
        <v>26</v>
      </c>
      <c r="P485" s="23" t="s">
        <v>96</v>
      </c>
      <c r="Q485" s="23">
        <f t="shared" si="64"/>
        <v>2</v>
      </c>
      <c r="R485" s="23" t="str">
        <f t="shared" si="59"/>
        <v>6-2023</v>
      </c>
      <c r="S485" s="23" t="s">
        <v>104</v>
      </c>
      <c r="T485" s="23" t="str">
        <f t="shared" si="60"/>
        <v>Friday</v>
      </c>
      <c r="U485" s="23">
        <f t="shared" si="61"/>
        <v>1</v>
      </c>
      <c r="V485" s="25">
        <f>IFERROR(Data!$I485/Data!$D485,"")</f>
        <v>0.19642857142857142</v>
      </c>
      <c r="W485" s="25">
        <f>IFERROR(Data!$J485/Data!$D485,"")</f>
        <v>0.25</v>
      </c>
      <c r="X485" s="25">
        <f>IFERROR(Data!$K485/Data!$D485,"")</f>
        <v>0.32142857142857145</v>
      </c>
      <c r="Y485" s="25">
        <f>IFERROR(Data!$L485/Data!$D485,"")</f>
        <v>0.19642857142857142</v>
      </c>
      <c r="Z485" s="25">
        <f>IFERROR(Data!$M485/Data!$D485,"")</f>
        <v>3.5714285714285712E-2</v>
      </c>
      <c r="AA485" s="26">
        <v>232.14</v>
      </c>
      <c r="AB485" s="26">
        <f t="shared" si="65"/>
        <v>17.856923076923074</v>
      </c>
      <c r="AC485" s="23">
        <f t="shared" si="62"/>
        <v>622.92307692307691</v>
      </c>
      <c r="AD485" s="23">
        <f t="shared" si="63"/>
        <v>13.153846153846153</v>
      </c>
      <c r="AE485" s="23">
        <f>YEAR(Data!$C485)</f>
        <v>2023</v>
      </c>
      <c r="AF485" s="23"/>
      <c r="AG485" s="23">
        <v>12</v>
      </c>
      <c r="AH485" s="27">
        <f>Data!$F485/Data!$D485</f>
        <v>11.375</v>
      </c>
      <c r="AI485" s="17" t="str">
        <f>RIGHT(Data!$O485,2)</f>
        <v>PM</v>
      </c>
      <c r="AJ485" s="23" t="str">
        <f>Data!$R485&amp;"-"&amp;WEEKNUM(Data!$C485,1)-WEEKNUM(DATE(YEAR(Data!$C485),MONTH(Data!$C485),1),1)+1</f>
        <v>6-2023-2</v>
      </c>
      <c r="AK485" s="23">
        <f>MONTH(Data!$C485)</f>
        <v>6</v>
      </c>
      <c r="AL485" s="23">
        <f>IFERROR(Data!$F485/Data!$E485,0)</f>
        <v>49</v>
      </c>
      <c r="AM485" s="23">
        <f>COUNTIF(Data!$N$2:$N$825,Data!$N485)</f>
        <v>218</v>
      </c>
      <c r="AN485" s="23" t="str">
        <f>VLOOKUP(Data!$N485,'Helpful Tables'!A:D,4,FALSE)</f>
        <v>Washington, DC</v>
      </c>
      <c r="AO485" s="23">
        <f>COUNTIF(AN:AN,Data!$AN485)/COUNTA(AN:AN)</f>
        <v>0.62424242424242427</v>
      </c>
      <c r="AP485" s="23">
        <v>38.934710000000003</v>
      </c>
      <c r="AQ485" s="23">
        <v>-77.058222999999998</v>
      </c>
      <c r="AR485" s="23">
        <f>COUNTIF(Data!$P$2:$P$825,Data!$P485)</f>
        <v>71</v>
      </c>
      <c r="AS485" s="23" cm="1">
        <f t="array" ref="AS485">_xlfn.IFS(Data!$E485&lt;12,((Data!$E485/Data!$D485)*60)*1,AND(Data!$E485&gt;=12,Data!$E485&lt;=15),((Data!$E485/Data!$D485)*60)*1.2,AND(Data!$E485&gt;=16,Data!$E485&lt;=19),((Data!$E485/Data!$D485)*60)*1.5,Data!$E485&gt;=20,((Data!$E485/Data!$D485)*60)*1.8)</f>
        <v>16.714285714285715</v>
      </c>
      <c r="AT485" s="23" cm="1">
        <f t="array" ref="AT485">_xlfn.IFS(Data!$F485&lt;600,((Data!$F485/Data!$D485)*60)*1,AND(Data!$F485&gt;=600,Data!$F485&lt;=625),((Data!$F485/Data!$D485)*60)*1.2,AND(Data!$F485&gt;=626,Data!$F485&lt;=650),((Data!$F485/Data!$D485)*60)*1.5,Data!$F485&gt;=651,((Data!$F485/Data!$D485)*60)*1.8)</f>
        <v>1023.75</v>
      </c>
      <c r="AU485" s="23">
        <f>(Data!$I485*-1.2)+(Data!$J485*-1.1)+(Data!$K485*1.2)+(Data!$L485*1.3)+(Data!$M485*1.5)</f>
        <v>10.299999999999997</v>
      </c>
      <c r="AV485" s="23">
        <f>(Data!$AS485*0.4)+(Data!$AT485*0.4)+(Data!$AU485*0.2)</f>
        <v>418.24571428571431</v>
      </c>
      <c r="AW485" s="35">
        <f>PERCENTRANK(AV:AV,Data!$AV485)*100</f>
        <v>60.3</v>
      </c>
      <c r="AX485" s="23" t="str">
        <f>_xlfn.CONCAT(TEXT(C485,"mmm"),"-",Data!$AE485)</f>
        <v>Jun-2023</v>
      </c>
    </row>
    <row r="486" spans="1:50" ht="17" thickTop="1" thickBot="1" x14ac:dyDescent="0.25">
      <c r="A486" s="28">
        <v>485</v>
      </c>
      <c r="B486" s="29">
        <f t="shared" si="58"/>
        <v>13</v>
      </c>
      <c r="C486" s="41">
        <v>45090</v>
      </c>
      <c r="D486" s="30">
        <f>SUM(Data!$I486:$M486)</f>
        <v>59</v>
      </c>
      <c r="E486" s="29">
        <v>15</v>
      </c>
      <c r="F486" s="29">
        <v>664</v>
      </c>
      <c r="G486" s="29">
        <v>173</v>
      </c>
      <c r="H486" s="29">
        <v>129</v>
      </c>
      <c r="I486" s="29">
        <v>7</v>
      </c>
      <c r="J486" s="29">
        <v>20</v>
      </c>
      <c r="K486" s="29">
        <v>17</v>
      </c>
      <c r="L486" s="29">
        <v>12</v>
      </c>
      <c r="M486" s="29">
        <v>3</v>
      </c>
      <c r="N486" s="29" t="s">
        <v>101</v>
      </c>
      <c r="O486" s="29" t="s">
        <v>173</v>
      </c>
      <c r="P486" s="29" t="s">
        <v>109</v>
      </c>
      <c r="Q486" s="29">
        <f t="shared" si="64"/>
        <v>4</v>
      </c>
      <c r="R486" s="29" t="str">
        <f t="shared" si="59"/>
        <v>6-2023</v>
      </c>
      <c r="S486" s="29" t="s">
        <v>104</v>
      </c>
      <c r="T486" s="29" t="str">
        <f t="shared" si="60"/>
        <v>Tuesday</v>
      </c>
      <c r="U486" s="29">
        <f t="shared" si="61"/>
        <v>1</v>
      </c>
      <c r="V486" s="31">
        <f>IFERROR(Data!$I486/Data!$D486,"")</f>
        <v>0.11864406779661017</v>
      </c>
      <c r="W486" s="31">
        <f>IFERROR(Data!$J486/Data!$D486,"")</f>
        <v>0.33898305084745761</v>
      </c>
      <c r="X486" s="31">
        <f>IFERROR(Data!$K486/Data!$D486,"")</f>
        <v>0.28813559322033899</v>
      </c>
      <c r="Y486" s="31">
        <f>IFERROR(Data!$L486/Data!$D486,"")</f>
        <v>0.20338983050847459</v>
      </c>
      <c r="Z486" s="31">
        <f>IFERROR(Data!$M486/Data!$D486,"")</f>
        <v>5.0847457627118647E-2</v>
      </c>
      <c r="AA486" s="32">
        <v>232.14</v>
      </c>
      <c r="AB486" s="32">
        <f t="shared" si="65"/>
        <v>17.856923076923074</v>
      </c>
      <c r="AC486" s="29">
        <f t="shared" si="62"/>
        <v>622.92307692307691</v>
      </c>
      <c r="AD486" s="29">
        <f t="shared" si="63"/>
        <v>13.153846153846153</v>
      </c>
      <c r="AE486" s="29">
        <f>YEAR(Data!$C486)</f>
        <v>2023</v>
      </c>
      <c r="AF486" s="29"/>
      <c r="AG486" s="29">
        <v>12</v>
      </c>
      <c r="AH486" s="33">
        <f>Data!$F486/Data!$D486</f>
        <v>11.254237288135593</v>
      </c>
      <c r="AI486" s="17" t="str">
        <f>RIGHT(Data!$O486,2)</f>
        <v>PM</v>
      </c>
      <c r="AJ486" s="29" t="str">
        <f>Data!$R486&amp;"-"&amp;WEEKNUM(Data!$C486,1)-WEEKNUM(DATE(YEAR(Data!$C486),MONTH(Data!$C486),1),1)+1</f>
        <v>6-2023-3</v>
      </c>
      <c r="AK486" s="29">
        <f>MONTH(Data!$C486)</f>
        <v>6</v>
      </c>
      <c r="AL486" s="29">
        <f>IFERROR(Data!$F486/Data!$E486,0)</f>
        <v>44.266666666666666</v>
      </c>
      <c r="AM486" s="29">
        <f>COUNTIF(Data!$N$2:$N$825,Data!$N486)</f>
        <v>191</v>
      </c>
      <c r="AN486" s="29" t="str">
        <f>VLOOKUP(Data!$N486,'Helpful Tables'!A:D,4,FALSE)</f>
        <v>Washington, DC</v>
      </c>
      <c r="AO486" s="29">
        <f>COUNTIF(AN:AN,Data!$AN486)/COUNTA(AN:AN)</f>
        <v>0.62424242424242427</v>
      </c>
      <c r="AP486" s="29">
        <v>38.949649000000001</v>
      </c>
      <c r="AQ486" s="29">
        <v>-77.080878999999996</v>
      </c>
      <c r="AR486" s="29">
        <f>COUNTIF(Data!$P$2:$P$825,Data!$P486)</f>
        <v>66</v>
      </c>
      <c r="AS486" s="29" cm="1">
        <f t="array" ref="AS486">_xlfn.IFS(Data!$E486&lt;12,((Data!$E486/Data!$D486)*60)*1,AND(Data!$E486&gt;=12,Data!$E486&lt;=15),((Data!$E486/Data!$D486)*60)*1.2,AND(Data!$E486&gt;=16,Data!$E486&lt;=19),((Data!$E486/Data!$D486)*60)*1.5,Data!$E486&gt;=20,((Data!$E486/Data!$D486)*60)*1.8)</f>
        <v>18.305084745762709</v>
      </c>
      <c r="AT486" s="29" cm="1">
        <f t="array" ref="AT486">_xlfn.IFS(Data!$F486&lt;600,((Data!$F486/Data!$D486)*60)*1,AND(Data!$F486&gt;=600,Data!$F486&lt;=625),((Data!$F486/Data!$D486)*60)*1.2,AND(Data!$F486&gt;=626,Data!$F486&lt;=650),((Data!$F486/Data!$D486)*60)*1.5,Data!$F486&gt;=651,((Data!$F486/Data!$D486)*60)*1.8)</f>
        <v>1215.4576271186443</v>
      </c>
      <c r="AU486" s="29">
        <f>(Data!$I486*-1.2)+(Data!$J486*-1.1)+(Data!$K486*1.2)+(Data!$L486*1.3)+(Data!$M486*1.5)</f>
        <v>10.100000000000001</v>
      </c>
      <c r="AV486" s="29">
        <f>(Data!$AS486*0.4)+(Data!$AT486*0.4)+(Data!$AU486*0.2)</f>
        <v>495.5250847457628</v>
      </c>
      <c r="AW486" s="34">
        <f>PERCENTRANK(AV:AV,Data!$AV486)*100</f>
        <v>74.900000000000006</v>
      </c>
      <c r="AX486" s="29" t="str">
        <f>_xlfn.CONCAT(TEXT(C486,"mmm"),"-",Data!$AE486)</f>
        <v>Jun-2023</v>
      </c>
    </row>
    <row r="487" spans="1:50" ht="17" thickTop="1" thickBot="1" x14ac:dyDescent="0.25">
      <c r="A487" s="22">
        <v>486</v>
      </c>
      <c r="B487" s="23">
        <f t="shared" si="58"/>
        <v>13</v>
      </c>
      <c r="C487" s="41">
        <v>45091</v>
      </c>
      <c r="D487" s="24">
        <f>SUM(Data!$I487:$M487)</f>
        <v>57</v>
      </c>
      <c r="E487" s="23">
        <v>21</v>
      </c>
      <c r="F487" s="23">
        <v>690</v>
      </c>
      <c r="G487" s="23">
        <v>166</v>
      </c>
      <c r="H487" s="23">
        <v>132</v>
      </c>
      <c r="I487" s="23">
        <v>11</v>
      </c>
      <c r="J487" s="23">
        <v>10</v>
      </c>
      <c r="K487" s="23">
        <v>15</v>
      </c>
      <c r="L487" s="23">
        <v>19</v>
      </c>
      <c r="M487" s="23">
        <v>2</v>
      </c>
      <c r="N487" s="23" t="s">
        <v>91</v>
      </c>
      <c r="O487" s="23" t="s">
        <v>57</v>
      </c>
      <c r="P487" s="23" t="s">
        <v>96</v>
      </c>
      <c r="Q487" s="23">
        <f t="shared" si="64"/>
        <v>1</v>
      </c>
      <c r="R487" s="23" t="str">
        <f t="shared" si="59"/>
        <v>6-2023</v>
      </c>
      <c r="S487" s="23" t="s">
        <v>104</v>
      </c>
      <c r="T487" s="23" t="str">
        <f t="shared" si="60"/>
        <v>Wednesday</v>
      </c>
      <c r="U487" s="23">
        <f t="shared" si="61"/>
        <v>1</v>
      </c>
      <c r="V487" s="25">
        <f>IFERROR(Data!$I487/Data!$D487,"")</f>
        <v>0.19298245614035087</v>
      </c>
      <c r="W487" s="25">
        <f>IFERROR(Data!$J487/Data!$D487,"")</f>
        <v>0.17543859649122806</v>
      </c>
      <c r="X487" s="25">
        <f>IFERROR(Data!$K487/Data!$D487,"")</f>
        <v>0.26315789473684209</v>
      </c>
      <c r="Y487" s="25">
        <f>IFERROR(Data!$L487/Data!$D487,"")</f>
        <v>0.33333333333333331</v>
      </c>
      <c r="Z487" s="25">
        <f>IFERROR(Data!$M487/Data!$D487,"")</f>
        <v>3.5087719298245612E-2</v>
      </c>
      <c r="AA487" s="26">
        <v>232.14</v>
      </c>
      <c r="AB487" s="26">
        <f t="shared" si="65"/>
        <v>17.856923076923074</v>
      </c>
      <c r="AC487" s="23">
        <f t="shared" si="62"/>
        <v>622.92307692307691</v>
      </c>
      <c r="AD487" s="23">
        <f t="shared" si="63"/>
        <v>13.153846153846153</v>
      </c>
      <c r="AE487" s="23">
        <f>YEAR(Data!$C487)</f>
        <v>2023</v>
      </c>
      <c r="AF487" s="23"/>
      <c r="AG487" s="23">
        <v>12</v>
      </c>
      <c r="AH487" s="27">
        <f>Data!$F487/Data!$D487</f>
        <v>12.105263157894736</v>
      </c>
      <c r="AI487" s="17" t="str">
        <f>RIGHT(Data!$O487,2)</f>
        <v>PM</v>
      </c>
      <c r="AJ487" s="23" t="str">
        <f>Data!$R487&amp;"-"&amp;WEEKNUM(Data!$C487,1)-WEEKNUM(DATE(YEAR(Data!$C487),MONTH(Data!$C487),1),1)+1</f>
        <v>6-2023-3</v>
      </c>
      <c r="AK487" s="23">
        <f>MONTH(Data!$C487)</f>
        <v>6</v>
      </c>
      <c r="AL487" s="23">
        <f>IFERROR(Data!$F487/Data!$E487,0)</f>
        <v>32.857142857142854</v>
      </c>
      <c r="AM487" s="23">
        <f>COUNTIF(Data!$N$2:$N$825,Data!$N487)</f>
        <v>218</v>
      </c>
      <c r="AN487" s="23" t="str">
        <f>VLOOKUP(Data!$N487,'Helpful Tables'!A:D,4,FALSE)</f>
        <v>Washington, DC</v>
      </c>
      <c r="AO487" s="23">
        <f>COUNTIF(AN:AN,Data!$AN487)/COUNTA(AN:AN)</f>
        <v>0.62424242424242427</v>
      </c>
      <c r="AP487" s="23">
        <v>38.934710000000003</v>
      </c>
      <c r="AQ487" s="23">
        <v>-77.058222999999998</v>
      </c>
      <c r="AR487" s="23">
        <f>COUNTIF(Data!$P$2:$P$825,Data!$P487)</f>
        <v>71</v>
      </c>
      <c r="AS487" s="23" cm="1">
        <f t="array" ref="AS487">_xlfn.IFS(Data!$E487&lt;12,((Data!$E487/Data!$D487)*60)*1,AND(Data!$E487&gt;=12,Data!$E487&lt;=15),((Data!$E487/Data!$D487)*60)*1.2,AND(Data!$E487&gt;=16,Data!$E487&lt;=19),((Data!$E487/Data!$D487)*60)*1.5,Data!$E487&gt;=20,((Data!$E487/Data!$D487)*60)*1.8)</f>
        <v>39.789473684210527</v>
      </c>
      <c r="AT487" s="23" cm="1">
        <f t="array" ref="AT487">_xlfn.IFS(Data!$F487&lt;600,((Data!$F487/Data!$D487)*60)*1,AND(Data!$F487&gt;=600,Data!$F487&lt;=625),((Data!$F487/Data!$D487)*60)*1.2,AND(Data!$F487&gt;=626,Data!$F487&lt;=650),((Data!$F487/Data!$D487)*60)*1.5,Data!$F487&gt;=651,((Data!$F487/Data!$D487)*60)*1.8)</f>
        <v>1307.3684210526314</v>
      </c>
      <c r="AU487" s="23">
        <f>(Data!$I487*-1.2)+(Data!$J487*-1.1)+(Data!$K487*1.2)+(Data!$L487*1.3)+(Data!$M487*1.5)</f>
        <v>21.5</v>
      </c>
      <c r="AV487" s="23">
        <f>(Data!$AS487*0.4)+(Data!$AT487*0.4)+(Data!$AU487*0.2)</f>
        <v>543.16315789473674</v>
      </c>
      <c r="AW487" s="35">
        <f>PERCENTRANK(AV:AV,Data!$AV487)*100</f>
        <v>96.899999999999991</v>
      </c>
      <c r="AX487" s="23" t="str">
        <f>_xlfn.CONCAT(TEXT(C487,"mmm"),"-",Data!$AE487)</f>
        <v>Jun-2023</v>
      </c>
    </row>
    <row r="488" spans="1:50" ht="17" thickTop="1" thickBot="1" x14ac:dyDescent="0.25">
      <c r="A488" s="28">
        <v>487</v>
      </c>
      <c r="B488" s="29">
        <f t="shared" si="58"/>
        <v>13</v>
      </c>
      <c r="C488" s="41">
        <v>45093</v>
      </c>
      <c r="D488" s="30">
        <f>SUM(Data!$I488:$M488)</f>
        <v>57</v>
      </c>
      <c r="E488" s="29">
        <v>19</v>
      </c>
      <c r="F488" s="29">
        <v>673</v>
      </c>
      <c r="G488" s="29">
        <v>172</v>
      </c>
      <c r="H488" s="29">
        <v>132</v>
      </c>
      <c r="I488" s="29">
        <v>7</v>
      </c>
      <c r="J488" s="29">
        <v>20</v>
      </c>
      <c r="K488" s="29">
        <v>11</v>
      </c>
      <c r="L488" s="29">
        <v>11</v>
      </c>
      <c r="M488" s="29">
        <v>8</v>
      </c>
      <c r="N488" s="29" t="s">
        <v>91</v>
      </c>
      <c r="O488" s="29" t="s">
        <v>79</v>
      </c>
      <c r="P488" s="29" t="s">
        <v>168</v>
      </c>
      <c r="Q488" s="29">
        <f t="shared" si="64"/>
        <v>2</v>
      </c>
      <c r="R488" s="29" t="str">
        <f t="shared" si="59"/>
        <v>6-2023</v>
      </c>
      <c r="S488" s="29" t="s">
        <v>104</v>
      </c>
      <c r="T488" s="29" t="str">
        <f t="shared" si="60"/>
        <v>Friday</v>
      </c>
      <c r="U488" s="29">
        <f t="shared" si="61"/>
        <v>1</v>
      </c>
      <c r="V488" s="31">
        <f>IFERROR(Data!$I488/Data!$D488,"")</f>
        <v>0.12280701754385964</v>
      </c>
      <c r="W488" s="31">
        <f>IFERROR(Data!$J488/Data!$D488,"")</f>
        <v>0.35087719298245612</v>
      </c>
      <c r="X488" s="31">
        <f>IFERROR(Data!$K488/Data!$D488,"")</f>
        <v>0.19298245614035087</v>
      </c>
      <c r="Y488" s="31">
        <f>IFERROR(Data!$L488/Data!$D488,"")</f>
        <v>0.19298245614035087</v>
      </c>
      <c r="Z488" s="31">
        <f>IFERROR(Data!$M488/Data!$D488,"")</f>
        <v>0.14035087719298245</v>
      </c>
      <c r="AA488" s="32">
        <v>232.14</v>
      </c>
      <c r="AB488" s="32">
        <f t="shared" si="65"/>
        <v>17.856923076923074</v>
      </c>
      <c r="AC488" s="29">
        <f t="shared" si="62"/>
        <v>622.92307692307691</v>
      </c>
      <c r="AD488" s="29">
        <f t="shared" si="63"/>
        <v>13.153846153846153</v>
      </c>
      <c r="AE488" s="29">
        <f>YEAR(Data!$C488)</f>
        <v>2023</v>
      </c>
      <c r="AF488" s="29"/>
      <c r="AG488" s="29">
        <v>12</v>
      </c>
      <c r="AH488" s="33">
        <f>Data!$F488/Data!$D488</f>
        <v>11.807017543859649</v>
      </c>
      <c r="AI488" s="17" t="str">
        <f>RIGHT(Data!$O488,2)</f>
        <v>AM</v>
      </c>
      <c r="AJ488" s="29" t="str">
        <f>Data!$R488&amp;"-"&amp;WEEKNUM(Data!$C488,1)-WEEKNUM(DATE(YEAR(Data!$C488),MONTH(Data!$C488),1),1)+1</f>
        <v>6-2023-3</v>
      </c>
      <c r="AK488" s="29">
        <f>MONTH(Data!$C488)</f>
        <v>6</v>
      </c>
      <c r="AL488" s="29">
        <f>IFERROR(Data!$F488/Data!$E488,0)</f>
        <v>35.421052631578945</v>
      </c>
      <c r="AM488" s="29">
        <f>COUNTIF(Data!$N$2:$N$825,Data!$N488)</f>
        <v>218</v>
      </c>
      <c r="AN488" s="29" t="str">
        <f>VLOOKUP(Data!$N488,'Helpful Tables'!A:D,4,FALSE)</f>
        <v>Washington, DC</v>
      </c>
      <c r="AO488" s="29">
        <f>COUNTIF(AN:AN,Data!$AN488)/COUNTA(AN:AN)</f>
        <v>0.62424242424242427</v>
      </c>
      <c r="AP488" s="29">
        <v>38.934710000000003</v>
      </c>
      <c r="AQ488" s="29">
        <v>-77.058222999999998</v>
      </c>
      <c r="AR488" s="29">
        <f>COUNTIF(Data!$P$2:$P$825,Data!$P488)</f>
        <v>12</v>
      </c>
      <c r="AS488" s="29" cm="1">
        <f t="array" ref="AS488">_xlfn.IFS(Data!$E488&lt;12,((Data!$E488/Data!$D488)*60)*1,AND(Data!$E488&gt;=12,Data!$E488&lt;=15),((Data!$E488/Data!$D488)*60)*1.2,AND(Data!$E488&gt;=16,Data!$E488&lt;=19),((Data!$E488/Data!$D488)*60)*1.5,Data!$E488&gt;=20,((Data!$E488/Data!$D488)*60)*1.8)</f>
        <v>30</v>
      </c>
      <c r="AT488" s="29" cm="1">
        <f t="array" ref="AT488">_xlfn.IFS(Data!$F488&lt;600,((Data!$F488/Data!$D488)*60)*1,AND(Data!$F488&gt;=600,Data!$F488&lt;=625),((Data!$F488/Data!$D488)*60)*1.2,AND(Data!$F488&gt;=626,Data!$F488&lt;=650),((Data!$F488/Data!$D488)*60)*1.5,Data!$F488&gt;=651,((Data!$F488/Data!$D488)*60)*1.8)</f>
        <v>1275.1578947368421</v>
      </c>
      <c r="AU488" s="29">
        <f>(Data!$I488*-1.2)+(Data!$J488*-1.1)+(Data!$K488*1.2)+(Data!$L488*1.3)+(Data!$M488*1.5)</f>
        <v>9.1000000000000014</v>
      </c>
      <c r="AV488" s="29">
        <f>(Data!$AS488*0.4)+(Data!$AT488*0.4)+(Data!$AU488*0.2)</f>
        <v>523.88315789473688</v>
      </c>
      <c r="AW488" s="34">
        <f>PERCENTRANK(AV:AV,Data!$AV488)*100</f>
        <v>91.4</v>
      </c>
      <c r="AX488" s="29" t="str">
        <f>_xlfn.CONCAT(TEXT(C488,"mmm"),"-",Data!$AE488)</f>
        <v>Jun-2023</v>
      </c>
    </row>
    <row r="489" spans="1:50" ht="17" thickTop="1" thickBot="1" x14ac:dyDescent="0.25">
      <c r="A489" s="22">
        <v>488</v>
      </c>
      <c r="B489" s="23">
        <f t="shared" si="58"/>
        <v>13</v>
      </c>
      <c r="C489" s="41">
        <v>45096</v>
      </c>
      <c r="D489" s="24">
        <f>SUM(Data!$I489:$M489)</f>
        <v>55</v>
      </c>
      <c r="E489" s="23">
        <v>13</v>
      </c>
      <c r="F489" s="23">
        <v>667</v>
      </c>
      <c r="G489" s="23">
        <v>170</v>
      </c>
      <c r="H489" s="23">
        <v>133</v>
      </c>
      <c r="I489" s="23">
        <v>4</v>
      </c>
      <c r="J489" s="23">
        <v>13</v>
      </c>
      <c r="K489" s="23">
        <v>25</v>
      </c>
      <c r="L489" s="23">
        <v>12</v>
      </c>
      <c r="M489" s="23">
        <v>1</v>
      </c>
      <c r="N489" s="23" t="s">
        <v>162</v>
      </c>
      <c r="O489" s="23" t="s">
        <v>166</v>
      </c>
      <c r="P489" s="23" t="s">
        <v>182</v>
      </c>
      <c r="Q489" s="23">
        <f t="shared" si="64"/>
        <v>3</v>
      </c>
      <c r="R489" s="23" t="str">
        <f t="shared" si="59"/>
        <v>6-2023</v>
      </c>
      <c r="S489" s="23" t="s">
        <v>104</v>
      </c>
      <c r="T489" s="23" t="str">
        <f t="shared" si="60"/>
        <v>Monday</v>
      </c>
      <c r="U489" s="23">
        <f t="shared" si="61"/>
        <v>1</v>
      </c>
      <c r="V489" s="25">
        <f>IFERROR(Data!$I489/Data!$D489,"")</f>
        <v>7.2727272727272724E-2</v>
      </c>
      <c r="W489" s="25">
        <f>IFERROR(Data!$J489/Data!$D489,"")</f>
        <v>0.23636363636363636</v>
      </c>
      <c r="X489" s="25">
        <f>IFERROR(Data!$K489/Data!$D489,"")</f>
        <v>0.45454545454545453</v>
      </c>
      <c r="Y489" s="25">
        <f>IFERROR(Data!$L489/Data!$D489,"")</f>
        <v>0.21818181818181817</v>
      </c>
      <c r="Z489" s="25">
        <f>IFERROR(Data!$M489/Data!$D489,"")</f>
        <v>1.8181818181818181E-2</v>
      </c>
      <c r="AA489" s="26">
        <v>232.14</v>
      </c>
      <c r="AB489" s="26">
        <f t="shared" si="65"/>
        <v>17.856923076923074</v>
      </c>
      <c r="AC489" s="23">
        <f t="shared" si="62"/>
        <v>622.92307692307691</v>
      </c>
      <c r="AD489" s="23">
        <f t="shared" si="63"/>
        <v>13.153846153846153</v>
      </c>
      <c r="AE489" s="23">
        <f>YEAR(Data!$C489)</f>
        <v>2023</v>
      </c>
      <c r="AF489" s="23"/>
      <c r="AG489" s="23">
        <v>12</v>
      </c>
      <c r="AH489" s="27">
        <f>Data!$F489/Data!$D489</f>
        <v>12.127272727272727</v>
      </c>
      <c r="AI489" s="17" t="str">
        <f>RIGHT(Data!$O489,2)</f>
        <v>AM</v>
      </c>
      <c r="AJ489" s="23" t="str">
        <f>Data!$R489&amp;"-"&amp;WEEKNUM(Data!$C489,1)-WEEKNUM(DATE(YEAR(Data!$C489),MONTH(Data!$C489),1),1)+1</f>
        <v>6-2023-4</v>
      </c>
      <c r="AK489" s="23">
        <f>MONTH(Data!$C489)</f>
        <v>6</v>
      </c>
      <c r="AL489" s="23">
        <f>IFERROR(Data!$F489/Data!$E489,0)</f>
        <v>51.307692307692307</v>
      </c>
      <c r="AM489" s="23">
        <f>COUNTIF(Data!$N$2:$N$825,Data!$N489)</f>
        <v>5</v>
      </c>
      <c r="AN489" s="23" t="str">
        <f>VLOOKUP(Data!$N489,'Helpful Tables'!A:D,4,FALSE)</f>
        <v>Maryland</v>
      </c>
      <c r="AO489" s="23">
        <f>COUNTIF(AN:AN,Data!$AN489)/COUNTA(AN:AN)</f>
        <v>6.0606060606060606E-3</v>
      </c>
      <c r="AP489" s="23">
        <v>38.989806999999999</v>
      </c>
      <c r="AQ489" s="23">
        <v>-77.096371000000005</v>
      </c>
      <c r="AR489" s="23">
        <f>COUNTIF(Data!$P$2:$P$825,Data!$P489)</f>
        <v>2</v>
      </c>
      <c r="AS489" s="23" cm="1">
        <f t="array" ref="AS489">_xlfn.IFS(Data!$E489&lt;12,((Data!$E489/Data!$D489)*60)*1,AND(Data!$E489&gt;=12,Data!$E489&lt;=15),((Data!$E489/Data!$D489)*60)*1.2,AND(Data!$E489&gt;=16,Data!$E489&lt;=19),((Data!$E489/Data!$D489)*60)*1.5,Data!$E489&gt;=20,((Data!$E489/Data!$D489)*60)*1.8)</f>
        <v>17.018181818181816</v>
      </c>
      <c r="AT489" s="23" cm="1">
        <f t="array" ref="AT489">_xlfn.IFS(Data!$F489&lt;600,((Data!$F489/Data!$D489)*60)*1,AND(Data!$F489&gt;=600,Data!$F489&lt;=625),((Data!$F489/Data!$D489)*60)*1.2,AND(Data!$F489&gt;=626,Data!$F489&lt;=650),((Data!$F489/Data!$D489)*60)*1.5,Data!$F489&gt;=651,((Data!$F489/Data!$D489)*60)*1.8)</f>
        <v>1309.7454545454545</v>
      </c>
      <c r="AU489" s="23">
        <f>(Data!$I489*-1.2)+(Data!$J489*-1.1)+(Data!$K489*1.2)+(Data!$L489*1.3)+(Data!$M489*1.5)</f>
        <v>28</v>
      </c>
      <c r="AV489" s="23">
        <f>(Data!$AS489*0.4)+(Data!$AT489*0.4)+(Data!$AU489*0.2)</f>
        <v>536.3054545454545</v>
      </c>
      <c r="AW489" s="35">
        <f>PERCENTRANK(AV:AV,Data!$AV489)*100</f>
        <v>95.7</v>
      </c>
      <c r="AX489" s="23" t="str">
        <f>_xlfn.CONCAT(TEXT(C489,"mmm"),"-",Data!$AE489)</f>
        <v>Jun-2023</v>
      </c>
    </row>
    <row r="490" spans="1:50" ht="17" thickTop="1" thickBot="1" x14ac:dyDescent="0.25">
      <c r="A490" s="28">
        <v>489</v>
      </c>
      <c r="B490" s="29">
        <f t="shared" si="58"/>
        <v>13</v>
      </c>
      <c r="C490" s="41">
        <v>45098</v>
      </c>
      <c r="D490" s="30">
        <f>SUM(Data!$I490:$M490)</f>
        <v>58</v>
      </c>
      <c r="E490" s="29">
        <v>4</v>
      </c>
      <c r="F490" s="29">
        <v>520</v>
      </c>
      <c r="G490" s="29">
        <v>156</v>
      </c>
      <c r="H490" s="29">
        <v>112</v>
      </c>
      <c r="I490" s="29">
        <v>27</v>
      </c>
      <c r="J490" s="29">
        <v>16</v>
      </c>
      <c r="K490" s="29">
        <v>11</v>
      </c>
      <c r="L490" s="29">
        <v>4</v>
      </c>
      <c r="M490" s="29">
        <v>0</v>
      </c>
      <c r="N490" s="29" t="s">
        <v>101</v>
      </c>
      <c r="O490" s="29" t="s">
        <v>173</v>
      </c>
      <c r="P490" s="29" t="s">
        <v>147</v>
      </c>
      <c r="Q490" s="29">
        <f t="shared" si="64"/>
        <v>2</v>
      </c>
      <c r="R490" s="29" t="str">
        <f t="shared" si="59"/>
        <v>6-2023</v>
      </c>
      <c r="S490" s="29" t="s">
        <v>104</v>
      </c>
      <c r="T490" s="29" t="str">
        <f t="shared" si="60"/>
        <v>Wednesday</v>
      </c>
      <c r="U490" s="29">
        <f t="shared" si="61"/>
        <v>0</v>
      </c>
      <c r="V490" s="31">
        <f>IFERROR(Data!$I490/Data!$D490,"")</f>
        <v>0.46551724137931033</v>
      </c>
      <c r="W490" s="31">
        <f>IFERROR(Data!$J490/Data!$D490,"")</f>
        <v>0.27586206896551724</v>
      </c>
      <c r="X490" s="31">
        <f>IFERROR(Data!$K490/Data!$D490,"")</f>
        <v>0.18965517241379309</v>
      </c>
      <c r="Y490" s="31">
        <f>IFERROR(Data!$L490/Data!$D490,"")</f>
        <v>6.8965517241379309E-2</v>
      </c>
      <c r="Z490" s="31">
        <f>IFERROR(Data!$M490/Data!$D490,"")</f>
        <v>0</v>
      </c>
      <c r="AA490" s="32">
        <v>232.14</v>
      </c>
      <c r="AB490" s="32">
        <f t="shared" si="65"/>
        <v>17.856923076923074</v>
      </c>
      <c r="AC490" s="29">
        <f t="shared" si="62"/>
        <v>622.92307692307691</v>
      </c>
      <c r="AD490" s="29">
        <f t="shared" si="63"/>
        <v>13.153846153846153</v>
      </c>
      <c r="AE490" s="29">
        <f>YEAR(Data!$C490)</f>
        <v>2023</v>
      </c>
      <c r="AF490" s="29"/>
      <c r="AG490" s="29">
        <v>12</v>
      </c>
      <c r="AH490" s="33">
        <f>Data!$F490/Data!$D490</f>
        <v>8.9655172413793096</v>
      </c>
      <c r="AI490" s="17" t="str">
        <f>RIGHT(Data!$O490,2)</f>
        <v>PM</v>
      </c>
      <c r="AJ490" s="29" t="str">
        <f>Data!$R490&amp;"-"&amp;WEEKNUM(Data!$C490,1)-WEEKNUM(DATE(YEAR(Data!$C490),MONTH(Data!$C490),1),1)+1</f>
        <v>6-2023-4</v>
      </c>
      <c r="AK490" s="29">
        <f>MONTH(Data!$C490)</f>
        <v>6</v>
      </c>
      <c r="AL490" s="29">
        <f>IFERROR(Data!$F490/Data!$E490,0)</f>
        <v>130</v>
      </c>
      <c r="AM490" s="29">
        <f>COUNTIF(Data!$N$2:$N$825,Data!$N490)</f>
        <v>191</v>
      </c>
      <c r="AN490" s="29" t="str">
        <f>VLOOKUP(Data!$N490,'Helpful Tables'!A:D,4,FALSE)</f>
        <v>Washington, DC</v>
      </c>
      <c r="AO490" s="29">
        <f>COUNTIF(AN:AN,Data!$AN490)/COUNTA(AN:AN)</f>
        <v>0.62424242424242427</v>
      </c>
      <c r="AP490" s="29">
        <v>38.949649000000001</v>
      </c>
      <c r="AQ490" s="29">
        <v>-77.080878999999996</v>
      </c>
      <c r="AR490" s="29">
        <f>COUNTIF(Data!$P$2:$P$825,Data!$P490)</f>
        <v>17</v>
      </c>
      <c r="AS490" s="29" cm="1">
        <f t="array" ref="AS490">_xlfn.IFS(Data!$E490&lt;12,((Data!$E490/Data!$D490)*60)*1,AND(Data!$E490&gt;=12,Data!$E490&lt;=15),((Data!$E490/Data!$D490)*60)*1.2,AND(Data!$E490&gt;=16,Data!$E490&lt;=19),((Data!$E490/Data!$D490)*60)*1.5,Data!$E490&gt;=20,((Data!$E490/Data!$D490)*60)*1.8)</f>
        <v>4.1379310344827589</v>
      </c>
      <c r="AT490" s="29" cm="1">
        <f t="array" ref="AT490">_xlfn.IFS(Data!$F490&lt;600,((Data!$F490/Data!$D490)*60)*1,AND(Data!$F490&gt;=600,Data!$F490&lt;=625),((Data!$F490/Data!$D490)*60)*1.2,AND(Data!$F490&gt;=626,Data!$F490&lt;=650),((Data!$F490/Data!$D490)*60)*1.5,Data!$F490&gt;=651,((Data!$F490/Data!$D490)*60)*1.8)</f>
        <v>537.93103448275861</v>
      </c>
      <c r="AU490" s="29">
        <f>(Data!$I490*-1.2)+(Data!$J490*-1.1)+(Data!$K490*1.2)+(Data!$L490*1.3)+(Data!$M490*1.5)</f>
        <v>-31.599999999999998</v>
      </c>
      <c r="AV490" s="29">
        <f>(Data!$AS490*0.4)+(Data!$AT490*0.4)+(Data!$AU490*0.2)</f>
        <v>210.50758620689658</v>
      </c>
      <c r="AW490" s="34">
        <f>PERCENTRANK(AV:AV,Data!$AV490)*100</f>
        <v>1.7000000000000002</v>
      </c>
      <c r="AX490" s="29" t="str">
        <f>_xlfn.CONCAT(TEXT(C490,"mmm"),"-",Data!$AE490)</f>
        <v>Jun-2023</v>
      </c>
    </row>
    <row r="491" spans="1:50" ht="17" thickTop="1" thickBot="1" x14ac:dyDescent="0.25">
      <c r="A491" s="22">
        <v>490</v>
      </c>
      <c r="B491" s="23">
        <f t="shared" si="58"/>
        <v>13</v>
      </c>
      <c r="C491" s="41">
        <v>45100</v>
      </c>
      <c r="D491" s="24">
        <f>SUM(Data!$I491:$M491)</f>
        <v>55</v>
      </c>
      <c r="E491" s="23">
        <v>7</v>
      </c>
      <c r="F491" s="23">
        <v>578</v>
      </c>
      <c r="G491" s="23">
        <v>165</v>
      </c>
      <c r="H491" s="23">
        <v>121</v>
      </c>
      <c r="I491" s="23">
        <v>15</v>
      </c>
      <c r="J491" s="23">
        <v>17</v>
      </c>
      <c r="K491" s="23">
        <v>16</v>
      </c>
      <c r="L491" s="23">
        <v>6</v>
      </c>
      <c r="M491" s="23">
        <v>1</v>
      </c>
      <c r="N491" s="23" t="s">
        <v>91</v>
      </c>
      <c r="O491" s="23" t="s">
        <v>26</v>
      </c>
      <c r="P491" s="23" t="s">
        <v>96</v>
      </c>
      <c r="Q491" s="23">
        <f t="shared" si="64"/>
        <v>2</v>
      </c>
      <c r="R491" s="23" t="str">
        <f t="shared" si="59"/>
        <v>6-2023</v>
      </c>
      <c r="S491" s="23" t="s">
        <v>104</v>
      </c>
      <c r="T491" s="23" t="str">
        <f t="shared" si="60"/>
        <v>Friday</v>
      </c>
      <c r="U491" s="23">
        <f t="shared" si="61"/>
        <v>0</v>
      </c>
      <c r="V491" s="25">
        <f>IFERROR(Data!$I491/Data!$D491,"")</f>
        <v>0.27272727272727271</v>
      </c>
      <c r="W491" s="25">
        <f>IFERROR(Data!$J491/Data!$D491,"")</f>
        <v>0.30909090909090908</v>
      </c>
      <c r="X491" s="25">
        <f>IFERROR(Data!$K491/Data!$D491,"")</f>
        <v>0.29090909090909089</v>
      </c>
      <c r="Y491" s="25">
        <f>IFERROR(Data!$L491/Data!$D491,"")</f>
        <v>0.10909090909090909</v>
      </c>
      <c r="Z491" s="25">
        <f>IFERROR(Data!$M491/Data!$D491,"")</f>
        <v>1.8181818181818181E-2</v>
      </c>
      <c r="AA491" s="26">
        <v>232.14</v>
      </c>
      <c r="AB491" s="26">
        <f t="shared" si="65"/>
        <v>17.856923076923074</v>
      </c>
      <c r="AC491" s="23">
        <f t="shared" si="62"/>
        <v>622.92307692307691</v>
      </c>
      <c r="AD491" s="23">
        <f t="shared" si="63"/>
        <v>13.153846153846153</v>
      </c>
      <c r="AE491" s="23">
        <f>YEAR(Data!$C491)</f>
        <v>2023</v>
      </c>
      <c r="AF491" s="23"/>
      <c r="AG491" s="23">
        <v>12</v>
      </c>
      <c r="AH491" s="27">
        <f>Data!$F491/Data!$D491</f>
        <v>10.50909090909091</v>
      </c>
      <c r="AI491" s="17" t="str">
        <f>RIGHT(Data!$O491,2)</f>
        <v>PM</v>
      </c>
      <c r="AJ491" s="23" t="str">
        <f>Data!$R491&amp;"-"&amp;WEEKNUM(Data!$C491,1)-WEEKNUM(DATE(YEAR(Data!$C491),MONTH(Data!$C491),1),1)+1</f>
        <v>6-2023-4</v>
      </c>
      <c r="AK491" s="23">
        <f>MONTH(Data!$C491)</f>
        <v>6</v>
      </c>
      <c r="AL491" s="23">
        <f>IFERROR(Data!$F491/Data!$E491,0)</f>
        <v>82.571428571428569</v>
      </c>
      <c r="AM491" s="23">
        <f>COUNTIF(Data!$N$2:$N$825,Data!$N491)</f>
        <v>218</v>
      </c>
      <c r="AN491" s="23" t="str">
        <f>VLOOKUP(Data!$N491,'Helpful Tables'!A:D,4,FALSE)</f>
        <v>Washington, DC</v>
      </c>
      <c r="AO491" s="23">
        <f>COUNTIF(AN:AN,Data!$AN491)/COUNTA(AN:AN)</f>
        <v>0.62424242424242427</v>
      </c>
      <c r="AP491" s="23">
        <v>38.934710000000003</v>
      </c>
      <c r="AQ491" s="23">
        <v>-77.058222999999998</v>
      </c>
      <c r="AR491" s="23">
        <f>COUNTIF(Data!$P$2:$P$825,Data!$P491)</f>
        <v>71</v>
      </c>
      <c r="AS491" s="23" cm="1">
        <f t="array" ref="AS491">_xlfn.IFS(Data!$E491&lt;12,((Data!$E491/Data!$D491)*60)*1,AND(Data!$E491&gt;=12,Data!$E491&lt;=15),((Data!$E491/Data!$D491)*60)*1.2,AND(Data!$E491&gt;=16,Data!$E491&lt;=19),((Data!$E491/Data!$D491)*60)*1.5,Data!$E491&gt;=20,((Data!$E491/Data!$D491)*60)*1.8)</f>
        <v>7.6363636363636358</v>
      </c>
      <c r="AT491" s="23" cm="1">
        <f t="array" ref="AT491">_xlfn.IFS(Data!$F491&lt;600,((Data!$F491/Data!$D491)*60)*1,AND(Data!$F491&gt;=600,Data!$F491&lt;=625),((Data!$F491/Data!$D491)*60)*1.2,AND(Data!$F491&gt;=626,Data!$F491&lt;=650),((Data!$F491/Data!$D491)*60)*1.5,Data!$F491&gt;=651,((Data!$F491/Data!$D491)*60)*1.8)</f>
        <v>630.54545454545462</v>
      </c>
      <c r="AU491" s="23">
        <f>(Data!$I491*-1.2)+(Data!$J491*-1.1)+(Data!$K491*1.2)+(Data!$L491*1.3)+(Data!$M491*1.5)</f>
        <v>-8.2000000000000028</v>
      </c>
      <c r="AV491" s="23">
        <f>(Data!$AS491*0.4)+(Data!$AT491*0.4)+(Data!$AU491*0.2)</f>
        <v>253.63272727272732</v>
      </c>
      <c r="AW491" s="35">
        <f>PERCENTRANK(AV:AV,Data!$AV491)*100</f>
        <v>18.399999999999999</v>
      </c>
      <c r="AX491" s="23" t="str">
        <f>_xlfn.CONCAT(TEXT(C491,"mmm"),"-",Data!$AE491)</f>
        <v>Jun-2023</v>
      </c>
    </row>
    <row r="492" spans="1:50" ht="17" thickTop="1" thickBot="1" x14ac:dyDescent="0.25">
      <c r="A492" s="28">
        <v>491</v>
      </c>
      <c r="B492" s="29">
        <f t="shared" si="58"/>
        <v>13</v>
      </c>
      <c r="C492" s="41">
        <v>45102</v>
      </c>
      <c r="D492" s="30">
        <f>SUM(Data!$I492:$M492)</f>
        <v>57</v>
      </c>
      <c r="E492" s="29">
        <v>13</v>
      </c>
      <c r="F492" s="29">
        <v>618</v>
      </c>
      <c r="G492" s="29">
        <v>169</v>
      </c>
      <c r="H492" s="29">
        <v>125</v>
      </c>
      <c r="I492" s="29">
        <v>15</v>
      </c>
      <c r="J492" s="29">
        <v>15</v>
      </c>
      <c r="K492" s="29">
        <v>14</v>
      </c>
      <c r="L492" s="29">
        <v>9</v>
      </c>
      <c r="M492" s="29">
        <v>4</v>
      </c>
      <c r="N492" s="29" t="s">
        <v>101</v>
      </c>
      <c r="O492" s="29" t="s">
        <v>93</v>
      </c>
      <c r="P492" s="29" t="s">
        <v>155</v>
      </c>
      <c r="Q492" s="29">
        <f t="shared" si="64"/>
        <v>2</v>
      </c>
      <c r="R492" s="29" t="str">
        <f t="shared" si="59"/>
        <v>6-2023</v>
      </c>
      <c r="S492" s="29" t="s">
        <v>117</v>
      </c>
      <c r="T492" s="29" t="str">
        <f t="shared" si="60"/>
        <v>Sunday</v>
      </c>
      <c r="U492" s="29">
        <f t="shared" si="61"/>
        <v>1</v>
      </c>
      <c r="V492" s="31">
        <f>IFERROR(Data!$I492/Data!$D492,"")</f>
        <v>0.26315789473684209</v>
      </c>
      <c r="W492" s="31">
        <f>IFERROR(Data!$J492/Data!$D492,"")</f>
        <v>0.26315789473684209</v>
      </c>
      <c r="X492" s="31">
        <f>IFERROR(Data!$K492/Data!$D492,"")</f>
        <v>0.24561403508771928</v>
      </c>
      <c r="Y492" s="31">
        <f>IFERROR(Data!$L492/Data!$D492,"")</f>
        <v>0.15789473684210525</v>
      </c>
      <c r="Z492" s="31">
        <f>IFERROR(Data!$M492/Data!$D492,"")</f>
        <v>7.0175438596491224E-2</v>
      </c>
      <c r="AA492" s="32">
        <v>232.14</v>
      </c>
      <c r="AB492" s="32">
        <f t="shared" si="65"/>
        <v>17.856923076923074</v>
      </c>
      <c r="AC492" s="29">
        <f t="shared" si="62"/>
        <v>622.92307692307691</v>
      </c>
      <c r="AD492" s="29">
        <f t="shared" si="63"/>
        <v>13.153846153846153</v>
      </c>
      <c r="AE492" s="29">
        <f>YEAR(Data!$C492)</f>
        <v>2023</v>
      </c>
      <c r="AF492" s="29"/>
      <c r="AG492" s="29">
        <v>12</v>
      </c>
      <c r="AH492" s="33">
        <f>Data!$F492/Data!$D492</f>
        <v>10.842105263157896</v>
      </c>
      <c r="AI492" s="17" t="str">
        <f>RIGHT(Data!$O492,2)</f>
        <v>AM</v>
      </c>
      <c r="AJ492" s="29" t="str">
        <f>Data!$R492&amp;"-"&amp;WEEKNUM(Data!$C492,1)-WEEKNUM(DATE(YEAR(Data!$C492),MONTH(Data!$C492),1),1)+1</f>
        <v>6-2023-5</v>
      </c>
      <c r="AK492" s="29">
        <f>MONTH(Data!$C492)</f>
        <v>6</v>
      </c>
      <c r="AL492" s="29">
        <f>IFERROR(Data!$F492/Data!$E492,0)</f>
        <v>47.53846153846154</v>
      </c>
      <c r="AM492" s="29">
        <f>COUNTIF(Data!$N$2:$N$825,Data!$N492)</f>
        <v>191</v>
      </c>
      <c r="AN492" s="29" t="str">
        <f>VLOOKUP(Data!$N492,'Helpful Tables'!A:D,4,FALSE)</f>
        <v>Washington, DC</v>
      </c>
      <c r="AO492" s="29">
        <f>COUNTIF(AN:AN,Data!$AN492)/COUNTA(AN:AN)</f>
        <v>0.62424242424242427</v>
      </c>
      <c r="AP492" s="29">
        <v>38.949649000000001</v>
      </c>
      <c r="AQ492" s="29">
        <v>-77.080878999999996</v>
      </c>
      <c r="AR492" s="29">
        <f>COUNTIF(Data!$P$2:$P$825,Data!$P492)</f>
        <v>13</v>
      </c>
      <c r="AS492" s="29" cm="1">
        <f t="array" ref="AS492">_xlfn.IFS(Data!$E492&lt;12,((Data!$E492/Data!$D492)*60)*1,AND(Data!$E492&gt;=12,Data!$E492&lt;=15),((Data!$E492/Data!$D492)*60)*1.2,AND(Data!$E492&gt;=16,Data!$E492&lt;=19),((Data!$E492/Data!$D492)*60)*1.5,Data!$E492&gt;=20,((Data!$E492/Data!$D492)*60)*1.8)</f>
        <v>16.421052631578945</v>
      </c>
      <c r="AT492" s="29" cm="1">
        <f t="array" ref="AT492">_xlfn.IFS(Data!$F492&lt;600,((Data!$F492/Data!$D492)*60)*1,AND(Data!$F492&gt;=600,Data!$F492&lt;=625),((Data!$F492/Data!$D492)*60)*1.2,AND(Data!$F492&gt;=626,Data!$F492&lt;=650),((Data!$F492/Data!$D492)*60)*1.5,Data!$F492&gt;=651,((Data!$F492/Data!$D492)*60)*1.8)</f>
        <v>780.63157894736844</v>
      </c>
      <c r="AU492" s="29">
        <f>(Data!$I492*-1.2)+(Data!$J492*-1.1)+(Data!$K492*1.2)+(Data!$L492*1.3)+(Data!$M492*1.5)</f>
        <v>0</v>
      </c>
      <c r="AV492" s="29">
        <f>(Data!$AS492*0.4)+(Data!$AT492*0.4)+(Data!$AU492*0.2)</f>
        <v>318.82105263157894</v>
      </c>
      <c r="AW492" s="34">
        <f>PERCENTRANK(AV:AV,Data!$AV492)*100</f>
        <v>36.5</v>
      </c>
      <c r="AX492" s="29" t="str">
        <f>_xlfn.CONCAT(TEXT(C492,"mmm"),"-",Data!$AE492)</f>
        <v>Jun-2023</v>
      </c>
    </row>
    <row r="493" spans="1:50" ht="17" thickTop="1" thickBot="1" x14ac:dyDescent="0.25">
      <c r="A493" s="22">
        <v>492</v>
      </c>
      <c r="B493" s="23">
        <f t="shared" si="58"/>
        <v>13</v>
      </c>
      <c r="C493" s="41">
        <v>45103</v>
      </c>
      <c r="D493" s="24">
        <f>SUM(Data!$I493:$M493)</f>
        <v>57</v>
      </c>
      <c r="E493" s="23">
        <v>14</v>
      </c>
      <c r="F493" s="23">
        <v>660</v>
      </c>
      <c r="G493" s="23">
        <v>170</v>
      </c>
      <c r="H493" s="23">
        <v>130</v>
      </c>
      <c r="I493" s="23">
        <v>9</v>
      </c>
      <c r="J493" s="23">
        <v>17</v>
      </c>
      <c r="K493" s="23">
        <v>17</v>
      </c>
      <c r="L493" s="23">
        <v>8</v>
      </c>
      <c r="M493" s="23">
        <v>6</v>
      </c>
      <c r="N493" s="23" t="s">
        <v>91</v>
      </c>
      <c r="O493" s="23" t="s">
        <v>57</v>
      </c>
      <c r="P493" s="23" t="s">
        <v>98</v>
      </c>
      <c r="Q493" s="23">
        <f t="shared" si="64"/>
        <v>1</v>
      </c>
      <c r="R493" s="23" t="str">
        <f t="shared" si="59"/>
        <v>6-2023</v>
      </c>
      <c r="S493" s="23" t="s">
        <v>117</v>
      </c>
      <c r="T493" s="23" t="str">
        <f t="shared" si="60"/>
        <v>Monday</v>
      </c>
      <c r="U493" s="23">
        <f t="shared" si="61"/>
        <v>1</v>
      </c>
      <c r="V493" s="25">
        <f>IFERROR(Data!$I493/Data!$D493,"")</f>
        <v>0.15789473684210525</v>
      </c>
      <c r="W493" s="25">
        <f>IFERROR(Data!$J493/Data!$D493,"")</f>
        <v>0.2982456140350877</v>
      </c>
      <c r="X493" s="25">
        <f>IFERROR(Data!$K493/Data!$D493,"")</f>
        <v>0.2982456140350877</v>
      </c>
      <c r="Y493" s="25">
        <f>IFERROR(Data!$L493/Data!$D493,"")</f>
        <v>0.14035087719298245</v>
      </c>
      <c r="Z493" s="25">
        <f>IFERROR(Data!$M493/Data!$D493,"")</f>
        <v>0.10526315789473684</v>
      </c>
      <c r="AA493" s="26">
        <v>232.14</v>
      </c>
      <c r="AB493" s="26">
        <f t="shared" si="65"/>
        <v>17.856923076923074</v>
      </c>
      <c r="AC493" s="23">
        <f t="shared" si="62"/>
        <v>622.92307692307691</v>
      </c>
      <c r="AD493" s="23">
        <f t="shared" si="63"/>
        <v>13.153846153846153</v>
      </c>
      <c r="AE493" s="23">
        <f>YEAR(Data!$C493)</f>
        <v>2023</v>
      </c>
      <c r="AF493" s="23"/>
      <c r="AG493" s="23">
        <v>12</v>
      </c>
      <c r="AH493" s="27">
        <f>Data!$F493/Data!$D493</f>
        <v>11.578947368421053</v>
      </c>
      <c r="AI493" s="17" t="str">
        <f>RIGHT(Data!$O493,2)</f>
        <v>PM</v>
      </c>
      <c r="AJ493" s="23" t="str">
        <f>Data!$R493&amp;"-"&amp;WEEKNUM(Data!$C493,1)-WEEKNUM(DATE(YEAR(Data!$C493),MONTH(Data!$C493),1),1)+1</f>
        <v>6-2023-5</v>
      </c>
      <c r="AK493" s="23">
        <f>MONTH(Data!$C493)</f>
        <v>6</v>
      </c>
      <c r="AL493" s="23">
        <f>IFERROR(Data!$F493/Data!$E493,0)</f>
        <v>47.142857142857146</v>
      </c>
      <c r="AM493" s="23">
        <f>COUNTIF(Data!$N$2:$N$825,Data!$N493)</f>
        <v>218</v>
      </c>
      <c r="AN493" s="23" t="str">
        <f>VLOOKUP(Data!$N493,'Helpful Tables'!A:D,4,FALSE)</f>
        <v>Washington, DC</v>
      </c>
      <c r="AO493" s="23">
        <f>COUNTIF(AN:AN,Data!$AN493)/COUNTA(AN:AN)</f>
        <v>0.62424242424242427</v>
      </c>
      <c r="AP493" s="23">
        <v>38.934710000000003</v>
      </c>
      <c r="AQ493" s="23">
        <v>-77.058222999999998</v>
      </c>
      <c r="AR493" s="23">
        <f>COUNTIF(Data!$P$2:$P$825,Data!$P493)</f>
        <v>28</v>
      </c>
      <c r="AS493" s="23" cm="1">
        <f t="array" ref="AS493">_xlfn.IFS(Data!$E493&lt;12,((Data!$E493/Data!$D493)*60)*1,AND(Data!$E493&gt;=12,Data!$E493&lt;=15),((Data!$E493/Data!$D493)*60)*1.2,AND(Data!$E493&gt;=16,Data!$E493&lt;=19),((Data!$E493/Data!$D493)*60)*1.5,Data!$E493&gt;=20,((Data!$E493/Data!$D493)*60)*1.8)</f>
        <v>17.684210526315788</v>
      </c>
      <c r="AT493" s="23" cm="1">
        <f t="array" ref="AT493">_xlfn.IFS(Data!$F493&lt;600,((Data!$F493/Data!$D493)*60)*1,AND(Data!$F493&gt;=600,Data!$F493&lt;=625),((Data!$F493/Data!$D493)*60)*1.2,AND(Data!$F493&gt;=626,Data!$F493&lt;=650),((Data!$F493/Data!$D493)*60)*1.5,Data!$F493&gt;=651,((Data!$F493/Data!$D493)*60)*1.8)</f>
        <v>1250.5263157894738</v>
      </c>
      <c r="AU493" s="23">
        <f>(Data!$I493*-1.2)+(Data!$J493*-1.1)+(Data!$K493*1.2)+(Data!$L493*1.3)+(Data!$M493*1.5)</f>
        <v>10.299999999999999</v>
      </c>
      <c r="AV493" s="23">
        <f>(Data!$AS493*0.4)+(Data!$AT493*0.4)+(Data!$AU493*0.2)</f>
        <v>509.34421052631586</v>
      </c>
      <c r="AW493" s="35">
        <f>PERCENTRANK(AV:AV,Data!$AV493)*100</f>
        <v>83.8</v>
      </c>
      <c r="AX493" s="23" t="str">
        <f>_xlfn.CONCAT(TEXT(C493,"mmm"),"-",Data!$AE493)</f>
        <v>Jun-2023</v>
      </c>
    </row>
    <row r="494" spans="1:50" ht="17" thickTop="1" thickBot="1" x14ac:dyDescent="0.25">
      <c r="A494" s="28">
        <v>493</v>
      </c>
      <c r="B494" s="29">
        <f t="shared" si="58"/>
        <v>15</v>
      </c>
      <c r="C494" s="41">
        <v>45110</v>
      </c>
      <c r="D494" s="30">
        <f>SUM(Data!$I494:$M494)</f>
        <v>59</v>
      </c>
      <c r="E494" s="29">
        <v>13</v>
      </c>
      <c r="F494" s="29">
        <v>643</v>
      </c>
      <c r="G494" s="29">
        <v>166</v>
      </c>
      <c r="H494" s="29">
        <v>126</v>
      </c>
      <c r="I494" s="29">
        <v>11</v>
      </c>
      <c r="J494" s="29">
        <v>20</v>
      </c>
      <c r="K494" s="29">
        <v>15</v>
      </c>
      <c r="L494" s="29">
        <v>10</v>
      </c>
      <c r="M494" s="29">
        <v>3</v>
      </c>
      <c r="N494" s="29" t="s">
        <v>162</v>
      </c>
      <c r="O494" s="29" t="s">
        <v>183</v>
      </c>
      <c r="P494" s="29" t="s">
        <v>182</v>
      </c>
      <c r="Q494" s="29">
        <f t="shared" si="64"/>
        <v>7</v>
      </c>
      <c r="R494" s="29" t="str">
        <f t="shared" si="59"/>
        <v>7-2023</v>
      </c>
      <c r="S494" s="29" t="s">
        <v>104</v>
      </c>
      <c r="T494" s="29" t="str">
        <f t="shared" si="60"/>
        <v>Monday</v>
      </c>
      <c r="U494" s="29">
        <f t="shared" si="61"/>
        <v>1</v>
      </c>
      <c r="V494" s="31">
        <f>IFERROR(Data!$I494/Data!$D494,"")</f>
        <v>0.1864406779661017</v>
      </c>
      <c r="W494" s="31">
        <f>IFERROR(Data!$J494/Data!$D494,"")</f>
        <v>0.33898305084745761</v>
      </c>
      <c r="X494" s="31">
        <f>IFERROR(Data!$K494/Data!$D494,"")</f>
        <v>0.25423728813559321</v>
      </c>
      <c r="Y494" s="31">
        <f>IFERROR(Data!$L494/Data!$D494,"")</f>
        <v>0.16949152542372881</v>
      </c>
      <c r="Z494" s="31">
        <f>IFERROR(Data!$M494/Data!$D494,"")</f>
        <v>5.0847457627118647E-2</v>
      </c>
      <c r="AA494" s="32">
        <v>232.14</v>
      </c>
      <c r="AB494" s="32">
        <f t="shared" si="65"/>
        <v>15.475999999999999</v>
      </c>
      <c r="AC494" s="29">
        <f t="shared" si="62"/>
        <v>630.86666666666667</v>
      </c>
      <c r="AD494" s="29">
        <f t="shared" si="63"/>
        <v>14.866666666666667</v>
      </c>
      <c r="AE494" s="29">
        <f>YEAR(Data!$C494)</f>
        <v>2023</v>
      </c>
      <c r="AF494" s="29"/>
      <c r="AG494" s="29">
        <v>12</v>
      </c>
      <c r="AH494" s="33">
        <f>Data!$F494/Data!$D494</f>
        <v>10.898305084745763</v>
      </c>
      <c r="AI494" s="17" t="str">
        <f>RIGHT(Data!$O494,2)</f>
        <v>AM</v>
      </c>
      <c r="AJ494" s="29" t="str">
        <f>Data!$R494&amp;"-"&amp;WEEKNUM(Data!$C494,1)-WEEKNUM(DATE(YEAR(Data!$C494),MONTH(Data!$C494),1),1)+1</f>
        <v>7-2023-2</v>
      </c>
      <c r="AK494" s="29">
        <f>MONTH(Data!$C494)</f>
        <v>7</v>
      </c>
      <c r="AL494" s="29">
        <f>IFERROR(Data!$F494/Data!$E494,0)</f>
        <v>49.46153846153846</v>
      </c>
      <c r="AM494" s="29">
        <f>COUNTIF(Data!$N$2:$N$825,Data!$N494)</f>
        <v>5</v>
      </c>
      <c r="AN494" s="29" t="str">
        <f>VLOOKUP(Data!$N494,'Helpful Tables'!A:D,4,FALSE)</f>
        <v>Maryland</v>
      </c>
      <c r="AO494" s="29">
        <f>COUNTIF(AN:AN,Data!$AN494)/COUNTA(AN:AN)</f>
        <v>6.0606060606060606E-3</v>
      </c>
      <c r="AP494" s="29">
        <v>38.989806999999999</v>
      </c>
      <c r="AQ494" s="29">
        <v>-77.096371000000005</v>
      </c>
      <c r="AR494" s="29">
        <f>COUNTIF(Data!$P$2:$P$825,Data!$P494)</f>
        <v>2</v>
      </c>
      <c r="AS494" s="29" cm="1">
        <f t="array" ref="AS494">_xlfn.IFS(Data!$E494&lt;12,((Data!$E494/Data!$D494)*60)*1,AND(Data!$E494&gt;=12,Data!$E494&lt;=15),((Data!$E494/Data!$D494)*60)*1.2,AND(Data!$E494&gt;=16,Data!$E494&lt;=19),((Data!$E494/Data!$D494)*60)*1.5,Data!$E494&gt;=20,((Data!$E494/Data!$D494)*60)*1.8)</f>
        <v>15.864406779661017</v>
      </c>
      <c r="AT494" s="29" cm="1">
        <f t="array" ref="AT494">_xlfn.IFS(Data!$F494&lt;600,((Data!$F494/Data!$D494)*60)*1,AND(Data!$F494&gt;=600,Data!$F494&lt;=625),((Data!$F494/Data!$D494)*60)*1.2,AND(Data!$F494&gt;=626,Data!$F494&lt;=650),((Data!$F494/Data!$D494)*60)*1.5,Data!$F494&gt;=651,((Data!$F494/Data!$D494)*60)*1.8)</f>
        <v>980.84745762711862</v>
      </c>
      <c r="AU494" s="29">
        <f>(Data!$I494*-1.2)+(Data!$J494*-1.1)+(Data!$K494*1.2)+(Data!$L494*1.3)+(Data!$M494*1.5)</f>
        <v>0.29999999999999716</v>
      </c>
      <c r="AV494" s="29">
        <f>(Data!$AS494*0.4)+(Data!$AT494*0.4)+(Data!$AU494*0.2)</f>
        <v>398.74474576271183</v>
      </c>
      <c r="AW494" s="34">
        <f>PERCENTRANK(AV:AV,Data!$AV494)*100</f>
        <v>51.7</v>
      </c>
      <c r="AX494" s="29" t="str">
        <f>_xlfn.CONCAT(TEXT(C494,"mmm"),"-",Data!$AE494)</f>
        <v>Jul-2023</v>
      </c>
    </row>
    <row r="495" spans="1:50" ht="17" thickTop="1" thickBot="1" x14ac:dyDescent="0.25">
      <c r="A495" s="22">
        <v>494</v>
      </c>
      <c r="B495" s="23">
        <f t="shared" si="58"/>
        <v>15</v>
      </c>
      <c r="C495" s="41">
        <v>45111</v>
      </c>
      <c r="D495" s="24">
        <f>SUM(Data!$I495:$M495)</f>
        <v>56</v>
      </c>
      <c r="E495" s="23">
        <v>14</v>
      </c>
      <c r="F495" s="23">
        <v>618</v>
      </c>
      <c r="G495" s="23">
        <v>166</v>
      </c>
      <c r="H495" s="23">
        <v>127</v>
      </c>
      <c r="I495" s="23">
        <v>9</v>
      </c>
      <c r="J495" s="23">
        <v>20</v>
      </c>
      <c r="K495" s="23">
        <v>13</v>
      </c>
      <c r="L495" s="23">
        <v>13</v>
      </c>
      <c r="M495" s="23">
        <v>1</v>
      </c>
      <c r="N495" s="23" t="s">
        <v>91</v>
      </c>
      <c r="O495" s="23" t="s">
        <v>79</v>
      </c>
      <c r="P495" s="23" t="s">
        <v>98</v>
      </c>
      <c r="Q495" s="23">
        <f t="shared" si="64"/>
        <v>1</v>
      </c>
      <c r="R495" s="23" t="str">
        <f t="shared" si="59"/>
        <v>7-2023</v>
      </c>
      <c r="S495" s="23" t="s">
        <v>104</v>
      </c>
      <c r="T495" s="23" t="str">
        <f t="shared" si="60"/>
        <v>Tuesday</v>
      </c>
      <c r="U495" s="23">
        <f t="shared" si="61"/>
        <v>1</v>
      </c>
      <c r="V495" s="25">
        <f>IFERROR(Data!$I495/Data!$D495,"")</f>
        <v>0.16071428571428573</v>
      </c>
      <c r="W495" s="25">
        <f>IFERROR(Data!$J495/Data!$D495,"")</f>
        <v>0.35714285714285715</v>
      </c>
      <c r="X495" s="25">
        <f>IFERROR(Data!$K495/Data!$D495,"")</f>
        <v>0.23214285714285715</v>
      </c>
      <c r="Y495" s="25">
        <f>IFERROR(Data!$L495/Data!$D495,"")</f>
        <v>0.23214285714285715</v>
      </c>
      <c r="Z495" s="25">
        <f>IFERROR(Data!$M495/Data!$D495,"")</f>
        <v>1.7857142857142856E-2</v>
      </c>
      <c r="AA495" s="26">
        <v>232.14</v>
      </c>
      <c r="AB495" s="26">
        <f t="shared" si="65"/>
        <v>15.475999999999999</v>
      </c>
      <c r="AC495" s="23">
        <f t="shared" si="62"/>
        <v>630.86666666666667</v>
      </c>
      <c r="AD495" s="23">
        <f t="shared" si="63"/>
        <v>14.866666666666667</v>
      </c>
      <c r="AE495" s="23">
        <f>YEAR(Data!$C495)</f>
        <v>2023</v>
      </c>
      <c r="AF495" s="23"/>
      <c r="AG495" s="23">
        <v>12</v>
      </c>
      <c r="AH495" s="27">
        <f>Data!$F495/Data!$D495</f>
        <v>11.035714285714286</v>
      </c>
      <c r="AI495" s="17" t="str">
        <f>RIGHT(Data!$O495,2)</f>
        <v>AM</v>
      </c>
      <c r="AJ495" s="23" t="str">
        <f>Data!$R495&amp;"-"&amp;WEEKNUM(Data!$C495,1)-WEEKNUM(DATE(YEAR(Data!$C495),MONTH(Data!$C495),1),1)+1</f>
        <v>7-2023-2</v>
      </c>
      <c r="AK495" s="23">
        <f>MONTH(Data!$C495)</f>
        <v>7</v>
      </c>
      <c r="AL495" s="23">
        <f>IFERROR(Data!$F495/Data!$E495,0)</f>
        <v>44.142857142857146</v>
      </c>
      <c r="AM495" s="23">
        <f>COUNTIF(Data!$N$2:$N$825,Data!$N495)</f>
        <v>218</v>
      </c>
      <c r="AN495" s="23" t="str">
        <f>VLOOKUP(Data!$N495,'Helpful Tables'!A:D,4,FALSE)</f>
        <v>Washington, DC</v>
      </c>
      <c r="AO495" s="23">
        <f>COUNTIF(AN:AN,Data!$AN495)/COUNTA(AN:AN)</f>
        <v>0.62424242424242427</v>
      </c>
      <c r="AP495" s="23">
        <v>38.934710000000003</v>
      </c>
      <c r="AQ495" s="23">
        <v>-77.058222999999998</v>
      </c>
      <c r="AR495" s="23">
        <f>COUNTIF(Data!$P$2:$P$825,Data!$P495)</f>
        <v>28</v>
      </c>
      <c r="AS495" s="23" cm="1">
        <f t="array" ref="AS495">_xlfn.IFS(Data!$E495&lt;12,((Data!$E495/Data!$D495)*60)*1,AND(Data!$E495&gt;=12,Data!$E495&lt;=15),((Data!$E495/Data!$D495)*60)*1.2,AND(Data!$E495&gt;=16,Data!$E495&lt;=19),((Data!$E495/Data!$D495)*60)*1.5,Data!$E495&gt;=20,((Data!$E495/Data!$D495)*60)*1.8)</f>
        <v>18</v>
      </c>
      <c r="AT495" s="23" cm="1">
        <f t="array" ref="AT495">_xlfn.IFS(Data!$F495&lt;600,((Data!$F495/Data!$D495)*60)*1,AND(Data!$F495&gt;=600,Data!$F495&lt;=625),((Data!$F495/Data!$D495)*60)*1.2,AND(Data!$F495&gt;=626,Data!$F495&lt;=650),((Data!$F495/Data!$D495)*60)*1.5,Data!$F495&gt;=651,((Data!$F495/Data!$D495)*60)*1.8)</f>
        <v>794.57142857142867</v>
      </c>
      <c r="AU495" s="23">
        <f>(Data!$I495*-1.2)+(Data!$J495*-1.1)+(Data!$K495*1.2)+(Data!$L495*1.3)+(Data!$M495*1.5)</f>
        <v>1.2000000000000064</v>
      </c>
      <c r="AV495" s="23">
        <f>(Data!$AS495*0.4)+(Data!$AT495*0.4)+(Data!$AU495*0.2)</f>
        <v>325.26857142857148</v>
      </c>
      <c r="AW495" s="35">
        <f>PERCENTRANK(AV:AV,Data!$AV495)*100</f>
        <v>39.800000000000004</v>
      </c>
      <c r="AX495" s="23" t="str">
        <f>_xlfn.CONCAT(TEXT(C495,"mmm"),"-",Data!$AE495)</f>
        <v>Jul-2023</v>
      </c>
    </row>
    <row r="496" spans="1:50" ht="17" thickTop="1" thickBot="1" x14ac:dyDescent="0.25">
      <c r="A496" s="28">
        <v>495</v>
      </c>
      <c r="B496" s="29">
        <f t="shared" si="58"/>
        <v>15</v>
      </c>
      <c r="C496" s="41">
        <v>45114</v>
      </c>
      <c r="D496" s="30">
        <f>SUM(Data!$I496:$M496)</f>
        <v>59</v>
      </c>
      <c r="E496" s="29">
        <v>19</v>
      </c>
      <c r="F496" s="29">
        <v>651</v>
      </c>
      <c r="G496" s="29">
        <v>170</v>
      </c>
      <c r="H496" s="29">
        <v>125</v>
      </c>
      <c r="I496" s="29">
        <v>18</v>
      </c>
      <c r="J496" s="29">
        <v>13</v>
      </c>
      <c r="K496" s="29">
        <v>9</v>
      </c>
      <c r="L496" s="29">
        <v>17</v>
      </c>
      <c r="M496" s="29">
        <v>2</v>
      </c>
      <c r="N496" s="29" t="s">
        <v>101</v>
      </c>
      <c r="O496" s="29" t="s">
        <v>184</v>
      </c>
      <c r="P496" s="29" t="s">
        <v>118</v>
      </c>
      <c r="Q496" s="29">
        <f t="shared" si="64"/>
        <v>3</v>
      </c>
      <c r="R496" s="29" t="str">
        <f t="shared" si="59"/>
        <v>7-2023</v>
      </c>
      <c r="S496" s="29" t="s">
        <v>104</v>
      </c>
      <c r="T496" s="29" t="str">
        <f t="shared" si="60"/>
        <v>Friday</v>
      </c>
      <c r="U496" s="29">
        <f t="shared" si="61"/>
        <v>1</v>
      </c>
      <c r="V496" s="31">
        <f>IFERROR(Data!$I496/Data!$D496,"")</f>
        <v>0.30508474576271188</v>
      </c>
      <c r="W496" s="31">
        <f>IFERROR(Data!$J496/Data!$D496,"")</f>
        <v>0.22033898305084745</v>
      </c>
      <c r="X496" s="31">
        <f>IFERROR(Data!$K496/Data!$D496,"")</f>
        <v>0.15254237288135594</v>
      </c>
      <c r="Y496" s="31">
        <f>IFERROR(Data!$L496/Data!$D496,"")</f>
        <v>0.28813559322033899</v>
      </c>
      <c r="Z496" s="31">
        <f>IFERROR(Data!$M496/Data!$D496,"")</f>
        <v>3.3898305084745763E-2</v>
      </c>
      <c r="AA496" s="32">
        <v>232.14</v>
      </c>
      <c r="AB496" s="32">
        <f t="shared" si="65"/>
        <v>15.475999999999999</v>
      </c>
      <c r="AC496" s="29">
        <f t="shared" si="62"/>
        <v>630.86666666666667</v>
      </c>
      <c r="AD496" s="29">
        <f t="shared" si="63"/>
        <v>14.866666666666667</v>
      </c>
      <c r="AE496" s="29">
        <f>YEAR(Data!$C496)</f>
        <v>2023</v>
      </c>
      <c r="AF496" s="29"/>
      <c r="AG496" s="29">
        <v>12</v>
      </c>
      <c r="AH496" s="33">
        <f>Data!$F496/Data!$D496</f>
        <v>11.033898305084746</v>
      </c>
      <c r="AI496" s="17" t="str">
        <f>RIGHT(Data!$O496,2)</f>
        <v>AM</v>
      </c>
      <c r="AJ496" s="29" t="str">
        <f>Data!$R496&amp;"-"&amp;WEEKNUM(Data!$C496,1)-WEEKNUM(DATE(YEAR(Data!$C496),MONTH(Data!$C496),1),1)+1</f>
        <v>7-2023-2</v>
      </c>
      <c r="AK496" s="29">
        <f>MONTH(Data!$C496)</f>
        <v>7</v>
      </c>
      <c r="AL496" s="29">
        <f>IFERROR(Data!$F496/Data!$E496,0)</f>
        <v>34.263157894736842</v>
      </c>
      <c r="AM496" s="29">
        <f>COUNTIF(Data!$N$2:$N$825,Data!$N496)</f>
        <v>191</v>
      </c>
      <c r="AN496" s="29" t="str">
        <f>VLOOKUP(Data!$N496,'Helpful Tables'!A:D,4,FALSE)</f>
        <v>Washington, DC</v>
      </c>
      <c r="AO496" s="29">
        <f>COUNTIF(AN:AN,Data!$AN496)/COUNTA(AN:AN)</f>
        <v>0.62424242424242427</v>
      </c>
      <c r="AP496" s="29">
        <v>38.949649000000001</v>
      </c>
      <c r="AQ496" s="29">
        <v>-77.080878999999996</v>
      </c>
      <c r="AR496" s="29">
        <f>COUNTIF(Data!$P$2:$P$825,Data!$P496)</f>
        <v>16</v>
      </c>
      <c r="AS496" s="29" cm="1">
        <f t="array" ref="AS496">_xlfn.IFS(Data!$E496&lt;12,((Data!$E496/Data!$D496)*60)*1,AND(Data!$E496&gt;=12,Data!$E496&lt;=15),((Data!$E496/Data!$D496)*60)*1.2,AND(Data!$E496&gt;=16,Data!$E496&lt;=19),((Data!$E496/Data!$D496)*60)*1.5,Data!$E496&gt;=20,((Data!$E496/Data!$D496)*60)*1.8)</f>
        <v>28.983050847457626</v>
      </c>
      <c r="AT496" s="29" cm="1">
        <f t="array" ref="AT496">_xlfn.IFS(Data!$F496&lt;600,((Data!$F496/Data!$D496)*60)*1,AND(Data!$F496&gt;=600,Data!$F496&lt;=625),((Data!$F496/Data!$D496)*60)*1.2,AND(Data!$F496&gt;=626,Data!$F496&lt;=650),((Data!$F496/Data!$D496)*60)*1.5,Data!$F496&gt;=651,((Data!$F496/Data!$D496)*60)*1.8)</f>
        <v>1191.6610169491526</v>
      </c>
      <c r="AU496" s="29">
        <f>(Data!$I496*-1.2)+(Data!$J496*-1.1)+(Data!$K496*1.2)+(Data!$L496*1.3)+(Data!$M496*1.5)</f>
        <v>0</v>
      </c>
      <c r="AV496" s="29">
        <f>(Data!$AS496*0.4)+(Data!$AT496*0.4)+(Data!$AU496*0.2)</f>
        <v>488.25762711864405</v>
      </c>
      <c r="AW496" s="34">
        <f>PERCENTRANK(AV:AV,Data!$AV496)*100</f>
        <v>71.7</v>
      </c>
      <c r="AX496" s="29" t="str">
        <f>_xlfn.CONCAT(TEXT(C496,"mmm"),"-",Data!$AE496)</f>
        <v>Jul-2023</v>
      </c>
    </row>
    <row r="497" spans="1:50" ht="17" thickTop="1" thickBot="1" x14ac:dyDescent="0.25">
      <c r="A497" s="22">
        <v>496</v>
      </c>
      <c r="B497" s="23">
        <f t="shared" si="58"/>
        <v>15</v>
      </c>
      <c r="C497" s="41">
        <v>45118</v>
      </c>
      <c r="D497" s="24">
        <f>SUM(Data!$I497:$M497)</f>
        <v>59</v>
      </c>
      <c r="E497" s="23">
        <v>19</v>
      </c>
      <c r="F497" s="23">
        <v>638</v>
      </c>
      <c r="G497" s="23">
        <v>168</v>
      </c>
      <c r="H497" s="23">
        <v>125</v>
      </c>
      <c r="I497" s="23">
        <v>18</v>
      </c>
      <c r="J497" s="23">
        <v>13</v>
      </c>
      <c r="K497" s="23">
        <v>9</v>
      </c>
      <c r="L497" s="23">
        <v>17</v>
      </c>
      <c r="M497" s="23">
        <v>2</v>
      </c>
      <c r="N497" s="23" t="s">
        <v>101</v>
      </c>
      <c r="O497" s="23" t="s">
        <v>173</v>
      </c>
      <c r="P497" s="23" t="s">
        <v>147</v>
      </c>
      <c r="Q497" s="23">
        <f t="shared" si="64"/>
        <v>4</v>
      </c>
      <c r="R497" s="23" t="str">
        <f t="shared" si="59"/>
        <v>7-2023</v>
      </c>
      <c r="S497" s="23" t="s">
        <v>104</v>
      </c>
      <c r="T497" s="23" t="str">
        <f t="shared" si="60"/>
        <v>Tuesday</v>
      </c>
      <c r="U497" s="23">
        <f t="shared" si="61"/>
        <v>1</v>
      </c>
      <c r="V497" s="25">
        <f>IFERROR(Data!$I497/Data!$D497,"")</f>
        <v>0.30508474576271188</v>
      </c>
      <c r="W497" s="25">
        <f>IFERROR(Data!$J497/Data!$D497,"")</f>
        <v>0.22033898305084745</v>
      </c>
      <c r="X497" s="25">
        <f>IFERROR(Data!$K497/Data!$D497,"")</f>
        <v>0.15254237288135594</v>
      </c>
      <c r="Y497" s="25">
        <f>IFERROR(Data!$L497/Data!$D497,"")</f>
        <v>0.28813559322033899</v>
      </c>
      <c r="Z497" s="25">
        <f>IFERROR(Data!$M497/Data!$D497,"")</f>
        <v>3.3898305084745763E-2</v>
      </c>
      <c r="AA497" s="26">
        <v>232.14</v>
      </c>
      <c r="AB497" s="26">
        <f t="shared" si="65"/>
        <v>15.475999999999999</v>
      </c>
      <c r="AC497" s="23">
        <f t="shared" si="62"/>
        <v>630.86666666666667</v>
      </c>
      <c r="AD497" s="23">
        <f t="shared" si="63"/>
        <v>14.866666666666667</v>
      </c>
      <c r="AE497" s="23">
        <f>YEAR(Data!$C497)</f>
        <v>2023</v>
      </c>
      <c r="AF497" s="23"/>
      <c r="AG497" s="23">
        <v>12</v>
      </c>
      <c r="AH497" s="27">
        <f>Data!$F497/Data!$D497</f>
        <v>10.813559322033898</v>
      </c>
      <c r="AI497" s="17" t="str">
        <f>RIGHT(Data!$O497,2)</f>
        <v>PM</v>
      </c>
      <c r="AJ497" s="23" t="str">
        <f>Data!$R497&amp;"-"&amp;WEEKNUM(Data!$C497,1)-WEEKNUM(DATE(YEAR(Data!$C497),MONTH(Data!$C497),1),1)+1</f>
        <v>7-2023-3</v>
      </c>
      <c r="AK497" s="23">
        <f>MONTH(Data!$C497)</f>
        <v>7</v>
      </c>
      <c r="AL497" s="23">
        <f>IFERROR(Data!$F497/Data!$E497,0)</f>
        <v>33.578947368421055</v>
      </c>
      <c r="AM497" s="23">
        <f>COUNTIF(Data!$N$2:$N$825,Data!$N497)</f>
        <v>191</v>
      </c>
      <c r="AN497" s="23" t="str">
        <f>VLOOKUP(Data!$N497,'Helpful Tables'!A:D,4,FALSE)</f>
        <v>Washington, DC</v>
      </c>
      <c r="AO497" s="23">
        <f>COUNTIF(AN:AN,Data!$AN497)/COUNTA(AN:AN)</f>
        <v>0.62424242424242427</v>
      </c>
      <c r="AP497" s="23">
        <v>38.949649000000001</v>
      </c>
      <c r="AQ497" s="23">
        <v>-77.080878999999996</v>
      </c>
      <c r="AR497" s="23">
        <f>COUNTIF(Data!$P$2:$P$825,Data!$P497)</f>
        <v>17</v>
      </c>
      <c r="AS497" s="23" cm="1">
        <f t="array" ref="AS497">_xlfn.IFS(Data!$E497&lt;12,((Data!$E497/Data!$D497)*60)*1,AND(Data!$E497&gt;=12,Data!$E497&lt;=15),((Data!$E497/Data!$D497)*60)*1.2,AND(Data!$E497&gt;=16,Data!$E497&lt;=19),((Data!$E497/Data!$D497)*60)*1.5,Data!$E497&gt;=20,((Data!$E497/Data!$D497)*60)*1.8)</f>
        <v>28.983050847457626</v>
      </c>
      <c r="AT497" s="23" cm="1">
        <f t="array" ref="AT497">_xlfn.IFS(Data!$F497&lt;600,((Data!$F497/Data!$D497)*60)*1,AND(Data!$F497&gt;=600,Data!$F497&lt;=625),((Data!$F497/Data!$D497)*60)*1.2,AND(Data!$F497&gt;=626,Data!$F497&lt;=650),((Data!$F497/Data!$D497)*60)*1.5,Data!$F497&gt;=651,((Data!$F497/Data!$D497)*60)*1.8)</f>
        <v>973.22033898305074</v>
      </c>
      <c r="AU497" s="23">
        <f>(Data!$I497*-1.2)+(Data!$J497*-1.1)+(Data!$K497*1.2)+(Data!$L497*1.3)+(Data!$M497*1.5)</f>
        <v>0</v>
      </c>
      <c r="AV497" s="23">
        <f>(Data!$AS497*0.4)+(Data!$AT497*0.4)+(Data!$AU497*0.2)</f>
        <v>400.88135593220335</v>
      </c>
      <c r="AW497" s="35">
        <f>PERCENTRANK(AV:AV,Data!$AV497)*100</f>
        <v>53</v>
      </c>
      <c r="AX497" s="23" t="str">
        <f>_xlfn.CONCAT(TEXT(C497,"mmm"),"-",Data!$AE497)</f>
        <v>Jul-2023</v>
      </c>
    </row>
    <row r="498" spans="1:50" ht="17" thickTop="1" thickBot="1" x14ac:dyDescent="0.25">
      <c r="A498" s="28">
        <v>497</v>
      </c>
      <c r="B498" s="29">
        <f t="shared" si="58"/>
        <v>15</v>
      </c>
      <c r="C498" s="41">
        <v>45119</v>
      </c>
      <c r="D498" s="30">
        <f>SUM(Data!$I498:$M498)</f>
        <v>60</v>
      </c>
      <c r="E498" s="29">
        <v>18</v>
      </c>
      <c r="F498" s="29">
        <v>675</v>
      </c>
      <c r="G498" s="29">
        <v>167</v>
      </c>
      <c r="H498" s="29">
        <v>128</v>
      </c>
      <c r="I498" s="29">
        <v>11</v>
      </c>
      <c r="J498" s="29">
        <v>19</v>
      </c>
      <c r="K498" s="29">
        <v>12</v>
      </c>
      <c r="L498" s="29">
        <v>17</v>
      </c>
      <c r="M498" s="29">
        <v>1</v>
      </c>
      <c r="N498" s="29" t="s">
        <v>101</v>
      </c>
      <c r="O498" s="29" t="s">
        <v>173</v>
      </c>
      <c r="P498" s="29" t="s">
        <v>147</v>
      </c>
      <c r="Q498" s="29">
        <f t="shared" si="64"/>
        <v>1</v>
      </c>
      <c r="R498" s="29" t="str">
        <f t="shared" si="59"/>
        <v>7-2023</v>
      </c>
      <c r="S498" s="29" t="s">
        <v>104</v>
      </c>
      <c r="T498" s="29" t="str">
        <f t="shared" si="60"/>
        <v>Wednesday</v>
      </c>
      <c r="U498" s="29">
        <f t="shared" si="61"/>
        <v>1</v>
      </c>
      <c r="V498" s="31">
        <f>IFERROR(Data!$I498/Data!$D498,"")</f>
        <v>0.18333333333333332</v>
      </c>
      <c r="W498" s="31">
        <f>IFERROR(Data!$J498/Data!$D498,"")</f>
        <v>0.31666666666666665</v>
      </c>
      <c r="X498" s="31">
        <f>IFERROR(Data!$K498/Data!$D498,"")</f>
        <v>0.2</v>
      </c>
      <c r="Y498" s="31">
        <f>IFERROR(Data!$L498/Data!$D498,"")</f>
        <v>0.28333333333333333</v>
      </c>
      <c r="Z498" s="31">
        <f>IFERROR(Data!$M498/Data!$D498,"")</f>
        <v>1.6666666666666666E-2</v>
      </c>
      <c r="AA498" s="32">
        <v>232.14</v>
      </c>
      <c r="AB498" s="32">
        <f t="shared" si="65"/>
        <v>15.475999999999999</v>
      </c>
      <c r="AC498" s="29">
        <f t="shared" si="62"/>
        <v>630.86666666666667</v>
      </c>
      <c r="AD498" s="29">
        <f t="shared" si="63"/>
        <v>14.866666666666667</v>
      </c>
      <c r="AE498" s="29">
        <f>YEAR(Data!$C498)</f>
        <v>2023</v>
      </c>
      <c r="AF498" s="29"/>
      <c r="AG498" s="29">
        <v>12</v>
      </c>
      <c r="AH498" s="33">
        <f>Data!$F498/Data!$D498</f>
        <v>11.25</v>
      </c>
      <c r="AI498" s="17" t="str">
        <f>RIGHT(Data!$O498,2)</f>
        <v>PM</v>
      </c>
      <c r="AJ498" s="29" t="str">
        <f>Data!$R498&amp;"-"&amp;WEEKNUM(Data!$C498,1)-WEEKNUM(DATE(YEAR(Data!$C498),MONTH(Data!$C498),1),1)+1</f>
        <v>7-2023-3</v>
      </c>
      <c r="AK498" s="29">
        <f>MONTH(Data!$C498)</f>
        <v>7</v>
      </c>
      <c r="AL498" s="29">
        <f>IFERROR(Data!$F498/Data!$E498,0)</f>
        <v>37.5</v>
      </c>
      <c r="AM498" s="29">
        <f>COUNTIF(Data!$N$2:$N$825,Data!$N498)</f>
        <v>191</v>
      </c>
      <c r="AN498" s="29" t="str">
        <f>VLOOKUP(Data!$N498,'Helpful Tables'!A:D,4,FALSE)</f>
        <v>Washington, DC</v>
      </c>
      <c r="AO498" s="29">
        <f>COUNTIF(AN:AN,Data!$AN498)/COUNTA(AN:AN)</f>
        <v>0.62424242424242427</v>
      </c>
      <c r="AP498" s="29">
        <v>38.949649000000001</v>
      </c>
      <c r="AQ498" s="29">
        <v>-77.080878999999996</v>
      </c>
      <c r="AR498" s="29">
        <f>COUNTIF(Data!$P$2:$P$825,Data!$P498)</f>
        <v>17</v>
      </c>
      <c r="AS498" s="29" cm="1">
        <f t="array" ref="AS498">_xlfn.IFS(Data!$E498&lt;12,((Data!$E498/Data!$D498)*60)*1,AND(Data!$E498&gt;=12,Data!$E498&lt;=15),((Data!$E498/Data!$D498)*60)*1.2,AND(Data!$E498&gt;=16,Data!$E498&lt;=19),((Data!$E498/Data!$D498)*60)*1.5,Data!$E498&gt;=20,((Data!$E498/Data!$D498)*60)*1.8)</f>
        <v>27</v>
      </c>
      <c r="AT498" s="29" cm="1">
        <f t="array" ref="AT498">_xlfn.IFS(Data!$F498&lt;600,((Data!$F498/Data!$D498)*60)*1,AND(Data!$F498&gt;=600,Data!$F498&lt;=625),((Data!$F498/Data!$D498)*60)*1.2,AND(Data!$F498&gt;=626,Data!$F498&lt;=650),((Data!$F498/Data!$D498)*60)*1.5,Data!$F498&gt;=651,((Data!$F498/Data!$D498)*60)*1.8)</f>
        <v>1215</v>
      </c>
      <c r="AU498" s="29">
        <f>(Data!$I498*-1.2)+(Data!$J498*-1.1)+(Data!$K498*1.2)+(Data!$L498*1.3)+(Data!$M498*1.5)</f>
        <v>3.8999999999999986</v>
      </c>
      <c r="AV498" s="29">
        <f>(Data!$AS498*0.4)+(Data!$AT498*0.4)+(Data!$AU498*0.2)</f>
        <v>497.58</v>
      </c>
      <c r="AW498" s="34">
        <f>PERCENTRANK(AV:AV,Data!$AV498)*100</f>
        <v>76.5</v>
      </c>
      <c r="AX498" s="29" t="str">
        <f>_xlfn.CONCAT(TEXT(C498,"mmm"),"-",Data!$AE498)</f>
        <v>Jul-2023</v>
      </c>
    </row>
    <row r="499" spans="1:50" ht="17" thickTop="1" thickBot="1" x14ac:dyDescent="0.25">
      <c r="A499" s="22">
        <v>498</v>
      </c>
      <c r="B499" s="23">
        <f t="shared" si="58"/>
        <v>15</v>
      </c>
      <c r="C499" s="41">
        <v>45121</v>
      </c>
      <c r="D499" s="24">
        <f>SUM(Data!$I499:$M499)</f>
        <v>54</v>
      </c>
      <c r="E499" s="23">
        <v>15</v>
      </c>
      <c r="F499" s="23">
        <v>618</v>
      </c>
      <c r="G499" s="23">
        <v>168</v>
      </c>
      <c r="H499" s="23">
        <v>128</v>
      </c>
      <c r="I499" s="23">
        <v>11</v>
      </c>
      <c r="J499" s="23">
        <v>16</v>
      </c>
      <c r="K499" s="23">
        <v>12</v>
      </c>
      <c r="L499" s="23">
        <v>12</v>
      </c>
      <c r="M499" s="23">
        <v>3</v>
      </c>
      <c r="N499" s="23" t="s">
        <v>91</v>
      </c>
      <c r="O499" s="23" t="s">
        <v>174</v>
      </c>
      <c r="P499" s="23" t="s">
        <v>168</v>
      </c>
      <c r="Q499" s="23">
        <f t="shared" si="64"/>
        <v>2</v>
      </c>
      <c r="R499" s="23" t="str">
        <f t="shared" si="59"/>
        <v>7-2023</v>
      </c>
      <c r="S499" s="23" t="s">
        <v>104</v>
      </c>
      <c r="T499" s="23" t="str">
        <f t="shared" si="60"/>
        <v>Friday</v>
      </c>
      <c r="U499" s="23">
        <f t="shared" si="61"/>
        <v>1</v>
      </c>
      <c r="V499" s="25">
        <f>IFERROR(Data!$I499/Data!$D499,"")</f>
        <v>0.20370370370370369</v>
      </c>
      <c r="W499" s="25">
        <f>IFERROR(Data!$J499/Data!$D499,"")</f>
        <v>0.29629629629629628</v>
      </c>
      <c r="X499" s="25">
        <f>IFERROR(Data!$K499/Data!$D499,"")</f>
        <v>0.22222222222222221</v>
      </c>
      <c r="Y499" s="25">
        <f>IFERROR(Data!$L499/Data!$D499,"")</f>
        <v>0.22222222222222221</v>
      </c>
      <c r="Z499" s="25">
        <f>IFERROR(Data!$M499/Data!$D499,"")</f>
        <v>5.5555555555555552E-2</v>
      </c>
      <c r="AA499" s="26">
        <v>232.14</v>
      </c>
      <c r="AB499" s="26">
        <f t="shared" si="65"/>
        <v>15.475999999999999</v>
      </c>
      <c r="AC499" s="23">
        <f t="shared" si="62"/>
        <v>630.86666666666667</v>
      </c>
      <c r="AD499" s="23">
        <f t="shared" si="63"/>
        <v>14.866666666666667</v>
      </c>
      <c r="AE499" s="23">
        <f>YEAR(Data!$C499)</f>
        <v>2023</v>
      </c>
      <c r="AF499" s="23"/>
      <c r="AG499" s="23">
        <v>12</v>
      </c>
      <c r="AH499" s="27">
        <f>Data!$F499/Data!$D499</f>
        <v>11.444444444444445</v>
      </c>
      <c r="AI499" s="17" t="str">
        <f>RIGHT(Data!$O499,2)</f>
        <v>AM</v>
      </c>
      <c r="AJ499" s="23" t="str">
        <f>Data!$R499&amp;"-"&amp;WEEKNUM(Data!$C499,1)-WEEKNUM(DATE(YEAR(Data!$C499),MONTH(Data!$C499),1),1)+1</f>
        <v>7-2023-3</v>
      </c>
      <c r="AK499" s="23">
        <f>MONTH(Data!$C499)</f>
        <v>7</v>
      </c>
      <c r="AL499" s="23">
        <f>IFERROR(Data!$F499/Data!$E499,0)</f>
        <v>41.2</v>
      </c>
      <c r="AM499" s="23">
        <f>COUNTIF(Data!$N$2:$N$825,Data!$N499)</f>
        <v>218</v>
      </c>
      <c r="AN499" s="23" t="str">
        <f>VLOOKUP(Data!$N499,'Helpful Tables'!A:D,4,FALSE)</f>
        <v>Washington, DC</v>
      </c>
      <c r="AO499" s="23">
        <f>COUNTIF(AN:AN,Data!$AN499)/COUNTA(AN:AN)</f>
        <v>0.62424242424242427</v>
      </c>
      <c r="AP499" s="23">
        <v>38.934710000000003</v>
      </c>
      <c r="AQ499" s="23">
        <v>-77.058222999999998</v>
      </c>
      <c r="AR499" s="23">
        <f>COUNTIF(Data!$P$2:$P$825,Data!$P499)</f>
        <v>12</v>
      </c>
      <c r="AS499" s="23" cm="1">
        <f t="array" ref="AS499">_xlfn.IFS(Data!$E499&lt;12,((Data!$E499/Data!$D499)*60)*1,AND(Data!$E499&gt;=12,Data!$E499&lt;=15),((Data!$E499/Data!$D499)*60)*1.2,AND(Data!$E499&gt;=16,Data!$E499&lt;=19),((Data!$E499/Data!$D499)*60)*1.5,Data!$E499&gt;=20,((Data!$E499/Data!$D499)*60)*1.8)</f>
        <v>20</v>
      </c>
      <c r="AT499" s="23" cm="1">
        <f t="array" ref="AT499">_xlfn.IFS(Data!$F499&lt;600,((Data!$F499/Data!$D499)*60)*1,AND(Data!$F499&gt;=600,Data!$F499&lt;=625),((Data!$F499/Data!$D499)*60)*1.2,AND(Data!$F499&gt;=626,Data!$F499&lt;=650),((Data!$F499/Data!$D499)*60)*1.5,Data!$F499&gt;=651,((Data!$F499/Data!$D499)*60)*1.8)</f>
        <v>823.99999999999989</v>
      </c>
      <c r="AU499" s="23">
        <f>(Data!$I499*-1.2)+(Data!$J499*-1.1)+(Data!$K499*1.2)+(Data!$L499*1.3)+(Data!$M499*1.5)</f>
        <v>3.6999999999999993</v>
      </c>
      <c r="AV499" s="23">
        <f>(Data!$AS499*0.4)+(Data!$AT499*0.4)+(Data!$AU499*0.2)</f>
        <v>338.34</v>
      </c>
      <c r="AW499" s="35">
        <f>PERCENTRANK(AV:AV,Data!$AV499)*100</f>
        <v>43.3</v>
      </c>
      <c r="AX499" s="23" t="str">
        <f>_xlfn.CONCAT(TEXT(C499,"mmm"),"-",Data!$AE499)</f>
        <v>Jul-2023</v>
      </c>
    </row>
    <row r="500" spans="1:50" ht="17" thickTop="1" thickBot="1" x14ac:dyDescent="0.25">
      <c r="A500" s="28">
        <v>499</v>
      </c>
      <c r="B500" s="29">
        <f t="shared" si="58"/>
        <v>15</v>
      </c>
      <c r="C500" s="41">
        <v>45123</v>
      </c>
      <c r="D500" s="30">
        <f>SUM(Data!$I500:$M500)</f>
        <v>58</v>
      </c>
      <c r="E500" s="29">
        <v>8</v>
      </c>
      <c r="F500" s="29">
        <v>512</v>
      </c>
      <c r="G500" s="29">
        <v>168</v>
      </c>
      <c r="H500" s="29">
        <v>112</v>
      </c>
      <c r="I500" s="29">
        <v>29</v>
      </c>
      <c r="J500" s="29">
        <v>13</v>
      </c>
      <c r="K500" s="29">
        <v>8</v>
      </c>
      <c r="L500" s="29">
        <v>6</v>
      </c>
      <c r="M500" s="29">
        <v>2</v>
      </c>
      <c r="N500" s="29" t="s">
        <v>101</v>
      </c>
      <c r="O500" s="29" t="s">
        <v>93</v>
      </c>
      <c r="P500" s="29" t="s">
        <v>155</v>
      </c>
      <c r="Q500" s="29">
        <f t="shared" si="64"/>
        <v>2</v>
      </c>
      <c r="R500" s="29" t="str">
        <f t="shared" si="59"/>
        <v>7-2023</v>
      </c>
      <c r="S500" s="29" t="s">
        <v>117</v>
      </c>
      <c r="T500" s="29" t="str">
        <f t="shared" si="60"/>
        <v>Sunday</v>
      </c>
      <c r="U500" s="29">
        <f t="shared" si="61"/>
        <v>0</v>
      </c>
      <c r="V500" s="31">
        <f>IFERROR(Data!$I500/Data!$D500,"")</f>
        <v>0.5</v>
      </c>
      <c r="W500" s="31">
        <f>IFERROR(Data!$J500/Data!$D500,"")</f>
        <v>0.22413793103448276</v>
      </c>
      <c r="X500" s="31">
        <f>IFERROR(Data!$K500/Data!$D500,"")</f>
        <v>0.13793103448275862</v>
      </c>
      <c r="Y500" s="31">
        <f>IFERROR(Data!$L500/Data!$D500,"")</f>
        <v>0.10344827586206896</v>
      </c>
      <c r="Z500" s="31">
        <f>IFERROR(Data!$M500/Data!$D500,"")</f>
        <v>3.4482758620689655E-2</v>
      </c>
      <c r="AA500" s="32">
        <v>232.14</v>
      </c>
      <c r="AB500" s="32">
        <f t="shared" si="65"/>
        <v>15.475999999999999</v>
      </c>
      <c r="AC500" s="29">
        <f t="shared" si="62"/>
        <v>630.86666666666667</v>
      </c>
      <c r="AD500" s="29">
        <f t="shared" si="63"/>
        <v>14.866666666666667</v>
      </c>
      <c r="AE500" s="29">
        <f>YEAR(Data!$C500)</f>
        <v>2023</v>
      </c>
      <c r="AF500" s="29"/>
      <c r="AG500" s="29">
        <v>12</v>
      </c>
      <c r="AH500" s="33">
        <f>Data!$F500/Data!$D500</f>
        <v>8.8275862068965516</v>
      </c>
      <c r="AI500" s="17" t="str">
        <f>RIGHT(Data!$O500,2)</f>
        <v>AM</v>
      </c>
      <c r="AJ500" s="29" t="str">
        <f>Data!$R500&amp;"-"&amp;WEEKNUM(Data!$C500,1)-WEEKNUM(DATE(YEAR(Data!$C500),MONTH(Data!$C500),1),1)+1</f>
        <v>7-2023-4</v>
      </c>
      <c r="AK500" s="29">
        <f>MONTH(Data!$C500)</f>
        <v>7</v>
      </c>
      <c r="AL500" s="29">
        <f>IFERROR(Data!$F500/Data!$E500,0)</f>
        <v>64</v>
      </c>
      <c r="AM500" s="29">
        <f>COUNTIF(Data!$N$2:$N$825,Data!$N500)</f>
        <v>191</v>
      </c>
      <c r="AN500" s="29" t="str">
        <f>VLOOKUP(Data!$N500,'Helpful Tables'!A:D,4,FALSE)</f>
        <v>Washington, DC</v>
      </c>
      <c r="AO500" s="29">
        <f>COUNTIF(AN:AN,Data!$AN500)/COUNTA(AN:AN)</f>
        <v>0.62424242424242427</v>
      </c>
      <c r="AP500" s="29">
        <v>38.949649000000001</v>
      </c>
      <c r="AQ500" s="29">
        <v>-77.080878999999996</v>
      </c>
      <c r="AR500" s="29">
        <f>COUNTIF(Data!$P$2:$P$825,Data!$P500)</f>
        <v>13</v>
      </c>
      <c r="AS500" s="29" cm="1">
        <f t="array" ref="AS500">_xlfn.IFS(Data!$E500&lt;12,((Data!$E500/Data!$D500)*60)*1,AND(Data!$E500&gt;=12,Data!$E500&lt;=15),((Data!$E500/Data!$D500)*60)*1.2,AND(Data!$E500&gt;=16,Data!$E500&lt;=19),((Data!$E500/Data!$D500)*60)*1.5,Data!$E500&gt;=20,((Data!$E500/Data!$D500)*60)*1.8)</f>
        <v>8.2758620689655178</v>
      </c>
      <c r="AT500" s="29" cm="1">
        <f t="array" ref="AT500">_xlfn.IFS(Data!$F500&lt;600,((Data!$F500/Data!$D500)*60)*1,AND(Data!$F500&gt;=600,Data!$F500&lt;=625),((Data!$F500/Data!$D500)*60)*1.2,AND(Data!$F500&gt;=626,Data!$F500&lt;=650),((Data!$F500/Data!$D500)*60)*1.5,Data!$F500&gt;=651,((Data!$F500/Data!$D500)*60)*1.8)</f>
        <v>529.65517241379314</v>
      </c>
      <c r="AU500" s="29">
        <f>(Data!$I500*-1.2)+(Data!$J500*-1.1)+(Data!$K500*1.2)+(Data!$L500*1.3)+(Data!$M500*1.5)</f>
        <v>-28.699999999999992</v>
      </c>
      <c r="AV500" s="29">
        <f>(Data!$AS500*0.4)+(Data!$AT500*0.4)+(Data!$AU500*0.2)</f>
        <v>209.43241379310348</v>
      </c>
      <c r="AW500" s="34">
        <f>PERCENTRANK(AV:AV,Data!$AV500)*100</f>
        <v>1.5</v>
      </c>
      <c r="AX500" s="29" t="str">
        <f>_xlfn.CONCAT(TEXT(C500,"mmm"),"-",Data!$AE500)</f>
        <v>Jul-2023</v>
      </c>
    </row>
    <row r="501" spans="1:50" ht="17" thickTop="1" thickBot="1" x14ac:dyDescent="0.25">
      <c r="A501" s="22">
        <v>500</v>
      </c>
      <c r="B501" s="23">
        <f t="shared" si="58"/>
        <v>15</v>
      </c>
      <c r="C501" s="41">
        <v>45124</v>
      </c>
      <c r="D501" s="24">
        <f>SUM(Data!$I501:$M501)</f>
        <v>58</v>
      </c>
      <c r="E501" s="23">
        <v>17</v>
      </c>
      <c r="F501" s="23">
        <v>664</v>
      </c>
      <c r="G501" s="23">
        <v>170</v>
      </c>
      <c r="H501" s="23">
        <v>128</v>
      </c>
      <c r="I501" s="23">
        <v>16</v>
      </c>
      <c r="J501" s="23">
        <v>12</v>
      </c>
      <c r="K501" s="23">
        <v>13</v>
      </c>
      <c r="L501" s="23">
        <v>16</v>
      </c>
      <c r="M501" s="23">
        <v>1</v>
      </c>
      <c r="N501" s="23" t="s">
        <v>91</v>
      </c>
      <c r="O501" s="23" t="s">
        <v>57</v>
      </c>
      <c r="P501" s="23" t="s">
        <v>185</v>
      </c>
      <c r="Q501" s="23">
        <f t="shared" si="64"/>
        <v>1</v>
      </c>
      <c r="R501" s="23" t="str">
        <f t="shared" si="59"/>
        <v>7-2023</v>
      </c>
      <c r="S501" s="23" t="s">
        <v>104</v>
      </c>
      <c r="T501" s="23" t="str">
        <f t="shared" si="60"/>
        <v>Monday</v>
      </c>
      <c r="U501" s="23">
        <f t="shared" si="61"/>
        <v>1</v>
      </c>
      <c r="V501" s="25">
        <f>IFERROR(Data!$I501/Data!$D501,"")</f>
        <v>0.27586206896551724</v>
      </c>
      <c r="W501" s="25">
        <f>IFERROR(Data!$J501/Data!$D501,"")</f>
        <v>0.20689655172413793</v>
      </c>
      <c r="X501" s="25">
        <f>IFERROR(Data!$K501/Data!$D501,"")</f>
        <v>0.22413793103448276</v>
      </c>
      <c r="Y501" s="25">
        <f>IFERROR(Data!$L501/Data!$D501,"")</f>
        <v>0.27586206896551724</v>
      </c>
      <c r="Z501" s="25">
        <f>IFERROR(Data!$M501/Data!$D501,"")</f>
        <v>1.7241379310344827E-2</v>
      </c>
      <c r="AA501" s="26">
        <v>232.14</v>
      </c>
      <c r="AB501" s="26">
        <f t="shared" si="65"/>
        <v>15.475999999999999</v>
      </c>
      <c r="AC501" s="23">
        <f t="shared" si="62"/>
        <v>630.86666666666667</v>
      </c>
      <c r="AD501" s="23">
        <f t="shared" si="63"/>
        <v>14.866666666666667</v>
      </c>
      <c r="AE501" s="23">
        <f>YEAR(Data!$C501)</f>
        <v>2023</v>
      </c>
      <c r="AF501" s="23"/>
      <c r="AG501" s="23">
        <v>12</v>
      </c>
      <c r="AH501" s="27">
        <f>Data!$F501/Data!$D501</f>
        <v>11.448275862068966</v>
      </c>
      <c r="AI501" s="17" t="str">
        <f>RIGHT(Data!$O501,2)</f>
        <v>PM</v>
      </c>
      <c r="AJ501" s="23" t="str">
        <f>Data!$R501&amp;"-"&amp;WEEKNUM(Data!$C501,1)-WEEKNUM(DATE(YEAR(Data!$C501),MONTH(Data!$C501),1),1)+1</f>
        <v>7-2023-4</v>
      </c>
      <c r="AK501" s="23">
        <f>MONTH(Data!$C501)</f>
        <v>7</v>
      </c>
      <c r="AL501" s="23">
        <f>IFERROR(Data!$F501/Data!$E501,0)</f>
        <v>39.058823529411768</v>
      </c>
      <c r="AM501" s="23">
        <f>COUNTIF(Data!$N$2:$N$825,Data!$N501)</f>
        <v>218</v>
      </c>
      <c r="AN501" s="23" t="str">
        <f>VLOOKUP(Data!$N501,'Helpful Tables'!A:D,4,FALSE)</f>
        <v>Washington, DC</v>
      </c>
      <c r="AO501" s="23">
        <f>COUNTIF(AN:AN,Data!$AN501)/COUNTA(AN:AN)</f>
        <v>0.62424242424242427</v>
      </c>
      <c r="AP501" s="23">
        <v>38.934710000000003</v>
      </c>
      <c r="AQ501" s="23">
        <v>-77.058222999999998</v>
      </c>
      <c r="AR501" s="23">
        <f>COUNTIF(Data!$P$2:$P$825,Data!$P501)</f>
        <v>3</v>
      </c>
      <c r="AS501" s="23" cm="1">
        <f t="array" ref="AS501">_xlfn.IFS(Data!$E501&lt;12,((Data!$E501/Data!$D501)*60)*1,AND(Data!$E501&gt;=12,Data!$E501&lt;=15),((Data!$E501/Data!$D501)*60)*1.2,AND(Data!$E501&gt;=16,Data!$E501&lt;=19),((Data!$E501/Data!$D501)*60)*1.5,Data!$E501&gt;=20,((Data!$E501/Data!$D501)*60)*1.8)</f>
        <v>26.379310344827584</v>
      </c>
      <c r="AT501" s="23" cm="1">
        <f t="array" ref="AT501">_xlfn.IFS(Data!$F501&lt;600,((Data!$F501/Data!$D501)*60)*1,AND(Data!$F501&gt;=600,Data!$F501&lt;=625),((Data!$F501/Data!$D501)*60)*1.2,AND(Data!$F501&gt;=626,Data!$F501&lt;=650),((Data!$F501/Data!$D501)*60)*1.5,Data!$F501&gt;=651,((Data!$F501/Data!$D501)*60)*1.8)</f>
        <v>1236.4137931034484</v>
      </c>
      <c r="AU501" s="23">
        <f>(Data!$I501*-1.2)+(Data!$J501*-1.1)+(Data!$K501*1.2)+(Data!$L501*1.3)+(Data!$M501*1.5)</f>
        <v>5.5000000000000036</v>
      </c>
      <c r="AV501" s="23">
        <f>(Data!$AS501*0.4)+(Data!$AT501*0.4)+(Data!$AU501*0.2)</f>
        <v>506.21724137931045</v>
      </c>
      <c r="AW501" s="35">
        <f>PERCENTRANK(AV:AV,Data!$AV501)*100</f>
        <v>81.699999999999989</v>
      </c>
      <c r="AX501" s="23" t="str">
        <f>_xlfn.CONCAT(TEXT(C501,"mmm"),"-",Data!$AE501)</f>
        <v>Jul-2023</v>
      </c>
    </row>
    <row r="502" spans="1:50" ht="17" thickTop="1" thickBot="1" x14ac:dyDescent="0.25">
      <c r="A502" s="28">
        <v>501</v>
      </c>
      <c r="B502" s="29">
        <f t="shared" si="58"/>
        <v>15</v>
      </c>
      <c r="C502" s="41">
        <v>45126</v>
      </c>
      <c r="D502" s="30">
        <f>SUM(Data!$I502:$M502)</f>
        <v>60</v>
      </c>
      <c r="E502" s="29">
        <v>14</v>
      </c>
      <c r="F502" s="29">
        <v>638</v>
      </c>
      <c r="G502" s="29">
        <v>171</v>
      </c>
      <c r="H502" s="29">
        <v>124</v>
      </c>
      <c r="I502" s="29">
        <v>17</v>
      </c>
      <c r="J502" s="29">
        <v>15</v>
      </c>
      <c r="K502" s="29">
        <v>14</v>
      </c>
      <c r="L502" s="29">
        <v>12</v>
      </c>
      <c r="M502" s="29">
        <v>2</v>
      </c>
      <c r="N502" s="29" t="s">
        <v>91</v>
      </c>
      <c r="O502" s="29" t="s">
        <v>57</v>
      </c>
      <c r="P502" s="29" t="s">
        <v>96</v>
      </c>
      <c r="Q502" s="29">
        <f t="shared" si="64"/>
        <v>2</v>
      </c>
      <c r="R502" s="29" t="str">
        <f t="shared" si="59"/>
        <v>7-2023</v>
      </c>
      <c r="S502" s="29" t="s">
        <v>104</v>
      </c>
      <c r="T502" s="29" t="str">
        <f t="shared" si="60"/>
        <v>Wednesday</v>
      </c>
      <c r="U502" s="29">
        <f t="shared" si="61"/>
        <v>1</v>
      </c>
      <c r="V502" s="31">
        <f>IFERROR(Data!$I502/Data!$D502,"")</f>
        <v>0.28333333333333333</v>
      </c>
      <c r="W502" s="31">
        <f>IFERROR(Data!$J502/Data!$D502,"")</f>
        <v>0.25</v>
      </c>
      <c r="X502" s="31">
        <f>IFERROR(Data!$K502/Data!$D502,"")</f>
        <v>0.23333333333333334</v>
      </c>
      <c r="Y502" s="31">
        <f>IFERROR(Data!$L502/Data!$D502,"")</f>
        <v>0.2</v>
      </c>
      <c r="Z502" s="31">
        <f>IFERROR(Data!$M502/Data!$D502,"")</f>
        <v>3.3333333333333333E-2</v>
      </c>
      <c r="AA502" s="32">
        <v>232.14</v>
      </c>
      <c r="AB502" s="32">
        <f t="shared" si="65"/>
        <v>15.475999999999999</v>
      </c>
      <c r="AC502" s="29">
        <f t="shared" si="62"/>
        <v>630.86666666666667</v>
      </c>
      <c r="AD502" s="29">
        <f t="shared" si="63"/>
        <v>14.866666666666667</v>
      </c>
      <c r="AE502" s="29">
        <f>YEAR(Data!$C502)</f>
        <v>2023</v>
      </c>
      <c r="AF502" s="29"/>
      <c r="AG502" s="29">
        <v>12</v>
      </c>
      <c r="AH502" s="33">
        <f>Data!$F502/Data!$D502</f>
        <v>10.633333333333333</v>
      </c>
      <c r="AI502" s="17" t="str">
        <f>RIGHT(Data!$O502,2)</f>
        <v>PM</v>
      </c>
      <c r="AJ502" s="29" t="str">
        <f>Data!$R502&amp;"-"&amp;WEEKNUM(Data!$C502,1)-WEEKNUM(DATE(YEAR(Data!$C502),MONTH(Data!$C502),1),1)+1</f>
        <v>7-2023-4</v>
      </c>
      <c r="AK502" s="29">
        <f>MONTH(Data!$C502)</f>
        <v>7</v>
      </c>
      <c r="AL502" s="29">
        <f>IFERROR(Data!$F502/Data!$E502,0)</f>
        <v>45.571428571428569</v>
      </c>
      <c r="AM502" s="29">
        <f>COUNTIF(Data!$N$2:$N$825,Data!$N502)</f>
        <v>218</v>
      </c>
      <c r="AN502" s="29" t="str">
        <f>VLOOKUP(Data!$N502,'Helpful Tables'!A:D,4,FALSE)</f>
        <v>Washington, DC</v>
      </c>
      <c r="AO502" s="29">
        <f>COUNTIF(AN:AN,Data!$AN502)/COUNTA(AN:AN)</f>
        <v>0.62424242424242427</v>
      </c>
      <c r="AP502" s="29">
        <v>38.934710000000003</v>
      </c>
      <c r="AQ502" s="29">
        <v>-77.058222999999998</v>
      </c>
      <c r="AR502" s="29">
        <f>COUNTIF(Data!$P$2:$P$825,Data!$P502)</f>
        <v>71</v>
      </c>
      <c r="AS502" s="29" cm="1">
        <f t="array" ref="AS502">_xlfn.IFS(Data!$E502&lt;12,((Data!$E502/Data!$D502)*60)*1,AND(Data!$E502&gt;=12,Data!$E502&lt;=15),((Data!$E502/Data!$D502)*60)*1.2,AND(Data!$E502&gt;=16,Data!$E502&lt;=19),((Data!$E502/Data!$D502)*60)*1.5,Data!$E502&gt;=20,((Data!$E502/Data!$D502)*60)*1.8)</f>
        <v>16.8</v>
      </c>
      <c r="AT502" s="29" cm="1">
        <f t="array" ref="AT502">_xlfn.IFS(Data!$F502&lt;600,((Data!$F502/Data!$D502)*60)*1,AND(Data!$F502&gt;=600,Data!$F502&lt;=625),((Data!$F502/Data!$D502)*60)*1.2,AND(Data!$F502&gt;=626,Data!$F502&lt;=650),((Data!$F502/Data!$D502)*60)*1.5,Data!$F502&gt;=651,((Data!$F502/Data!$D502)*60)*1.8)</f>
        <v>957</v>
      </c>
      <c r="AU502" s="29">
        <f>(Data!$I502*-1.2)+(Data!$J502*-1.1)+(Data!$K502*1.2)+(Data!$L502*1.3)+(Data!$M502*1.5)</f>
        <v>-1.4999999999999964</v>
      </c>
      <c r="AV502" s="29">
        <f>(Data!$AS502*0.4)+(Data!$AT502*0.4)+(Data!$AU502*0.2)</f>
        <v>389.22</v>
      </c>
      <c r="AW502" s="34">
        <f>PERCENTRANK(AV:AV,Data!$AV502)*100</f>
        <v>47.5</v>
      </c>
      <c r="AX502" s="29" t="str">
        <f>_xlfn.CONCAT(TEXT(C502,"mmm"),"-",Data!$AE502)</f>
        <v>Jul-2023</v>
      </c>
    </row>
    <row r="503" spans="1:50" ht="17" thickTop="1" thickBot="1" x14ac:dyDescent="0.25">
      <c r="A503" s="22">
        <v>502</v>
      </c>
      <c r="B503" s="23">
        <f t="shared" si="58"/>
        <v>15</v>
      </c>
      <c r="C503" s="41">
        <v>45128</v>
      </c>
      <c r="D503" s="24">
        <f>SUM(Data!$I503:$M503)</f>
        <v>57</v>
      </c>
      <c r="E503" s="23">
        <v>12</v>
      </c>
      <c r="F503" s="23">
        <v>611</v>
      </c>
      <c r="G503" s="23">
        <v>167</v>
      </c>
      <c r="H503" s="23">
        <v>125</v>
      </c>
      <c r="I503" s="23">
        <v>12</v>
      </c>
      <c r="J503" s="23">
        <v>17</v>
      </c>
      <c r="K503" s="23">
        <v>16</v>
      </c>
      <c r="L503" s="23">
        <v>11</v>
      </c>
      <c r="M503" s="23">
        <v>1</v>
      </c>
      <c r="N503" s="23" t="s">
        <v>101</v>
      </c>
      <c r="O503" s="23" t="s">
        <v>184</v>
      </c>
      <c r="P503" s="23" t="s">
        <v>155</v>
      </c>
      <c r="Q503" s="23">
        <f t="shared" si="64"/>
        <v>2</v>
      </c>
      <c r="R503" s="23" t="str">
        <f t="shared" si="59"/>
        <v>7-2023</v>
      </c>
      <c r="S503" s="23" t="s">
        <v>104</v>
      </c>
      <c r="T503" s="23" t="str">
        <f t="shared" si="60"/>
        <v>Friday</v>
      </c>
      <c r="U503" s="23">
        <f t="shared" si="61"/>
        <v>1</v>
      </c>
      <c r="V503" s="25">
        <f>IFERROR(Data!$I503/Data!$D503,"")</f>
        <v>0.21052631578947367</v>
      </c>
      <c r="W503" s="25">
        <f>IFERROR(Data!$J503/Data!$D503,"")</f>
        <v>0.2982456140350877</v>
      </c>
      <c r="X503" s="25">
        <f>IFERROR(Data!$K503/Data!$D503,"")</f>
        <v>0.2807017543859649</v>
      </c>
      <c r="Y503" s="25">
        <f>IFERROR(Data!$L503/Data!$D503,"")</f>
        <v>0.19298245614035087</v>
      </c>
      <c r="Z503" s="25">
        <f>IFERROR(Data!$M503/Data!$D503,"")</f>
        <v>1.7543859649122806E-2</v>
      </c>
      <c r="AA503" s="26">
        <v>232.14</v>
      </c>
      <c r="AB503" s="26">
        <f t="shared" si="65"/>
        <v>15.475999999999999</v>
      </c>
      <c r="AC503" s="23">
        <f t="shared" si="62"/>
        <v>630.86666666666667</v>
      </c>
      <c r="AD503" s="23">
        <f t="shared" si="63"/>
        <v>14.866666666666667</v>
      </c>
      <c r="AE503" s="23">
        <f>YEAR(Data!$C503)</f>
        <v>2023</v>
      </c>
      <c r="AF503" s="23"/>
      <c r="AG503" s="23">
        <v>12</v>
      </c>
      <c r="AH503" s="27">
        <f>Data!$F503/Data!$D503</f>
        <v>10.719298245614034</v>
      </c>
      <c r="AI503" s="17" t="str">
        <f>RIGHT(Data!$O503,2)</f>
        <v>AM</v>
      </c>
      <c r="AJ503" s="23" t="str">
        <f>Data!$R503&amp;"-"&amp;WEEKNUM(Data!$C503,1)-WEEKNUM(DATE(YEAR(Data!$C503),MONTH(Data!$C503),1),1)+1</f>
        <v>7-2023-4</v>
      </c>
      <c r="AK503" s="23">
        <f>MONTH(Data!$C503)</f>
        <v>7</v>
      </c>
      <c r="AL503" s="23">
        <f>IFERROR(Data!$F503/Data!$E503,0)</f>
        <v>50.916666666666664</v>
      </c>
      <c r="AM503" s="23">
        <f>COUNTIF(Data!$N$2:$N$825,Data!$N503)</f>
        <v>191</v>
      </c>
      <c r="AN503" s="23" t="str">
        <f>VLOOKUP(Data!$N503,'Helpful Tables'!A:D,4,FALSE)</f>
        <v>Washington, DC</v>
      </c>
      <c r="AO503" s="23">
        <f>COUNTIF(AN:AN,Data!$AN503)/COUNTA(AN:AN)</f>
        <v>0.62424242424242427</v>
      </c>
      <c r="AP503" s="23">
        <v>38.949649000000001</v>
      </c>
      <c r="AQ503" s="23">
        <v>-77.080878999999996</v>
      </c>
      <c r="AR503" s="23">
        <f>COUNTIF(Data!$P$2:$P$825,Data!$P503)</f>
        <v>13</v>
      </c>
      <c r="AS503" s="23" cm="1">
        <f t="array" ref="AS503">_xlfn.IFS(Data!$E503&lt;12,((Data!$E503/Data!$D503)*60)*1,AND(Data!$E503&gt;=12,Data!$E503&lt;=15),((Data!$E503/Data!$D503)*60)*1.2,AND(Data!$E503&gt;=16,Data!$E503&lt;=19),((Data!$E503/Data!$D503)*60)*1.5,Data!$E503&gt;=20,((Data!$E503/Data!$D503)*60)*1.8)</f>
        <v>15.157894736842104</v>
      </c>
      <c r="AT503" s="23" cm="1">
        <f t="array" ref="AT503">_xlfn.IFS(Data!$F503&lt;600,((Data!$F503/Data!$D503)*60)*1,AND(Data!$F503&gt;=600,Data!$F503&lt;=625),((Data!$F503/Data!$D503)*60)*1.2,AND(Data!$F503&gt;=626,Data!$F503&lt;=650),((Data!$F503/Data!$D503)*60)*1.5,Data!$F503&gt;=651,((Data!$F503/Data!$D503)*60)*1.8)</f>
        <v>771.78947368421052</v>
      </c>
      <c r="AU503" s="23">
        <f>(Data!$I503*-1.2)+(Data!$J503*-1.1)+(Data!$K503*1.2)+(Data!$L503*1.3)+(Data!$M503*1.5)</f>
        <v>1.8999999999999986</v>
      </c>
      <c r="AV503" s="23">
        <f>(Data!$AS503*0.4)+(Data!$AT503*0.4)+(Data!$AU503*0.2)</f>
        <v>315.15894736842108</v>
      </c>
      <c r="AW503" s="35">
        <f>PERCENTRANK(AV:AV,Data!$AV503)*100</f>
        <v>34.200000000000003</v>
      </c>
      <c r="AX503" s="23" t="str">
        <f>_xlfn.CONCAT(TEXT(C503,"mmm"),"-",Data!$AE503)</f>
        <v>Jul-2023</v>
      </c>
    </row>
    <row r="504" spans="1:50" ht="17" thickTop="1" thickBot="1" x14ac:dyDescent="0.25">
      <c r="A504" s="28">
        <v>503</v>
      </c>
      <c r="B504" s="29">
        <f t="shared" si="58"/>
        <v>15</v>
      </c>
      <c r="C504" s="41">
        <v>45131</v>
      </c>
      <c r="D504" s="30">
        <f>SUM(Data!$I504:$M504)</f>
        <v>57</v>
      </c>
      <c r="E504" s="29">
        <v>13</v>
      </c>
      <c r="F504" s="29">
        <v>652</v>
      </c>
      <c r="G504" s="29">
        <v>167</v>
      </c>
      <c r="H504" s="29">
        <v>129</v>
      </c>
      <c r="I504" s="29">
        <v>3</v>
      </c>
      <c r="J504" s="29">
        <v>24</v>
      </c>
      <c r="K504" s="29">
        <v>17</v>
      </c>
      <c r="L504" s="29">
        <v>10</v>
      </c>
      <c r="M504" s="29">
        <v>3</v>
      </c>
      <c r="N504" s="29" t="s">
        <v>91</v>
      </c>
      <c r="O504" s="29" t="s">
        <v>57</v>
      </c>
      <c r="P504" s="29" t="s">
        <v>185</v>
      </c>
      <c r="Q504" s="29">
        <f t="shared" si="64"/>
        <v>3</v>
      </c>
      <c r="R504" s="29" t="str">
        <f t="shared" si="59"/>
        <v>7-2023</v>
      </c>
      <c r="S504" s="29" t="s">
        <v>104</v>
      </c>
      <c r="T504" s="29" t="str">
        <f t="shared" si="60"/>
        <v>Monday</v>
      </c>
      <c r="U504" s="29">
        <f t="shared" si="61"/>
        <v>1</v>
      </c>
      <c r="V504" s="31">
        <f>IFERROR(Data!$I504/Data!$D504,"")</f>
        <v>5.2631578947368418E-2</v>
      </c>
      <c r="W504" s="31">
        <f>IFERROR(Data!$J504/Data!$D504,"")</f>
        <v>0.42105263157894735</v>
      </c>
      <c r="X504" s="31">
        <f>IFERROR(Data!$K504/Data!$D504,"")</f>
        <v>0.2982456140350877</v>
      </c>
      <c r="Y504" s="31">
        <f>IFERROR(Data!$L504/Data!$D504,"")</f>
        <v>0.17543859649122806</v>
      </c>
      <c r="Z504" s="31">
        <f>IFERROR(Data!$M504/Data!$D504,"")</f>
        <v>5.2631578947368418E-2</v>
      </c>
      <c r="AA504" s="32">
        <v>232.14</v>
      </c>
      <c r="AB504" s="32">
        <f t="shared" si="65"/>
        <v>15.475999999999999</v>
      </c>
      <c r="AC504" s="29">
        <f t="shared" si="62"/>
        <v>630.86666666666667</v>
      </c>
      <c r="AD504" s="29">
        <f t="shared" si="63"/>
        <v>14.866666666666667</v>
      </c>
      <c r="AE504" s="29">
        <f>YEAR(Data!$C504)</f>
        <v>2023</v>
      </c>
      <c r="AF504" s="29"/>
      <c r="AG504" s="29">
        <v>12</v>
      </c>
      <c r="AH504" s="33">
        <f>Data!$F504/Data!$D504</f>
        <v>11.43859649122807</v>
      </c>
      <c r="AI504" s="17" t="str">
        <f>RIGHT(Data!$O504,2)</f>
        <v>PM</v>
      </c>
      <c r="AJ504" s="29" t="str">
        <f>Data!$R504&amp;"-"&amp;WEEKNUM(Data!$C504,1)-WEEKNUM(DATE(YEAR(Data!$C504),MONTH(Data!$C504),1),1)+1</f>
        <v>7-2023-5</v>
      </c>
      <c r="AK504" s="29">
        <f>MONTH(Data!$C504)</f>
        <v>7</v>
      </c>
      <c r="AL504" s="29">
        <f>IFERROR(Data!$F504/Data!$E504,0)</f>
        <v>50.153846153846153</v>
      </c>
      <c r="AM504" s="29">
        <f>COUNTIF(Data!$N$2:$N$825,Data!$N504)</f>
        <v>218</v>
      </c>
      <c r="AN504" s="29" t="str">
        <f>VLOOKUP(Data!$N504,'Helpful Tables'!A:D,4,FALSE)</f>
        <v>Washington, DC</v>
      </c>
      <c r="AO504" s="29">
        <f>COUNTIF(AN:AN,Data!$AN504)/COUNTA(AN:AN)</f>
        <v>0.62424242424242427</v>
      </c>
      <c r="AP504" s="29">
        <v>38.934710000000003</v>
      </c>
      <c r="AQ504" s="29">
        <v>-77.058222999999998</v>
      </c>
      <c r="AR504" s="29">
        <f>COUNTIF(Data!$P$2:$P$825,Data!$P504)</f>
        <v>3</v>
      </c>
      <c r="AS504" s="29" cm="1">
        <f t="array" ref="AS504">_xlfn.IFS(Data!$E504&lt;12,((Data!$E504/Data!$D504)*60)*1,AND(Data!$E504&gt;=12,Data!$E504&lt;=15),((Data!$E504/Data!$D504)*60)*1.2,AND(Data!$E504&gt;=16,Data!$E504&lt;=19),((Data!$E504/Data!$D504)*60)*1.5,Data!$E504&gt;=20,((Data!$E504/Data!$D504)*60)*1.8)</f>
        <v>16.421052631578945</v>
      </c>
      <c r="AT504" s="29" cm="1">
        <f t="array" ref="AT504">_xlfn.IFS(Data!$F504&lt;600,((Data!$F504/Data!$D504)*60)*1,AND(Data!$F504&gt;=600,Data!$F504&lt;=625),((Data!$F504/Data!$D504)*60)*1.2,AND(Data!$F504&gt;=626,Data!$F504&lt;=650),((Data!$F504/Data!$D504)*60)*1.5,Data!$F504&gt;=651,((Data!$F504/Data!$D504)*60)*1.8)</f>
        <v>1235.3684210526314</v>
      </c>
      <c r="AU504" s="29">
        <f>(Data!$I504*-1.2)+(Data!$J504*-1.1)+(Data!$K504*1.2)+(Data!$L504*1.3)+(Data!$M504*1.5)</f>
        <v>7.8999999999999986</v>
      </c>
      <c r="AV504" s="29">
        <f>(Data!$AS504*0.4)+(Data!$AT504*0.4)+(Data!$AU504*0.2)</f>
        <v>502.29578947368412</v>
      </c>
      <c r="AW504" s="34">
        <f>PERCENTRANK(AV:AV,Data!$AV504)*100</f>
        <v>79.400000000000006</v>
      </c>
      <c r="AX504" s="29" t="str">
        <f>_xlfn.CONCAT(TEXT(C504,"mmm"),"-",Data!$AE504)</f>
        <v>Jul-2023</v>
      </c>
    </row>
    <row r="505" spans="1:50" ht="17" thickTop="1" thickBot="1" x14ac:dyDescent="0.25">
      <c r="A505" s="22">
        <v>504</v>
      </c>
      <c r="B505" s="23">
        <f t="shared" si="58"/>
        <v>15</v>
      </c>
      <c r="C505" s="41">
        <v>45132</v>
      </c>
      <c r="D505" s="24">
        <f>SUM(Data!$I505:$M505)</f>
        <v>62</v>
      </c>
      <c r="E505" s="23">
        <v>12</v>
      </c>
      <c r="F505" s="23">
        <v>659</v>
      </c>
      <c r="G505" s="23">
        <v>166</v>
      </c>
      <c r="H505" s="23">
        <v>125</v>
      </c>
      <c r="I505" s="23">
        <v>13</v>
      </c>
      <c r="J505" s="23">
        <v>21</v>
      </c>
      <c r="K505" s="23">
        <v>16</v>
      </c>
      <c r="L505" s="23">
        <v>11</v>
      </c>
      <c r="M505" s="23">
        <v>1</v>
      </c>
      <c r="N505" s="23" t="s">
        <v>101</v>
      </c>
      <c r="O505" s="23" t="s">
        <v>173</v>
      </c>
      <c r="P505" s="23" t="s">
        <v>109</v>
      </c>
      <c r="Q505" s="23">
        <f t="shared" si="64"/>
        <v>1</v>
      </c>
      <c r="R505" s="23" t="str">
        <f t="shared" si="59"/>
        <v>7-2023</v>
      </c>
      <c r="S505" s="23" t="s">
        <v>145</v>
      </c>
      <c r="T505" s="23" t="str">
        <f t="shared" si="60"/>
        <v>Tuesday</v>
      </c>
      <c r="U505" s="23">
        <f t="shared" si="61"/>
        <v>1</v>
      </c>
      <c r="V505" s="25">
        <f>IFERROR(Data!$I505/Data!$D505,"")</f>
        <v>0.20967741935483872</v>
      </c>
      <c r="W505" s="25">
        <f>IFERROR(Data!$J505/Data!$D505,"")</f>
        <v>0.33870967741935482</v>
      </c>
      <c r="X505" s="25">
        <f>IFERROR(Data!$K505/Data!$D505,"")</f>
        <v>0.25806451612903225</v>
      </c>
      <c r="Y505" s="25">
        <f>IFERROR(Data!$L505/Data!$D505,"")</f>
        <v>0.17741935483870969</v>
      </c>
      <c r="Z505" s="25">
        <f>IFERROR(Data!$M505/Data!$D505,"")</f>
        <v>1.6129032258064516E-2</v>
      </c>
      <c r="AA505" s="26">
        <v>232.14</v>
      </c>
      <c r="AB505" s="26">
        <f t="shared" si="65"/>
        <v>15.475999999999999</v>
      </c>
      <c r="AC505" s="23">
        <f t="shared" si="62"/>
        <v>630.86666666666667</v>
      </c>
      <c r="AD505" s="23">
        <f t="shared" si="63"/>
        <v>14.866666666666667</v>
      </c>
      <c r="AE505" s="23">
        <f>YEAR(Data!$C505)</f>
        <v>2023</v>
      </c>
      <c r="AF505" s="23"/>
      <c r="AG505" s="23">
        <v>12</v>
      </c>
      <c r="AH505" s="27">
        <f>Data!$F505/Data!$D505</f>
        <v>10.629032258064516</v>
      </c>
      <c r="AI505" s="17" t="str">
        <f>RIGHT(Data!$O505,2)</f>
        <v>PM</v>
      </c>
      <c r="AJ505" s="23" t="str">
        <f>Data!$R505&amp;"-"&amp;WEEKNUM(Data!$C505,1)-WEEKNUM(DATE(YEAR(Data!$C505),MONTH(Data!$C505),1),1)+1</f>
        <v>7-2023-5</v>
      </c>
      <c r="AK505" s="23">
        <f>MONTH(Data!$C505)</f>
        <v>7</v>
      </c>
      <c r="AL505" s="23">
        <f>IFERROR(Data!$F505/Data!$E505,0)</f>
        <v>54.916666666666664</v>
      </c>
      <c r="AM505" s="23">
        <f>COUNTIF(Data!$N$2:$N$825,Data!$N505)</f>
        <v>191</v>
      </c>
      <c r="AN505" s="23" t="str">
        <f>VLOOKUP(Data!$N505,'Helpful Tables'!A:D,4,FALSE)</f>
        <v>Washington, DC</v>
      </c>
      <c r="AO505" s="23">
        <f>COUNTIF(AN:AN,Data!$AN505)/COUNTA(AN:AN)</f>
        <v>0.62424242424242427</v>
      </c>
      <c r="AP505" s="23">
        <v>38.949649000000001</v>
      </c>
      <c r="AQ505" s="23">
        <v>-77.080878999999996</v>
      </c>
      <c r="AR505" s="23">
        <f>COUNTIF(Data!$P$2:$P$825,Data!$P505)</f>
        <v>66</v>
      </c>
      <c r="AS505" s="23" cm="1">
        <f t="array" ref="AS505">_xlfn.IFS(Data!$E505&lt;12,((Data!$E505/Data!$D505)*60)*1,AND(Data!$E505&gt;=12,Data!$E505&lt;=15),((Data!$E505/Data!$D505)*60)*1.2,AND(Data!$E505&gt;=16,Data!$E505&lt;=19),((Data!$E505/Data!$D505)*60)*1.5,Data!$E505&gt;=20,((Data!$E505/Data!$D505)*60)*1.8)</f>
        <v>13.935483870967742</v>
      </c>
      <c r="AT505" s="23" cm="1">
        <f t="array" ref="AT505">_xlfn.IFS(Data!$F505&lt;600,((Data!$F505/Data!$D505)*60)*1,AND(Data!$F505&gt;=600,Data!$F505&lt;=625),((Data!$F505/Data!$D505)*60)*1.2,AND(Data!$F505&gt;=626,Data!$F505&lt;=650),((Data!$F505/Data!$D505)*60)*1.5,Data!$F505&gt;=651,((Data!$F505/Data!$D505)*60)*1.8)</f>
        <v>1147.9354838709678</v>
      </c>
      <c r="AU505" s="23">
        <f>(Data!$I505*-1.2)+(Data!$J505*-1.1)+(Data!$K505*1.2)+(Data!$L505*1.3)+(Data!$M505*1.5)</f>
        <v>-3.7000000000000028</v>
      </c>
      <c r="AV505" s="23">
        <f>(Data!$AS505*0.4)+(Data!$AT505*0.4)+(Data!$AU505*0.2)</f>
        <v>464.00838709677424</v>
      </c>
      <c r="AW505" s="35">
        <f>PERCENTRANK(AV:AV,Data!$AV505)*100</f>
        <v>66.100000000000009</v>
      </c>
      <c r="AX505" s="23" t="str">
        <f>_xlfn.CONCAT(TEXT(C505,"mmm"),"-",Data!$AE505)</f>
        <v>Jul-2023</v>
      </c>
    </row>
    <row r="506" spans="1:50" ht="17" thickTop="1" thickBot="1" x14ac:dyDescent="0.25">
      <c r="A506" s="28">
        <v>505</v>
      </c>
      <c r="B506" s="29">
        <f t="shared" si="58"/>
        <v>15</v>
      </c>
      <c r="C506" s="41">
        <v>45135</v>
      </c>
      <c r="D506" s="30">
        <f>SUM(Data!$I506:$M506)</f>
        <v>56</v>
      </c>
      <c r="E506" s="29">
        <v>19</v>
      </c>
      <c r="F506" s="29">
        <v>655</v>
      </c>
      <c r="G506" s="29">
        <v>169</v>
      </c>
      <c r="H506" s="29">
        <v>130</v>
      </c>
      <c r="I506" s="29">
        <v>9</v>
      </c>
      <c r="J506" s="29">
        <v>19</v>
      </c>
      <c r="K506" s="29">
        <v>9</v>
      </c>
      <c r="L506" s="29">
        <v>16</v>
      </c>
      <c r="M506" s="29">
        <v>3</v>
      </c>
      <c r="N506" s="29" t="s">
        <v>91</v>
      </c>
      <c r="O506" s="29" t="s">
        <v>26</v>
      </c>
      <c r="P506" s="29" t="s">
        <v>98</v>
      </c>
      <c r="Q506" s="29">
        <f t="shared" si="64"/>
        <v>3</v>
      </c>
      <c r="R506" s="29" t="str">
        <f t="shared" si="59"/>
        <v>7-2023</v>
      </c>
      <c r="S506" s="29" t="s">
        <v>104</v>
      </c>
      <c r="T506" s="29" t="str">
        <f t="shared" si="60"/>
        <v>Friday</v>
      </c>
      <c r="U506" s="29">
        <f t="shared" si="61"/>
        <v>1</v>
      </c>
      <c r="V506" s="31">
        <f>IFERROR(Data!$I506/Data!$D506,"")</f>
        <v>0.16071428571428573</v>
      </c>
      <c r="W506" s="31">
        <f>IFERROR(Data!$J506/Data!$D506,"")</f>
        <v>0.3392857142857143</v>
      </c>
      <c r="X506" s="31">
        <f>IFERROR(Data!$K506/Data!$D506,"")</f>
        <v>0.16071428571428573</v>
      </c>
      <c r="Y506" s="31">
        <f>IFERROR(Data!$L506/Data!$D506,"")</f>
        <v>0.2857142857142857</v>
      </c>
      <c r="Z506" s="31">
        <f>IFERROR(Data!$M506/Data!$D506,"")</f>
        <v>5.3571428571428568E-2</v>
      </c>
      <c r="AA506" s="32">
        <v>232.14</v>
      </c>
      <c r="AB506" s="32">
        <f t="shared" si="65"/>
        <v>15.475999999999999</v>
      </c>
      <c r="AC506" s="29">
        <f t="shared" si="62"/>
        <v>630.86666666666667</v>
      </c>
      <c r="AD506" s="29">
        <f t="shared" si="63"/>
        <v>14.866666666666667</v>
      </c>
      <c r="AE506" s="29">
        <f>YEAR(Data!$C506)</f>
        <v>2023</v>
      </c>
      <c r="AF506" s="29"/>
      <c r="AG506" s="29">
        <v>12</v>
      </c>
      <c r="AH506" s="33">
        <f>Data!$F506/Data!$D506</f>
        <v>11.696428571428571</v>
      </c>
      <c r="AI506" s="17" t="str">
        <f>RIGHT(Data!$O506,2)</f>
        <v>PM</v>
      </c>
      <c r="AJ506" s="29" t="str">
        <f>Data!$R506&amp;"-"&amp;WEEKNUM(Data!$C506,1)-WEEKNUM(DATE(YEAR(Data!$C506),MONTH(Data!$C506),1),1)+1</f>
        <v>7-2023-5</v>
      </c>
      <c r="AK506" s="29">
        <f>MONTH(Data!$C506)</f>
        <v>7</v>
      </c>
      <c r="AL506" s="29">
        <f>IFERROR(Data!$F506/Data!$E506,0)</f>
        <v>34.473684210526315</v>
      </c>
      <c r="AM506" s="29">
        <f>COUNTIF(Data!$N$2:$N$825,Data!$N506)</f>
        <v>218</v>
      </c>
      <c r="AN506" s="29" t="str">
        <f>VLOOKUP(Data!$N506,'Helpful Tables'!A:D,4,FALSE)</f>
        <v>Washington, DC</v>
      </c>
      <c r="AO506" s="29">
        <f>COUNTIF(AN:AN,Data!$AN506)/COUNTA(AN:AN)</f>
        <v>0.62424242424242427</v>
      </c>
      <c r="AP506" s="29">
        <v>38.934710000000003</v>
      </c>
      <c r="AQ506" s="29">
        <v>-77.058222999999998</v>
      </c>
      <c r="AR506" s="29">
        <f>COUNTIF(Data!$P$2:$P$825,Data!$P506)</f>
        <v>28</v>
      </c>
      <c r="AS506" s="29" cm="1">
        <f t="array" ref="AS506">_xlfn.IFS(Data!$E506&lt;12,((Data!$E506/Data!$D506)*60)*1,AND(Data!$E506&gt;=12,Data!$E506&lt;=15),((Data!$E506/Data!$D506)*60)*1.2,AND(Data!$E506&gt;=16,Data!$E506&lt;=19),((Data!$E506/Data!$D506)*60)*1.5,Data!$E506&gt;=20,((Data!$E506/Data!$D506)*60)*1.8)</f>
        <v>30.535714285714285</v>
      </c>
      <c r="AT506" s="29" cm="1">
        <f t="array" ref="AT506">_xlfn.IFS(Data!$F506&lt;600,((Data!$F506/Data!$D506)*60)*1,AND(Data!$F506&gt;=600,Data!$F506&lt;=625),((Data!$F506/Data!$D506)*60)*1.2,AND(Data!$F506&gt;=626,Data!$F506&lt;=650),((Data!$F506/Data!$D506)*60)*1.5,Data!$F506&gt;=651,((Data!$F506/Data!$D506)*60)*1.8)</f>
        <v>1263.2142857142856</v>
      </c>
      <c r="AU506" s="29">
        <f>(Data!$I506*-1.2)+(Data!$J506*-1.1)+(Data!$K506*1.2)+(Data!$L506*1.3)+(Data!$M506*1.5)</f>
        <v>4.399999999999995</v>
      </c>
      <c r="AV506" s="29">
        <f>(Data!$AS506*0.4)+(Data!$AT506*0.4)+(Data!$AU506*0.2)</f>
        <v>518.37999999999988</v>
      </c>
      <c r="AW506" s="34">
        <f>PERCENTRANK(AV:AV,Data!$AV506)*100</f>
        <v>88.5</v>
      </c>
      <c r="AX506" s="29" t="str">
        <f>_xlfn.CONCAT(TEXT(C506,"mmm"),"-",Data!$AE506)</f>
        <v>Jul-2023</v>
      </c>
    </row>
    <row r="507" spans="1:50" ht="17" thickTop="1" thickBot="1" x14ac:dyDescent="0.25">
      <c r="A507" s="22">
        <v>506</v>
      </c>
      <c r="B507" s="23">
        <f t="shared" si="58"/>
        <v>15</v>
      </c>
      <c r="C507" s="41">
        <v>45136</v>
      </c>
      <c r="D507" s="24">
        <f>SUM(Data!$I507:$M507)</f>
        <v>59</v>
      </c>
      <c r="E507" s="23">
        <v>15</v>
      </c>
      <c r="F507" s="23">
        <v>640</v>
      </c>
      <c r="G507" s="23">
        <v>161</v>
      </c>
      <c r="H507" s="23">
        <v>126</v>
      </c>
      <c r="I507" s="23">
        <v>13</v>
      </c>
      <c r="J507" s="23">
        <v>17</v>
      </c>
      <c r="K507" s="23">
        <v>14</v>
      </c>
      <c r="L507" s="23">
        <v>15</v>
      </c>
      <c r="M507" s="23">
        <v>0</v>
      </c>
      <c r="N507" s="23" t="s">
        <v>101</v>
      </c>
      <c r="O507" s="23" t="s">
        <v>178</v>
      </c>
      <c r="P507" s="23" t="s">
        <v>133</v>
      </c>
      <c r="Q507" s="23">
        <f t="shared" si="64"/>
        <v>1</v>
      </c>
      <c r="R507" s="23" t="str">
        <f t="shared" si="59"/>
        <v>7-2023</v>
      </c>
      <c r="S507" s="23" t="s">
        <v>104</v>
      </c>
      <c r="T507" s="23" t="str">
        <f t="shared" si="60"/>
        <v>Saturday</v>
      </c>
      <c r="U507" s="23">
        <f t="shared" si="61"/>
        <v>1</v>
      </c>
      <c r="V507" s="25">
        <f>IFERROR(Data!$I507/Data!$D507,"")</f>
        <v>0.22033898305084745</v>
      </c>
      <c r="W507" s="25">
        <f>IFERROR(Data!$J507/Data!$D507,"")</f>
        <v>0.28813559322033899</v>
      </c>
      <c r="X507" s="25">
        <f>IFERROR(Data!$K507/Data!$D507,"")</f>
        <v>0.23728813559322035</v>
      </c>
      <c r="Y507" s="25">
        <f>IFERROR(Data!$L507/Data!$D507,"")</f>
        <v>0.25423728813559321</v>
      </c>
      <c r="Z507" s="25">
        <f>IFERROR(Data!$M507/Data!$D507,"")</f>
        <v>0</v>
      </c>
      <c r="AA507" s="26">
        <v>232.14</v>
      </c>
      <c r="AB507" s="26">
        <f t="shared" si="65"/>
        <v>15.475999999999999</v>
      </c>
      <c r="AC507" s="23">
        <f t="shared" si="62"/>
        <v>630.86666666666667</v>
      </c>
      <c r="AD507" s="23">
        <f t="shared" si="63"/>
        <v>14.866666666666667</v>
      </c>
      <c r="AE507" s="23">
        <f>YEAR(Data!$C507)</f>
        <v>2023</v>
      </c>
      <c r="AF507" s="23"/>
      <c r="AG507" s="23">
        <v>12</v>
      </c>
      <c r="AH507" s="27">
        <f>Data!$F507/Data!$D507</f>
        <v>10.847457627118644</v>
      </c>
      <c r="AI507" s="17" t="str">
        <f>RIGHT(Data!$O507,2)</f>
        <v>AM</v>
      </c>
      <c r="AJ507" s="23" t="str">
        <f>Data!$R507&amp;"-"&amp;WEEKNUM(Data!$C507,1)-WEEKNUM(DATE(YEAR(Data!$C507),MONTH(Data!$C507),1),1)+1</f>
        <v>7-2023-5</v>
      </c>
      <c r="AK507" s="23">
        <f>MONTH(Data!$C507)</f>
        <v>7</v>
      </c>
      <c r="AL507" s="23">
        <f>IFERROR(Data!$F507/Data!$E507,0)</f>
        <v>42.666666666666664</v>
      </c>
      <c r="AM507" s="23">
        <f>COUNTIF(Data!$N$2:$N$825,Data!$N507)</f>
        <v>191</v>
      </c>
      <c r="AN507" s="23" t="str">
        <f>VLOOKUP(Data!$N507,'Helpful Tables'!A:D,4,FALSE)</f>
        <v>Washington, DC</v>
      </c>
      <c r="AO507" s="23">
        <f>COUNTIF(AN:AN,Data!$AN507)/COUNTA(AN:AN)</f>
        <v>0.62424242424242427</v>
      </c>
      <c r="AP507" s="23">
        <v>38.949649000000001</v>
      </c>
      <c r="AQ507" s="23">
        <v>-77.080878999999996</v>
      </c>
      <c r="AR507" s="23">
        <f>COUNTIF(Data!$P$2:$P$825,Data!$P507)</f>
        <v>25</v>
      </c>
      <c r="AS507" s="23" cm="1">
        <f t="array" ref="AS507">_xlfn.IFS(Data!$E507&lt;12,((Data!$E507/Data!$D507)*60)*1,AND(Data!$E507&gt;=12,Data!$E507&lt;=15),((Data!$E507/Data!$D507)*60)*1.2,AND(Data!$E507&gt;=16,Data!$E507&lt;=19),((Data!$E507/Data!$D507)*60)*1.5,Data!$E507&gt;=20,((Data!$E507/Data!$D507)*60)*1.8)</f>
        <v>18.305084745762709</v>
      </c>
      <c r="AT507" s="23" cm="1">
        <f t="array" ref="AT507">_xlfn.IFS(Data!$F507&lt;600,((Data!$F507/Data!$D507)*60)*1,AND(Data!$F507&gt;=600,Data!$F507&lt;=625),((Data!$F507/Data!$D507)*60)*1.2,AND(Data!$F507&gt;=626,Data!$F507&lt;=650),((Data!$F507/Data!$D507)*60)*1.5,Data!$F507&gt;=651,((Data!$F507/Data!$D507)*60)*1.8)</f>
        <v>976.27118644067787</v>
      </c>
      <c r="AU507" s="23">
        <f>(Data!$I507*-1.2)+(Data!$J507*-1.1)+(Data!$K507*1.2)+(Data!$L507*1.3)+(Data!$M507*1.5)</f>
        <v>1.9999999999999964</v>
      </c>
      <c r="AV507" s="23">
        <f>(Data!$AS507*0.4)+(Data!$AT507*0.4)+(Data!$AU507*0.2)</f>
        <v>398.23050847457625</v>
      </c>
      <c r="AW507" s="35">
        <f>PERCENTRANK(AV:AV,Data!$AV507)*100</f>
        <v>51.300000000000004</v>
      </c>
      <c r="AX507" s="23" t="str">
        <f>_xlfn.CONCAT(TEXT(C507,"mmm"),"-",Data!$AE507)</f>
        <v>Jul-2023</v>
      </c>
    </row>
    <row r="508" spans="1:50" ht="17" thickTop="1" thickBot="1" x14ac:dyDescent="0.25">
      <c r="A508" s="28">
        <v>507</v>
      </c>
      <c r="B508" s="29">
        <f t="shared" si="58"/>
        <v>15</v>
      </c>
      <c r="C508" s="41">
        <v>45138</v>
      </c>
      <c r="D508" s="30">
        <f>SUM(Data!$I508:$M508)</f>
        <v>57</v>
      </c>
      <c r="E508" s="29">
        <v>15</v>
      </c>
      <c r="F508" s="29">
        <v>589</v>
      </c>
      <c r="G508" s="29">
        <v>167</v>
      </c>
      <c r="H508" s="29">
        <v>123</v>
      </c>
      <c r="I508" s="29">
        <v>17</v>
      </c>
      <c r="J508" s="29">
        <v>16</v>
      </c>
      <c r="K508" s="29">
        <v>9</v>
      </c>
      <c r="L508" s="29">
        <v>12</v>
      </c>
      <c r="M508" s="29">
        <v>3</v>
      </c>
      <c r="N508" s="29" t="s">
        <v>101</v>
      </c>
      <c r="O508" s="29" t="s">
        <v>173</v>
      </c>
      <c r="P508" s="29" t="s">
        <v>146</v>
      </c>
      <c r="Q508" s="29">
        <f t="shared" si="64"/>
        <v>2</v>
      </c>
      <c r="R508" s="29" t="str">
        <f t="shared" si="59"/>
        <v>7-2023</v>
      </c>
      <c r="S508" s="29" t="s">
        <v>104</v>
      </c>
      <c r="T508" s="29" t="str">
        <f t="shared" si="60"/>
        <v>Monday</v>
      </c>
      <c r="U508" s="29">
        <f t="shared" si="61"/>
        <v>1</v>
      </c>
      <c r="V508" s="31">
        <f>IFERROR(Data!$I508/Data!$D508,"")</f>
        <v>0.2982456140350877</v>
      </c>
      <c r="W508" s="31">
        <f>IFERROR(Data!$J508/Data!$D508,"")</f>
        <v>0.2807017543859649</v>
      </c>
      <c r="X508" s="31">
        <f>IFERROR(Data!$K508/Data!$D508,"")</f>
        <v>0.15789473684210525</v>
      </c>
      <c r="Y508" s="31">
        <f>IFERROR(Data!$L508/Data!$D508,"")</f>
        <v>0.21052631578947367</v>
      </c>
      <c r="Z508" s="31">
        <f>IFERROR(Data!$M508/Data!$D508,"")</f>
        <v>5.2631578947368418E-2</v>
      </c>
      <c r="AA508" s="32">
        <v>232.14</v>
      </c>
      <c r="AB508" s="32">
        <f t="shared" si="65"/>
        <v>15.475999999999999</v>
      </c>
      <c r="AC508" s="29">
        <f t="shared" si="62"/>
        <v>630.86666666666667</v>
      </c>
      <c r="AD508" s="29">
        <f t="shared" si="63"/>
        <v>14.866666666666667</v>
      </c>
      <c r="AE508" s="29">
        <f>YEAR(Data!$C508)</f>
        <v>2023</v>
      </c>
      <c r="AF508" s="29"/>
      <c r="AG508" s="29">
        <v>12</v>
      </c>
      <c r="AH508" s="33">
        <f>Data!$F508/Data!$D508</f>
        <v>10.333333333333334</v>
      </c>
      <c r="AI508" s="17" t="str">
        <f>RIGHT(Data!$O508,2)</f>
        <v>PM</v>
      </c>
      <c r="AJ508" s="29" t="str">
        <f>Data!$R508&amp;"-"&amp;WEEKNUM(Data!$C508,1)-WEEKNUM(DATE(YEAR(Data!$C508),MONTH(Data!$C508),1),1)+1</f>
        <v>7-2023-6</v>
      </c>
      <c r="AK508" s="29">
        <f>MONTH(Data!$C508)</f>
        <v>7</v>
      </c>
      <c r="AL508" s="29">
        <f>IFERROR(Data!$F508/Data!$E508,0)</f>
        <v>39.266666666666666</v>
      </c>
      <c r="AM508" s="29">
        <f>COUNTIF(Data!$N$2:$N$825,Data!$N508)</f>
        <v>191</v>
      </c>
      <c r="AN508" s="29" t="str">
        <f>VLOOKUP(Data!$N508,'Helpful Tables'!A:D,4,FALSE)</f>
        <v>Washington, DC</v>
      </c>
      <c r="AO508" s="29">
        <f>COUNTIF(AN:AN,Data!$AN508)/COUNTA(AN:AN)</f>
        <v>0.62424242424242427</v>
      </c>
      <c r="AP508" s="29">
        <v>38.949649000000001</v>
      </c>
      <c r="AQ508" s="29">
        <v>-77.080878999999996</v>
      </c>
      <c r="AR508" s="29">
        <f>COUNTIF(Data!$P$2:$P$825,Data!$P508)</f>
        <v>3</v>
      </c>
      <c r="AS508" s="29" cm="1">
        <f t="array" ref="AS508">_xlfn.IFS(Data!$E508&lt;12,((Data!$E508/Data!$D508)*60)*1,AND(Data!$E508&gt;=12,Data!$E508&lt;=15),((Data!$E508/Data!$D508)*60)*1.2,AND(Data!$E508&gt;=16,Data!$E508&lt;=19),((Data!$E508/Data!$D508)*60)*1.5,Data!$E508&gt;=20,((Data!$E508/Data!$D508)*60)*1.8)</f>
        <v>18.94736842105263</v>
      </c>
      <c r="AT508" s="29" cm="1">
        <f t="array" ref="AT508">_xlfn.IFS(Data!$F508&lt;600,((Data!$F508/Data!$D508)*60)*1,AND(Data!$F508&gt;=600,Data!$F508&lt;=625),((Data!$F508/Data!$D508)*60)*1.2,AND(Data!$F508&gt;=626,Data!$F508&lt;=650),((Data!$F508/Data!$D508)*60)*1.5,Data!$F508&gt;=651,((Data!$F508/Data!$D508)*60)*1.8)</f>
        <v>620</v>
      </c>
      <c r="AU508" s="29">
        <f>(Data!$I508*-1.2)+(Data!$J508*-1.1)+(Data!$K508*1.2)+(Data!$L508*1.3)+(Data!$M508*1.5)</f>
        <v>-7.1000000000000014</v>
      </c>
      <c r="AV508" s="29">
        <f>(Data!$AS508*0.4)+(Data!$AT508*0.4)+(Data!$AU508*0.2)</f>
        <v>254.15894736842105</v>
      </c>
      <c r="AW508" s="34">
        <f>PERCENTRANK(AV:AV,Data!$AV508)*100</f>
        <v>18.8</v>
      </c>
      <c r="AX508" s="29" t="str">
        <f>_xlfn.CONCAT(TEXT(C508,"mmm"),"-",Data!$AE508)</f>
        <v>Jul-2023</v>
      </c>
    </row>
    <row r="509" spans="1:50" ht="17" thickTop="1" thickBot="1" x14ac:dyDescent="0.25">
      <c r="A509" s="22">
        <v>508</v>
      </c>
      <c r="B509" s="23">
        <f t="shared" si="58"/>
        <v>10</v>
      </c>
      <c r="C509" s="41">
        <v>45140</v>
      </c>
      <c r="D509" s="24">
        <f>SUM(Data!$I509:$M509)</f>
        <v>59</v>
      </c>
      <c r="E509" s="23">
        <v>16</v>
      </c>
      <c r="F509" s="23">
        <v>704</v>
      </c>
      <c r="G509" s="23">
        <v>167</v>
      </c>
      <c r="H509" s="23">
        <v>132</v>
      </c>
      <c r="I509" s="23">
        <v>4</v>
      </c>
      <c r="J509" s="23">
        <v>12</v>
      </c>
      <c r="K509" s="23">
        <v>27</v>
      </c>
      <c r="L509" s="23">
        <v>15</v>
      </c>
      <c r="M509" s="23">
        <v>1</v>
      </c>
      <c r="N509" s="23" t="s">
        <v>91</v>
      </c>
      <c r="O509" s="23" t="s">
        <v>57</v>
      </c>
      <c r="P509" s="23" t="s">
        <v>96</v>
      </c>
      <c r="Q509" s="23">
        <f t="shared" si="64"/>
        <v>2</v>
      </c>
      <c r="R509" s="23" t="str">
        <f t="shared" si="59"/>
        <v>8-2023</v>
      </c>
      <c r="S509" s="23" t="s">
        <v>104</v>
      </c>
      <c r="T509" s="23" t="str">
        <f t="shared" si="60"/>
        <v>Wednesday</v>
      </c>
      <c r="U509" s="23">
        <f t="shared" si="61"/>
        <v>1</v>
      </c>
      <c r="V509" s="25">
        <f>IFERROR(Data!$I509/Data!$D509,"")</f>
        <v>6.7796610169491525E-2</v>
      </c>
      <c r="W509" s="25">
        <f>IFERROR(Data!$J509/Data!$D509,"")</f>
        <v>0.20338983050847459</v>
      </c>
      <c r="X509" s="25">
        <f>IFERROR(Data!$K509/Data!$D509,"")</f>
        <v>0.4576271186440678</v>
      </c>
      <c r="Y509" s="25">
        <f>IFERROR(Data!$L509/Data!$D509,"")</f>
        <v>0.25423728813559321</v>
      </c>
      <c r="Z509" s="25">
        <f>IFERROR(Data!$M509/Data!$D509,"")</f>
        <v>1.6949152542372881E-2</v>
      </c>
      <c r="AA509" s="26">
        <v>232.14</v>
      </c>
      <c r="AB509" s="26">
        <f t="shared" si="65"/>
        <v>23.213999999999999</v>
      </c>
      <c r="AC509" s="23">
        <f t="shared" si="62"/>
        <v>660.7</v>
      </c>
      <c r="AD509" s="23">
        <f t="shared" si="63"/>
        <v>16.399999999999999</v>
      </c>
      <c r="AE509" s="23">
        <f>YEAR(Data!$C509)</f>
        <v>2023</v>
      </c>
      <c r="AF509" s="23"/>
      <c r="AG509" s="23">
        <v>12</v>
      </c>
      <c r="AH509" s="27">
        <f>Data!$F509/Data!$D509</f>
        <v>11.932203389830509</v>
      </c>
      <c r="AI509" s="17" t="str">
        <f>RIGHT(Data!$O509,2)</f>
        <v>PM</v>
      </c>
      <c r="AJ509" s="23" t="str">
        <f>Data!$R509&amp;"-"&amp;WEEKNUM(Data!$C509,1)-WEEKNUM(DATE(YEAR(Data!$C509),MONTH(Data!$C509),1),1)+1</f>
        <v>8-2023-1</v>
      </c>
      <c r="AK509" s="23">
        <f>MONTH(Data!$C509)</f>
        <v>8</v>
      </c>
      <c r="AL509" s="23">
        <f>IFERROR(Data!$F509/Data!$E509,0)</f>
        <v>44</v>
      </c>
      <c r="AM509" s="23">
        <f>COUNTIF(Data!$N$2:$N$825,Data!$N509)</f>
        <v>218</v>
      </c>
      <c r="AN509" s="23" t="str">
        <f>VLOOKUP(Data!$N509,'Helpful Tables'!A:D,4,FALSE)</f>
        <v>Washington, DC</v>
      </c>
      <c r="AO509" s="23">
        <f>COUNTIF(AN:AN,Data!$AN509)/COUNTA(AN:AN)</f>
        <v>0.62424242424242427</v>
      </c>
      <c r="AP509" s="23">
        <v>38.934710000000003</v>
      </c>
      <c r="AQ509" s="23">
        <v>-77.058222999999998</v>
      </c>
      <c r="AR509" s="23">
        <f>COUNTIF(Data!$P$2:$P$825,Data!$P509)</f>
        <v>71</v>
      </c>
      <c r="AS509" s="23" cm="1">
        <f t="array" ref="AS509">_xlfn.IFS(Data!$E509&lt;12,((Data!$E509/Data!$D509)*60)*1,AND(Data!$E509&gt;=12,Data!$E509&lt;=15),((Data!$E509/Data!$D509)*60)*1.2,AND(Data!$E509&gt;=16,Data!$E509&lt;=19),((Data!$E509/Data!$D509)*60)*1.5,Data!$E509&gt;=20,((Data!$E509/Data!$D509)*60)*1.8)</f>
        <v>24.406779661016948</v>
      </c>
      <c r="AT509" s="23" cm="1">
        <f t="array" ref="AT509">_xlfn.IFS(Data!$F509&lt;600,((Data!$F509/Data!$D509)*60)*1,AND(Data!$F509&gt;=600,Data!$F509&lt;=625),((Data!$F509/Data!$D509)*60)*1.2,AND(Data!$F509&gt;=626,Data!$F509&lt;=650),((Data!$F509/Data!$D509)*60)*1.5,Data!$F509&gt;=651,((Data!$F509/Data!$D509)*60)*1.8)</f>
        <v>1288.6779661016949</v>
      </c>
      <c r="AU509" s="23">
        <f>(Data!$I509*-1.2)+(Data!$J509*-1.1)+(Data!$K509*1.2)+(Data!$L509*1.3)+(Data!$M509*1.5)</f>
        <v>35.4</v>
      </c>
      <c r="AV509" s="23">
        <f>(Data!$AS509*0.4)+(Data!$AT509*0.4)+(Data!$AU509*0.2)</f>
        <v>532.31389830508488</v>
      </c>
      <c r="AW509" s="35">
        <f>PERCENTRANK(AV:AV,Data!$AV509)*100</f>
        <v>94</v>
      </c>
      <c r="AX509" s="23" t="str">
        <f>_xlfn.CONCAT(TEXT(C509,"mmm"),"-",Data!$AE509)</f>
        <v>Aug-2023</v>
      </c>
    </row>
    <row r="510" spans="1:50" ht="17" thickTop="1" thickBot="1" x14ac:dyDescent="0.25">
      <c r="A510" s="28">
        <v>509</v>
      </c>
      <c r="B510" s="29">
        <f t="shared" si="58"/>
        <v>10</v>
      </c>
      <c r="C510" s="41">
        <v>45144</v>
      </c>
      <c r="D510" s="30">
        <f>SUM(Data!$I510:$M510)</f>
        <v>56</v>
      </c>
      <c r="E510" s="29">
        <v>13</v>
      </c>
      <c r="F510" s="29">
        <v>603</v>
      </c>
      <c r="G510" s="29">
        <v>164</v>
      </c>
      <c r="H510" s="29">
        <v>125</v>
      </c>
      <c r="I510" s="29">
        <v>18</v>
      </c>
      <c r="J510" s="29">
        <v>9</v>
      </c>
      <c r="K510" s="29">
        <v>16</v>
      </c>
      <c r="L510" s="29">
        <v>12</v>
      </c>
      <c r="M510" s="29">
        <v>1</v>
      </c>
      <c r="N510" s="29" t="s">
        <v>101</v>
      </c>
      <c r="O510" s="29" t="s">
        <v>93</v>
      </c>
      <c r="P510" s="29" t="s">
        <v>186</v>
      </c>
      <c r="Q510" s="29">
        <f t="shared" si="64"/>
        <v>4</v>
      </c>
      <c r="R510" s="29" t="str">
        <f t="shared" si="59"/>
        <v>8-2023</v>
      </c>
      <c r="S510" s="29" t="s">
        <v>117</v>
      </c>
      <c r="T510" s="29" t="str">
        <f t="shared" si="60"/>
        <v>Sunday</v>
      </c>
      <c r="U510" s="29">
        <f t="shared" si="61"/>
        <v>1</v>
      </c>
      <c r="V510" s="31">
        <f>IFERROR(Data!$I510/Data!$D510,"")</f>
        <v>0.32142857142857145</v>
      </c>
      <c r="W510" s="31">
        <f>IFERROR(Data!$J510/Data!$D510,"")</f>
        <v>0.16071428571428573</v>
      </c>
      <c r="X510" s="31">
        <f>IFERROR(Data!$K510/Data!$D510,"")</f>
        <v>0.2857142857142857</v>
      </c>
      <c r="Y510" s="31">
        <f>IFERROR(Data!$L510/Data!$D510,"")</f>
        <v>0.21428571428571427</v>
      </c>
      <c r="Z510" s="31">
        <f>IFERROR(Data!$M510/Data!$D510,"")</f>
        <v>1.7857142857142856E-2</v>
      </c>
      <c r="AA510" s="32">
        <v>232.14</v>
      </c>
      <c r="AB510" s="32">
        <f t="shared" si="65"/>
        <v>23.213999999999999</v>
      </c>
      <c r="AC510" s="29">
        <f t="shared" si="62"/>
        <v>660.7</v>
      </c>
      <c r="AD510" s="29">
        <f t="shared" si="63"/>
        <v>16.399999999999999</v>
      </c>
      <c r="AE510" s="29">
        <f>YEAR(Data!$C510)</f>
        <v>2023</v>
      </c>
      <c r="AF510" s="29"/>
      <c r="AG510" s="29">
        <v>12</v>
      </c>
      <c r="AH510" s="33">
        <f>Data!$F510/Data!$D510</f>
        <v>10.767857142857142</v>
      </c>
      <c r="AI510" s="17" t="str">
        <f>RIGHT(Data!$O510,2)</f>
        <v>AM</v>
      </c>
      <c r="AJ510" s="29" t="str">
        <f>Data!$R510&amp;"-"&amp;WEEKNUM(Data!$C510,1)-WEEKNUM(DATE(YEAR(Data!$C510),MONTH(Data!$C510),1),1)+1</f>
        <v>8-2023-2</v>
      </c>
      <c r="AK510" s="29">
        <f>MONTH(Data!$C510)</f>
        <v>8</v>
      </c>
      <c r="AL510" s="29">
        <f>IFERROR(Data!$F510/Data!$E510,0)</f>
        <v>46.384615384615387</v>
      </c>
      <c r="AM510" s="29">
        <f>COUNTIF(Data!$N$2:$N$825,Data!$N510)</f>
        <v>191</v>
      </c>
      <c r="AN510" s="29" t="str">
        <f>VLOOKUP(Data!$N510,'Helpful Tables'!A:D,4,FALSE)</f>
        <v>Washington, DC</v>
      </c>
      <c r="AO510" s="29">
        <f>COUNTIF(AN:AN,Data!$AN510)/COUNTA(AN:AN)</f>
        <v>0.62424242424242427</v>
      </c>
      <c r="AP510" s="29">
        <v>38.949649000000001</v>
      </c>
      <c r="AQ510" s="29">
        <v>-77.080878999999996</v>
      </c>
      <c r="AR510" s="29">
        <f>COUNTIF(Data!$P$2:$P$825,Data!$P510)</f>
        <v>2</v>
      </c>
      <c r="AS510" s="29" cm="1">
        <f t="array" ref="AS510">_xlfn.IFS(Data!$E510&lt;12,((Data!$E510/Data!$D510)*60)*1,AND(Data!$E510&gt;=12,Data!$E510&lt;=15),((Data!$E510/Data!$D510)*60)*1.2,AND(Data!$E510&gt;=16,Data!$E510&lt;=19),((Data!$E510/Data!$D510)*60)*1.5,Data!$E510&gt;=20,((Data!$E510/Data!$D510)*60)*1.8)</f>
        <v>16.714285714285715</v>
      </c>
      <c r="AT510" s="29" cm="1">
        <f t="array" ref="AT510">_xlfn.IFS(Data!$F510&lt;600,((Data!$F510/Data!$D510)*60)*1,AND(Data!$F510&gt;=600,Data!$F510&lt;=625),((Data!$F510/Data!$D510)*60)*1.2,AND(Data!$F510&gt;=626,Data!$F510&lt;=650),((Data!$F510/Data!$D510)*60)*1.5,Data!$F510&gt;=651,((Data!$F510/Data!$D510)*60)*1.8)</f>
        <v>775.28571428571422</v>
      </c>
      <c r="AU510" s="29">
        <f>(Data!$I510*-1.2)+(Data!$J510*-1.1)+(Data!$K510*1.2)+(Data!$L510*1.3)+(Data!$M510*1.5)</f>
        <v>4.8000000000000007</v>
      </c>
      <c r="AV510" s="29">
        <f>(Data!$AS510*0.4)+(Data!$AT510*0.4)+(Data!$AU510*0.2)</f>
        <v>317.76</v>
      </c>
      <c r="AW510" s="34">
        <f>PERCENTRANK(AV:AV,Data!$AV510)*100</f>
        <v>36</v>
      </c>
      <c r="AX510" s="29" t="str">
        <f>_xlfn.CONCAT(TEXT(C510,"mmm"),"-",Data!$AE510)</f>
        <v>Aug-2023</v>
      </c>
    </row>
    <row r="511" spans="1:50" ht="17" thickTop="1" thickBot="1" x14ac:dyDescent="0.25">
      <c r="A511" s="22">
        <v>510</v>
      </c>
      <c r="B511" s="23">
        <f t="shared" si="58"/>
        <v>10</v>
      </c>
      <c r="C511" s="41">
        <v>45145</v>
      </c>
      <c r="D511" s="24">
        <f>SUM(Data!$I511:$M511)</f>
        <v>56</v>
      </c>
      <c r="E511" s="23">
        <v>21</v>
      </c>
      <c r="F511" s="23">
        <v>641</v>
      </c>
      <c r="G511" s="23">
        <v>168</v>
      </c>
      <c r="H511" s="23">
        <v>129</v>
      </c>
      <c r="I511" s="23">
        <v>14</v>
      </c>
      <c r="J511" s="23">
        <v>12</v>
      </c>
      <c r="K511" s="23">
        <v>9</v>
      </c>
      <c r="L511" s="23">
        <v>18</v>
      </c>
      <c r="M511" s="23">
        <v>3</v>
      </c>
      <c r="N511" s="23" t="s">
        <v>91</v>
      </c>
      <c r="O511" s="23" t="s">
        <v>57</v>
      </c>
      <c r="P511" s="23" t="s">
        <v>185</v>
      </c>
      <c r="Q511" s="23">
        <f t="shared" si="64"/>
        <v>1</v>
      </c>
      <c r="R511" s="23" t="str">
        <f t="shared" si="59"/>
        <v>8-2023</v>
      </c>
      <c r="S511" s="23" t="s">
        <v>104</v>
      </c>
      <c r="T511" s="23" t="str">
        <f t="shared" si="60"/>
        <v>Monday</v>
      </c>
      <c r="U511" s="23">
        <f t="shared" si="61"/>
        <v>1</v>
      </c>
      <c r="V511" s="25">
        <f>IFERROR(Data!$I511/Data!$D511,"")</f>
        <v>0.25</v>
      </c>
      <c r="W511" s="25">
        <f>IFERROR(Data!$J511/Data!$D511,"")</f>
        <v>0.21428571428571427</v>
      </c>
      <c r="X511" s="25">
        <f>IFERROR(Data!$K511/Data!$D511,"")</f>
        <v>0.16071428571428573</v>
      </c>
      <c r="Y511" s="25">
        <f>IFERROR(Data!$L511/Data!$D511,"")</f>
        <v>0.32142857142857145</v>
      </c>
      <c r="Z511" s="25">
        <f>IFERROR(Data!$M511/Data!$D511,"")</f>
        <v>5.3571428571428568E-2</v>
      </c>
      <c r="AA511" s="26">
        <v>232.14</v>
      </c>
      <c r="AB511" s="26">
        <f t="shared" si="65"/>
        <v>23.213999999999999</v>
      </c>
      <c r="AC511" s="23">
        <f t="shared" si="62"/>
        <v>660.7</v>
      </c>
      <c r="AD511" s="23">
        <f t="shared" si="63"/>
        <v>16.399999999999999</v>
      </c>
      <c r="AE511" s="23">
        <f>YEAR(Data!$C511)</f>
        <v>2023</v>
      </c>
      <c r="AF511" s="23"/>
      <c r="AG511" s="23">
        <v>12</v>
      </c>
      <c r="AH511" s="27">
        <f>Data!$F511/Data!$D511</f>
        <v>11.446428571428571</v>
      </c>
      <c r="AI511" s="17" t="str">
        <f>RIGHT(Data!$O511,2)</f>
        <v>PM</v>
      </c>
      <c r="AJ511" s="23" t="str">
        <f>Data!$R511&amp;"-"&amp;WEEKNUM(Data!$C511,1)-WEEKNUM(DATE(YEAR(Data!$C511),MONTH(Data!$C511),1),1)+1</f>
        <v>8-2023-2</v>
      </c>
      <c r="AK511" s="23">
        <f>MONTH(Data!$C511)</f>
        <v>8</v>
      </c>
      <c r="AL511" s="23">
        <f>IFERROR(Data!$F511/Data!$E511,0)</f>
        <v>30.523809523809526</v>
      </c>
      <c r="AM511" s="23">
        <f>COUNTIF(Data!$N$2:$N$825,Data!$N511)</f>
        <v>218</v>
      </c>
      <c r="AN511" s="23" t="str">
        <f>VLOOKUP(Data!$N511,'Helpful Tables'!A:D,4,FALSE)</f>
        <v>Washington, DC</v>
      </c>
      <c r="AO511" s="23">
        <f>COUNTIF(AN:AN,Data!$AN511)/COUNTA(AN:AN)</f>
        <v>0.62424242424242427</v>
      </c>
      <c r="AP511" s="23">
        <v>38.934710000000003</v>
      </c>
      <c r="AQ511" s="23">
        <v>-77.058222999999998</v>
      </c>
      <c r="AR511" s="23">
        <f>COUNTIF(Data!$P$2:$P$825,Data!$P511)</f>
        <v>3</v>
      </c>
      <c r="AS511" s="23" cm="1">
        <f t="array" ref="AS511">_xlfn.IFS(Data!$E511&lt;12,((Data!$E511/Data!$D511)*60)*1,AND(Data!$E511&gt;=12,Data!$E511&lt;=15),((Data!$E511/Data!$D511)*60)*1.2,AND(Data!$E511&gt;=16,Data!$E511&lt;=19),((Data!$E511/Data!$D511)*60)*1.5,Data!$E511&gt;=20,((Data!$E511/Data!$D511)*60)*1.8)</f>
        <v>40.5</v>
      </c>
      <c r="AT511" s="23" cm="1">
        <f t="array" ref="AT511">_xlfn.IFS(Data!$F511&lt;600,((Data!$F511/Data!$D511)*60)*1,AND(Data!$F511&gt;=600,Data!$F511&lt;=625),((Data!$F511/Data!$D511)*60)*1.2,AND(Data!$F511&gt;=626,Data!$F511&lt;=650),((Data!$F511/Data!$D511)*60)*1.5,Data!$F511&gt;=651,((Data!$F511/Data!$D511)*60)*1.8)</f>
        <v>1030.1785714285713</v>
      </c>
      <c r="AU511" s="23">
        <f>(Data!$I511*-1.2)+(Data!$J511*-1.1)+(Data!$K511*1.2)+(Data!$L511*1.3)+(Data!$M511*1.5)</f>
        <v>8.6999999999999993</v>
      </c>
      <c r="AV511" s="23">
        <f>(Data!$AS511*0.4)+(Data!$AT511*0.4)+(Data!$AU511*0.2)</f>
        <v>430.01142857142855</v>
      </c>
      <c r="AW511" s="35">
        <f>PERCENTRANK(AV:AV,Data!$AV511)*100</f>
        <v>64.5</v>
      </c>
      <c r="AX511" s="23" t="str">
        <f>_xlfn.CONCAT(TEXT(C511,"mmm"),"-",Data!$AE511)</f>
        <v>Aug-2023</v>
      </c>
    </row>
    <row r="512" spans="1:50" ht="17" thickTop="1" thickBot="1" x14ac:dyDescent="0.25">
      <c r="A512" s="28">
        <v>511</v>
      </c>
      <c r="B512" s="29">
        <f t="shared" si="58"/>
        <v>10</v>
      </c>
      <c r="C512" s="41">
        <v>45147</v>
      </c>
      <c r="D512" s="30">
        <f>SUM(Data!$I512:$M512)</f>
        <v>59</v>
      </c>
      <c r="E512" s="29">
        <v>15</v>
      </c>
      <c r="F512" s="29">
        <v>657</v>
      </c>
      <c r="G512" s="29">
        <v>168</v>
      </c>
      <c r="H512" s="29">
        <v>127</v>
      </c>
      <c r="I512" s="29">
        <v>8</v>
      </c>
      <c r="J512" s="29">
        <v>21</v>
      </c>
      <c r="K512" s="29">
        <v>15</v>
      </c>
      <c r="L512" s="29">
        <v>11</v>
      </c>
      <c r="M512" s="29">
        <v>4</v>
      </c>
      <c r="N512" s="29" t="s">
        <v>91</v>
      </c>
      <c r="O512" s="29" t="s">
        <v>174</v>
      </c>
      <c r="P512" s="29" t="s">
        <v>100</v>
      </c>
      <c r="Q512" s="29">
        <f t="shared" si="64"/>
        <v>2</v>
      </c>
      <c r="R512" s="29" t="str">
        <f t="shared" si="59"/>
        <v>8-2023</v>
      </c>
      <c r="S512" s="29" t="s">
        <v>104</v>
      </c>
      <c r="T512" s="29" t="str">
        <f t="shared" si="60"/>
        <v>Wednesday</v>
      </c>
      <c r="U512" s="29">
        <f t="shared" si="61"/>
        <v>1</v>
      </c>
      <c r="V512" s="31">
        <f>IFERROR(Data!$I512/Data!$D512,"")</f>
        <v>0.13559322033898305</v>
      </c>
      <c r="W512" s="31">
        <f>IFERROR(Data!$J512/Data!$D512,"")</f>
        <v>0.3559322033898305</v>
      </c>
      <c r="X512" s="31">
        <f>IFERROR(Data!$K512/Data!$D512,"")</f>
        <v>0.25423728813559321</v>
      </c>
      <c r="Y512" s="31">
        <f>IFERROR(Data!$L512/Data!$D512,"")</f>
        <v>0.1864406779661017</v>
      </c>
      <c r="Z512" s="31">
        <f>IFERROR(Data!$M512/Data!$D512,"")</f>
        <v>6.7796610169491525E-2</v>
      </c>
      <c r="AA512" s="32">
        <v>232.14</v>
      </c>
      <c r="AB512" s="32">
        <f t="shared" si="65"/>
        <v>23.213999999999999</v>
      </c>
      <c r="AC512" s="29">
        <f t="shared" si="62"/>
        <v>660.7</v>
      </c>
      <c r="AD512" s="29">
        <f t="shared" si="63"/>
        <v>16.399999999999999</v>
      </c>
      <c r="AE512" s="29">
        <f>YEAR(Data!$C512)</f>
        <v>2023</v>
      </c>
      <c r="AF512" s="29"/>
      <c r="AG512" s="29">
        <v>12</v>
      </c>
      <c r="AH512" s="33">
        <f>Data!$F512/Data!$D512</f>
        <v>11.135593220338983</v>
      </c>
      <c r="AI512" s="17" t="str">
        <f>RIGHT(Data!$O512,2)</f>
        <v>AM</v>
      </c>
      <c r="AJ512" s="29" t="str">
        <f>Data!$R512&amp;"-"&amp;WEEKNUM(Data!$C512,1)-WEEKNUM(DATE(YEAR(Data!$C512),MONTH(Data!$C512),1),1)+1</f>
        <v>8-2023-2</v>
      </c>
      <c r="AK512" s="29">
        <f>MONTH(Data!$C512)</f>
        <v>8</v>
      </c>
      <c r="AL512" s="29">
        <f>IFERROR(Data!$F512/Data!$E512,0)</f>
        <v>43.8</v>
      </c>
      <c r="AM512" s="29">
        <f>COUNTIF(Data!$N$2:$N$825,Data!$N512)</f>
        <v>218</v>
      </c>
      <c r="AN512" s="29" t="str">
        <f>VLOOKUP(Data!$N512,'Helpful Tables'!A:D,4,FALSE)</f>
        <v>Washington, DC</v>
      </c>
      <c r="AO512" s="29">
        <f>COUNTIF(AN:AN,Data!$AN512)/COUNTA(AN:AN)</f>
        <v>0.62424242424242427</v>
      </c>
      <c r="AP512" s="29">
        <v>38.934710000000003</v>
      </c>
      <c r="AQ512" s="29">
        <v>-77.058222999999998</v>
      </c>
      <c r="AR512" s="29">
        <f>COUNTIF(Data!$P$2:$P$825,Data!$P512)</f>
        <v>35</v>
      </c>
      <c r="AS512" s="29" cm="1">
        <f t="array" ref="AS512">_xlfn.IFS(Data!$E512&lt;12,((Data!$E512/Data!$D512)*60)*1,AND(Data!$E512&gt;=12,Data!$E512&lt;=15),((Data!$E512/Data!$D512)*60)*1.2,AND(Data!$E512&gt;=16,Data!$E512&lt;=19),((Data!$E512/Data!$D512)*60)*1.5,Data!$E512&gt;=20,((Data!$E512/Data!$D512)*60)*1.8)</f>
        <v>18.305084745762709</v>
      </c>
      <c r="AT512" s="29" cm="1">
        <f t="array" ref="AT512">_xlfn.IFS(Data!$F512&lt;600,((Data!$F512/Data!$D512)*60)*1,AND(Data!$F512&gt;=600,Data!$F512&lt;=625),((Data!$F512/Data!$D512)*60)*1.2,AND(Data!$F512&gt;=626,Data!$F512&lt;=650),((Data!$F512/Data!$D512)*60)*1.5,Data!$F512&gt;=651,((Data!$F512/Data!$D512)*60)*1.8)</f>
        <v>1202.6440677966102</v>
      </c>
      <c r="AU512" s="29">
        <f>(Data!$I512*-1.2)+(Data!$J512*-1.1)+(Data!$K512*1.2)+(Data!$L512*1.3)+(Data!$M512*1.5)</f>
        <v>5.5999999999999979</v>
      </c>
      <c r="AV512" s="29">
        <f>(Data!$AS512*0.4)+(Data!$AT512*0.4)+(Data!$AU512*0.2)</f>
        <v>489.49966101694923</v>
      </c>
      <c r="AW512" s="34">
        <f>PERCENTRANK(AV:AV,Data!$AV512)*100</f>
        <v>72.599999999999994</v>
      </c>
      <c r="AX512" s="29" t="str">
        <f>_xlfn.CONCAT(TEXT(C512,"mmm"),"-",Data!$AE512)</f>
        <v>Aug-2023</v>
      </c>
    </row>
    <row r="513" spans="1:50" ht="17" thickTop="1" thickBot="1" x14ac:dyDescent="0.25">
      <c r="A513" s="22">
        <v>512</v>
      </c>
      <c r="B513" s="23">
        <f t="shared" si="58"/>
        <v>10</v>
      </c>
      <c r="C513" s="41">
        <v>45148</v>
      </c>
      <c r="D513" s="24">
        <f>SUM(Data!$I513:$M513)</f>
        <v>58</v>
      </c>
      <c r="E513" s="23">
        <v>14</v>
      </c>
      <c r="F513" s="23">
        <v>631</v>
      </c>
      <c r="G513" s="23">
        <v>165</v>
      </c>
      <c r="H513" s="23">
        <v>125</v>
      </c>
      <c r="I513" s="23">
        <v>13</v>
      </c>
      <c r="J513" s="23">
        <v>17</v>
      </c>
      <c r="K513" s="23">
        <v>14</v>
      </c>
      <c r="L513" s="23">
        <v>12</v>
      </c>
      <c r="M513" s="23">
        <v>2</v>
      </c>
      <c r="N513" s="23" t="s">
        <v>101</v>
      </c>
      <c r="O513" s="23" t="s">
        <v>107</v>
      </c>
      <c r="P513" s="23" t="s">
        <v>148</v>
      </c>
      <c r="Q513" s="23">
        <f t="shared" si="64"/>
        <v>1</v>
      </c>
      <c r="R513" s="23" t="str">
        <f t="shared" si="59"/>
        <v>8-2023</v>
      </c>
      <c r="S513" s="23" t="s">
        <v>104</v>
      </c>
      <c r="T513" s="23" t="str">
        <f t="shared" si="60"/>
        <v>Thursday</v>
      </c>
      <c r="U513" s="23">
        <f t="shared" si="61"/>
        <v>1</v>
      </c>
      <c r="V513" s="25">
        <f>IFERROR(Data!$I513/Data!$D513,"")</f>
        <v>0.22413793103448276</v>
      </c>
      <c r="W513" s="25">
        <f>IFERROR(Data!$J513/Data!$D513,"")</f>
        <v>0.29310344827586204</v>
      </c>
      <c r="X513" s="25">
        <f>IFERROR(Data!$K513/Data!$D513,"")</f>
        <v>0.2413793103448276</v>
      </c>
      <c r="Y513" s="25">
        <f>IFERROR(Data!$L513/Data!$D513,"")</f>
        <v>0.20689655172413793</v>
      </c>
      <c r="Z513" s="25">
        <f>IFERROR(Data!$M513/Data!$D513,"")</f>
        <v>3.4482758620689655E-2</v>
      </c>
      <c r="AA513" s="26">
        <v>232.14</v>
      </c>
      <c r="AB513" s="26">
        <f t="shared" si="65"/>
        <v>23.213999999999999</v>
      </c>
      <c r="AC513" s="23">
        <f t="shared" si="62"/>
        <v>660.7</v>
      </c>
      <c r="AD513" s="23">
        <f t="shared" si="63"/>
        <v>16.399999999999999</v>
      </c>
      <c r="AE513" s="23">
        <f>YEAR(Data!$C513)</f>
        <v>2023</v>
      </c>
      <c r="AF513" s="23"/>
      <c r="AG513" s="23">
        <v>12</v>
      </c>
      <c r="AH513" s="27">
        <f>Data!$F513/Data!$D513</f>
        <v>10.879310344827585</v>
      </c>
      <c r="AI513" s="17" t="str">
        <f>RIGHT(Data!$O513,2)</f>
        <v>AM</v>
      </c>
      <c r="AJ513" s="23" t="str">
        <f>Data!$R513&amp;"-"&amp;WEEKNUM(Data!$C513,1)-WEEKNUM(DATE(YEAR(Data!$C513),MONTH(Data!$C513),1),1)+1</f>
        <v>8-2023-2</v>
      </c>
      <c r="AK513" s="23">
        <f>MONTH(Data!$C513)</f>
        <v>8</v>
      </c>
      <c r="AL513" s="23">
        <f>IFERROR(Data!$F513/Data!$E513,0)</f>
        <v>45.071428571428569</v>
      </c>
      <c r="AM513" s="23">
        <f>COUNTIF(Data!$N$2:$N$825,Data!$N513)</f>
        <v>191</v>
      </c>
      <c r="AN513" s="23" t="str">
        <f>VLOOKUP(Data!$N513,'Helpful Tables'!A:D,4,FALSE)</f>
        <v>Washington, DC</v>
      </c>
      <c r="AO513" s="23">
        <f>COUNTIF(AN:AN,Data!$AN513)/COUNTA(AN:AN)</f>
        <v>0.62424242424242427</v>
      </c>
      <c r="AP513" s="23">
        <v>38.949649000000001</v>
      </c>
      <c r="AQ513" s="23">
        <v>-77.080878999999996</v>
      </c>
      <c r="AR513" s="23">
        <f>COUNTIF(Data!$P$2:$P$825,Data!$P513)</f>
        <v>14</v>
      </c>
      <c r="AS513" s="23" cm="1">
        <f t="array" ref="AS513">_xlfn.IFS(Data!$E513&lt;12,((Data!$E513/Data!$D513)*60)*1,AND(Data!$E513&gt;=12,Data!$E513&lt;=15),((Data!$E513/Data!$D513)*60)*1.2,AND(Data!$E513&gt;=16,Data!$E513&lt;=19),((Data!$E513/Data!$D513)*60)*1.5,Data!$E513&gt;=20,((Data!$E513/Data!$D513)*60)*1.8)</f>
        <v>17.379310344827587</v>
      </c>
      <c r="AT513" s="23" cm="1">
        <f t="array" ref="AT513">_xlfn.IFS(Data!$F513&lt;600,((Data!$F513/Data!$D513)*60)*1,AND(Data!$F513&gt;=600,Data!$F513&lt;=625),((Data!$F513/Data!$D513)*60)*1.2,AND(Data!$F513&gt;=626,Data!$F513&lt;=650),((Data!$F513/Data!$D513)*60)*1.5,Data!$F513&gt;=651,((Data!$F513/Data!$D513)*60)*1.8)</f>
        <v>979.13793103448268</v>
      </c>
      <c r="AU513" s="23">
        <f>(Data!$I513*-1.2)+(Data!$J513*-1.1)+(Data!$K513*1.2)+(Data!$L513*1.3)+(Data!$M513*1.5)</f>
        <v>1.0999999999999979</v>
      </c>
      <c r="AV513" s="23">
        <f>(Data!$AS513*0.4)+(Data!$AT513*0.4)+(Data!$AU513*0.2)</f>
        <v>398.82689655172413</v>
      </c>
      <c r="AW513" s="35">
        <f>PERCENTRANK(AV:AV,Data!$AV513)*100</f>
        <v>51.800000000000004</v>
      </c>
      <c r="AX513" s="23" t="str">
        <f>_xlfn.CONCAT(TEXT(C513,"mmm"),"-",Data!$AE513)</f>
        <v>Aug-2023</v>
      </c>
    </row>
    <row r="514" spans="1:50" ht="17" thickTop="1" thickBot="1" x14ac:dyDescent="0.25">
      <c r="A514" s="28">
        <v>513</v>
      </c>
      <c r="B514" s="29">
        <f t="shared" ref="B514:B577" si="66">COUNTIF(R:R,R514)</f>
        <v>10</v>
      </c>
      <c r="C514" s="41">
        <v>45159</v>
      </c>
      <c r="D514" s="30">
        <f>SUM(Data!$I514:$M514)</f>
        <v>59</v>
      </c>
      <c r="E514" s="29">
        <v>19</v>
      </c>
      <c r="F514" s="29">
        <v>680</v>
      </c>
      <c r="G514" s="29">
        <v>173</v>
      </c>
      <c r="H514" s="29">
        <v>129</v>
      </c>
      <c r="I514" s="29">
        <v>14</v>
      </c>
      <c r="J514" s="29">
        <v>14</v>
      </c>
      <c r="K514" s="29">
        <v>12</v>
      </c>
      <c r="L514" s="29">
        <v>13</v>
      </c>
      <c r="M514" s="29">
        <v>6</v>
      </c>
      <c r="N514" s="29" t="s">
        <v>91</v>
      </c>
      <c r="O514" s="29" t="s">
        <v>57</v>
      </c>
      <c r="P514" s="29" t="s">
        <v>187</v>
      </c>
      <c r="Q514" s="29">
        <f t="shared" si="64"/>
        <v>11</v>
      </c>
      <c r="R514" s="29" t="str">
        <f t="shared" ref="R514:R577" si="67">MONTH(C514)&amp;"-"&amp;YEAR(C514)</f>
        <v>8-2023</v>
      </c>
      <c r="S514" s="29" t="s">
        <v>104</v>
      </c>
      <c r="T514" s="29" t="str">
        <f t="shared" ref="T514:T577" si="68">IF(WEEKDAY(C514)=1,"Sunday",IF(WEEKDAY(C514)=2,"Monday",IF(WEEKDAY(C514)=3,"Tuesday",IF(WEEKDAY(C514)=4,"Wednesday",IF(WEEKDAY(C514)=5,"Thursday",IF(WEEKDAY(C514)=6,"Friday","Saturday"))))))</f>
        <v>Monday</v>
      </c>
      <c r="U514" s="29">
        <f t="shared" ref="U514:U577" si="69">IF(E514&gt;=12,1,0)</f>
        <v>1</v>
      </c>
      <c r="V514" s="31">
        <f>IFERROR(Data!$I514/Data!$D514,"")</f>
        <v>0.23728813559322035</v>
      </c>
      <c r="W514" s="31">
        <f>IFERROR(Data!$J514/Data!$D514,"")</f>
        <v>0.23728813559322035</v>
      </c>
      <c r="X514" s="31">
        <f>IFERROR(Data!$K514/Data!$D514,"")</f>
        <v>0.20338983050847459</v>
      </c>
      <c r="Y514" s="31">
        <f>IFERROR(Data!$L514/Data!$D514,"")</f>
        <v>0.22033898305084745</v>
      </c>
      <c r="Z514" s="31">
        <f>IFERROR(Data!$M514/Data!$D514,"")</f>
        <v>0.10169491525423729</v>
      </c>
      <c r="AA514" s="32">
        <v>232.14</v>
      </c>
      <c r="AB514" s="32">
        <f t="shared" si="65"/>
        <v>23.213999999999999</v>
      </c>
      <c r="AC514" s="29">
        <f t="shared" ref="AC514:AC577" si="70">AVERAGEIF(R:R,R514,F:F)</f>
        <v>660.7</v>
      </c>
      <c r="AD514" s="29">
        <f t="shared" ref="AD514:AD577" si="71">AVERAGEIF(R:R,R514,E:E)</f>
        <v>16.399999999999999</v>
      </c>
      <c r="AE514" s="29">
        <f>YEAR(Data!$C514)</f>
        <v>2023</v>
      </c>
      <c r="AF514" s="29"/>
      <c r="AG514" s="29">
        <v>12</v>
      </c>
      <c r="AH514" s="33">
        <f>Data!$F514/Data!$D514</f>
        <v>11.525423728813559</v>
      </c>
      <c r="AI514" s="17" t="str">
        <f>RIGHT(Data!$O514,2)</f>
        <v>PM</v>
      </c>
      <c r="AJ514" s="29" t="str">
        <f>Data!$R514&amp;"-"&amp;WEEKNUM(Data!$C514,1)-WEEKNUM(DATE(YEAR(Data!$C514),MONTH(Data!$C514),1),1)+1</f>
        <v>8-2023-4</v>
      </c>
      <c r="AK514" s="29">
        <f>MONTH(Data!$C514)</f>
        <v>8</v>
      </c>
      <c r="AL514" s="29">
        <f>IFERROR(Data!$F514/Data!$E514,0)</f>
        <v>35.789473684210527</v>
      </c>
      <c r="AM514" s="29">
        <f>COUNTIF(Data!$N$2:$N$825,Data!$N514)</f>
        <v>218</v>
      </c>
      <c r="AN514" s="29" t="str">
        <f>VLOOKUP(Data!$N514,'Helpful Tables'!A:D,4,FALSE)</f>
        <v>Washington, DC</v>
      </c>
      <c r="AO514" s="29">
        <f>COUNTIF(AN:AN,Data!$AN514)/COUNTA(AN:AN)</f>
        <v>0.62424242424242427</v>
      </c>
      <c r="AP514" s="29">
        <v>38.934710000000003</v>
      </c>
      <c r="AQ514" s="29">
        <v>-77.058222999999998</v>
      </c>
      <c r="AR514" s="29">
        <f>COUNTIF(Data!$P$2:$P$825,Data!$P514)</f>
        <v>7</v>
      </c>
      <c r="AS514" s="29" cm="1">
        <f t="array" ref="AS514">_xlfn.IFS(Data!$E514&lt;12,((Data!$E514/Data!$D514)*60)*1,AND(Data!$E514&gt;=12,Data!$E514&lt;=15),((Data!$E514/Data!$D514)*60)*1.2,AND(Data!$E514&gt;=16,Data!$E514&lt;=19),((Data!$E514/Data!$D514)*60)*1.5,Data!$E514&gt;=20,((Data!$E514/Data!$D514)*60)*1.8)</f>
        <v>28.983050847457626</v>
      </c>
      <c r="AT514" s="29" cm="1">
        <f t="array" ref="AT514">_xlfn.IFS(Data!$F514&lt;600,((Data!$F514/Data!$D514)*60)*1,AND(Data!$F514&gt;=600,Data!$F514&lt;=625),((Data!$F514/Data!$D514)*60)*1.2,AND(Data!$F514&gt;=626,Data!$F514&lt;=650),((Data!$F514/Data!$D514)*60)*1.5,Data!$F514&gt;=651,((Data!$F514/Data!$D514)*60)*1.8)</f>
        <v>1244.7457627118642</v>
      </c>
      <c r="AU514" s="29">
        <f>(Data!$I514*-1.2)+(Data!$J514*-1.1)+(Data!$K514*1.2)+(Data!$L514*1.3)+(Data!$M514*1.5)</f>
        <v>8.0999999999999979</v>
      </c>
      <c r="AV514" s="29">
        <f>(Data!$AS514*0.4)+(Data!$AT514*0.4)+(Data!$AU514*0.2)</f>
        <v>511.11152542372878</v>
      </c>
      <c r="AW514" s="34">
        <f>PERCENTRANK(AV:AV,Data!$AV514)*100</f>
        <v>85.3</v>
      </c>
      <c r="AX514" s="29" t="str">
        <f>_xlfn.CONCAT(TEXT(C514,"mmm"),"-",Data!$AE514)</f>
        <v>Aug-2023</v>
      </c>
    </row>
    <row r="515" spans="1:50" ht="17" thickTop="1" thickBot="1" x14ac:dyDescent="0.25">
      <c r="A515" s="22">
        <v>514</v>
      </c>
      <c r="B515" s="23">
        <f t="shared" si="66"/>
        <v>10</v>
      </c>
      <c r="C515" s="41">
        <v>45161</v>
      </c>
      <c r="D515" s="24">
        <f>SUM(Data!$I515:$M515)</f>
        <v>57</v>
      </c>
      <c r="E515" s="23">
        <v>19</v>
      </c>
      <c r="F515" s="23">
        <v>682</v>
      </c>
      <c r="G515" s="23">
        <v>170</v>
      </c>
      <c r="H515" s="23">
        <v>132</v>
      </c>
      <c r="I515" s="23">
        <v>6</v>
      </c>
      <c r="J515" s="23">
        <v>18</v>
      </c>
      <c r="K515" s="23">
        <v>14</v>
      </c>
      <c r="L515" s="23">
        <v>15</v>
      </c>
      <c r="M515" s="23">
        <v>4</v>
      </c>
      <c r="N515" s="23" t="s">
        <v>91</v>
      </c>
      <c r="O515" s="23" t="s">
        <v>174</v>
      </c>
      <c r="P515" s="23" t="s">
        <v>100</v>
      </c>
      <c r="Q515" s="23">
        <f t="shared" ref="Q515:Q578" si="72">C515-C514</f>
        <v>2</v>
      </c>
      <c r="R515" s="23" t="str">
        <f t="shared" si="67"/>
        <v>8-2023</v>
      </c>
      <c r="S515" s="23" t="s">
        <v>104</v>
      </c>
      <c r="T515" s="23" t="str">
        <f t="shared" si="68"/>
        <v>Wednesday</v>
      </c>
      <c r="U515" s="23">
        <f t="shared" si="69"/>
        <v>1</v>
      </c>
      <c r="V515" s="25">
        <f>IFERROR(Data!$I515/Data!$D515,"")</f>
        <v>0.10526315789473684</v>
      </c>
      <c r="W515" s="25">
        <f>IFERROR(Data!$J515/Data!$D515,"")</f>
        <v>0.31578947368421051</v>
      </c>
      <c r="X515" s="25">
        <f>IFERROR(Data!$K515/Data!$D515,"")</f>
        <v>0.24561403508771928</v>
      </c>
      <c r="Y515" s="25">
        <f>IFERROR(Data!$L515/Data!$D515,"")</f>
        <v>0.26315789473684209</v>
      </c>
      <c r="Z515" s="25">
        <f>IFERROR(Data!$M515/Data!$D515,"")</f>
        <v>7.0175438596491224E-2</v>
      </c>
      <c r="AA515" s="26">
        <v>232.14</v>
      </c>
      <c r="AB515" s="26">
        <f t="shared" si="65"/>
        <v>23.213999999999999</v>
      </c>
      <c r="AC515" s="23">
        <f t="shared" si="70"/>
        <v>660.7</v>
      </c>
      <c r="AD515" s="23">
        <f t="shared" si="71"/>
        <v>16.399999999999999</v>
      </c>
      <c r="AE515" s="23">
        <f>YEAR(Data!$C515)</f>
        <v>2023</v>
      </c>
      <c r="AF515" s="23"/>
      <c r="AG515" s="23">
        <v>12</v>
      </c>
      <c r="AH515" s="27">
        <f>Data!$F515/Data!$D515</f>
        <v>11.964912280701755</v>
      </c>
      <c r="AI515" s="17" t="str">
        <f>RIGHT(Data!$O515,2)</f>
        <v>AM</v>
      </c>
      <c r="AJ515" s="23" t="str">
        <f>Data!$R515&amp;"-"&amp;WEEKNUM(Data!$C515,1)-WEEKNUM(DATE(YEAR(Data!$C515),MONTH(Data!$C515),1),1)+1</f>
        <v>8-2023-4</v>
      </c>
      <c r="AK515" s="23">
        <f>MONTH(Data!$C515)</f>
        <v>8</v>
      </c>
      <c r="AL515" s="23">
        <f>IFERROR(Data!$F515/Data!$E515,0)</f>
        <v>35.89473684210526</v>
      </c>
      <c r="AM515" s="23">
        <f>COUNTIF(Data!$N$2:$N$825,Data!$N515)</f>
        <v>218</v>
      </c>
      <c r="AN515" s="23" t="str">
        <f>VLOOKUP(Data!$N515,'Helpful Tables'!A:D,4,FALSE)</f>
        <v>Washington, DC</v>
      </c>
      <c r="AO515" s="23">
        <f>COUNTIF(AN:AN,Data!$AN515)/COUNTA(AN:AN)</f>
        <v>0.62424242424242427</v>
      </c>
      <c r="AP515" s="23">
        <v>38.934710000000003</v>
      </c>
      <c r="AQ515" s="23">
        <v>-77.058222999999998</v>
      </c>
      <c r="AR515" s="23">
        <f>COUNTIF(Data!$P$2:$P$825,Data!$P515)</f>
        <v>35</v>
      </c>
      <c r="AS515" s="23" cm="1">
        <f t="array" ref="AS515">_xlfn.IFS(Data!$E515&lt;12,((Data!$E515/Data!$D515)*60)*1,AND(Data!$E515&gt;=12,Data!$E515&lt;=15),((Data!$E515/Data!$D515)*60)*1.2,AND(Data!$E515&gt;=16,Data!$E515&lt;=19),((Data!$E515/Data!$D515)*60)*1.5,Data!$E515&gt;=20,((Data!$E515/Data!$D515)*60)*1.8)</f>
        <v>30</v>
      </c>
      <c r="AT515" s="23" cm="1">
        <f t="array" ref="AT515">_xlfn.IFS(Data!$F515&lt;600,((Data!$F515/Data!$D515)*60)*1,AND(Data!$F515&gt;=600,Data!$F515&lt;=625),((Data!$F515/Data!$D515)*60)*1.2,AND(Data!$F515&gt;=626,Data!$F515&lt;=650),((Data!$F515/Data!$D515)*60)*1.5,Data!$F515&gt;=651,((Data!$F515/Data!$D515)*60)*1.8)</f>
        <v>1292.2105263157896</v>
      </c>
      <c r="AU515" s="23">
        <f>(Data!$I515*-1.2)+(Data!$J515*-1.1)+(Data!$K515*1.2)+(Data!$L515*1.3)+(Data!$M515*1.5)</f>
        <v>15.3</v>
      </c>
      <c r="AV515" s="23">
        <f>(Data!$AS515*0.4)+(Data!$AT515*0.4)+(Data!$AU515*0.2)</f>
        <v>531.94421052631583</v>
      </c>
      <c r="AW515" s="35">
        <f>PERCENTRANK(AV:AV,Data!$AV515)*100</f>
        <v>93.8</v>
      </c>
      <c r="AX515" s="23" t="str">
        <f>_xlfn.CONCAT(TEXT(C515,"mmm"),"-",Data!$AE515)</f>
        <v>Aug-2023</v>
      </c>
    </row>
    <row r="516" spans="1:50" ht="17" thickTop="1" thickBot="1" x14ac:dyDescent="0.25">
      <c r="A516" s="28">
        <v>515</v>
      </c>
      <c r="B516" s="29">
        <f t="shared" si="66"/>
        <v>10</v>
      </c>
      <c r="C516" s="41">
        <v>45163</v>
      </c>
      <c r="D516" s="30">
        <f>SUM(Data!$I516:$M516)</f>
        <v>58</v>
      </c>
      <c r="E516" s="29">
        <v>15</v>
      </c>
      <c r="F516" s="29">
        <v>675</v>
      </c>
      <c r="G516" s="29">
        <v>166</v>
      </c>
      <c r="H516" s="29">
        <v>129</v>
      </c>
      <c r="I516" s="29">
        <v>5</v>
      </c>
      <c r="J516" s="29">
        <v>24</v>
      </c>
      <c r="K516" s="29">
        <v>14</v>
      </c>
      <c r="L516" s="29">
        <v>13</v>
      </c>
      <c r="M516" s="29">
        <v>2</v>
      </c>
      <c r="N516" s="29" t="s">
        <v>101</v>
      </c>
      <c r="O516" s="29" t="s">
        <v>53</v>
      </c>
      <c r="P516" s="29" t="s">
        <v>147</v>
      </c>
      <c r="Q516" s="29">
        <f t="shared" si="72"/>
        <v>2</v>
      </c>
      <c r="R516" s="29" t="str">
        <f t="shared" si="67"/>
        <v>8-2023</v>
      </c>
      <c r="S516" s="29" t="s">
        <v>104</v>
      </c>
      <c r="T516" s="29" t="str">
        <f t="shared" si="68"/>
        <v>Friday</v>
      </c>
      <c r="U516" s="29">
        <f t="shared" si="69"/>
        <v>1</v>
      </c>
      <c r="V516" s="31">
        <f>IFERROR(Data!$I516/Data!$D516,"")</f>
        <v>8.6206896551724144E-2</v>
      </c>
      <c r="W516" s="31">
        <f>IFERROR(Data!$J516/Data!$D516,"")</f>
        <v>0.41379310344827586</v>
      </c>
      <c r="X516" s="31">
        <f>IFERROR(Data!$K516/Data!$D516,"")</f>
        <v>0.2413793103448276</v>
      </c>
      <c r="Y516" s="31">
        <f>IFERROR(Data!$L516/Data!$D516,"")</f>
        <v>0.22413793103448276</v>
      </c>
      <c r="Z516" s="31">
        <f>IFERROR(Data!$M516/Data!$D516,"")</f>
        <v>3.4482758620689655E-2</v>
      </c>
      <c r="AA516" s="32">
        <v>232.14</v>
      </c>
      <c r="AB516" s="32">
        <f t="shared" si="65"/>
        <v>23.213999999999999</v>
      </c>
      <c r="AC516" s="29">
        <f t="shared" si="70"/>
        <v>660.7</v>
      </c>
      <c r="AD516" s="29">
        <f t="shared" si="71"/>
        <v>16.399999999999999</v>
      </c>
      <c r="AE516" s="29">
        <f>YEAR(Data!$C516)</f>
        <v>2023</v>
      </c>
      <c r="AF516" s="29"/>
      <c r="AG516" s="29">
        <v>12</v>
      </c>
      <c r="AH516" s="33">
        <f>Data!$F516/Data!$D516</f>
        <v>11.637931034482758</v>
      </c>
      <c r="AI516" s="17" t="str">
        <f>RIGHT(Data!$O516,2)</f>
        <v>PM</v>
      </c>
      <c r="AJ516" s="29" t="str">
        <f>Data!$R516&amp;"-"&amp;WEEKNUM(Data!$C516,1)-WEEKNUM(DATE(YEAR(Data!$C516),MONTH(Data!$C516),1),1)+1</f>
        <v>8-2023-4</v>
      </c>
      <c r="AK516" s="29">
        <f>MONTH(Data!$C516)</f>
        <v>8</v>
      </c>
      <c r="AL516" s="29">
        <f>IFERROR(Data!$F516/Data!$E516,0)</f>
        <v>45</v>
      </c>
      <c r="AM516" s="29">
        <f>COUNTIF(Data!$N$2:$N$825,Data!$N516)</f>
        <v>191</v>
      </c>
      <c r="AN516" s="29" t="str">
        <f>VLOOKUP(Data!$N516,'Helpful Tables'!A:D,4,FALSE)</f>
        <v>Washington, DC</v>
      </c>
      <c r="AO516" s="29">
        <f>COUNTIF(AN:AN,Data!$AN516)/COUNTA(AN:AN)</f>
        <v>0.62424242424242427</v>
      </c>
      <c r="AP516" s="29">
        <v>38.949649000000001</v>
      </c>
      <c r="AQ516" s="29">
        <v>-77.080878999999996</v>
      </c>
      <c r="AR516" s="29">
        <f>COUNTIF(Data!$P$2:$P$825,Data!$P516)</f>
        <v>17</v>
      </c>
      <c r="AS516" s="29" cm="1">
        <f t="array" ref="AS516">_xlfn.IFS(Data!$E516&lt;12,((Data!$E516/Data!$D516)*60)*1,AND(Data!$E516&gt;=12,Data!$E516&lt;=15),((Data!$E516/Data!$D516)*60)*1.2,AND(Data!$E516&gt;=16,Data!$E516&lt;=19),((Data!$E516/Data!$D516)*60)*1.5,Data!$E516&gt;=20,((Data!$E516/Data!$D516)*60)*1.8)</f>
        <v>18.620689655172413</v>
      </c>
      <c r="AT516" s="29" cm="1">
        <f t="array" ref="AT516">_xlfn.IFS(Data!$F516&lt;600,((Data!$F516/Data!$D516)*60)*1,AND(Data!$F516&gt;=600,Data!$F516&lt;=625),((Data!$F516/Data!$D516)*60)*1.2,AND(Data!$F516&gt;=626,Data!$F516&lt;=650),((Data!$F516/Data!$D516)*60)*1.5,Data!$F516&gt;=651,((Data!$F516/Data!$D516)*60)*1.8)</f>
        <v>1256.8965517241379</v>
      </c>
      <c r="AU516" s="29">
        <f>(Data!$I516*-1.2)+(Data!$J516*-1.1)+(Data!$K516*1.2)+(Data!$L516*1.3)+(Data!$M516*1.5)</f>
        <v>4.2999999999999972</v>
      </c>
      <c r="AV516" s="29">
        <f>(Data!$AS516*0.4)+(Data!$AT516*0.4)+(Data!$AU516*0.2)</f>
        <v>511.06689655172414</v>
      </c>
      <c r="AW516" s="34">
        <f>PERCENTRANK(AV:AV,Data!$AV516)*100</f>
        <v>85.2</v>
      </c>
      <c r="AX516" s="29" t="str">
        <f>_xlfn.CONCAT(TEXT(C516,"mmm"),"-",Data!$AE516)</f>
        <v>Aug-2023</v>
      </c>
    </row>
    <row r="517" spans="1:50" ht="17" thickTop="1" thickBot="1" x14ac:dyDescent="0.25">
      <c r="A517" s="22">
        <v>516</v>
      </c>
      <c r="B517" s="23">
        <f t="shared" si="66"/>
        <v>10</v>
      </c>
      <c r="C517" s="41">
        <v>45165</v>
      </c>
      <c r="D517" s="24">
        <f>SUM(Data!$I517:$M517)</f>
        <v>59</v>
      </c>
      <c r="E517" s="23">
        <v>14</v>
      </c>
      <c r="F517" s="23">
        <v>635</v>
      </c>
      <c r="G517" s="23">
        <v>164</v>
      </c>
      <c r="H517" s="23">
        <v>124</v>
      </c>
      <c r="I517" s="23">
        <v>14</v>
      </c>
      <c r="J517" s="23">
        <v>18</v>
      </c>
      <c r="K517" s="23">
        <v>13</v>
      </c>
      <c r="L517" s="23">
        <v>13</v>
      </c>
      <c r="M517" s="23">
        <v>1</v>
      </c>
      <c r="N517" s="23" t="s">
        <v>91</v>
      </c>
      <c r="O517" s="23" t="s">
        <v>79</v>
      </c>
      <c r="P517" s="23" t="s">
        <v>188</v>
      </c>
      <c r="Q517" s="23">
        <f t="shared" si="72"/>
        <v>2</v>
      </c>
      <c r="R517" s="23" t="str">
        <f t="shared" si="67"/>
        <v>8-2023</v>
      </c>
      <c r="S517" s="23" t="s">
        <v>104</v>
      </c>
      <c r="T517" s="23" t="str">
        <f t="shared" si="68"/>
        <v>Sunday</v>
      </c>
      <c r="U517" s="23">
        <f t="shared" si="69"/>
        <v>1</v>
      </c>
      <c r="V517" s="25">
        <f>IFERROR(Data!$I517/Data!$D517,"")</f>
        <v>0.23728813559322035</v>
      </c>
      <c r="W517" s="25">
        <f>IFERROR(Data!$J517/Data!$D517,"")</f>
        <v>0.30508474576271188</v>
      </c>
      <c r="X517" s="25">
        <f>IFERROR(Data!$K517/Data!$D517,"")</f>
        <v>0.22033898305084745</v>
      </c>
      <c r="Y517" s="25">
        <f>IFERROR(Data!$L517/Data!$D517,"")</f>
        <v>0.22033898305084745</v>
      </c>
      <c r="Z517" s="25">
        <f>IFERROR(Data!$M517/Data!$D517,"")</f>
        <v>1.6949152542372881E-2</v>
      </c>
      <c r="AA517" s="26">
        <v>232.14</v>
      </c>
      <c r="AB517" s="26">
        <f t="shared" si="65"/>
        <v>23.213999999999999</v>
      </c>
      <c r="AC517" s="23">
        <f t="shared" si="70"/>
        <v>660.7</v>
      </c>
      <c r="AD517" s="23">
        <f t="shared" si="71"/>
        <v>16.399999999999999</v>
      </c>
      <c r="AE517" s="23">
        <f>YEAR(Data!$C517)</f>
        <v>2023</v>
      </c>
      <c r="AF517" s="23"/>
      <c r="AG517" s="23">
        <v>12</v>
      </c>
      <c r="AH517" s="27">
        <f>Data!$F517/Data!$D517</f>
        <v>10.76271186440678</v>
      </c>
      <c r="AI517" s="17" t="str">
        <f>RIGHT(Data!$O517,2)</f>
        <v>AM</v>
      </c>
      <c r="AJ517" s="23" t="str">
        <f>Data!$R517&amp;"-"&amp;WEEKNUM(Data!$C517,1)-WEEKNUM(DATE(YEAR(Data!$C517),MONTH(Data!$C517),1),1)+1</f>
        <v>8-2023-5</v>
      </c>
      <c r="AK517" s="23">
        <f>MONTH(Data!$C517)</f>
        <v>8</v>
      </c>
      <c r="AL517" s="23">
        <f>IFERROR(Data!$F517/Data!$E517,0)</f>
        <v>45.357142857142854</v>
      </c>
      <c r="AM517" s="23">
        <f>COUNTIF(Data!$N$2:$N$825,Data!$N517)</f>
        <v>218</v>
      </c>
      <c r="AN517" s="23" t="str">
        <f>VLOOKUP(Data!$N517,'Helpful Tables'!A:D,4,FALSE)</f>
        <v>Washington, DC</v>
      </c>
      <c r="AO517" s="23">
        <f>COUNTIF(AN:AN,Data!$AN517)/COUNTA(AN:AN)</f>
        <v>0.62424242424242427</v>
      </c>
      <c r="AP517" s="23">
        <v>38.934710000000003</v>
      </c>
      <c r="AQ517" s="23">
        <v>-77.058222999999998</v>
      </c>
      <c r="AR517" s="23">
        <f>COUNTIF(Data!$P$2:$P$825,Data!$P517)</f>
        <v>10</v>
      </c>
      <c r="AS517" s="23" cm="1">
        <f t="array" ref="AS517">_xlfn.IFS(Data!$E517&lt;12,((Data!$E517/Data!$D517)*60)*1,AND(Data!$E517&gt;=12,Data!$E517&lt;=15),((Data!$E517/Data!$D517)*60)*1.2,AND(Data!$E517&gt;=16,Data!$E517&lt;=19),((Data!$E517/Data!$D517)*60)*1.5,Data!$E517&gt;=20,((Data!$E517/Data!$D517)*60)*1.8)</f>
        <v>17.084745762711865</v>
      </c>
      <c r="AT517" s="23" cm="1">
        <f t="array" ref="AT517">_xlfn.IFS(Data!$F517&lt;600,((Data!$F517/Data!$D517)*60)*1,AND(Data!$F517&gt;=600,Data!$F517&lt;=625),((Data!$F517/Data!$D517)*60)*1.2,AND(Data!$F517&gt;=626,Data!$F517&lt;=650),((Data!$F517/Data!$D517)*60)*1.5,Data!$F517&gt;=651,((Data!$F517/Data!$D517)*60)*1.8)</f>
        <v>968.64406779661022</v>
      </c>
      <c r="AU517" s="23">
        <f>(Data!$I517*-1.2)+(Data!$J517*-1.1)+(Data!$K517*1.2)+(Data!$L517*1.3)+(Data!$M517*1.5)</f>
        <v>-2.5999999999999979</v>
      </c>
      <c r="AV517" s="23">
        <f>(Data!$AS517*0.4)+(Data!$AT517*0.4)+(Data!$AU517*0.2)</f>
        <v>393.77152542372886</v>
      </c>
      <c r="AW517" s="35">
        <f>PERCENTRANK(AV:AV,Data!$AV517)*100</f>
        <v>48.6</v>
      </c>
      <c r="AX517" s="23" t="str">
        <f>_xlfn.CONCAT(TEXT(C517,"mmm"),"-",Data!$AE517)</f>
        <v>Aug-2023</v>
      </c>
    </row>
    <row r="518" spans="1:50" ht="17" thickTop="1" thickBot="1" x14ac:dyDescent="0.25">
      <c r="A518" s="28">
        <v>517</v>
      </c>
      <c r="B518" s="29">
        <f t="shared" si="66"/>
        <v>10</v>
      </c>
      <c r="C518" s="41">
        <v>45166</v>
      </c>
      <c r="D518" s="30">
        <f>SUM(Data!$I518:$M518)</f>
        <v>61</v>
      </c>
      <c r="E518" s="29">
        <v>18</v>
      </c>
      <c r="F518" s="29">
        <v>699</v>
      </c>
      <c r="G518" s="29">
        <v>166</v>
      </c>
      <c r="H518" s="29">
        <v>131</v>
      </c>
      <c r="I518" s="29">
        <v>6</v>
      </c>
      <c r="J518" s="29">
        <v>20</v>
      </c>
      <c r="K518" s="29">
        <v>17</v>
      </c>
      <c r="L518" s="29">
        <v>17</v>
      </c>
      <c r="M518" s="29">
        <v>1</v>
      </c>
      <c r="N518" s="29" t="s">
        <v>101</v>
      </c>
      <c r="O518" s="29" t="s">
        <v>107</v>
      </c>
      <c r="P518" s="29" t="s">
        <v>189</v>
      </c>
      <c r="Q518" s="29">
        <f t="shared" si="72"/>
        <v>1</v>
      </c>
      <c r="R518" s="29" t="str">
        <f t="shared" si="67"/>
        <v>8-2023</v>
      </c>
      <c r="S518" s="29" t="s">
        <v>104</v>
      </c>
      <c r="T518" s="29" t="str">
        <f t="shared" si="68"/>
        <v>Monday</v>
      </c>
      <c r="U518" s="29">
        <f t="shared" si="69"/>
        <v>1</v>
      </c>
      <c r="V518" s="31">
        <f>IFERROR(Data!$I518/Data!$D518,"")</f>
        <v>9.8360655737704916E-2</v>
      </c>
      <c r="W518" s="31">
        <f>IFERROR(Data!$J518/Data!$D518,"")</f>
        <v>0.32786885245901637</v>
      </c>
      <c r="X518" s="31">
        <f>IFERROR(Data!$K518/Data!$D518,"")</f>
        <v>0.27868852459016391</v>
      </c>
      <c r="Y518" s="31">
        <f>IFERROR(Data!$L518/Data!$D518,"")</f>
        <v>0.27868852459016391</v>
      </c>
      <c r="Z518" s="31">
        <f>IFERROR(Data!$M518/Data!$D518,"")</f>
        <v>1.6393442622950821E-2</v>
      </c>
      <c r="AA518" s="32">
        <v>232.14</v>
      </c>
      <c r="AB518" s="32">
        <f t="shared" si="65"/>
        <v>23.213999999999999</v>
      </c>
      <c r="AC518" s="29">
        <f t="shared" si="70"/>
        <v>660.7</v>
      </c>
      <c r="AD518" s="29">
        <f t="shared" si="71"/>
        <v>16.399999999999999</v>
      </c>
      <c r="AE518" s="29">
        <f>YEAR(Data!$C518)</f>
        <v>2023</v>
      </c>
      <c r="AF518" s="29"/>
      <c r="AG518" s="29">
        <v>12</v>
      </c>
      <c r="AH518" s="33">
        <f>Data!$F518/Data!$D518</f>
        <v>11.459016393442623</v>
      </c>
      <c r="AI518" s="17" t="str">
        <f>RIGHT(Data!$O518,2)</f>
        <v>AM</v>
      </c>
      <c r="AJ518" s="29" t="str">
        <f>Data!$R518&amp;"-"&amp;WEEKNUM(Data!$C518,1)-WEEKNUM(DATE(YEAR(Data!$C518),MONTH(Data!$C518),1),1)+1</f>
        <v>8-2023-5</v>
      </c>
      <c r="AK518" s="29">
        <f>MONTH(Data!$C518)</f>
        <v>8</v>
      </c>
      <c r="AL518" s="29">
        <f>IFERROR(Data!$F518/Data!$E518,0)</f>
        <v>38.833333333333336</v>
      </c>
      <c r="AM518" s="29">
        <f>COUNTIF(Data!$N$2:$N$825,Data!$N518)</f>
        <v>191</v>
      </c>
      <c r="AN518" s="29" t="str">
        <f>VLOOKUP(Data!$N518,'Helpful Tables'!A:D,4,FALSE)</f>
        <v>Washington, DC</v>
      </c>
      <c r="AO518" s="29">
        <f>COUNTIF(AN:AN,Data!$AN518)/COUNTA(AN:AN)</f>
        <v>0.62424242424242427</v>
      </c>
      <c r="AP518" s="29">
        <v>38.949649000000001</v>
      </c>
      <c r="AQ518" s="29">
        <v>-77.080878999999996</v>
      </c>
      <c r="AR518" s="29">
        <f>COUNTIF(Data!$P$2:$P$825,Data!$P518)</f>
        <v>8</v>
      </c>
      <c r="AS518" s="29" cm="1">
        <f t="array" ref="AS518">_xlfn.IFS(Data!$E518&lt;12,((Data!$E518/Data!$D518)*60)*1,AND(Data!$E518&gt;=12,Data!$E518&lt;=15),((Data!$E518/Data!$D518)*60)*1.2,AND(Data!$E518&gt;=16,Data!$E518&lt;=19),((Data!$E518/Data!$D518)*60)*1.5,Data!$E518&gt;=20,((Data!$E518/Data!$D518)*60)*1.8)</f>
        <v>26.557377049180328</v>
      </c>
      <c r="AT518" s="29" cm="1">
        <f t="array" ref="AT518">_xlfn.IFS(Data!$F518&lt;600,((Data!$F518/Data!$D518)*60)*1,AND(Data!$F518&gt;=600,Data!$F518&lt;=625),((Data!$F518/Data!$D518)*60)*1.2,AND(Data!$F518&gt;=626,Data!$F518&lt;=650),((Data!$F518/Data!$D518)*60)*1.5,Data!$F518&gt;=651,((Data!$F518/Data!$D518)*60)*1.8)</f>
        <v>1237.5737704918033</v>
      </c>
      <c r="AU518" s="29">
        <f>(Data!$I518*-1.2)+(Data!$J518*-1.1)+(Data!$K518*1.2)+(Data!$L518*1.3)+(Data!$M518*1.5)</f>
        <v>14.8</v>
      </c>
      <c r="AV518" s="29">
        <f>(Data!$AS518*0.4)+(Data!$AT518*0.4)+(Data!$AU518*0.2)</f>
        <v>508.61245901639347</v>
      </c>
      <c r="AW518" s="34">
        <f>PERCENTRANK(AV:AV,Data!$AV518)*100</f>
        <v>83.3</v>
      </c>
      <c r="AX518" s="29" t="str">
        <f>_xlfn.CONCAT(TEXT(C518,"mmm"),"-",Data!$AE518)</f>
        <v>Aug-2023</v>
      </c>
    </row>
    <row r="519" spans="1:50" ht="17" thickTop="1" thickBot="1" x14ac:dyDescent="0.25">
      <c r="A519" s="22">
        <v>518</v>
      </c>
      <c r="B519" s="23">
        <f t="shared" si="66"/>
        <v>13</v>
      </c>
      <c r="C519" s="41">
        <v>45170</v>
      </c>
      <c r="D519" s="24">
        <f>SUM(Data!$I519:$M519)</f>
        <v>57</v>
      </c>
      <c r="E519" s="23">
        <v>8</v>
      </c>
      <c r="F519" s="23">
        <v>596</v>
      </c>
      <c r="G519" s="23">
        <v>162</v>
      </c>
      <c r="H519" s="23">
        <v>123</v>
      </c>
      <c r="I519" s="23">
        <v>14</v>
      </c>
      <c r="J519" s="23">
        <v>17</v>
      </c>
      <c r="K519" s="23">
        <v>18</v>
      </c>
      <c r="L519" s="23">
        <v>8</v>
      </c>
      <c r="M519" s="23">
        <v>0</v>
      </c>
      <c r="N519" s="23" t="s">
        <v>101</v>
      </c>
      <c r="O519" s="23" t="s">
        <v>190</v>
      </c>
      <c r="P519" s="23" t="s">
        <v>148</v>
      </c>
      <c r="Q519" s="23">
        <f t="shared" si="72"/>
        <v>4</v>
      </c>
      <c r="R519" s="23" t="str">
        <f t="shared" si="67"/>
        <v>9-2023</v>
      </c>
      <c r="S519" s="23" t="s">
        <v>104</v>
      </c>
      <c r="T519" s="23" t="str">
        <f t="shared" si="68"/>
        <v>Friday</v>
      </c>
      <c r="U519" s="23">
        <f t="shared" si="69"/>
        <v>0</v>
      </c>
      <c r="V519" s="25">
        <f>IFERROR(Data!$I519/Data!$D519,"")</f>
        <v>0.24561403508771928</v>
      </c>
      <c r="W519" s="25">
        <f>IFERROR(Data!$J519/Data!$D519,"")</f>
        <v>0.2982456140350877</v>
      </c>
      <c r="X519" s="25">
        <f>IFERROR(Data!$K519/Data!$D519,"")</f>
        <v>0.31578947368421051</v>
      </c>
      <c r="Y519" s="25">
        <f>IFERROR(Data!$L519/Data!$D519,"")</f>
        <v>0.14035087719298245</v>
      </c>
      <c r="Z519" s="25">
        <f>IFERROR(Data!$M519/Data!$D519,"")</f>
        <v>0</v>
      </c>
      <c r="AA519" s="26">
        <v>232.14</v>
      </c>
      <c r="AB519" s="26">
        <f t="shared" si="65"/>
        <v>17.856923076923074</v>
      </c>
      <c r="AC519" s="23">
        <f t="shared" si="70"/>
        <v>638</v>
      </c>
      <c r="AD519" s="23">
        <f t="shared" si="71"/>
        <v>13.307692307692308</v>
      </c>
      <c r="AE519" s="23">
        <f>YEAR(Data!$C519)</f>
        <v>2023</v>
      </c>
      <c r="AF519" s="23"/>
      <c r="AG519" s="23">
        <v>12</v>
      </c>
      <c r="AH519" s="27">
        <f>Data!$F519/Data!$D519</f>
        <v>10.456140350877194</v>
      </c>
      <c r="AI519" s="17" t="str">
        <f>RIGHT(Data!$O519,2)</f>
        <v>AM</v>
      </c>
      <c r="AJ519" s="23" t="str">
        <f>Data!$R519&amp;"-"&amp;WEEKNUM(Data!$C519,1)-WEEKNUM(DATE(YEAR(Data!$C519),MONTH(Data!$C519),1),1)+1</f>
        <v>9-2023-1</v>
      </c>
      <c r="AK519" s="23">
        <f>MONTH(Data!$C519)</f>
        <v>9</v>
      </c>
      <c r="AL519" s="23">
        <f>IFERROR(Data!$F519/Data!$E519,0)</f>
        <v>74.5</v>
      </c>
      <c r="AM519" s="23">
        <f>COUNTIF(Data!$N$2:$N$825,Data!$N519)</f>
        <v>191</v>
      </c>
      <c r="AN519" s="23" t="str">
        <f>VLOOKUP(Data!$N519,'Helpful Tables'!A:D,4,FALSE)</f>
        <v>Washington, DC</v>
      </c>
      <c r="AO519" s="23">
        <f>COUNTIF(AN:AN,Data!$AN519)/COUNTA(AN:AN)</f>
        <v>0.62424242424242427</v>
      </c>
      <c r="AP519" s="23">
        <v>38.949649000000001</v>
      </c>
      <c r="AQ519" s="23">
        <v>-77.080878999999996</v>
      </c>
      <c r="AR519" s="23">
        <f>COUNTIF(Data!$P$2:$P$825,Data!$P519)</f>
        <v>14</v>
      </c>
      <c r="AS519" s="23" cm="1">
        <f t="array" ref="AS519">_xlfn.IFS(Data!$E519&lt;12,((Data!$E519/Data!$D519)*60)*1,AND(Data!$E519&gt;=12,Data!$E519&lt;=15),((Data!$E519/Data!$D519)*60)*1.2,AND(Data!$E519&gt;=16,Data!$E519&lt;=19),((Data!$E519/Data!$D519)*60)*1.5,Data!$E519&gt;=20,((Data!$E519/Data!$D519)*60)*1.8)</f>
        <v>8.4210526315789469</v>
      </c>
      <c r="AT519" s="23" cm="1">
        <f t="array" ref="AT519">_xlfn.IFS(Data!$F519&lt;600,((Data!$F519/Data!$D519)*60)*1,AND(Data!$F519&gt;=600,Data!$F519&lt;=625),((Data!$F519/Data!$D519)*60)*1.2,AND(Data!$F519&gt;=626,Data!$F519&lt;=650),((Data!$F519/Data!$D519)*60)*1.5,Data!$F519&gt;=651,((Data!$F519/Data!$D519)*60)*1.8)</f>
        <v>627.36842105263156</v>
      </c>
      <c r="AU519" s="23">
        <f>(Data!$I519*-1.2)+(Data!$J519*-1.1)+(Data!$K519*1.2)+(Data!$L519*1.3)+(Data!$M519*1.5)</f>
        <v>-3.5000000000000018</v>
      </c>
      <c r="AV519" s="23">
        <f>(Data!$AS519*0.4)+(Data!$AT519*0.4)+(Data!$AU519*0.2)</f>
        <v>253.61578947368423</v>
      </c>
      <c r="AW519" s="35">
        <f>PERCENTRANK(AV:AV,Data!$AV519)*100</f>
        <v>18.3</v>
      </c>
      <c r="AX519" s="23" t="str">
        <f>_xlfn.CONCAT(TEXT(C519,"mmm"),"-",Data!$AE519)</f>
        <v>Sep-2023</v>
      </c>
    </row>
    <row r="520" spans="1:50" ht="17" thickTop="1" thickBot="1" x14ac:dyDescent="0.25">
      <c r="A520" s="28">
        <v>519</v>
      </c>
      <c r="B520" s="29">
        <f t="shared" si="66"/>
        <v>13</v>
      </c>
      <c r="C520" s="41">
        <v>45172</v>
      </c>
      <c r="D520" s="30">
        <f>SUM(Data!$I520:$M520)</f>
        <v>58</v>
      </c>
      <c r="E520" s="29">
        <v>16</v>
      </c>
      <c r="F520" s="29">
        <v>652</v>
      </c>
      <c r="G520" s="29">
        <v>168</v>
      </c>
      <c r="H520" s="29">
        <v>129</v>
      </c>
      <c r="I520" s="29">
        <v>12</v>
      </c>
      <c r="J520" s="29">
        <v>15</v>
      </c>
      <c r="K520" s="29">
        <v>15</v>
      </c>
      <c r="L520" s="29">
        <v>15</v>
      </c>
      <c r="M520" s="29">
        <v>1</v>
      </c>
      <c r="N520" s="29" t="s">
        <v>162</v>
      </c>
      <c r="O520" s="29" t="s">
        <v>45</v>
      </c>
      <c r="P520" s="29" t="s">
        <v>191</v>
      </c>
      <c r="Q520" s="29">
        <f t="shared" si="72"/>
        <v>2</v>
      </c>
      <c r="R520" s="29" t="str">
        <f t="shared" si="67"/>
        <v>9-2023</v>
      </c>
      <c r="S520" s="29" t="s">
        <v>104</v>
      </c>
      <c r="T520" s="29" t="str">
        <f t="shared" si="68"/>
        <v>Sunday</v>
      </c>
      <c r="U520" s="29">
        <f t="shared" si="69"/>
        <v>1</v>
      </c>
      <c r="V520" s="31">
        <f>IFERROR(Data!$I520/Data!$D520,"")</f>
        <v>0.20689655172413793</v>
      </c>
      <c r="W520" s="31">
        <f>IFERROR(Data!$J520/Data!$D520,"")</f>
        <v>0.25862068965517243</v>
      </c>
      <c r="X520" s="31">
        <f>IFERROR(Data!$K520/Data!$D520,"")</f>
        <v>0.25862068965517243</v>
      </c>
      <c r="Y520" s="31">
        <f>IFERROR(Data!$L520/Data!$D520,"")</f>
        <v>0.25862068965517243</v>
      </c>
      <c r="Z520" s="31">
        <f>IFERROR(Data!$M520/Data!$D520,"")</f>
        <v>1.7241379310344827E-2</v>
      </c>
      <c r="AA520" s="32">
        <v>232.14</v>
      </c>
      <c r="AB520" s="32">
        <f t="shared" si="65"/>
        <v>17.856923076923074</v>
      </c>
      <c r="AC520" s="29">
        <f t="shared" si="70"/>
        <v>638</v>
      </c>
      <c r="AD520" s="29">
        <f t="shared" si="71"/>
        <v>13.307692307692308</v>
      </c>
      <c r="AE520" s="29">
        <f>YEAR(Data!$C520)</f>
        <v>2023</v>
      </c>
      <c r="AF520" s="29"/>
      <c r="AG520" s="29">
        <v>12</v>
      </c>
      <c r="AH520" s="33">
        <f>Data!$F520/Data!$D520</f>
        <v>11.241379310344827</v>
      </c>
      <c r="AI520" s="17" t="str">
        <f>RIGHT(Data!$O520,2)</f>
        <v>AM</v>
      </c>
      <c r="AJ520" s="29" t="str">
        <f>Data!$R520&amp;"-"&amp;WEEKNUM(Data!$C520,1)-WEEKNUM(DATE(YEAR(Data!$C520),MONTH(Data!$C520),1),1)+1</f>
        <v>9-2023-2</v>
      </c>
      <c r="AK520" s="29">
        <f>MONTH(Data!$C520)</f>
        <v>9</v>
      </c>
      <c r="AL520" s="29">
        <f>IFERROR(Data!$F520/Data!$E520,0)</f>
        <v>40.75</v>
      </c>
      <c r="AM520" s="29">
        <f>COUNTIF(Data!$N$2:$N$825,Data!$N520)</f>
        <v>5</v>
      </c>
      <c r="AN520" s="29" t="str">
        <f>VLOOKUP(Data!$N520,'Helpful Tables'!A:D,4,FALSE)</f>
        <v>Maryland</v>
      </c>
      <c r="AO520" s="29">
        <f>COUNTIF(AN:AN,Data!$AN520)/COUNTA(AN:AN)</f>
        <v>6.0606060606060606E-3</v>
      </c>
      <c r="AP520" s="29">
        <v>38.989806999999999</v>
      </c>
      <c r="AQ520" s="29">
        <v>-77.096371000000005</v>
      </c>
      <c r="AR520" s="29">
        <f>COUNTIF(Data!$P$2:$P$825,Data!$P520)</f>
        <v>1</v>
      </c>
      <c r="AS520" s="29" cm="1">
        <f t="array" ref="AS520">_xlfn.IFS(Data!$E520&lt;12,((Data!$E520/Data!$D520)*60)*1,AND(Data!$E520&gt;=12,Data!$E520&lt;=15),((Data!$E520/Data!$D520)*60)*1.2,AND(Data!$E520&gt;=16,Data!$E520&lt;=19),((Data!$E520/Data!$D520)*60)*1.5,Data!$E520&gt;=20,((Data!$E520/Data!$D520)*60)*1.8)</f>
        <v>24.827586206896555</v>
      </c>
      <c r="AT520" s="29" cm="1">
        <f t="array" ref="AT520">_xlfn.IFS(Data!$F520&lt;600,((Data!$F520/Data!$D520)*60)*1,AND(Data!$F520&gt;=600,Data!$F520&lt;=625),((Data!$F520/Data!$D520)*60)*1.2,AND(Data!$F520&gt;=626,Data!$F520&lt;=650),((Data!$F520/Data!$D520)*60)*1.5,Data!$F520&gt;=651,((Data!$F520/Data!$D520)*60)*1.8)</f>
        <v>1214.0689655172414</v>
      </c>
      <c r="AU520" s="29">
        <f>(Data!$I520*-1.2)+(Data!$J520*-1.1)+(Data!$K520*1.2)+(Data!$L520*1.3)+(Data!$M520*1.5)</f>
        <v>8.1000000000000014</v>
      </c>
      <c r="AV520" s="29">
        <f>(Data!$AS520*0.4)+(Data!$AT520*0.4)+(Data!$AU520*0.2)</f>
        <v>497.17862068965519</v>
      </c>
      <c r="AW520" s="34">
        <f>PERCENTRANK(AV:AV,Data!$AV520)*100</f>
        <v>76.099999999999994</v>
      </c>
      <c r="AX520" s="29" t="str">
        <f>_xlfn.CONCAT(TEXT(C520,"mmm"),"-",Data!$AE520)</f>
        <v>Sep-2023</v>
      </c>
    </row>
    <row r="521" spans="1:50" ht="17" thickTop="1" thickBot="1" x14ac:dyDescent="0.25">
      <c r="A521" s="22">
        <v>520</v>
      </c>
      <c r="B521" s="23">
        <f t="shared" si="66"/>
        <v>13</v>
      </c>
      <c r="C521" s="41">
        <v>45175</v>
      </c>
      <c r="D521" s="24">
        <f>SUM(Data!$I521:$M521)</f>
        <v>58</v>
      </c>
      <c r="E521" s="23">
        <v>20</v>
      </c>
      <c r="F521" s="23">
        <v>735</v>
      </c>
      <c r="G521" s="23">
        <v>170</v>
      </c>
      <c r="H521" s="23">
        <v>135</v>
      </c>
      <c r="I521" s="23">
        <v>4</v>
      </c>
      <c r="J521" s="23">
        <v>19</v>
      </c>
      <c r="K521" s="23">
        <v>15</v>
      </c>
      <c r="L521" s="23">
        <v>15</v>
      </c>
      <c r="M521" s="23">
        <v>5</v>
      </c>
      <c r="N521" s="23" t="s">
        <v>91</v>
      </c>
      <c r="O521" s="23" t="s">
        <v>57</v>
      </c>
      <c r="P521" s="23" t="s">
        <v>96</v>
      </c>
      <c r="Q521" s="23">
        <f t="shared" si="72"/>
        <v>3</v>
      </c>
      <c r="R521" s="23" t="str">
        <f t="shared" si="67"/>
        <v>9-2023</v>
      </c>
      <c r="S521" s="23" t="s">
        <v>104</v>
      </c>
      <c r="T521" s="23" t="str">
        <f t="shared" si="68"/>
        <v>Wednesday</v>
      </c>
      <c r="U521" s="23">
        <f t="shared" si="69"/>
        <v>1</v>
      </c>
      <c r="V521" s="25">
        <f>IFERROR(Data!$I521/Data!$D521,"")</f>
        <v>6.8965517241379309E-2</v>
      </c>
      <c r="W521" s="25">
        <f>IFERROR(Data!$J521/Data!$D521,"")</f>
        <v>0.32758620689655171</v>
      </c>
      <c r="X521" s="25">
        <f>IFERROR(Data!$K521/Data!$D521,"")</f>
        <v>0.25862068965517243</v>
      </c>
      <c r="Y521" s="25">
        <f>IFERROR(Data!$L521/Data!$D521,"")</f>
        <v>0.25862068965517243</v>
      </c>
      <c r="Z521" s="25">
        <f>IFERROR(Data!$M521/Data!$D521,"")</f>
        <v>8.6206896551724144E-2</v>
      </c>
      <c r="AA521" s="26">
        <v>232.14</v>
      </c>
      <c r="AB521" s="26">
        <f t="shared" si="65"/>
        <v>17.856923076923074</v>
      </c>
      <c r="AC521" s="23">
        <f t="shared" si="70"/>
        <v>638</v>
      </c>
      <c r="AD521" s="23">
        <f t="shared" si="71"/>
        <v>13.307692307692308</v>
      </c>
      <c r="AE521" s="23">
        <f>YEAR(Data!$C521)</f>
        <v>2023</v>
      </c>
      <c r="AF521" s="23"/>
      <c r="AG521" s="23">
        <v>12</v>
      </c>
      <c r="AH521" s="27">
        <f>Data!$F521/Data!$D521</f>
        <v>12.672413793103448</v>
      </c>
      <c r="AI521" s="17" t="str">
        <f>RIGHT(Data!$O521,2)</f>
        <v>PM</v>
      </c>
      <c r="AJ521" s="23" t="str">
        <f>Data!$R521&amp;"-"&amp;WEEKNUM(Data!$C521,1)-WEEKNUM(DATE(YEAR(Data!$C521),MONTH(Data!$C521),1),1)+1</f>
        <v>9-2023-2</v>
      </c>
      <c r="AK521" s="23">
        <f>MONTH(Data!$C521)</f>
        <v>9</v>
      </c>
      <c r="AL521" s="23">
        <f>IFERROR(Data!$F521/Data!$E521,0)</f>
        <v>36.75</v>
      </c>
      <c r="AM521" s="23">
        <f>COUNTIF(Data!$N$2:$N$825,Data!$N521)</f>
        <v>218</v>
      </c>
      <c r="AN521" s="23" t="str">
        <f>VLOOKUP(Data!$N521,'Helpful Tables'!A:D,4,FALSE)</f>
        <v>Washington, DC</v>
      </c>
      <c r="AO521" s="23">
        <f>COUNTIF(AN:AN,Data!$AN521)/COUNTA(AN:AN)</f>
        <v>0.62424242424242427</v>
      </c>
      <c r="AP521" s="23">
        <v>38.934710000000003</v>
      </c>
      <c r="AQ521" s="23">
        <v>-77.058222999999998</v>
      </c>
      <c r="AR521" s="23">
        <f>COUNTIF(Data!$P$2:$P$825,Data!$P521)</f>
        <v>71</v>
      </c>
      <c r="AS521" s="23" cm="1">
        <f t="array" ref="AS521">_xlfn.IFS(Data!$E521&lt;12,((Data!$E521/Data!$D521)*60)*1,AND(Data!$E521&gt;=12,Data!$E521&lt;=15),((Data!$E521/Data!$D521)*60)*1.2,AND(Data!$E521&gt;=16,Data!$E521&lt;=19),((Data!$E521/Data!$D521)*60)*1.5,Data!$E521&gt;=20,((Data!$E521/Data!$D521)*60)*1.8)</f>
        <v>37.241379310344833</v>
      </c>
      <c r="AT521" s="23" cm="1">
        <f t="array" ref="AT521">_xlfn.IFS(Data!$F521&lt;600,((Data!$F521/Data!$D521)*60)*1,AND(Data!$F521&gt;=600,Data!$F521&lt;=625),((Data!$F521/Data!$D521)*60)*1.2,AND(Data!$F521&gt;=626,Data!$F521&lt;=650),((Data!$F521/Data!$D521)*60)*1.5,Data!$F521&gt;=651,((Data!$F521/Data!$D521)*60)*1.8)</f>
        <v>1368.6206896551723</v>
      </c>
      <c r="AU521" s="23">
        <f>(Data!$I521*-1.2)+(Data!$J521*-1.1)+(Data!$K521*1.2)+(Data!$L521*1.3)+(Data!$M521*1.5)</f>
        <v>19.299999999999997</v>
      </c>
      <c r="AV521" s="23">
        <f>(Data!$AS521*0.4)+(Data!$AT521*0.4)+(Data!$AU521*0.2)</f>
        <v>566.20482758620687</v>
      </c>
      <c r="AW521" s="35">
        <f>PERCENTRANK(AV:AV,Data!$AV521)*100</f>
        <v>99.3</v>
      </c>
      <c r="AX521" s="23" t="str">
        <f>_xlfn.CONCAT(TEXT(C521,"mmm"),"-",Data!$AE521)</f>
        <v>Sep-2023</v>
      </c>
    </row>
    <row r="522" spans="1:50" ht="17" thickTop="1" thickBot="1" x14ac:dyDescent="0.25">
      <c r="A522" s="28">
        <v>521</v>
      </c>
      <c r="B522" s="29">
        <f t="shared" si="66"/>
        <v>13</v>
      </c>
      <c r="C522" s="41">
        <v>45176</v>
      </c>
      <c r="D522" s="30">
        <f>SUM(Data!$I522:$M522)</f>
        <v>60</v>
      </c>
      <c r="E522" s="29">
        <v>14</v>
      </c>
      <c r="F522" s="29">
        <v>645</v>
      </c>
      <c r="G522" s="29">
        <v>165</v>
      </c>
      <c r="H522" s="29">
        <v>122</v>
      </c>
      <c r="I522" s="29">
        <v>19</v>
      </c>
      <c r="J522" s="29">
        <v>11</v>
      </c>
      <c r="K522" s="29">
        <v>16</v>
      </c>
      <c r="L522" s="29">
        <v>13</v>
      </c>
      <c r="M522" s="29">
        <v>1</v>
      </c>
      <c r="N522" s="29" t="s">
        <v>101</v>
      </c>
      <c r="O522" s="29" t="s">
        <v>173</v>
      </c>
      <c r="P522" s="29" t="s">
        <v>118</v>
      </c>
      <c r="Q522" s="29">
        <f t="shared" si="72"/>
        <v>1</v>
      </c>
      <c r="R522" s="29" t="str">
        <f t="shared" si="67"/>
        <v>9-2023</v>
      </c>
      <c r="S522" s="29" t="s">
        <v>104</v>
      </c>
      <c r="T522" s="29" t="str">
        <f t="shared" si="68"/>
        <v>Thursday</v>
      </c>
      <c r="U522" s="29">
        <f t="shared" si="69"/>
        <v>1</v>
      </c>
      <c r="V522" s="31">
        <f>IFERROR(Data!$I522/Data!$D522,"")</f>
        <v>0.31666666666666665</v>
      </c>
      <c r="W522" s="31">
        <f>IFERROR(Data!$J522/Data!$D522,"")</f>
        <v>0.18333333333333332</v>
      </c>
      <c r="X522" s="31">
        <f>IFERROR(Data!$K522/Data!$D522,"")</f>
        <v>0.26666666666666666</v>
      </c>
      <c r="Y522" s="31">
        <f>IFERROR(Data!$L522/Data!$D522,"")</f>
        <v>0.21666666666666667</v>
      </c>
      <c r="Z522" s="31">
        <f>IFERROR(Data!$M522/Data!$D522,"")</f>
        <v>1.6666666666666666E-2</v>
      </c>
      <c r="AA522" s="32">
        <v>232.14</v>
      </c>
      <c r="AB522" s="32">
        <f t="shared" si="65"/>
        <v>17.856923076923074</v>
      </c>
      <c r="AC522" s="29">
        <f t="shared" si="70"/>
        <v>638</v>
      </c>
      <c r="AD522" s="29">
        <f t="shared" si="71"/>
        <v>13.307692307692308</v>
      </c>
      <c r="AE522" s="29">
        <f>YEAR(Data!$C522)</f>
        <v>2023</v>
      </c>
      <c r="AF522" s="29"/>
      <c r="AG522" s="29">
        <v>12</v>
      </c>
      <c r="AH522" s="33">
        <f>Data!$F522/Data!$D522</f>
        <v>10.75</v>
      </c>
      <c r="AI522" s="17" t="str">
        <f>RIGHT(Data!$O522,2)</f>
        <v>PM</v>
      </c>
      <c r="AJ522" s="29" t="str">
        <f>Data!$R522&amp;"-"&amp;WEEKNUM(Data!$C522,1)-WEEKNUM(DATE(YEAR(Data!$C522),MONTH(Data!$C522),1),1)+1</f>
        <v>9-2023-2</v>
      </c>
      <c r="AK522" s="29">
        <f>MONTH(Data!$C522)</f>
        <v>9</v>
      </c>
      <c r="AL522" s="29">
        <f>IFERROR(Data!$F522/Data!$E522,0)</f>
        <v>46.071428571428569</v>
      </c>
      <c r="AM522" s="29">
        <f>COUNTIF(Data!$N$2:$N$825,Data!$N522)</f>
        <v>191</v>
      </c>
      <c r="AN522" s="29" t="str">
        <f>VLOOKUP(Data!$N522,'Helpful Tables'!A:D,4,FALSE)</f>
        <v>Washington, DC</v>
      </c>
      <c r="AO522" s="29">
        <f>COUNTIF(AN:AN,Data!$AN522)/COUNTA(AN:AN)</f>
        <v>0.62424242424242427</v>
      </c>
      <c r="AP522" s="29">
        <v>38.949649000000001</v>
      </c>
      <c r="AQ522" s="29">
        <v>-77.080878999999996</v>
      </c>
      <c r="AR522" s="29">
        <f>COUNTIF(Data!$P$2:$P$825,Data!$P522)</f>
        <v>16</v>
      </c>
      <c r="AS522" s="29" cm="1">
        <f t="array" ref="AS522">_xlfn.IFS(Data!$E522&lt;12,((Data!$E522/Data!$D522)*60)*1,AND(Data!$E522&gt;=12,Data!$E522&lt;=15),((Data!$E522/Data!$D522)*60)*1.2,AND(Data!$E522&gt;=16,Data!$E522&lt;=19),((Data!$E522/Data!$D522)*60)*1.5,Data!$E522&gt;=20,((Data!$E522/Data!$D522)*60)*1.8)</f>
        <v>16.8</v>
      </c>
      <c r="AT522" s="29" cm="1">
        <f t="array" ref="AT522">_xlfn.IFS(Data!$F522&lt;600,((Data!$F522/Data!$D522)*60)*1,AND(Data!$F522&gt;=600,Data!$F522&lt;=625),((Data!$F522/Data!$D522)*60)*1.2,AND(Data!$F522&gt;=626,Data!$F522&lt;=650),((Data!$F522/Data!$D522)*60)*1.5,Data!$F522&gt;=651,((Data!$F522/Data!$D522)*60)*1.8)</f>
        <v>967.5</v>
      </c>
      <c r="AU522" s="29">
        <f>(Data!$I522*-1.2)+(Data!$J522*-1.1)+(Data!$K522*1.2)+(Data!$L522*1.3)+(Data!$M522*1.5)</f>
        <v>2.6999999999999957</v>
      </c>
      <c r="AV522" s="29">
        <f>(Data!$AS522*0.4)+(Data!$AT522*0.4)+(Data!$AU522*0.2)</f>
        <v>394.26000000000005</v>
      </c>
      <c r="AW522" s="34">
        <f>PERCENTRANK(AV:AV,Data!$AV522)*100</f>
        <v>49</v>
      </c>
      <c r="AX522" s="29" t="str">
        <f>_xlfn.CONCAT(TEXT(C522,"mmm"),"-",Data!$AE522)</f>
        <v>Sep-2023</v>
      </c>
    </row>
    <row r="523" spans="1:50" ht="17" thickTop="1" thickBot="1" x14ac:dyDescent="0.25">
      <c r="A523" s="22">
        <v>522</v>
      </c>
      <c r="B523" s="23">
        <f t="shared" si="66"/>
        <v>13</v>
      </c>
      <c r="C523" s="41">
        <v>45179</v>
      </c>
      <c r="D523" s="24">
        <f>SUM(Data!$I523:$M523)</f>
        <v>62</v>
      </c>
      <c r="E523" s="23">
        <v>13</v>
      </c>
      <c r="F523" s="23">
        <v>649</v>
      </c>
      <c r="G523" s="23">
        <v>166</v>
      </c>
      <c r="H523" s="23">
        <v>123</v>
      </c>
      <c r="I523" s="23">
        <v>16</v>
      </c>
      <c r="J523" s="23">
        <v>20</v>
      </c>
      <c r="K523" s="23">
        <v>13</v>
      </c>
      <c r="L523" s="23">
        <v>12</v>
      </c>
      <c r="M523" s="23">
        <v>1</v>
      </c>
      <c r="N523" s="23" t="s">
        <v>101</v>
      </c>
      <c r="O523" s="23" t="s">
        <v>93</v>
      </c>
      <c r="P523" s="23" t="s">
        <v>189</v>
      </c>
      <c r="Q523" s="23">
        <f t="shared" si="72"/>
        <v>3</v>
      </c>
      <c r="R523" s="23" t="str">
        <f t="shared" si="67"/>
        <v>9-2023</v>
      </c>
      <c r="S523" s="23" t="s">
        <v>104</v>
      </c>
      <c r="T523" s="23" t="str">
        <f t="shared" si="68"/>
        <v>Sunday</v>
      </c>
      <c r="U523" s="23">
        <f t="shared" si="69"/>
        <v>1</v>
      </c>
      <c r="V523" s="25">
        <f>IFERROR(Data!$I523/Data!$D523,"")</f>
        <v>0.25806451612903225</v>
      </c>
      <c r="W523" s="25">
        <f>IFERROR(Data!$J523/Data!$D523,"")</f>
        <v>0.32258064516129031</v>
      </c>
      <c r="X523" s="25">
        <f>IFERROR(Data!$K523/Data!$D523,"")</f>
        <v>0.20967741935483872</v>
      </c>
      <c r="Y523" s="25">
        <f>IFERROR(Data!$L523/Data!$D523,"")</f>
        <v>0.19354838709677419</v>
      </c>
      <c r="Z523" s="25">
        <f>IFERROR(Data!$M523/Data!$D523,"")</f>
        <v>1.6129032258064516E-2</v>
      </c>
      <c r="AA523" s="26">
        <v>232.14</v>
      </c>
      <c r="AB523" s="26">
        <f t="shared" si="65"/>
        <v>17.856923076923074</v>
      </c>
      <c r="AC523" s="23">
        <f t="shared" si="70"/>
        <v>638</v>
      </c>
      <c r="AD523" s="23">
        <f t="shared" si="71"/>
        <v>13.307692307692308</v>
      </c>
      <c r="AE523" s="23">
        <f>YEAR(Data!$C523)</f>
        <v>2023</v>
      </c>
      <c r="AF523" s="23"/>
      <c r="AG523" s="23">
        <v>12</v>
      </c>
      <c r="AH523" s="27">
        <f>Data!$F523/Data!$D523</f>
        <v>10.46774193548387</v>
      </c>
      <c r="AI523" s="17" t="str">
        <f>RIGHT(Data!$O523,2)</f>
        <v>AM</v>
      </c>
      <c r="AJ523" s="23" t="str">
        <f>Data!$R523&amp;"-"&amp;WEEKNUM(Data!$C523,1)-WEEKNUM(DATE(YEAR(Data!$C523),MONTH(Data!$C523),1),1)+1</f>
        <v>9-2023-3</v>
      </c>
      <c r="AK523" s="23">
        <f>MONTH(Data!$C523)</f>
        <v>9</v>
      </c>
      <c r="AL523" s="23">
        <f>IFERROR(Data!$F523/Data!$E523,0)</f>
        <v>49.92307692307692</v>
      </c>
      <c r="AM523" s="23">
        <f>COUNTIF(Data!$N$2:$N$825,Data!$N523)</f>
        <v>191</v>
      </c>
      <c r="AN523" s="23" t="str">
        <f>VLOOKUP(Data!$N523,'Helpful Tables'!A:D,4,FALSE)</f>
        <v>Washington, DC</v>
      </c>
      <c r="AO523" s="23">
        <f>COUNTIF(AN:AN,Data!$AN523)/COUNTA(AN:AN)</f>
        <v>0.62424242424242427</v>
      </c>
      <c r="AP523" s="23">
        <v>38.949649000000001</v>
      </c>
      <c r="AQ523" s="23">
        <v>-77.080878999999996</v>
      </c>
      <c r="AR523" s="23">
        <f>COUNTIF(Data!$P$2:$P$825,Data!$P523)</f>
        <v>8</v>
      </c>
      <c r="AS523" s="23" cm="1">
        <f t="array" ref="AS523">_xlfn.IFS(Data!$E523&lt;12,((Data!$E523/Data!$D523)*60)*1,AND(Data!$E523&gt;=12,Data!$E523&lt;=15),((Data!$E523/Data!$D523)*60)*1.2,AND(Data!$E523&gt;=16,Data!$E523&lt;=19),((Data!$E523/Data!$D523)*60)*1.5,Data!$E523&gt;=20,((Data!$E523/Data!$D523)*60)*1.8)</f>
        <v>15.096774193548388</v>
      </c>
      <c r="AT523" s="23" cm="1">
        <f t="array" ref="AT523">_xlfn.IFS(Data!$F523&lt;600,((Data!$F523/Data!$D523)*60)*1,AND(Data!$F523&gt;=600,Data!$F523&lt;=625),((Data!$F523/Data!$D523)*60)*1.2,AND(Data!$F523&gt;=626,Data!$F523&lt;=650),((Data!$F523/Data!$D523)*60)*1.5,Data!$F523&gt;=651,((Data!$F523/Data!$D523)*60)*1.8)</f>
        <v>942.0967741935483</v>
      </c>
      <c r="AU523" s="23">
        <f>(Data!$I523*-1.2)+(Data!$J523*-1.1)+(Data!$K523*1.2)+(Data!$L523*1.3)+(Data!$M523*1.5)</f>
        <v>-8.5</v>
      </c>
      <c r="AV523" s="23">
        <f>(Data!$AS523*0.4)+(Data!$AT523*0.4)+(Data!$AU523*0.2)</f>
        <v>381.17741935483872</v>
      </c>
      <c r="AW523" s="35">
        <f>PERCENTRANK(AV:AV,Data!$AV523)*100</f>
        <v>45.7</v>
      </c>
      <c r="AX523" s="23" t="str">
        <f>_xlfn.CONCAT(TEXT(C523,"mmm"),"-",Data!$AE523)</f>
        <v>Sep-2023</v>
      </c>
    </row>
    <row r="524" spans="1:50" ht="17" thickTop="1" thickBot="1" x14ac:dyDescent="0.25">
      <c r="A524" s="28">
        <v>523</v>
      </c>
      <c r="B524" s="29">
        <f t="shared" si="66"/>
        <v>13</v>
      </c>
      <c r="C524" s="41">
        <v>45181</v>
      </c>
      <c r="D524" s="30">
        <f>SUM(Data!$I524:$M524)</f>
        <v>58</v>
      </c>
      <c r="E524" s="29">
        <v>8</v>
      </c>
      <c r="F524" s="29">
        <v>564</v>
      </c>
      <c r="G524" s="29">
        <v>166</v>
      </c>
      <c r="H524" s="29">
        <v>118</v>
      </c>
      <c r="I524" s="29">
        <v>19</v>
      </c>
      <c r="J524" s="29">
        <v>18</v>
      </c>
      <c r="K524" s="29">
        <v>13</v>
      </c>
      <c r="L524" s="29">
        <v>7</v>
      </c>
      <c r="M524" s="29">
        <v>1</v>
      </c>
      <c r="N524" s="29" t="s">
        <v>91</v>
      </c>
      <c r="O524" s="29" t="s">
        <v>57</v>
      </c>
      <c r="P524" s="29" t="s">
        <v>188</v>
      </c>
      <c r="Q524" s="29">
        <f t="shared" si="72"/>
        <v>2</v>
      </c>
      <c r="R524" s="29" t="str">
        <f t="shared" si="67"/>
        <v>9-2023</v>
      </c>
      <c r="S524" s="29" t="s">
        <v>104</v>
      </c>
      <c r="T524" s="29" t="str">
        <f t="shared" si="68"/>
        <v>Tuesday</v>
      </c>
      <c r="U524" s="29">
        <f t="shared" si="69"/>
        <v>0</v>
      </c>
      <c r="V524" s="31">
        <f>IFERROR(Data!$I524/Data!$D524,"")</f>
        <v>0.32758620689655171</v>
      </c>
      <c r="W524" s="31">
        <f>IFERROR(Data!$J524/Data!$D524,"")</f>
        <v>0.31034482758620691</v>
      </c>
      <c r="X524" s="31">
        <f>IFERROR(Data!$K524/Data!$D524,"")</f>
        <v>0.22413793103448276</v>
      </c>
      <c r="Y524" s="31">
        <f>IFERROR(Data!$L524/Data!$D524,"")</f>
        <v>0.1206896551724138</v>
      </c>
      <c r="Z524" s="31">
        <f>IFERROR(Data!$M524/Data!$D524,"")</f>
        <v>1.7241379310344827E-2</v>
      </c>
      <c r="AA524" s="32">
        <v>232.14</v>
      </c>
      <c r="AB524" s="32">
        <f t="shared" si="65"/>
        <v>17.856923076923074</v>
      </c>
      <c r="AC524" s="29">
        <f t="shared" si="70"/>
        <v>638</v>
      </c>
      <c r="AD524" s="29">
        <f t="shared" si="71"/>
        <v>13.307692307692308</v>
      </c>
      <c r="AE524" s="29">
        <f>YEAR(Data!$C524)</f>
        <v>2023</v>
      </c>
      <c r="AF524" s="29"/>
      <c r="AG524" s="29">
        <v>12</v>
      </c>
      <c r="AH524" s="33">
        <f>Data!$F524/Data!$D524</f>
        <v>9.7241379310344822</v>
      </c>
      <c r="AI524" s="17" t="str">
        <f>RIGHT(Data!$O524,2)</f>
        <v>PM</v>
      </c>
      <c r="AJ524" s="29" t="str">
        <f>Data!$R524&amp;"-"&amp;WEEKNUM(Data!$C524,1)-WEEKNUM(DATE(YEAR(Data!$C524),MONTH(Data!$C524),1),1)+1</f>
        <v>9-2023-3</v>
      </c>
      <c r="AK524" s="29">
        <f>MONTH(Data!$C524)</f>
        <v>9</v>
      </c>
      <c r="AL524" s="29">
        <f>IFERROR(Data!$F524/Data!$E524,0)</f>
        <v>70.5</v>
      </c>
      <c r="AM524" s="29">
        <f>COUNTIF(Data!$N$2:$N$825,Data!$N524)</f>
        <v>218</v>
      </c>
      <c r="AN524" s="29" t="str">
        <f>VLOOKUP(Data!$N524,'Helpful Tables'!A:D,4,FALSE)</f>
        <v>Washington, DC</v>
      </c>
      <c r="AO524" s="29">
        <f>COUNTIF(AN:AN,Data!$AN524)/COUNTA(AN:AN)</f>
        <v>0.62424242424242427</v>
      </c>
      <c r="AP524" s="29">
        <v>38.934710000000003</v>
      </c>
      <c r="AQ524" s="29">
        <v>-77.058222999999998</v>
      </c>
      <c r="AR524" s="29">
        <f>COUNTIF(Data!$P$2:$P$825,Data!$P524)</f>
        <v>10</v>
      </c>
      <c r="AS524" s="29" cm="1">
        <f t="array" ref="AS524">_xlfn.IFS(Data!$E524&lt;12,((Data!$E524/Data!$D524)*60)*1,AND(Data!$E524&gt;=12,Data!$E524&lt;=15),((Data!$E524/Data!$D524)*60)*1.2,AND(Data!$E524&gt;=16,Data!$E524&lt;=19),((Data!$E524/Data!$D524)*60)*1.5,Data!$E524&gt;=20,((Data!$E524/Data!$D524)*60)*1.8)</f>
        <v>8.2758620689655178</v>
      </c>
      <c r="AT524" s="29" cm="1">
        <f t="array" ref="AT524">_xlfn.IFS(Data!$F524&lt;600,((Data!$F524/Data!$D524)*60)*1,AND(Data!$F524&gt;=600,Data!$F524&lt;=625),((Data!$F524/Data!$D524)*60)*1.2,AND(Data!$F524&gt;=626,Data!$F524&lt;=650),((Data!$F524/Data!$D524)*60)*1.5,Data!$F524&gt;=651,((Data!$F524/Data!$D524)*60)*1.8)</f>
        <v>583.44827586206895</v>
      </c>
      <c r="AU524" s="29">
        <f>(Data!$I524*-1.2)+(Data!$J524*-1.1)+(Data!$K524*1.2)+(Data!$L524*1.3)+(Data!$M524*1.5)</f>
        <v>-16.399999999999999</v>
      </c>
      <c r="AV524" s="29">
        <f>(Data!$AS524*0.4)+(Data!$AT524*0.4)+(Data!$AU524*0.2)</f>
        <v>233.40965517241381</v>
      </c>
      <c r="AW524" s="34">
        <f>PERCENTRANK(AV:AV,Data!$AV524)*100</f>
        <v>8.6</v>
      </c>
      <c r="AX524" s="29" t="str">
        <f>_xlfn.CONCAT(TEXT(C524,"mmm"),"-",Data!$AE524)</f>
        <v>Sep-2023</v>
      </c>
    </row>
    <row r="525" spans="1:50" ht="17" thickTop="1" thickBot="1" x14ac:dyDescent="0.25">
      <c r="A525" s="22">
        <v>524</v>
      </c>
      <c r="B525" s="23">
        <f t="shared" si="66"/>
        <v>13</v>
      </c>
      <c r="C525" s="41">
        <v>45182</v>
      </c>
      <c r="D525" s="24">
        <f>SUM(Data!$I525:$M525)</f>
        <v>57</v>
      </c>
      <c r="E525" s="23">
        <v>8</v>
      </c>
      <c r="F525" s="23">
        <v>643</v>
      </c>
      <c r="G525" s="23">
        <v>164</v>
      </c>
      <c r="H525" s="23">
        <v>128</v>
      </c>
      <c r="I525" s="23">
        <v>7</v>
      </c>
      <c r="J525" s="23">
        <v>18</v>
      </c>
      <c r="K525" s="23">
        <v>24</v>
      </c>
      <c r="L525" s="23">
        <v>7</v>
      </c>
      <c r="M525" s="23">
        <v>1</v>
      </c>
      <c r="N525" s="23" t="s">
        <v>91</v>
      </c>
      <c r="O525" s="23" t="s">
        <v>57</v>
      </c>
      <c r="P525" s="23" t="s">
        <v>187</v>
      </c>
      <c r="Q525" s="23">
        <f t="shared" si="72"/>
        <v>1</v>
      </c>
      <c r="R525" s="23" t="str">
        <f t="shared" si="67"/>
        <v>9-2023</v>
      </c>
      <c r="S525" s="23" t="s">
        <v>117</v>
      </c>
      <c r="T525" s="23" t="str">
        <f t="shared" si="68"/>
        <v>Wednesday</v>
      </c>
      <c r="U525" s="23">
        <f t="shared" si="69"/>
        <v>0</v>
      </c>
      <c r="V525" s="25">
        <f>IFERROR(Data!$I525/Data!$D525,"")</f>
        <v>0.12280701754385964</v>
      </c>
      <c r="W525" s="25">
        <f>IFERROR(Data!$J525/Data!$D525,"")</f>
        <v>0.31578947368421051</v>
      </c>
      <c r="X525" s="25">
        <f>IFERROR(Data!$K525/Data!$D525,"")</f>
        <v>0.42105263157894735</v>
      </c>
      <c r="Y525" s="25">
        <f>IFERROR(Data!$L525/Data!$D525,"")</f>
        <v>0.12280701754385964</v>
      </c>
      <c r="Z525" s="25">
        <f>IFERROR(Data!$M525/Data!$D525,"")</f>
        <v>1.7543859649122806E-2</v>
      </c>
      <c r="AA525" s="26">
        <v>232.14</v>
      </c>
      <c r="AB525" s="26">
        <f t="shared" si="65"/>
        <v>17.856923076923074</v>
      </c>
      <c r="AC525" s="23">
        <f t="shared" si="70"/>
        <v>638</v>
      </c>
      <c r="AD525" s="23">
        <f t="shared" si="71"/>
        <v>13.307692307692308</v>
      </c>
      <c r="AE525" s="23">
        <f>YEAR(Data!$C525)</f>
        <v>2023</v>
      </c>
      <c r="AF525" s="23"/>
      <c r="AG525" s="23">
        <v>12</v>
      </c>
      <c r="AH525" s="27">
        <f>Data!$F525/Data!$D525</f>
        <v>11.280701754385966</v>
      </c>
      <c r="AI525" s="17" t="str">
        <f>RIGHT(Data!$O525,2)</f>
        <v>PM</v>
      </c>
      <c r="AJ525" s="23" t="str">
        <f>Data!$R525&amp;"-"&amp;WEEKNUM(Data!$C525,1)-WEEKNUM(DATE(YEAR(Data!$C525),MONTH(Data!$C525),1),1)+1</f>
        <v>9-2023-3</v>
      </c>
      <c r="AK525" s="23">
        <f>MONTH(Data!$C525)</f>
        <v>9</v>
      </c>
      <c r="AL525" s="23">
        <f>IFERROR(Data!$F525/Data!$E525,0)</f>
        <v>80.375</v>
      </c>
      <c r="AM525" s="23">
        <f>COUNTIF(Data!$N$2:$N$825,Data!$N525)</f>
        <v>218</v>
      </c>
      <c r="AN525" s="23" t="str">
        <f>VLOOKUP(Data!$N525,'Helpful Tables'!A:D,4,FALSE)</f>
        <v>Washington, DC</v>
      </c>
      <c r="AO525" s="23">
        <f>COUNTIF(AN:AN,Data!$AN525)/COUNTA(AN:AN)</f>
        <v>0.62424242424242427</v>
      </c>
      <c r="AP525" s="23">
        <v>38.934710000000003</v>
      </c>
      <c r="AQ525" s="23">
        <v>-77.058222999999998</v>
      </c>
      <c r="AR525" s="23">
        <f>COUNTIF(Data!$P$2:$P$825,Data!$P525)</f>
        <v>7</v>
      </c>
      <c r="AS525" s="23" cm="1">
        <f t="array" ref="AS525">_xlfn.IFS(Data!$E525&lt;12,((Data!$E525/Data!$D525)*60)*1,AND(Data!$E525&gt;=12,Data!$E525&lt;=15),((Data!$E525/Data!$D525)*60)*1.2,AND(Data!$E525&gt;=16,Data!$E525&lt;=19),((Data!$E525/Data!$D525)*60)*1.5,Data!$E525&gt;=20,((Data!$E525/Data!$D525)*60)*1.8)</f>
        <v>8.4210526315789469</v>
      </c>
      <c r="AT525" s="23" cm="1">
        <f t="array" ref="AT525">_xlfn.IFS(Data!$F525&lt;600,((Data!$F525/Data!$D525)*60)*1,AND(Data!$F525&gt;=600,Data!$F525&lt;=625),((Data!$F525/Data!$D525)*60)*1.2,AND(Data!$F525&gt;=626,Data!$F525&lt;=650),((Data!$F525/Data!$D525)*60)*1.5,Data!$F525&gt;=651,((Data!$F525/Data!$D525)*60)*1.8)</f>
        <v>1015.2631578947369</v>
      </c>
      <c r="AU525" s="23">
        <f>(Data!$I525*-1.2)+(Data!$J525*-1.1)+(Data!$K525*1.2)+(Data!$L525*1.3)+(Data!$M525*1.5)</f>
        <v>11.199999999999994</v>
      </c>
      <c r="AV525" s="23">
        <f>(Data!$AS525*0.4)+(Data!$AT525*0.4)+(Data!$AU525*0.2)</f>
        <v>411.71368421052637</v>
      </c>
      <c r="AW525" s="35">
        <f>PERCENTRANK(AV:AV,Data!$AV525)*100</f>
        <v>57.999999999999993</v>
      </c>
      <c r="AX525" s="23" t="str">
        <f>_xlfn.CONCAT(TEXT(C525,"mmm"),"-",Data!$AE525)</f>
        <v>Sep-2023</v>
      </c>
    </row>
    <row r="526" spans="1:50" ht="17" thickTop="1" thickBot="1" x14ac:dyDescent="0.25">
      <c r="A526" s="28">
        <v>525</v>
      </c>
      <c r="B526" s="29">
        <f t="shared" si="66"/>
        <v>13</v>
      </c>
      <c r="C526" s="41">
        <v>45184</v>
      </c>
      <c r="D526" s="30">
        <f>SUM(Data!$I526:$M526)</f>
        <v>58</v>
      </c>
      <c r="E526" s="29">
        <v>21</v>
      </c>
      <c r="F526" s="29">
        <v>709</v>
      </c>
      <c r="G526" s="29">
        <v>166</v>
      </c>
      <c r="H526" s="29">
        <v>134</v>
      </c>
      <c r="I526" s="29">
        <v>4</v>
      </c>
      <c r="J526" s="29">
        <v>17</v>
      </c>
      <c r="K526" s="29">
        <v>16</v>
      </c>
      <c r="L526" s="29">
        <v>18</v>
      </c>
      <c r="M526" s="29">
        <v>3</v>
      </c>
      <c r="N526" s="29" t="s">
        <v>101</v>
      </c>
      <c r="O526" s="29" t="s">
        <v>107</v>
      </c>
      <c r="P526" s="29" t="s">
        <v>109</v>
      </c>
      <c r="Q526" s="29">
        <f t="shared" si="72"/>
        <v>2</v>
      </c>
      <c r="R526" s="29" t="str">
        <f t="shared" si="67"/>
        <v>9-2023</v>
      </c>
      <c r="S526" s="29" t="s">
        <v>104</v>
      </c>
      <c r="T526" s="29" t="str">
        <f t="shared" si="68"/>
        <v>Friday</v>
      </c>
      <c r="U526" s="29">
        <f t="shared" si="69"/>
        <v>1</v>
      </c>
      <c r="V526" s="31">
        <f>IFERROR(Data!$I526/Data!$D526,"")</f>
        <v>6.8965517241379309E-2</v>
      </c>
      <c r="W526" s="31">
        <f>IFERROR(Data!$J526/Data!$D526,"")</f>
        <v>0.29310344827586204</v>
      </c>
      <c r="X526" s="31">
        <f>IFERROR(Data!$K526/Data!$D526,"")</f>
        <v>0.27586206896551724</v>
      </c>
      <c r="Y526" s="31">
        <f>IFERROR(Data!$L526/Data!$D526,"")</f>
        <v>0.31034482758620691</v>
      </c>
      <c r="Z526" s="31">
        <f>IFERROR(Data!$M526/Data!$D526,"")</f>
        <v>5.1724137931034482E-2</v>
      </c>
      <c r="AA526" s="32">
        <v>232.14</v>
      </c>
      <c r="AB526" s="32">
        <f t="shared" si="65"/>
        <v>17.856923076923074</v>
      </c>
      <c r="AC526" s="29">
        <f t="shared" si="70"/>
        <v>638</v>
      </c>
      <c r="AD526" s="29">
        <f t="shared" si="71"/>
        <v>13.307692307692308</v>
      </c>
      <c r="AE526" s="29">
        <f>YEAR(Data!$C526)</f>
        <v>2023</v>
      </c>
      <c r="AF526" s="29"/>
      <c r="AG526" s="29">
        <v>12</v>
      </c>
      <c r="AH526" s="33">
        <f>Data!$F526/Data!$D526</f>
        <v>12.224137931034482</v>
      </c>
      <c r="AI526" s="17" t="str">
        <f>RIGHT(Data!$O526,2)</f>
        <v>AM</v>
      </c>
      <c r="AJ526" s="29" t="str">
        <f>Data!$R526&amp;"-"&amp;WEEKNUM(Data!$C526,1)-WEEKNUM(DATE(YEAR(Data!$C526),MONTH(Data!$C526),1),1)+1</f>
        <v>9-2023-3</v>
      </c>
      <c r="AK526" s="29">
        <f>MONTH(Data!$C526)</f>
        <v>9</v>
      </c>
      <c r="AL526" s="29">
        <f>IFERROR(Data!$F526/Data!$E526,0)</f>
        <v>33.761904761904759</v>
      </c>
      <c r="AM526" s="29">
        <f>COUNTIF(Data!$N$2:$N$825,Data!$N526)</f>
        <v>191</v>
      </c>
      <c r="AN526" s="29" t="str">
        <f>VLOOKUP(Data!$N526,'Helpful Tables'!A:D,4,FALSE)</f>
        <v>Washington, DC</v>
      </c>
      <c r="AO526" s="29">
        <f>COUNTIF(AN:AN,Data!$AN526)/COUNTA(AN:AN)</f>
        <v>0.62424242424242427</v>
      </c>
      <c r="AP526" s="29">
        <v>38.949649000000001</v>
      </c>
      <c r="AQ526" s="29">
        <v>-77.080878999999996</v>
      </c>
      <c r="AR526" s="29">
        <f>COUNTIF(Data!$P$2:$P$825,Data!$P526)</f>
        <v>66</v>
      </c>
      <c r="AS526" s="29" cm="1">
        <f t="array" ref="AS526">_xlfn.IFS(Data!$E526&lt;12,((Data!$E526/Data!$D526)*60)*1,AND(Data!$E526&gt;=12,Data!$E526&lt;=15),((Data!$E526/Data!$D526)*60)*1.2,AND(Data!$E526&gt;=16,Data!$E526&lt;=19),((Data!$E526/Data!$D526)*60)*1.5,Data!$E526&gt;=20,((Data!$E526/Data!$D526)*60)*1.8)</f>
        <v>39.103448275862071</v>
      </c>
      <c r="AT526" s="29" cm="1">
        <f t="array" ref="AT526">_xlfn.IFS(Data!$F526&lt;600,((Data!$F526/Data!$D526)*60)*1,AND(Data!$F526&gt;=600,Data!$F526&lt;=625),((Data!$F526/Data!$D526)*60)*1.2,AND(Data!$F526&gt;=626,Data!$F526&lt;=650),((Data!$F526/Data!$D526)*60)*1.5,Data!$F526&gt;=651,((Data!$F526/Data!$D526)*60)*1.8)</f>
        <v>1320.2068965517242</v>
      </c>
      <c r="AU526" s="29">
        <f>(Data!$I526*-1.2)+(Data!$J526*-1.1)+(Data!$K526*1.2)+(Data!$L526*1.3)+(Data!$M526*1.5)</f>
        <v>23.599999999999998</v>
      </c>
      <c r="AV526" s="29">
        <f>(Data!$AS526*0.4)+(Data!$AT526*0.4)+(Data!$AU526*0.2)</f>
        <v>548.44413793103456</v>
      </c>
      <c r="AW526" s="34">
        <f>PERCENTRANK(AV:AV,Data!$AV526)*100</f>
        <v>97.7</v>
      </c>
      <c r="AX526" s="29" t="str">
        <f>_xlfn.CONCAT(TEXT(C526,"mmm"),"-",Data!$AE526)</f>
        <v>Sep-2023</v>
      </c>
    </row>
    <row r="527" spans="1:50" ht="17" thickTop="1" thickBot="1" x14ac:dyDescent="0.25">
      <c r="A527" s="22">
        <v>526</v>
      </c>
      <c r="B527" s="23">
        <f t="shared" si="66"/>
        <v>13</v>
      </c>
      <c r="C527" s="41">
        <v>45186</v>
      </c>
      <c r="D527" s="24">
        <f>SUM(Data!$I527:$M527)</f>
        <v>61</v>
      </c>
      <c r="E527" s="23">
        <v>16</v>
      </c>
      <c r="F527" s="23">
        <v>632</v>
      </c>
      <c r="G527" s="23">
        <v>168</v>
      </c>
      <c r="H527" s="23">
        <v>123</v>
      </c>
      <c r="I527" s="23">
        <v>22</v>
      </c>
      <c r="J527" s="23">
        <v>12</v>
      </c>
      <c r="K527" s="23">
        <v>11</v>
      </c>
      <c r="L527" s="23">
        <v>13</v>
      </c>
      <c r="M527" s="23">
        <v>3</v>
      </c>
      <c r="N527" s="23" t="s">
        <v>101</v>
      </c>
      <c r="O527" s="23" t="s">
        <v>192</v>
      </c>
      <c r="P527" s="23" t="s">
        <v>147</v>
      </c>
      <c r="Q527" s="23">
        <f t="shared" si="72"/>
        <v>2</v>
      </c>
      <c r="R527" s="23" t="str">
        <f t="shared" si="67"/>
        <v>9-2023</v>
      </c>
      <c r="S527" s="23" t="s">
        <v>104</v>
      </c>
      <c r="T527" s="23" t="str">
        <f t="shared" si="68"/>
        <v>Sunday</v>
      </c>
      <c r="U527" s="23">
        <f t="shared" si="69"/>
        <v>1</v>
      </c>
      <c r="V527" s="25">
        <f>IFERROR(Data!$I527/Data!$D527,"")</f>
        <v>0.36065573770491804</v>
      </c>
      <c r="W527" s="25">
        <f>IFERROR(Data!$J527/Data!$D527,"")</f>
        <v>0.19672131147540983</v>
      </c>
      <c r="X527" s="25">
        <f>IFERROR(Data!$K527/Data!$D527,"")</f>
        <v>0.18032786885245902</v>
      </c>
      <c r="Y527" s="25">
        <f>IFERROR(Data!$L527/Data!$D527,"")</f>
        <v>0.21311475409836064</v>
      </c>
      <c r="Z527" s="25">
        <f>IFERROR(Data!$M527/Data!$D527,"")</f>
        <v>4.9180327868852458E-2</v>
      </c>
      <c r="AA527" s="26">
        <v>232.14</v>
      </c>
      <c r="AB527" s="26">
        <f t="shared" si="65"/>
        <v>17.856923076923074</v>
      </c>
      <c r="AC527" s="23">
        <f t="shared" si="70"/>
        <v>638</v>
      </c>
      <c r="AD527" s="23">
        <f t="shared" si="71"/>
        <v>13.307692307692308</v>
      </c>
      <c r="AE527" s="23">
        <f>YEAR(Data!$C527)</f>
        <v>2023</v>
      </c>
      <c r="AF527" s="23"/>
      <c r="AG527" s="23">
        <v>12</v>
      </c>
      <c r="AH527" s="27">
        <f>Data!$F527/Data!$D527</f>
        <v>10.360655737704919</v>
      </c>
      <c r="AI527" s="17" t="str">
        <f>RIGHT(Data!$O527,2)</f>
        <v>PM</v>
      </c>
      <c r="AJ527" s="23" t="str">
        <f>Data!$R527&amp;"-"&amp;WEEKNUM(Data!$C527,1)-WEEKNUM(DATE(YEAR(Data!$C527),MONTH(Data!$C527),1),1)+1</f>
        <v>9-2023-4</v>
      </c>
      <c r="AK527" s="23">
        <f>MONTH(Data!$C527)</f>
        <v>9</v>
      </c>
      <c r="AL527" s="23">
        <f>IFERROR(Data!$F527/Data!$E527,0)</f>
        <v>39.5</v>
      </c>
      <c r="AM527" s="23">
        <f>COUNTIF(Data!$N$2:$N$825,Data!$N527)</f>
        <v>191</v>
      </c>
      <c r="AN527" s="23" t="str">
        <f>VLOOKUP(Data!$N527,'Helpful Tables'!A:D,4,FALSE)</f>
        <v>Washington, DC</v>
      </c>
      <c r="AO527" s="23">
        <f>COUNTIF(AN:AN,Data!$AN527)/COUNTA(AN:AN)</f>
        <v>0.62424242424242427</v>
      </c>
      <c r="AP527" s="23">
        <v>38.949649000000001</v>
      </c>
      <c r="AQ527" s="23">
        <v>-77.080878999999996</v>
      </c>
      <c r="AR527" s="23">
        <f>COUNTIF(Data!$P$2:$P$825,Data!$P527)</f>
        <v>17</v>
      </c>
      <c r="AS527" s="23" cm="1">
        <f t="array" ref="AS527">_xlfn.IFS(Data!$E527&lt;12,((Data!$E527/Data!$D527)*60)*1,AND(Data!$E527&gt;=12,Data!$E527&lt;=15),((Data!$E527/Data!$D527)*60)*1.2,AND(Data!$E527&gt;=16,Data!$E527&lt;=19),((Data!$E527/Data!$D527)*60)*1.5,Data!$E527&gt;=20,((Data!$E527/Data!$D527)*60)*1.8)</f>
        <v>23.606557377049182</v>
      </c>
      <c r="AT527" s="23" cm="1">
        <f t="array" ref="AT527">_xlfn.IFS(Data!$F527&lt;600,((Data!$F527/Data!$D527)*60)*1,AND(Data!$F527&gt;=600,Data!$F527&lt;=625),((Data!$F527/Data!$D527)*60)*1.2,AND(Data!$F527&gt;=626,Data!$F527&lt;=650),((Data!$F527/Data!$D527)*60)*1.5,Data!$F527&gt;=651,((Data!$F527/Data!$D527)*60)*1.8)</f>
        <v>932.45901639344265</v>
      </c>
      <c r="AU527" s="23">
        <f>(Data!$I527*-1.2)+(Data!$J527*-1.1)+(Data!$K527*1.2)+(Data!$L527*1.3)+(Data!$M527*1.5)</f>
        <v>-5</v>
      </c>
      <c r="AV527" s="23">
        <f>(Data!$AS527*0.4)+(Data!$AT527*0.4)+(Data!$AU527*0.2)</f>
        <v>381.42622950819674</v>
      </c>
      <c r="AW527" s="35">
        <f>PERCENTRANK(AV:AV,Data!$AV527)*100</f>
        <v>45.9</v>
      </c>
      <c r="AX527" s="23" t="str">
        <f>_xlfn.CONCAT(TEXT(C527,"mmm"),"-",Data!$AE527)</f>
        <v>Sep-2023</v>
      </c>
    </row>
    <row r="528" spans="1:50" ht="17" thickTop="1" thickBot="1" x14ac:dyDescent="0.25">
      <c r="A528" s="28">
        <v>527</v>
      </c>
      <c r="B528" s="29">
        <f t="shared" si="66"/>
        <v>13</v>
      </c>
      <c r="C528" s="41">
        <v>45187</v>
      </c>
      <c r="D528" s="30">
        <f>SUM(Data!$I528:$M528)</f>
        <v>64</v>
      </c>
      <c r="E528" s="29">
        <v>7</v>
      </c>
      <c r="F528" s="29">
        <v>499</v>
      </c>
      <c r="G528" s="29">
        <v>162</v>
      </c>
      <c r="H528" s="29">
        <v>104</v>
      </c>
      <c r="I528" s="29">
        <v>40</v>
      </c>
      <c r="J528" s="29">
        <v>7</v>
      </c>
      <c r="K528" s="29">
        <v>10</v>
      </c>
      <c r="L528" s="29">
        <v>7</v>
      </c>
      <c r="M528" s="29">
        <v>0</v>
      </c>
      <c r="N528" s="29" t="s">
        <v>91</v>
      </c>
      <c r="O528" s="29" t="s">
        <v>57</v>
      </c>
      <c r="P528" s="29" t="s">
        <v>187</v>
      </c>
      <c r="Q528" s="29">
        <f t="shared" si="72"/>
        <v>1</v>
      </c>
      <c r="R528" s="29" t="str">
        <f t="shared" si="67"/>
        <v>9-2023</v>
      </c>
      <c r="S528" s="29" t="s">
        <v>117</v>
      </c>
      <c r="T528" s="29" t="str">
        <f t="shared" si="68"/>
        <v>Monday</v>
      </c>
      <c r="U528" s="29">
        <f t="shared" si="69"/>
        <v>0</v>
      </c>
      <c r="V528" s="31">
        <f>IFERROR(Data!$I528/Data!$D528,"")</f>
        <v>0.625</v>
      </c>
      <c r="W528" s="31">
        <f>IFERROR(Data!$J528/Data!$D528,"")</f>
        <v>0.109375</v>
      </c>
      <c r="X528" s="31">
        <f>IFERROR(Data!$K528/Data!$D528,"")</f>
        <v>0.15625</v>
      </c>
      <c r="Y528" s="31">
        <f>IFERROR(Data!$L528/Data!$D528,"")</f>
        <v>0.109375</v>
      </c>
      <c r="Z528" s="31">
        <f>IFERROR(Data!$M528/Data!$D528,"")</f>
        <v>0</v>
      </c>
      <c r="AA528" s="32">
        <v>232.14</v>
      </c>
      <c r="AB528" s="32">
        <f t="shared" ref="AB528:AB591" si="73">AA528/B528</f>
        <v>17.856923076923074</v>
      </c>
      <c r="AC528" s="29">
        <f t="shared" si="70"/>
        <v>638</v>
      </c>
      <c r="AD528" s="29">
        <f t="shared" si="71"/>
        <v>13.307692307692308</v>
      </c>
      <c r="AE528" s="29">
        <f>YEAR(Data!$C528)</f>
        <v>2023</v>
      </c>
      <c r="AF528" s="29"/>
      <c r="AG528" s="29">
        <v>12</v>
      </c>
      <c r="AH528" s="33">
        <f>Data!$F528/Data!$D528</f>
        <v>7.796875</v>
      </c>
      <c r="AI528" s="17" t="str">
        <f>RIGHT(Data!$O528,2)</f>
        <v>PM</v>
      </c>
      <c r="AJ528" s="29" t="str">
        <f>Data!$R528&amp;"-"&amp;WEEKNUM(Data!$C528,1)-WEEKNUM(DATE(YEAR(Data!$C528),MONTH(Data!$C528),1),1)+1</f>
        <v>9-2023-4</v>
      </c>
      <c r="AK528" s="29">
        <f>MONTH(Data!$C528)</f>
        <v>9</v>
      </c>
      <c r="AL528" s="29">
        <f>IFERROR(Data!$F528/Data!$E528,0)</f>
        <v>71.285714285714292</v>
      </c>
      <c r="AM528" s="29">
        <f>COUNTIF(Data!$N$2:$N$825,Data!$N528)</f>
        <v>218</v>
      </c>
      <c r="AN528" s="29" t="str">
        <f>VLOOKUP(Data!$N528,'Helpful Tables'!A:D,4,FALSE)</f>
        <v>Washington, DC</v>
      </c>
      <c r="AO528" s="29">
        <f>COUNTIF(AN:AN,Data!$AN528)/COUNTA(AN:AN)</f>
        <v>0.62424242424242427</v>
      </c>
      <c r="AP528" s="29">
        <v>38.934710000000003</v>
      </c>
      <c r="AQ528" s="29">
        <v>-77.058222999999998</v>
      </c>
      <c r="AR528" s="29">
        <f>COUNTIF(Data!$P$2:$P$825,Data!$P528)</f>
        <v>7</v>
      </c>
      <c r="AS528" s="29" cm="1">
        <f t="array" ref="AS528">_xlfn.IFS(Data!$E528&lt;12,((Data!$E528/Data!$D528)*60)*1,AND(Data!$E528&gt;=12,Data!$E528&lt;=15),((Data!$E528/Data!$D528)*60)*1.2,AND(Data!$E528&gt;=16,Data!$E528&lt;=19),((Data!$E528/Data!$D528)*60)*1.5,Data!$E528&gt;=20,((Data!$E528/Data!$D528)*60)*1.8)</f>
        <v>6.5625</v>
      </c>
      <c r="AT528" s="29" cm="1">
        <f t="array" ref="AT528">_xlfn.IFS(Data!$F528&lt;600,((Data!$F528/Data!$D528)*60)*1,AND(Data!$F528&gt;=600,Data!$F528&lt;=625),((Data!$F528/Data!$D528)*60)*1.2,AND(Data!$F528&gt;=626,Data!$F528&lt;=650),((Data!$F528/Data!$D528)*60)*1.5,Data!$F528&gt;=651,((Data!$F528/Data!$D528)*60)*1.8)</f>
        <v>467.8125</v>
      </c>
      <c r="AU528" s="29">
        <f>(Data!$I528*-1.2)+(Data!$J528*-1.1)+(Data!$K528*1.2)+(Data!$L528*1.3)+(Data!$M528*1.5)</f>
        <v>-34.6</v>
      </c>
      <c r="AV528" s="29">
        <f>(Data!$AS528*0.4)+(Data!$AT528*0.4)+(Data!$AU528*0.2)</f>
        <v>182.83</v>
      </c>
      <c r="AW528" s="34">
        <f>PERCENTRANK(AV:AV,Data!$AV528)*100</f>
        <v>0.1</v>
      </c>
      <c r="AX528" s="29" t="str">
        <f>_xlfn.CONCAT(TEXT(C528,"mmm"),"-",Data!$AE528)</f>
        <v>Sep-2023</v>
      </c>
    </row>
    <row r="529" spans="1:50" ht="17" thickTop="1" thickBot="1" x14ac:dyDescent="0.25">
      <c r="A529" s="22">
        <v>528</v>
      </c>
      <c r="B529" s="23">
        <f t="shared" si="66"/>
        <v>13</v>
      </c>
      <c r="C529" s="41">
        <v>45189</v>
      </c>
      <c r="D529" s="24">
        <f>SUM(Data!$I529:$M529)</f>
        <v>57</v>
      </c>
      <c r="E529" s="23">
        <v>14</v>
      </c>
      <c r="F529" s="23">
        <v>659</v>
      </c>
      <c r="G529" s="23">
        <v>163</v>
      </c>
      <c r="H529" s="23">
        <v>128</v>
      </c>
      <c r="I529" s="23">
        <v>12</v>
      </c>
      <c r="J529" s="23">
        <v>12</v>
      </c>
      <c r="K529" s="23">
        <v>19</v>
      </c>
      <c r="L529" s="23">
        <v>14</v>
      </c>
      <c r="M529" s="23">
        <v>0</v>
      </c>
      <c r="N529" s="23" t="s">
        <v>91</v>
      </c>
      <c r="O529" s="23" t="s">
        <v>57</v>
      </c>
      <c r="P529" s="23" t="s">
        <v>96</v>
      </c>
      <c r="Q529" s="23">
        <f t="shared" si="72"/>
        <v>2</v>
      </c>
      <c r="R529" s="23" t="str">
        <f t="shared" si="67"/>
        <v>9-2023</v>
      </c>
      <c r="S529" s="23" t="s">
        <v>117</v>
      </c>
      <c r="T529" s="23" t="str">
        <f t="shared" si="68"/>
        <v>Wednesday</v>
      </c>
      <c r="U529" s="23">
        <f t="shared" si="69"/>
        <v>1</v>
      </c>
      <c r="V529" s="25">
        <f>IFERROR(Data!$I529/Data!$D529,"")</f>
        <v>0.21052631578947367</v>
      </c>
      <c r="W529" s="25">
        <f>IFERROR(Data!$J529/Data!$D529,"")</f>
        <v>0.21052631578947367</v>
      </c>
      <c r="X529" s="25">
        <f>IFERROR(Data!$K529/Data!$D529,"")</f>
        <v>0.33333333333333331</v>
      </c>
      <c r="Y529" s="25">
        <f>IFERROR(Data!$L529/Data!$D529,"")</f>
        <v>0.24561403508771928</v>
      </c>
      <c r="Z529" s="25">
        <f>IFERROR(Data!$M529/Data!$D529,"")</f>
        <v>0</v>
      </c>
      <c r="AA529" s="26">
        <v>232.14</v>
      </c>
      <c r="AB529" s="26">
        <f t="shared" si="73"/>
        <v>17.856923076923074</v>
      </c>
      <c r="AC529" s="23">
        <f t="shared" si="70"/>
        <v>638</v>
      </c>
      <c r="AD529" s="23">
        <f t="shared" si="71"/>
        <v>13.307692307692308</v>
      </c>
      <c r="AE529" s="23">
        <f>YEAR(Data!$C529)</f>
        <v>2023</v>
      </c>
      <c r="AF529" s="23"/>
      <c r="AG529" s="23">
        <v>12</v>
      </c>
      <c r="AH529" s="27">
        <f>Data!$F529/Data!$D529</f>
        <v>11.56140350877193</v>
      </c>
      <c r="AI529" s="17" t="str">
        <f>RIGHT(Data!$O529,2)</f>
        <v>PM</v>
      </c>
      <c r="AJ529" s="23" t="str">
        <f>Data!$R529&amp;"-"&amp;WEEKNUM(Data!$C529,1)-WEEKNUM(DATE(YEAR(Data!$C529),MONTH(Data!$C529),1),1)+1</f>
        <v>9-2023-4</v>
      </c>
      <c r="AK529" s="23">
        <f>MONTH(Data!$C529)</f>
        <v>9</v>
      </c>
      <c r="AL529" s="23">
        <f>IFERROR(Data!$F529/Data!$E529,0)</f>
        <v>47.071428571428569</v>
      </c>
      <c r="AM529" s="23">
        <f>COUNTIF(Data!$N$2:$N$825,Data!$N529)</f>
        <v>218</v>
      </c>
      <c r="AN529" s="23" t="str">
        <f>VLOOKUP(Data!$N529,'Helpful Tables'!A:D,4,FALSE)</f>
        <v>Washington, DC</v>
      </c>
      <c r="AO529" s="23">
        <f>COUNTIF(AN:AN,Data!$AN529)/COUNTA(AN:AN)</f>
        <v>0.62424242424242427</v>
      </c>
      <c r="AP529" s="23">
        <v>38.934710000000003</v>
      </c>
      <c r="AQ529" s="23">
        <v>-77.058222999999998</v>
      </c>
      <c r="AR529" s="23">
        <f>COUNTIF(Data!$P$2:$P$825,Data!$P529)</f>
        <v>71</v>
      </c>
      <c r="AS529" s="23" cm="1">
        <f t="array" ref="AS529">_xlfn.IFS(Data!$E529&lt;12,((Data!$E529/Data!$D529)*60)*1,AND(Data!$E529&gt;=12,Data!$E529&lt;=15),((Data!$E529/Data!$D529)*60)*1.2,AND(Data!$E529&gt;=16,Data!$E529&lt;=19),((Data!$E529/Data!$D529)*60)*1.5,Data!$E529&gt;=20,((Data!$E529/Data!$D529)*60)*1.8)</f>
        <v>17.684210526315788</v>
      </c>
      <c r="AT529" s="23" cm="1">
        <f t="array" ref="AT529">_xlfn.IFS(Data!$F529&lt;600,((Data!$F529/Data!$D529)*60)*1,AND(Data!$F529&gt;=600,Data!$F529&lt;=625),((Data!$F529/Data!$D529)*60)*1.2,AND(Data!$F529&gt;=626,Data!$F529&lt;=650),((Data!$F529/Data!$D529)*60)*1.5,Data!$F529&gt;=651,((Data!$F529/Data!$D529)*60)*1.8)</f>
        <v>1248.6315789473686</v>
      </c>
      <c r="AU529" s="23">
        <f>(Data!$I529*-1.2)+(Data!$J529*-1.1)+(Data!$K529*1.2)+(Data!$L529*1.3)+(Data!$M529*1.5)</f>
        <v>13.399999999999999</v>
      </c>
      <c r="AV529" s="23">
        <f>(Data!$AS529*0.4)+(Data!$AT529*0.4)+(Data!$AU529*0.2)</f>
        <v>509.20631578947376</v>
      </c>
      <c r="AW529" s="35">
        <f>PERCENTRANK(AV:AV,Data!$AV529)*100</f>
        <v>83.6</v>
      </c>
      <c r="AX529" s="23" t="str">
        <f>_xlfn.CONCAT(TEXT(C529,"mmm"),"-",Data!$AE529)</f>
        <v>Sep-2023</v>
      </c>
    </row>
    <row r="530" spans="1:50" ht="17" thickTop="1" thickBot="1" x14ac:dyDescent="0.25">
      <c r="A530" s="28">
        <v>529</v>
      </c>
      <c r="B530" s="29">
        <f t="shared" si="66"/>
        <v>13</v>
      </c>
      <c r="C530" s="41">
        <v>45190</v>
      </c>
      <c r="D530" s="30">
        <f>SUM(Data!$I530:$M530)</f>
        <v>60</v>
      </c>
      <c r="E530" s="29">
        <v>15</v>
      </c>
      <c r="F530" s="29">
        <v>650</v>
      </c>
      <c r="G530" s="29">
        <v>165</v>
      </c>
      <c r="H530" s="29">
        <v>124</v>
      </c>
      <c r="I530" s="29">
        <v>16</v>
      </c>
      <c r="J530" s="29">
        <v>17</v>
      </c>
      <c r="K530" s="29">
        <v>12</v>
      </c>
      <c r="L530" s="29">
        <v>14</v>
      </c>
      <c r="M530" s="29">
        <v>1</v>
      </c>
      <c r="N530" s="29" t="s">
        <v>91</v>
      </c>
      <c r="O530" s="29" t="s">
        <v>57</v>
      </c>
      <c r="P530" s="29" t="s">
        <v>188</v>
      </c>
      <c r="Q530" s="29">
        <f t="shared" si="72"/>
        <v>1</v>
      </c>
      <c r="R530" s="29" t="str">
        <f t="shared" si="67"/>
        <v>9-2023</v>
      </c>
      <c r="S530" s="29" t="s">
        <v>104</v>
      </c>
      <c r="T530" s="29" t="str">
        <f t="shared" si="68"/>
        <v>Thursday</v>
      </c>
      <c r="U530" s="29">
        <f t="shared" si="69"/>
        <v>1</v>
      </c>
      <c r="V530" s="31">
        <f>IFERROR(Data!$I530/Data!$D530,"")</f>
        <v>0.26666666666666666</v>
      </c>
      <c r="W530" s="31">
        <f>IFERROR(Data!$J530/Data!$D530,"")</f>
        <v>0.28333333333333333</v>
      </c>
      <c r="X530" s="31">
        <f>IFERROR(Data!$K530/Data!$D530,"")</f>
        <v>0.2</v>
      </c>
      <c r="Y530" s="31">
        <f>IFERROR(Data!$L530/Data!$D530,"")</f>
        <v>0.23333333333333334</v>
      </c>
      <c r="Z530" s="31">
        <f>IFERROR(Data!$M530/Data!$D530,"")</f>
        <v>1.6666666666666666E-2</v>
      </c>
      <c r="AA530" s="32">
        <v>232.14</v>
      </c>
      <c r="AB530" s="32">
        <f t="shared" si="73"/>
        <v>17.856923076923074</v>
      </c>
      <c r="AC530" s="29">
        <f t="shared" si="70"/>
        <v>638</v>
      </c>
      <c r="AD530" s="29">
        <f t="shared" si="71"/>
        <v>13.307692307692308</v>
      </c>
      <c r="AE530" s="29">
        <f>YEAR(Data!$C530)</f>
        <v>2023</v>
      </c>
      <c r="AF530" s="29"/>
      <c r="AG530" s="29">
        <v>12</v>
      </c>
      <c r="AH530" s="33">
        <f>Data!$F530/Data!$D530</f>
        <v>10.833333333333334</v>
      </c>
      <c r="AI530" s="17" t="str">
        <f>RIGHT(Data!$O530,2)</f>
        <v>PM</v>
      </c>
      <c r="AJ530" s="29" t="str">
        <f>Data!$R530&amp;"-"&amp;WEEKNUM(Data!$C530,1)-WEEKNUM(DATE(YEAR(Data!$C530),MONTH(Data!$C530),1),1)+1</f>
        <v>9-2023-4</v>
      </c>
      <c r="AK530" s="29">
        <f>MONTH(Data!$C530)</f>
        <v>9</v>
      </c>
      <c r="AL530" s="29">
        <f>IFERROR(Data!$F530/Data!$E530,0)</f>
        <v>43.333333333333336</v>
      </c>
      <c r="AM530" s="29">
        <f>COUNTIF(Data!$N$2:$N$825,Data!$N530)</f>
        <v>218</v>
      </c>
      <c r="AN530" s="29" t="str">
        <f>VLOOKUP(Data!$N530,'Helpful Tables'!A:D,4,FALSE)</f>
        <v>Washington, DC</v>
      </c>
      <c r="AO530" s="29">
        <f>COUNTIF(AN:AN,Data!$AN530)/COUNTA(AN:AN)</f>
        <v>0.62424242424242427</v>
      </c>
      <c r="AP530" s="29">
        <v>38.934710000000003</v>
      </c>
      <c r="AQ530" s="29">
        <v>-77.058222999999998</v>
      </c>
      <c r="AR530" s="29">
        <f>COUNTIF(Data!$P$2:$P$825,Data!$P530)</f>
        <v>10</v>
      </c>
      <c r="AS530" s="29" cm="1">
        <f t="array" ref="AS530">_xlfn.IFS(Data!$E530&lt;12,((Data!$E530/Data!$D530)*60)*1,AND(Data!$E530&gt;=12,Data!$E530&lt;=15),((Data!$E530/Data!$D530)*60)*1.2,AND(Data!$E530&gt;=16,Data!$E530&lt;=19),((Data!$E530/Data!$D530)*60)*1.5,Data!$E530&gt;=20,((Data!$E530/Data!$D530)*60)*1.8)</f>
        <v>18</v>
      </c>
      <c r="AT530" s="29" cm="1">
        <f t="array" ref="AT530">_xlfn.IFS(Data!$F530&lt;600,((Data!$F530/Data!$D530)*60)*1,AND(Data!$F530&gt;=600,Data!$F530&lt;=625),((Data!$F530/Data!$D530)*60)*1.2,AND(Data!$F530&gt;=626,Data!$F530&lt;=650),((Data!$F530/Data!$D530)*60)*1.5,Data!$F530&gt;=651,((Data!$F530/Data!$D530)*60)*1.8)</f>
        <v>975</v>
      </c>
      <c r="AU530" s="29">
        <f>(Data!$I530*-1.2)+(Data!$J530*-1.1)+(Data!$K530*1.2)+(Data!$L530*1.3)+(Data!$M530*1.5)</f>
        <v>-3.8000000000000078</v>
      </c>
      <c r="AV530" s="29">
        <f>(Data!$AS530*0.4)+(Data!$AT530*0.4)+(Data!$AU530*0.2)</f>
        <v>396.44</v>
      </c>
      <c r="AW530" s="34">
        <f>PERCENTRANK(AV:AV,Data!$AV530)*100</f>
        <v>50.6</v>
      </c>
      <c r="AX530" s="29" t="str">
        <f>_xlfn.CONCAT(TEXT(C530,"mmm"),"-",Data!$AE530)</f>
        <v>Sep-2023</v>
      </c>
    </row>
    <row r="531" spans="1:50" ht="17" thickTop="1" thickBot="1" x14ac:dyDescent="0.25">
      <c r="A531" s="22">
        <v>530</v>
      </c>
      <c r="B531" s="23">
        <f t="shared" si="66"/>
        <v>13</v>
      </c>
      <c r="C531" s="41">
        <v>45199</v>
      </c>
      <c r="D531" s="24">
        <f>SUM(Data!$I531:$M531)</f>
        <v>59</v>
      </c>
      <c r="E531" s="23">
        <v>13</v>
      </c>
      <c r="F531" s="23">
        <v>661</v>
      </c>
      <c r="G531" s="23">
        <v>173</v>
      </c>
      <c r="H531" s="23">
        <v>127</v>
      </c>
      <c r="I531" s="23">
        <v>9</v>
      </c>
      <c r="J531" s="23">
        <v>23</v>
      </c>
      <c r="K531" s="23">
        <v>14</v>
      </c>
      <c r="L531" s="23">
        <v>7</v>
      </c>
      <c r="M531" s="23">
        <v>6</v>
      </c>
      <c r="N531" s="23" t="s">
        <v>138</v>
      </c>
      <c r="O531" s="23" t="s">
        <v>76</v>
      </c>
      <c r="P531" s="23" t="s">
        <v>140</v>
      </c>
      <c r="Q531" s="23">
        <f t="shared" si="72"/>
        <v>9</v>
      </c>
      <c r="R531" s="23" t="str">
        <f t="shared" si="67"/>
        <v>9-2023</v>
      </c>
      <c r="S531" s="23" t="s">
        <v>117</v>
      </c>
      <c r="T531" s="23" t="str">
        <f t="shared" si="68"/>
        <v>Saturday</v>
      </c>
      <c r="U531" s="23">
        <f t="shared" si="69"/>
        <v>1</v>
      </c>
      <c r="V531" s="25">
        <f>IFERROR(Data!$I531/Data!$D531,"")</f>
        <v>0.15254237288135594</v>
      </c>
      <c r="W531" s="25">
        <f>IFERROR(Data!$J531/Data!$D531,"")</f>
        <v>0.38983050847457629</v>
      </c>
      <c r="X531" s="25">
        <f>IFERROR(Data!$K531/Data!$D531,"")</f>
        <v>0.23728813559322035</v>
      </c>
      <c r="Y531" s="25">
        <f>IFERROR(Data!$L531/Data!$D531,"")</f>
        <v>0.11864406779661017</v>
      </c>
      <c r="Z531" s="25">
        <f>IFERROR(Data!$M531/Data!$D531,"")</f>
        <v>0.10169491525423729</v>
      </c>
      <c r="AA531" s="26">
        <v>232.14</v>
      </c>
      <c r="AB531" s="26">
        <f t="shared" si="73"/>
        <v>17.856923076923074</v>
      </c>
      <c r="AC531" s="23">
        <f t="shared" si="70"/>
        <v>638</v>
      </c>
      <c r="AD531" s="23">
        <f t="shared" si="71"/>
        <v>13.307692307692308</v>
      </c>
      <c r="AE531" s="23">
        <f>YEAR(Data!$C531)</f>
        <v>2023</v>
      </c>
      <c r="AF531" s="23"/>
      <c r="AG531" s="23">
        <v>12</v>
      </c>
      <c r="AH531" s="27">
        <f>Data!$F531/Data!$D531</f>
        <v>11.203389830508474</v>
      </c>
      <c r="AI531" s="17" t="str">
        <f>RIGHT(Data!$O531,2)</f>
        <v>AM</v>
      </c>
      <c r="AJ531" s="23" t="str">
        <f>Data!$R531&amp;"-"&amp;WEEKNUM(Data!$C531,1)-WEEKNUM(DATE(YEAR(Data!$C531),MONTH(Data!$C531),1),1)+1</f>
        <v>9-2023-5</v>
      </c>
      <c r="AK531" s="23">
        <f>MONTH(Data!$C531)</f>
        <v>9</v>
      </c>
      <c r="AL531" s="23">
        <f>IFERROR(Data!$F531/Data!$E531,0)</f>
        <v>50.846153846153847</v>
      </c>
      <c r="AM531" s="23">
        <f>COUNTIF(Data!$N$2:$N$825,Data!$N531)</f>
        <v>11</v>
      </c>
      <c r="AN531" s="23" t="str">
        <f>VLOOKUP(Data!$N531,'Helpful Tables'!A:D,4,FALSE)</f>
        <v>Massachusetts</v>
      </c>
      <c r="AO531" s="23">
        <f>COUNTIF(AN:AN,Data!$AN531)/COUNTA(AN:AN)</f>
        <v>1.9393939393939394E-2</v>
      </c>
      <c r="AP531" s="23">
        <v>42.350487000000001</v>
      </c>
      <c r="AQ531" s="23">
        <v>-71.152720000000002</v>
      </c>
      <c r="AR531" s="23">
        <f>COUNTIF(Data!$P$2:$P$825,Data!$P531)</f>
        <v>4</v>
      </c>
      <c r="AS531" s="23" cm="1">
        <f t="array" ref="AS531">_xlfn.IFS(Data!$E531&lt;12,((Data!$E531/Data!$D531)*60)*1,AND(Data!$E531&gt;=12,Data!$E531&lt;=15),((Data!$E531/Data!$D531)*60)*1.2,AND(Data!$E531&gt;=16,Data!$E531&lt;=19),((Data!$E531/Data!$D531)*60)*1.5,Data!$E531&gt;=20,((Data!$E531/Data!$D531)*60)*1.8)</f>
        <v>15.864406779661017</v>
      </c>
      <c r="AT531" s="23" cm="1">
        <f t="array" ref="AT531">_xlfn.IFS(Data!$F531&lt;600,((Data!$F531/Data!$D531)*60)*1,AND(Data!$F531&gt;=600,Data!$F531&lt;=625),((Data!$F531/Data!$D531)*60)*1.2,AND(Data!$F531&gt;=626,Data!$F531&lt;=650),((Data!$F531/Data!$D531)*60)*1.5,Data!$F531&gt;=651,((Data!$F531/Data!$D531)*60)*1.8)</f>
        <v>1209.9661016949151</v>
      </c>
      <c r="AU531" s="23">
        <f>(Data!$I531*-1.2)+(Data!$J531*-1.1)+(Data!$K531*1.2)+(Data!$L531*1.3)+(Data!$M531*1.5)</f>
        <v>-1.2000000000000011</v>
      </c>
      <c r="AV531" s="23">
        <f>(Data!$AS531*0.4)+(Data!$AT531*0.4)+(Data!$AU531*0.2)</f>
        <v>490.09220338983044</v>
      </c>
      <c r="AW531" s="35">
        <f>PERCENTRANK(AV:AV,Data!$AV531)*100</f>
        <v>73.099999999999994</v>
      </c>
      <c r="AX531" s="23" t="str">
        <f>_xlfn.CONCAT(TEXT(C531,"mmm"),"-",Data!$AE531)</f>
        <v>Sep-2023</v>
      </c>
    </row>
    <row r="532" spans="1:50" ht="17" thickTop="1" thickBot="1" x14ac:dyDescent="0.25">
      <c r="A532" s="28">
        <v>531</v>
      </c>
      <c r="B532" s="29">
        <f t="shared" si="66"/>
        <v>15</v>
      </c>
      <c r="C532" s="41">
        <v>45202</v>
      </c>
      <c r="D532" s="30">
        <f>SUM(Data!$I532:$M532)</f>
        <v>58</v>
      </c>
      <c r="E532" s="29">
        <v>17</v>
      </c>
      <c r="F532" s="29">
        <v>688</v>
      </c>
      <c r="G532" s="29">
        <v>167</v>
      </c>
      <c r="H532" s="29">
        <v>132</v>
      </c>
      <c r="I532" s="29">
        <v>6</v>
      </c>
      <c r="J532" s="29">
        <v>16</v>
      </c>
      <c r="K532" s="29">
        <v>19</v>
      </c>
      <c r="L532" s="29">
        <v>15</v>
      </c>
      <c r="M532" s="29">
        <v>2</v>
      </c>
      <c r="N532" s="29" t="s">
        <v>91</v>
      </c>
      <c r="O532" s="29" t="s">
        <v>57</v>
      </c>
      <c r="P532" s="29" t="s">
        <v>188</v>
      </c>
      <c r="Q532" s="29">
        <f t="shared" si="72"/>
        <v>3</v>
      </c>
      <c r="R532" s="29" t="str">
        <f t="shared" si="67"/>
        <v>10-2023</v>
      </c>
      <c r="S532" s="29" t="s">
        <v>104</v>
      </c>
      <c r="T532" s="29" t="str">
        <f t="shared" si="68"/>
        <v>Tuesday</v>
      </c>
      <c r="U532" s="29">
        <f t="shared" si="69"/>
        <v>1</v>
      </c>
      <c r="V532" s="31">
        <f>IFERROR(Data!$I532/Data!$D532,"")</f>
        <v>0.10344827586206896</v>
      </c>
      <c r="W532" s="31">
        <f>IFERROR(Data!$J532/Data!$D532,"")</f>
        <v>0.27586206896551724</v>
      </c>
      <c r="X532" s="31">
        <f>IFERROR(Data!$K532/Data!$D532,"")</f>
        <v>0.32758620689655171</v>
      </c>
      <c r="Y532" s="31">
        <f>IFERROR(Data!$L532/Data!$D532,"")</f>
        <v>0.25862068965517243</v>
      </c>
      <c r="Z532" s="31">
        <f>IFERROR(Data!$M532/Data!$D532,"")</f>
        <v>3.4482758620689655E-2</v>
      </c>
      <c r="AA532" s="32">
        <v>232.14</v>
      </c>
      <c r="AB532" s="32">
        <f t="shared" si="73"/>
        <v>15.475999999999999</v>
      </c>
      <c r="AC532" s="29">
        <f t="shared" si="70"/>
        <v>635.73333333333335</v>
      </c>
      <c r="AD532" s="29">
        <f t="shared" si="71"/>
        <v>14.133333333333333</v>
      </c>
      <c r="AE532" s="29">
        <f>YEAR(Data!$C532)</f>
        <v>2023</v>
      </c>
      <c r="AF532" s="29"/>
      <c r="AG532" s="29">
        <v>12</v>
      </c>
      <c r="AH532" s="33">
        <f>Data!$F532/Data!$D532</f>
        <v>11.862068965517242</v>
      </c>
      <c r="AI532" s="17" t="str">
        <f>RIGHT(Data!$O532,2)</f>
        <v>PM</v>
      </c>
      <c r="AJ532" s="29" t="str">
        <f>Data!$R532&amp;"-"&amp;WEEKNUM(Data!$C532,1)-WEEKNUM(DATE(YEAR(Data!$C532),MONTH(Data!$C532),1),1)+1</f>
        <v>10-2023-1</v>
      </c>
      <c r="AK532" s="29">
        <f>MONTH(Data!$C532)</f>
        <v>10</v>
      </c>
      <c r="AL532" s="29">
        <f>IFERROR(Data!$F532/Data!$E532,0)</f>
        <v>40.470588235294116</v>
      </c>
      <c r="AM532" s="29">
        <f>COUNTIF(Data!$N$2:$N$825,Data!$N532)</f>
        <v>218</v>
      </c>
      <c r="AN532" s="29" t="str">
        <f>VLOOKUP(Data!$N532,'Helpful Tables'!A:D,4,FALSE)</f>
        <v>Washington, DC</v>
      </c>
      <c r="AO532" s="29">
        <f>COUNTIF(AN:AN,Data!$AN532)/COUNTA(AN:AN)</f>
        <v>0.62424242424242427</v>
      </c>
      <c r="AP532" s="29">
        <v>38.934710000000003</v>
      </c>
      <c r="AQ532" s="29">
        <v>-77.058222999999998</v>
      </c>
      <c r="AR532" s="29">
        <f>COUNTIF(Data!$P$2:$P$825,Data!$P532)</f>
        <v>10</v>
      </c>
      <c r="AS532" s="29" cm="1">
        <f t="array" ref="AS532">_xlfn.IFS(Data!$E532&lt;12,((Data!$E532/Data!$D532)*60)*1,AND(Data!$E532&gt;=12,Data!$E532&lt;=15),((Data!$E532/Data!$D532)*60)*1.2,AND(Data!$E532&gt;=16,Data!$E532&lt;=19),((Data!$E532/Data!$D532)*60)*1.5,Data!$E532&gt;=20,((Data!$E532/Data!$D532)*60)*1.8)</f>
        <v>26.379310344827584</v>
      </c>
      <c r="AT532" s="29" cm="1">
        <f t="array" ref="AT532">_xlfn.IFS(Data!$F532&lt;600,((Data!$F532/Data!$D532)*60)*1,AND(Data!$F532&gt;=600,Data!$F532&lt;=625),((Data!$F532/Data!$D532)*60)*1.2,AND(Data!$F532&gt;=626,Data!$F532&lt;=650),((Data!$F532/Data!$D532)*60)*1.5,Data!$F532&gt;=651,((Data!$F532/Data!$D532)*60)*1.8)</f>
        <v>1281.1034482758621</v>
      </c>
      <c r="AU532" s="29">
        <f>(Data!$I532*-1.2)+(Data!$J532*-1.1)+(Data!$K532*1.2)+(Data!$L532*1.3)+(Data!$M532*1.5)</f>
        <v>20.5</v>
      </c>
      <c r="AV532" s="29">
        <f>(Data!$AS532*0.4)+(Data!$AT532*0.4)+(Data!$AU532*0.2)</f>
        <v>527.09310344827588</v>
      </c>
      <c r="AW532" s="34">
        <f>PERCENTRANK(AV:AV,Data!$AV532)*100</f>
        <v>92.600000000000009</v>
      </c>
      <c r="AX532" s="29" t="str">
        <f>_xlfn.CONCAT(TEXT(C532,"mmm"),"-",Data!$AE532)</f>
        <v>Oct-2023</v>
      </c>
    </row>
    <row r="533" spans="1:50" ht="17" thickTop="1" thickBot="1" x14ac:dyDescent="0.25">
      <c r="A533" s="22">
        <v>532</v>
      </c>
      <c r="B533" s="23">
        <f t="shared" si="66"/>
        <v>15</v>
      </c>
      <c r="C533" s="41">
        <v>45204</v>
      </c>
      <c r="D533" s="24">
        <f>SUM(Data!$I533:$M533)</f>
        <v>58</v>
      </c>
      <c r="E533" s="23">
        <v>18</v>
      </c>
      <c r="F533" s="23">
        <v>651</v>
      </c>
      <c r="G533" s="23">
        <v>168</v>
      </c>
      <c r="H533" s="23">
        <v>127</v>
      </c>
      <c r="I533" s="23">
        <v>16</v>
      </c>
      <c r="J533" s="23">
        <v>15</v>
      </c>
      <c r="K533" s="23">
        <v>9</v>
      </c>
      <c r="L533" s="23">
        <v>16</v>
      </c>
      <c r="M533" s="23">
        <v>2</v>
      </c>
      <c r="N533" s="23" t="s">
        <v>101</v>
      </c>
      <c r="O533" s="23" t="s">
        <v>173</v>
      </c>
      <c r="P533" s="23" t="s">
        <v>118</v>
      </c>
      <c r="Q533" s="23">
        <f t="shared" si="72"/>
        <v>2</v>
      </c>
      <c r="R533" s="23" t="str">
        <f t="shared" si="67"/>
        <v>10-2023</v>
      </c>
      <c r="S533" s="23" t="s">
        <v>104</v>
      </c>
      <c r="T533" s="23" t="str">
        <f t="shared" si="68"/>
        <v>Thursday</v>
      </c>
      <c r="U533" s="23">
        <f t="shared" si="69"/>
        <v>1</v>
      </c>
      <c r="V533" s="25">
        <f>IFERROR(Data!$I533/Data!$D533,"")</f>
        <v>0.27586206896551724</v>
      </c>
      <c r="W533" s="25">
        <f>IFERROR(Data!$J533/Data!$D533,"")</f>
        <v>0.25862068965517243</v>
      </c>
      <c r="X533" s="25">
        <f>IFERROR(Data!$K533/Data!$D533,"")</f>
        <v>0.15517241379310345</v>
      </c>
      <c r="Y533" s="25">
        <f>IFERROR(Data!$L533/Data!$D533,"")</f>
        <v>0.27586206896551724</v>
      </c>
      <c r="Z533" s="25">
        <f>IFERROR(Data!$M533/Data!$D533,"")</f>
        <v>3.4482758620689655E-2</v>
      </c>
      <c r="AA533" s="26">
        <v>232.14</v>
      </c>
      <c r="AB533" s="26">
        <f t="shared" si="73"/>
        <v>15.475999999999999</v>
      </c>
      <c r="AC533" s="23">
        <f t="shared" si="70"/>
        <v>635.73333333333335</v>
      </c>
      <c r="AD533" s="23">
        <f t="shared" si="71"/>
        <v>14.133333333333333</v>
      </c>
      <c r="AE533" s="23">
        <f>YEAR(Data!$C533)</f>
        <v>2023</v>
      </c>
      <c r="AF533" s="23"/>
      <c r="AG533" s="23">
        <v>12</v>
      </c>
      <c r="AH533" s="27">
        <f>Data!$F533/Data!$D533</f>
        <v>11.224137931034482</v>
      </c>
      <c r="AI533" s="17" t="str">
        <f>RIGHT(Data!$O533,2)</f>
        <v>PM</v>
      </c>
      <c r="AJ533" s="23" t="str">
        <f>Data!$R533&amp;"-"&amp;WEEKNUM(Data!$C533,1)-WEEKNUM(DATE(YEAR(Data!$C533),MONTH(Data!$C533),1),1)+1</f>
        <v>10-2023-1</v>
      </c>
      <c r="AK533" s="23">
        <f>MONTH(Data!$C533)</f>
        <v>10</v>
      </c>
      <c r="AL533" s="23">
        <f>IFERROR(Data!$F533/Data!$E533,0)</f>
        <v>36.166666666666664</v>
      </c>
      <c r="AM533" s="23">
        <f>COUNTIF(Data!$N$2:$N$825,Data!$N533)</f>
        <v>191</v>
      </c>
      <c r="AN533" s="23" t="str">
        <f>VLOOKUP(Data!$N533,'Helpful Tables'!A:D,4,FALSE)</f>
        <v>Washington, DC</v>
      </c>
      <c r="AO533" s="23">
        <f>COUNTIF(AN:AN,Data!$AN533)/COUNTA(AN:AN)</f>
        <v>0.62424242424242427</v>
      </c>
      <c r="AP533" s="23">
        <v>38.949649000000001</v>
      </c>
      <c r="AQ533" s="23">
        <v>-77.080878999999996</v>
      </c>
      <c r="AR533" s="23">
        <f>COUNTIF(Data!$P$2:$P$825,Data!$P533)</f>
        <v>16</v>
      </c>
      <c r="AS533" s="23" cm="1">
        <f t="array" ref="AS533">_xlfn.IFS(Data!$E533&lt;12,((Data!$E533/Data!$D533)*60)*1,AND(Data!$E533&gt;=12,Data!$E533&lt;=15),((Data!$E533/Data!$D533)*60)*1.2,AND(Data!$E533&gt;=16,Data!$E533&lt;=19),((Data!$E533/Data!$D533)*60)*1.5,Data!$E533&gt;=20,((Data!$E533/Data!$D533)*60)*1.8)</f>
        <v>27.931034482758619</v>
      </c>
      <c r="AT533" s="23" cm="1">
        <f t="array" ref="AT533">_xlfn.IFS(Data!$F533&lt;600,((Data!$F533/Data!$D533)*60)*1,AND(Data!$F533&gt;=600,Data!$F533&lt;=625),((Data!$F533/Data!$D533)*60)*1.2,AND(Data!$F533&gt;=626,Data!$F533&lt;=650),((Data!$F533/Data!$D533)*60)*1.5,Data!$F533&gt;=651,((Data!$F533/Data!$D533)*60)*1.8)</f>
        <v>1212.2068965517242</v>
      </c>
      <c r="AU533" s="23">
        <f>(Data!$I533*-1.2)+(Data!$J533*-1.1)+(Data!$K533*1.2)+(Data!$L533*1.3)+(Data!$M533*1.5)</f>
        <v>-1.100000000000005</v>
      </c>
      <c r="AV533" s="23">
        <f>(Data!$AS533*0.4)+(Data!$AT533*0.4)+(Data!$AU533*0.2)</f>
        <v>495.83517241379309</v>
      </c>
      <c r="AW533" s="35">
        <f>PERCENTRANK(AV:AV,Data!$AV533)*100</f>
        <v>75.3</v>
      </c>
      <c r="AX533" s="23" t="str">
        <f>_xlfn.CONCAT(TEXT(C533,"mmm"),"-",Data!$AE533)</f>
        <v>Oct-2023</v>
      </c>
    </row>
    <row r="534" spans="1:50" ht="17" thickTop="1" thickBot="1" x14ac:dyDescent="0.25">
      <c r="A534" s="28">
        <v>533</v>
      </c>
      <c r="B534" s="29">
        <f t="shared" si="66"/>
        <v>15</v>
      </c>
      <c r="C534" s="41">
        <v>45205</v>
      </c>
      <c r="D534" s="30">
        <f>SUM(Data!$I534:$M534)</f>
        <v>58</v>
      </c>
      <c r="E534" s="29">
        <v>12</v>
      </c>
      <c r="F534" s="29">
        <v>597</v>
      </c>
      <c r="G534" s="29">
        <v>165</v>
      </c>
      <c r="H534" s="29">
        <v>122</v>
      </c>
      <c r="I534" s="29">
        <v>13</v>
      </c>
      <c r="J534" s="29">
        <v>24</v>
      </c>
      <c r="K534" s="29">
        <v>9</v>
      </c>
      <c r="L534" s="29">
        <v>9</v>
      </c>
      <c r="M534" s="29">
        <v>3</v>
      </c>
      <c r="N534" s="29" t="s">
        <v>91</v>
      </c>
      <c r="O534" s="29" t="s">
        <v>57</v>
      </c>
      <c r="P534" s="29" t="s">
        <v>96</v>
      </c>
      <c r="Q534" s="29">
        <f t="shared" si="72"/>
        <v>1</v>
      </c>
      <c r="R534" s="29" t="str">
        <f t="shared" si="67"/>
        <v>10-2023</v>
      </c>
      <c r="S534" s="29" t="s">
        <v>104</v>
      </c>
      <c r="T534" s="29" t="str">
        <f t="shared" si="68"/>
        <v>Friday</v>
      </c>
      <c r="U534" s="29">
        <f t="shared" si="69"/>
        <v>1</v>
      </c>
      <c r="V534" s="31">
        <f>IFERROR(Data!$I534/Data!$D534,"")</f>
        <v>0.22413793103448276</v>
      </c>
      <c r="W534" s="31">
        <f>IFERROR(Data!$J534/Data!$D534,"")</f>
        <v>0.41379310344827586</v>
      </c>
      <c r="X534" s="31">
        <f>IFERROR(Data!$K534/Data!$D534,"")</f>
        <v>0.15517241379310345</v>
      </c>
      <c r="Y534" s="31">
        <f>IFERROR(Data!$L534/Data!$D534,"")</f>
        <v>0.15517241379310345</v>
      </c>
      <c r="Z534" s="31">
        <f>IFERROR(Data!$M534/Data!$D534,"")</f>
        <v>5.1724137931034482E-2</v>
      </c>
      <c r="AA534" s="32">
        <v>232.14</v>
      </c>
      <c r="AB534" s="32">
        <f t="shared" si="73"/>
        <v>15.475999999999999</v>
      </c>
      <c r="AC534" s="29">
        <f t="shared" si="70"/>
        <v>635.73333333333335</v>
      </c>
      <c r="AD534" s="29">
        <f t="shared" si="71"/>
        <v>14.133333333333333</v>
      </c>
      <c r="AE534" s="29">
        <f>YEAR(Data!$C534)</f>
        <v>2023</v>
      </c>
      <c r="AF534" s="29"/>
      <c r="AG534" s="29">
        <v>12</v>
      </c>
      <c r="AH534" s="33">
        <f>Data!$F534/Data!$D534</f>
        <v>10.293103448275861</v>
      </c>
      <c r="AI534" s="17" t="str">
        <f>RIGHT(Data!$O534,2)</f>
        <v>PM</v>
      </c>
      <c r="AJ534" s="29" t="str">
        <f>Data!$R534&amp;"-"&amp;WEEKNUM(Data!$C534,1)-WEEKNUM(DATE(YEAR(Data!$C534),MONTH(Data!$C534),1),1)+1</f>
        <v>10-2023-1</v>
      </c>
      <c r="AK534" s="29">
        <f>MONTH(Data!$C534)</f>
        <v>10</v>
      </c>
      <c r="AL534" s="29">
        <f>IFERROR(Data!$F534/Data!$E534,0)</f>
        <v>49.75</v>
      </c>
      <c r="AM534" s="29">
        <f>COUNTIF(Data!$N$2:$N$825,Data!$N534)</f>
        <v>218</v>
      </c>
      <c r="AN534" s="29" t="str">
        <f>VLOOKUP(Data!$N534,'Helpful Tables'!A:D,4,FALSE)</f>
        <v>Washington, DC</v>
      </c>
      <c r="AO534" s="29">
        <f>COUNTIF(AN:AN,Data!$AN534)/COUNTA(AN:AN)</f>
        <v>0.62424242424242427</v>
      </c>
      <c r="AP534" s="29">
        <v>38.934710000000003</v>
      </c>
      <c r="AQ534" s="29">
        <v>-77.058222999999998</v>
      </c>
      <c r="AR534" s="29">
        <f>COUNTIF(Data!$P$2:$P$825,Data!$P534)</f>
        <v>71</v>
      </c>
      <c r="AS534" s="29" cm="1">
        <f t="array" ref="AS534">_xlfn.IFS(Data!$E534&lt;12,((Data!$E534/Data!$D534)*60)*1,AND(Data!$E534&gt;=12,Data!$E534&lt;=15),((Data!$E534/Data!$D534)*60)*1.2,AND(Data!$E534&gt;=16,Data!$E534&lt;=19),((Data!$E534/Data!$D534)*60)*1.5,Data!$E534&gt;=20,((Data!$E534/Data!$D534)*60)*1.8)</f>
        <v>14.896551724137931</v>
      </c>
      <c r="AT534" s="29" cm="1">
        <f t="array" ref="AT534">_xlfn.IFS(Data!$F534&lt;600,((Data!$F534/Data!$D534)*60)*1,AND(Data!$F534&gt;=600,Data!$F534&lt;=625),((Data!$F534/Data!$D534)*60)*1.2,AND(Data!$F534&gt;=626,Data!$F534&lt;=650),((Data!$F534/Data!$D534)*60)*1.5,Data!$F534&gt;=651,((Data!$F534/Data!$D534)*60)*1.8)</f>
        <v>617.58620689655163</v>
      </c>
      <c r="AU534" s="29">
        <f>(Data!$I534*-1.2)+(Data!$J534*-1.1)+(Data!$K534*1.2)+(Data!$L534*1.3)+(Data!$M534*1.5)</f>
        <v>-15</v>
      </c>
      <c r="AV534" s="29">
        <f>(Data!$AS534*0.4)+(Data!$AT534*0.4)+(Data!$AU534*0.2)</f>
        <v>249.99310344827583</v>
      </c>
      <c r="AW534" s="34">
        <f>PERCENTRANK(AV:AV,Data!$AV534)*100</f>
        <v>17.2</v>
      </c>
      <c r="AX534" s="29" t="str">
        <f>_xlfn.CONCAT(TEXT(C534,"mmm"),"-",Data!$AE534)</f>
        <v>Oct-2023</v>
      </c>
    </row>
    <row r="535" spans="1:50" ht="17" thickTop="1" thickBot="1" x14ac:dyDescent="0.25">
      <c r="A535" s="22">
        <v>534</v>
      </c>
      <c r="B535" s="23">
        <f t="shared" si="66"/>
        <v>15</v>
      </c>
      <c r="C535" s="41">
        <v>45207</v>
      </c>
      <c r="D535" s="24">
        <f>SUM(Data!$I535:$M535)</f>
        <v>61</v>
      </c>
      <c r="E535" s="23">
        <v>16</v>
      </c>
      <c r="F535" s="23">
        <v>655</v>
      </c>
      <c r="G535" s="23">
        <v>167</v>
      </c>
      <c r="H535" s="23">
        <v>126</v>
      </c>
      <c r="I535" s="23">
        <v>13</v>
      </c>
      <c r="J535" s="23">
        <v>19</v>
      </c>
      <c r="K535" s="23">
        <v>13</v>
      </c>
      <c r="L535" s="23">
        <v>14</v>
      </c>
      <c r="M535" s="23">
        <v>2</v>
      </c>
      <c r="N535" s="23" t="s">
        <v>91</v>
      </c>
      <c r="O535" s="23" t="s">
        <v>79</v>
      </c>
      <c r="P535" s="23" t="s">
        <v>100</v>
      </c>
      <c r="Q535" s="23">
        <f t="shared" si="72"/>
        <v>2</v>
      </c>
      <c r="R535" s="23" t="str">
        <f t="shared" si="67"/>
        <v>10-2023</v>
      </c>
      <c r="S535" s="23" t="s">
        <v>104</v>
      </c>
      <c r="T535" s="23" t="str">
        <f t="shared" si="68"/>
        <v>Sunday</v>
      </c>
      <c r="U535" s="23">
        <f t="shared" si="69"/>
        <v>1</v>
      </c>
      <c r="V535" s="25">
        <f>IFERROR(Data!$I535/Data!$D535,"")</f>
        <v>0.21311475409836064</v>
      </c>
      <c r="W535" s="25">
        <f>IFERROR(Data!$J535/Data!$D535,"")</f>
        <v>0.31147540983606559</v>
      </c>
      <c r="X535" s="25">
        <f>IFERROR(Data!$K535/Data!$D535,"")</f>
        <v>0.21311475409836064</v>
      </c>
      <c r="Y535" s="25">
        <f>IFERROR(Data!$L535/Data!$D535,"")</f>
        <v>0.22950819672131148</v>
      </c>
      <c r="Z535" s="25">
        <f>IFERROR(Data!$M535/Data!$D535,"")</f>
        <v>3.2786885245901641E-2</v>
      </c>
      <c r="AA535" s="26">
        <v>232.14</v>
      </c>
      <c r="AB535" s="26">
        <f t="shared" si="73"/>
        <v>15.475999999999999</v>
      </c>
      <c r="AC535" s="23">
        <f t="shared" si="70"/>
        <v>635.73333333333335</v>
      </c>
      <c r="AD535" s="23">
        <f t="shared" si="71"/>
        <v>14.133333333333333</v>
      </c>
      <c r="AE535" s="23">
        <f>YEAR(Data!$C535)</f>
        <v>2023</v>
      </c>
      <c r="AF535" s="23"/>
      <c r="AG535" s="23">
        <v>12</v>
      </c>
      <c r="AH535" s="27">
        <f>Data!$F535/Data!$D535</f>
        <v>10.737704918032787</v>
      </c>
      <c r="AI535" s="17" t="str">
        <f>RIGHT(Data!$O535,2)</f>
        <v>AM</v>
      </c>
      <c r="AJ535" s="23" t="str">
        <f>Data!$R535&amp;"-"&amp;WEEKNUM(Data!$C535,1)-WEEKNUM(DATE(YEAR(Data!$C535),MONTH(Data!$C535),1),1)+1</f>
        <v>10-2023-2</v>
      </c>
      <c r="AK535" s="23">
        <f>MONTH(Data!$C535)</f>
        <v>10</v>
      </c>
      <c r="AL535" s="23">
        <f>IFERROR(Data!$F535/Data!$E535,0)</f>
        <v>40.9375</v>
      </c>
      <c r="AM535" s="23">
        <f>COUNTIF(Data!$N$2:$N$825,Data!$N535)</f>
        <v>218</v>
      </c>
      <c r="AN535" s="23" t="str">
        <f>VLOOKUP(Data!$N535,'Helpful Tables'!A:D,4,FALSE)</f>
        <v>Washington, DC</v>
      </c>
      <c r="AO535" s="23">
        <f>COUNTIF(AN:AN,Data!$AN535)/COUNTA(AN:AN)</f>
        <v>0.62424242424242427</v>
      </c>
      <c r="AP535" s="23">
        <v>38.934710000000003</v>
      </c>
      <c r="AQ535" s="23">
        <v>-77.058222999999998</v>
      </c>
      <c r="AR535" s="23">
        <f>COUNTIF(Data!$P$2:$P$825,Data!$P535)</f>
        <v>35</v>
      </c>
      <c r="AS535" s="23" cm="1">
        <f t="array" ref="AS535">_xlfn.IFS(Data!$E535&lt;12,((Data!$E535/Data!$D535)*60)*1,AND(Data!$E535&gt;=12,Data!$E535&lt;=15),((Data!$E535/Data!$D535)*60)*1.2,AND(Data!$E535&gt;=16,Data!$E535&lt;=19),((Data!$E535/Data!$D535)*60)*1.5,Data!$E535&gt;=20,((Data!$E535/Data!$D535)*60)*1.8)</f>
        <v>23.606557377049182</v>
      </c>
      <c r="AT535" s="23" cm="1">
        <f t="array" ref="AT535">_xlfn.IFS(Data!$F535&lt;600,((Data!$F535/Data!$D535)*60)*1,AND(Data!$F535&gt;=600,Data!$F535&lt;=625),((Data!$F535/Data!$D535)*60)*1.2,AND(Data!$F535&gt;=626,Data!$F535&lt;=650),((Data!$F535/Data!$D535)*60)*1.5,Data!$F535&gt;=651,((Data!$F535/Data!$D535)*60)*1.8)</f>
        <v>1159.672131147541</v>
      </c>
      <c r="AU535" s="23">
        <f>(Data!$I535*-1.2)+(Data!$J535*-1.1)+(Data!$K535*1.2)+(Data!$L535*1.3)+(Data!$M535*1.5)</f>
        <v>0.30000000000000071</v>
      </c>
      <c r="AV535" s="23">
        <f>(Data!$AS535*0.4)+(Data!$AT535*0.4)+(Data!$AU535*0.2)</f>
        <v>473.37147540983608</v>
      </c>
      <c r="AW535" s="35">
        <f>PERCENTRANK(AV:AV,Data!$AV535)*100</f>
        <v>67.400000000000006</v>
      </c>
      <c r="AX535" s="23" t="str">
        <f>_xlfn.CONCAT(TEXT(C535,"mmm"),"-",Data!$AE535)</f>
        <v>Oct-2023</v>
      </c>
    </row>
    <row r="536" spans="1:50" ht="17" thickTop="1" thickBot="1" x14ac:dyDescent="0.25">
      <c r="A536" s="28">
        <v>535</v>
      </c>
      <c r="B536" s="29">
        <f t="shared" si="66"/>
        <v>15</v>
      </c>
      <c r="C536" s="41">
        <v>45209</v>
      </c>
      <c r="D536" s="30">
        <f>SUM(Data!$I536:$M536)</f>
        <v>53</v>
      </c>
      <c r="E536" s="29">
        <v>12</v>
      </c>
      <c r="F536" s="29">
        <v>617</v>
      </c>
      <c r="G536" s="29">
        <v>167</v>
      </c>
      <c r="H536" s="29">
        <v>131</v>
      </c>
      <c r="I536" s="29">
        <v>6</v>
      </c>
      <c r="J536" s="29">
        <v>15</v>
      </c>
      <c r="K536" s="29">
        <v>20</v>
      </c>
      <c r="L536" s="29">
        <v>10</v>
      </c>
      <c r="M536" s="29">
        <v>2</v>
      </c>
      <c r="N536" s="29" t="s">
        <v>101</v>
      </c>
      <c r="O536" s="29" t="s">
        <v>173</v>
      </c>
      <c r="P536" s="29" t="s">
        <v>186</v>
      </c>
      <c r="Q536" s="29">
        <f t="shared" si="72"/>
        <v>2</v>
      </c>
      <c r="R536" s="29" t="str">
        <f t="shared" si="67"/>
        <v>10-2023</v>
      </c>
      <c r="S536" s="29" t="s">
        <v>145</v>
      </c>
      <c r="T536" s="29" t="str">
        <f t="shared" si="68"/>
        <v>Tuesday</v>
      </c>
      <c r="U536" s="29">
        <f t="shared" si="69"/>
        <v>1</v>
      </c>
      <c r="V536" s="31">
        <f>IFERROR(Data!$I536/Data!$D536,"")</f>
        <v>0.11320754716981132</v>
      </c>
      <c r="W536" s="31">
        <f>IFERROR(Data!$J536/Data!$D536,"")</f>
        <v>0.28301886792452829</v>
      </c>
      <c r="X536" s="31">
        <f>IFERROR(Data!$K536/Data!$D536,"")</f>
        <v>0.37735849056603776</v>
      </c>
      <c r="Y536" s="31">
        <f>IFERROR(Data!$L536/Data!$D536,"")</f>
        <v>0.18867924528301888</v>
      </c>
      <c r="Z536" s="31">
        <f>IFERROR(Data!$M536/Data!$D536,"")</f>
        <v>3.7735849056603772E-2</v>
      </c>
      <c r="AA536" s="32">
        <v>232.14</v>
      </c>
      <c r="AB536" s="32">
        <f t="shared" si="73"/>
        <v>15.475999999999999</v>
      </c>
      <c r="AC536" s="29">
        <f t="shared" si="70"/>
        <v>635.73333333333335</v>
      </c>
      <c r="AD536" s="29">
        <f t="shared" si="71"/>
        <v>14.133333333333333</v>
      </c>
      <c r="AE536" s="29">
        <f>YEAR(Data!$C536)</f>
        <v>2023</v>
      </c>
      <c r="AF536" s="29"/>
      <c r="AG536" s="29">
        <v>12</v>
      </c>
      <c r="AH536" s="33">
        <f>Data!$F536/Data!$D536</f>
        <v>11.641509433962264</v>
      </c>
      <c r="AI536" s="17" t="str">
        <f>RIGHT(Data!$O536,2)</f>
        <v>PM</v>
      </c>
      <c r="AJ536" s="29" t="str">
        <f>Data!$R536&amp;"-"&amp;WEEKNUM(Data!$C536,1)-WEEKNUM(DATE(YEAR(Data!$C536),MONTH(Data!$C536),1),1)+1</f>
        <v>10-2023-2</v>
      </c>
      <c r="AK536" s="29">
        <f>MONTH(Data!$C536)</f>
        <v>10</v>
      </c>
      <c r="AL536" s="29">
        <f>IFERROR(Data!$F536/Data!$E536,0)</f>
        <v>51.416666666666664</v>
      </c>
      <c r="AM536" s="29">
        <f>COUNTIF(Data!$N$2:$N$825,Data!$N536)</f>
        <v>191</v>
      </c>
      <c r="AN536" s="29" t="str">
        <f>VLOOKUP(Data!$N536,'Helpful Tables'!A:D,4,FALSE)</f>
        <v>Washington, DC</v>
      </c>
      <c r="AO536" s="29">
        <f>COUNTIF(AN:AN,Data!$AN536)/COUNTA(AN:AN)</f>
        <v>0.62424242424242427</v>
      </c>
      <c r="AP536" s="29">
        <v>38.949649000000001</v>
      </c>
      <c r="AQ536" s="29">
        <v>-77.080878999999996</v>
      </c>
      <c r="AR536" s="29">
        <f>COUNTIF(Data!$P$2:$P$825,Data!$P536)</f>
        <v>2</v>
      </c>
      <c r="AS536" s="29" cm="1">
        <f t="array" ref="AS536">_xlfn.IFS(Data!$E536&lt;12,((Data!$E536/Data!$D536)*60)*1,AND(Data!$E536&gt;=12,Data!$E536&lt;=15),((Data!$E536/Data!$D536)*60)*1.2,AND(Data!$E536&gt;=16,Data!$E536&lt;=19),((Data!$E536/Data!$D536)*60)*1.5,Data!$E536&gt;=20,((Data!$E536/Data!$D536)*60)*1.8)</f>
        <v>16.30188679245283</v>
      </c>
      <c r="AT536" s="29" cm="1">
        <f t="array" ref="AT536">_xlfn.IFS(Data!$F536&lt;600,((Data!$F536/Data!$D536)*60)*1,AND(Data!$F536&gt;=600,Data!$F536&lt;=625),((Data!$F536/Data!$D536)*60)*1.2,AND(Data!$F536&gt;=626,Data!$F536&lt;=650),((Data!$F536/Data!$D536)*60)*1.5,Data!$F536&gt;=651,((Data!$F536/Data!$D536)*60)*1.8)</f>
        <v>838.18867924528308</v>
      </c>
      <c r="AU536" s="29">
        <f>(Data!$I536*-1.2)+(Data!$J536*-1.1)+(Data!$K536*1.2)+(Data!$L536*1.3)+(Data!$M536*1.5)</f>
        <v>16.3</v>
      </c>
      <c r="AV536" s="29">
        <f>(Data!$AS536*0.4)+(Data!$AT536*0.4)+(Data!$AU536*0.2)</f>
        <v>345.05622641509439</v>
      </c>
      <c r="AW536" s="34">
        <f>PERCENTRANK(AV:AV,Data!$AV536)*100</f>
        <v>43.7</v>
      </c>
      <c r="AX536" s="29" t="str">
        <f>_xlfn.CONCAT(TEXT(C536,"mmm"),"-",Data!$AE536)</f>
        <v>Oct-2023</v>
      </c>
    </row>
    <row r="537" spans="1:50" ht="17" thickTop="1" thickBot="1" x14ac:dyDescent="0.25">
      <c r="A537" s="22">
        <v>536</v>
      </c>
      <c r="B537" s="23">
        <f t="shared" si="66"/>
        <v>15</v>
      </c>
      <c r="C537" s="41">
        <v>45210</v>
      </c>
      <c r="D537" s="24">
        <f>SUM(Data!$I537:$M537)</f>
        <v>59</v>
      </c>
      <c r="E537" s="23">
        <v>11</v>
      </c>
      <c r="F537" s="23">
        <v>613</v>
      </c>
      <c r="G537" s="23">
        <v>165</v>
      </c>
      <c r="H537" s="23">
        <v>122</v>
      </c>
      <c r="I537" s="23">
        <v>17</v>
      </c>
      <c r="J537" s="23">
        <v>16</v>
      </c>
      <c r="K537" s="23">
        <v>15</v>
      </c>
      <c r="L537" s="23">
        <v>10</v>
      </c>
      <c r="M537" s="23">
        <v>1</v>
      </c>
      <c r="N537" s="23" t="s">
        <v>91</v>
      </c>
      <c r="O537" s="23" t="s">
        <v>57</v>
      </c>
      <c r="P537" s="23" t="s">
        <v>96</v>
      </c>
      <c r="Q537" s="23">
        <f t="shared" si="72"/>
        <v>1</v>
      </c>
      <c r="R537" s="23" t="str">
        <f t="shared" si="67"/>
        <v>10-2023</v>
      </c>
      <c r="S537" s="23" t="s">
        <v>104</v>
      </c>
      <c r="T537" s="23" t="str">
        <f t="shared" si="68"/>
        <v>Wednesday</v>
      </c>
      <c r="U537" s="23">
        <f t="shared" si="69"/>
        <v>0</v>
      </c>
      <c r="V537" s="25">
        <f>IFERROR(Data!$I537/Data!$D537,"")</f>
        <v>0.28813559322033899</v>
      </c>
      <c r="W537" s="25">
        <f>IFERROR(Data!$J537/Data!$D537,"")</f>
        <v>0.2711864406779661</v>
      </c>
      <c r="X537" s="25">
        <f>IFERROR(Data!$K537/Data!$D537,"")</f>
        <v>0.25423728813559321</v>
      </c>
      <c r="Y537" s="25">
        <f>IFERROR(Data!$L537/Data!$D537,"")</f>
        <v>0.16949152542372881</v>
      </c>
      <c r="Z537" s="25">
        <f>IFERROR(Data!$M537/Data!$D537,"")</f>
        <v>1.6949152542372881E-2</v>
      </c>
      <c r="AA537" s="26">
        <v>232.14</v>
      </c>
      <c r="AB537" s="26">
        <f t="shared" si="73"/>
        <v>15.475999999999999</v>
      </c>
      <c r="AC537" s="23">
        <f t="shared" si="70"/>
        <v>635.73333333333335</v>
      </c>
      <c r="AD537" s="23">
        <f t="shared" si="71"/>
        <v>14.133333333333333</v>
      </c>
      <c r="AE537" s="23">
        <f>YEAR(Data!$C537)</f>
        <v>2023</v>
      </c>
      <c r="AF537" s="23"/>
      <c r="AG537" s="23">
        <v>12</v>
      </c>
      <c r="AH537" s="27">
        <f>Data!$F537/Data!$D537</f>
        <v>10.389830508474576</v>
      </c>
      <c r="AI537" s="17" t="str">
        <f>RIGHT(Data!$O537,2)</f>
        <v>PM</v>
      </c>
      <c r="AJ537" s="23" t="str">
        <f>Data!$R537&amp;"-"&amp;WEEKNUM(Data!$C537,1)-WEEKNUM(DATE(YEAR(Data!$C537),MONTH(Data!$C537),1),1)+1</f>
        <v>10-2023-2</v>
      </c>
      <c r="AK537" s="23">
        <f>MONTH(Data!$C537)</f>
        <v>10</v>
      </c>
      <c r="AL537" s="23">
        <f>IFERROR(Data!$F537/Data!$E537,0)</f>
        <v>55.727272727272727</v>
      </c>
      <c r="AM537" s="23">
        <f>COUNTIF(Data!$N$2:$N$825,Data!$N537)</f>
        <v>218</v>
      </c>
      <c r="AN537" s="23" t="str">
        <f>VLOOKUP(Data!$N537,'Helpful Tables'!A:D,4,FALSE)</f>
        <v>Washington, DC</v>
      </c>
      <c r="AO537" s="23">
        <f>COUNTIF(AN:AN,Data!$AN537)/COUNTA(AN:AN)</f>
        <v>0.62424242424242427</v>
      </c>
      <c r="AP537" s="23">
        <v>38.934710000000003</v>
      </c>
      <c r="AQ537" s="23">
        <v>-77.058222999999998</v>
      </c>
      <c r="AR537" s="23">
        <f>COUNTIF(Data!$P$2:$P$825,Data!$P537)</f>
        <v>71</v>
      </c>
      <c r="AS537" s="23" cm="1">
        <f t="array" ref="AS537">_xlfn.IFS(Data!$E537&lt;12,((Data!$E537/Data!$D537)*60)*1,AND(Data!$E537&gt;=12,Data!$E537&lt;=15),((Data!$E537/Data!$D537)*60)*1.2,AND(Data!$E537&gt;=16,Data!$E537&lt;=19),((Data!$E537/Data!$D537)*60)*1.5,Data!$E537&gt;=20,((Data!$E537/Data!$D537)*60)*1.8)</f>
        <v>11.186440677966102</v>
      </c>
      <c r="AT537" s="23" cm="1">
        <f t="array" ref="AT537">_xlfn.IFS(Data!$F537&lt;600,((Data!$F537/Data!$D537)*60)*1,AND(Data!$F537&gt;=600,Data!$F537&lt;=625),((Data!$F537/Data!$D537)*60)*1.2,AND(Data!$F537&gt;=626,Data!$F537&lt;=650),((Data!$F537/Data!$D537)*60)*1.5,Data!$F537&gt;=651,((Data!$F537/Data!$D537)*60)*1.8)</f>
        <v>748.06779661016947</v>
      </c>
      <c r="AU537" s="23">
        <f>(Data!$I537*-1.2)+(Data!$J537*-1.1)+(Data!$K537*1.2)+(Data!$L537*1.3)+(Data!$M537*1.5)</f>
        <v>-5.5</v>
      </c>
      <c r="AV537" s="23">
        <f>(Data!$AS537*0.4)+(Data!$AT537*0.4)+(Data!$AU537*0.2)</f>
        <v>302.6016949152542</v>
      </c>
      <c r="AW537" s="35">
        <f>PERCENTRANK(AV:AV,Data!$AV537)*100</f>
        <v>27.3</v>
      </c>
      <c r="AX537" s="23" t="str">
        <f>_xlfn.CONCAT(TEXT(C537,"mmm"),"-",Data!$AE537)</f>
        <v>Oct-2023</v>
      </c>
    </row>
    <row r="538" spans="1:50" ht="17" thickTop="1" thickBot="1" x14ac:dyDescent="0.25">
      <c r="A538" s="28">
        <v>537</v>
      </c>
      <c r="B538" s="29">
        <f t="shared" si="66"/>
        <v>15</v>
      </c>
      <c r="C538" s="41">
        <v>45212</v>
      </c>
      <c r="D538" s="30">
        <f>SUM(Data!$I538:$M538)</f>
        <v>56</v>
      </c>
      <c r="E538" s="29">
        <v>12</v>
      </c>
      <c r="F538" s="29">
        <v>630</v>
      </c>
      <c r="G538" s="29">
        <v>162</v>
      </c>
      <c r="H538" s="29">
        <v>127</v>
      </c>
      <c r="I538" s="29">
        <v>8</v>
      </c>
      <c r="J538" s="29">
        <v>22</v>
      </c>
      <c r="K538" s="29">
        <v>14</v>
      </c>
      <c r="L538" s="29">
        <v>12</v>
      </c>
      <c r="M538" s="29">
        <v>0</v>
      </c>
      <c r="N538" s="29" t="s">
        <v>101</v>
      </c>
      <c r="O538" s="29" t="s">
        <v>184</v>
      </c>
      <c r="P538" s="29" t="s">
        <v>109</v>
      </c>
      <c r="Q538" s="29">
        <f t="shared" si="72"/>
        <v>2</v>
      </c>
      <c r="R538" s="29" t="str">
        <f t="shared" si="67"/>
        <v>10-2023</v>
      </c>
      <c r="S538" s="29" t="s">
        <v>104</v>
      </c>
      <c r="T538" s="29" t="str">
        <f t="shared" si="68"/>
        <v>Friday</v>
      </c>
      <c r="U538" s="29">
        <f t="shared" si="69"/>
        <v>1</v>
      </c>
      <c r="V538" s="31">
        <f>IFERROR(Data!$I538/Data!$D538,"")</f>
        <v>0.14285714285714285</v>
      </c>
      <c r="W538" s="31">
        <f>IFERROR(Data!$J538/Data!$D538,"")</f>
        <v>0.39285714285714285</v>
      </c>
      <c r="X538" s="31">
        <f>IFERROR(Data!$K538/Data!$D538,"")</f>
        <v>0.25</v>
      </c>
      <c r="Y538" s="31">
        <f>IFERROR(Data!$L538/Data!$D538,"")</f>
        <v>0.21428571428571427</v>
      </c>
      <c r="Z538" s="31">
        <f>IFERROR(Data!$M538/Data!$D538,"")</f>
        <v>0</v>
      </c>
      <c r="AA538" s="32">
        <v>232.14</v>
      </c>
      <c r="AB538" s="32">
        <f t="shared" si="73"/>
        <v>15.475999999999999</v>
      </c>
      <c r="AC538" s="29">
        <f t="shared" si="70"/>
        <v>635.73333333333335</v>
      </c>
      <c r="AD538" s="29">
        <f t="shared" si="71"/>
        <v>14.133333333333333</v>
      </c>
      <c r="AE538" s="29">
        <f>YEAR(Data!$C538)</f>
        <v>2023</v>
      </c>
      <c r="AF538" s="29"/>
      <c r="AG538" s="29">
        <v>12</v>
      </c>
      <c r="AH538" s="33">
        <f>Data!$F538/Data!$D538</f>
        <v>11.25</v>
      </c>
      <c r="AI538" s="17" t="str">
        <f>RIGHT(Data!$O538,2)</f>
        <v>AM</v>
      </c>
      <c r="AJ538" s="29" t="str">
        <f>Data!$R538&amp;"-"&amp;WEEKNUM(Data!$C538,1)-WEEKNUM(DATE(YEAR(Data!$C538),MONTH(Data!$C538),1),1)+1</f>
        <v>10-2023-2</v>
      </c>
      <c r="AK538" s="29">
        <f>MONTH(Data!$C538)</f>
        <v>10</v>
      </c>
      <c r="AL538" s="29">
        <f>IFERROR(Data!$F538/Data!$E538,0)</f>
        <v>52.5</v>
      </c>
      <c r="AM538" s="29">
        <f>COUNTIF(Data!$N$2:$N$825,Data!$N538)</f>
        <v>191</v>
      </c>
      <c r="AN538" s="29" t="str">
        <f>VLOOKUP(Data!$N538,'Helpful Tables'!A:D,4,FALSE)</f>
        <v>Washington, DC</v>
      </c>
      <c r="AO538" s="29">
        <f>COUNTIF(AN:AN,Data!$AN538)/COUNTA(AN:AN)</f>
        <v>0.62424242424242427</v>
      </c>
      <c r="AP538" s="29">
        <v>38.949649000000001</v>
      </c>
      <c r="AQ538" s="29">
        <v>-77.080878999999996</v>
      </c>
      <c r="AR538" s="29">
        <f>COUNTIF(Data!$P$2:$P$825,Data!$P538)</f>
        <v>66</v>
      </c>
      <c r="AS538" s="29" cm="1">
        <f t="array" ref="AS538">_xlfn.IFS(Data!$E538&lt;12,((Data!$E538/Data!$D538)*60)*1,AND(Data!$E538&gt;=12,Data!$E538&lt;=15),((Data!$E538/Data!$D538)*60)*1.2,AND(Data!$E538&gt;=16,Data!$E538&lt;=19),((Data!$E538/Data!$D538)*60)*1.5,Data!$E538&gt;=20,((Data!$E538/Data!$D538)*60)*1.8)</f>
        <v>15.428571428571427</v>
      </c>
      <c r="AT538" s="29" cm="1">
        <f t="array" ref="AT538">_xlfn.IFS(Data!$F538&lt;600,((Data!$F538/Data!$D538)*60)*1,AND(Data!$F538&gt;=600,Data!$F538&lt;=625),((Data!$F538/Data!$D538)*60)*1.2,AND(Data!$F538&gt;=626,Data!$F538&lt;=650),((Data!$F538/Data!$D538)*60)*1.5,Data!$F538&gt;=651,((Data!$F538/Data!$D538)*60)*1.8)</f>
        <v>1012.5</v>
      </c>
      <c r="AU538" s="29">
        <f>(Data!$I538*-1.2)+(Data!$J538*-1.1)+(Data!$K538*1.2)+(Data!$L538*1.3)+(Data!$M538*1.5)</f>
        <v>-1.4000000000000021</v>
      </c>
      <c r="AV538" s="29">
        <f>(Data!$AS538*0.4)+(Data!$AT538*0.4)+(Data!$AU538*0.2)</f>
        <v>410.89142857142861</v>
      </c>
      <c r="AW538" s="34">
        <f>PERCENTRANK(AV:AV,Data!$AV538)*100</f>
        <v>57.699999999999996</v>
      </c>
      <c r="AX538" s="29" t="str">
        <f>_xlfn.CONCAT(TEXT(C538,"mmm"),"-",Data!$AE538)</f>
        <v>Oct-2023</v>
      </c>
    </row>
    <row r="539" spans="1:50" ht="17" thickTop="1" thickBot="1" x14ac:dyDescent="0.25">
      <c r="A539" s="22">
        <v>538</v>
      </c>
      <c r="B539" s="23">
        <f t="shared" si="66"/>
        <v>15</v>
      </c>
      <c r="C539" s="41">
        <v>45214</v>
      </c>
      <c r="D539" s="24">
        <f>SUM(Data!$I539:$M539)</f>
        <v>60</v>
      </c>
      <c r="E539" s="23">
        <v>14</v>
      </c>
      <c r="F539" s="23">
        <v>657</v>
      </c>
      <c r="G539" s="23">
        <v>167</v>
      </c>
      <c r="H539" s="23">
        <v>127</v>
      </c>
      <c r="I539" s="23">
        <v>12</v>
      </c>
      <c r="J539" s="23">
        <v>17</v>
      </c>
      <c r="K539" s="23">
        <v>17</v>
      </c>
      <c r="L539" s="23">
        <v>11</v>
      </c>
      <c r="M539" s="23">
        <v>3</v>
      </c>
      <c r="N539" s="23" t="s">
        <v>91</v>
      </c>
      <c r="O539" s="23" t="s">
        <v>79</v>
      </c>
      <c r="P539" s="23" t="s">
        <v>100</v>
      </c>
      <c r="Q539" s="23">
        <f t="shared" si="72"/>
        <v>2</v>
      </c>
      <c r="R539" s="23" t="str">
        <f t="shared" si="67"/>
        <v>10-2023</v>
      </c>
      <c r="S539" s="23" t="s">
        <v>104</v>
      </c>
      <c r="T539" s="23" t="str">
        <f t="shared" si="68"/>
        <v>Sunday</v>
      </c>
      <c r="U539" s="23">
        <f t="shared" si="69"/>
        <v>1</v>
      </c>
      <c r="V539" s="25">
        <f>IFERROR(Data!$I539/Data!$D539,"")</f>
        <v>0.2</v>
      </c>
      <c r="W539" s="25">
        <f>IFERROR(Data!$J539/Data!$D539,"")</f>
        <v>0.28333333333333333</v>
      </c>
      <c r="X539" s="25">
        <f>IFERROR(Data!$K539/Data!$D539,"")</f>
        <v>0.28333333333333333</v>
      </c>
      <c r="Y539" s="25">
        <f>IFERROR(Data!$L539/Data!$D539,"")</f>
        <v>0.18333333333333332</v>
      </c>
      <c r="Z539" s="25">
        <f>IFERROR(Data!$M539/Data!$D539,"")</f>
        <v>0.05</v>
      </c>
      <c r="AA539" s="26">
        <v>232.14</v>
      </c>
      <c r="AB539" s="26">
        <f t="shared" si="73"/>
        <v>15.475999999999999</v>
      </c>
      <c r="AC539" s="23">
        <f t="shared" si="70"/>
        <v>635.73333333333335</v>
      </c>
      <c r="AD539" s="23">
        <f t="shared" si="71"/>
        <v>14.133333333333333</v>
      </c>
      <c r="AE539" s="23">
        <f>YEAR(Data!$C539)</f>
        <v>2023</v>
      </c>
      <c r="AF539" s="23"/>
      <c r="AG539" s="23">
        <v>12</v>
      </c>
      <c r="AH539" s="27">
        <f>Data!$F539/Data!$D539</f>
        <v>10.95</v>
      </c>
      <c r="AI539" s="17" t="str">
        <f>RIGHT(Data!$O539,2)</f>
        <v>AM</v>
      </c>
      <c r="AJ539" s="23" t="str">
        <f>Data!$R539&amp;"-"&amp;WEEKNUM(Data!$C539,1)-WEEKNUM(DATE(YEAR(Data!$C539),MONTH(Data!$C539),1),1)+1</f>
        <v>10-2023-3</v>
      </c>
      <c r="AK539" s="23">
        <f>MONTH(Data!$C539)</f>
        <v>10</v>
      </c>
      <c r="AL539" s="23">
        <f>IFERROR(Data!$F539/Data!$E539,0)</f>
        <v>46.928571428571431</v>
      </c>
      <c r="AM539" s="23">
        <f>COUNTIF(Data!$N$2:$N$825,Data!$N539)</f>
        <v>218</v>
      </c>
      <c r="AN539" s="23" t="str">
        <f>VLOOKUP(Data!$N539,'Helpful Tables'!A:D,4,FALSE)</f>
        <v>Washington, DC</v>
      </c>
      <c r="AO539" s="23">
        <f>COUNTIF(AN:AN,Data!$AN539)/COUNTA(AN:AN)</f>
        <v>0.62424242424242427</v>
      </c>
      <c r="AP539" s="23">
        <v>38.934710000000003</v>
      </c>
      <c r="AQ539" s="23">
        <v>-77.058222999999998</v>
      </c>
      <c r="AR539" s="23">
        <f>COUNTIF(Data!$P$2:$P$825,Data!$P539)</f>
        <v>35</v>
      </c>
      <c r="AS539" s="23" cm="1">
        <f t="array" ref="AS539">_xlfn.IFS(Data!$E539&lt;12,((Data!$E539/Data!$D539)*60)*1,AND(Data!$E539&gt;=12,Data!$E539&lt;=15),((Data!$E539/Data!$D539)*60)*1.2,AND(Data!$E539&gt;=16,Data!$E539&lt;=19),((Data!$E539/Data!$D539)*60)*1.5,Data!$E539&gt;=20,((Data!$E539/Data!$D539)*60)*1.8)</f>
        <v>16.8</v>
      </c>
      <c r="AT539" s="23" cm="1">
        <f t="array" ref="AT539">_xlfn.IFS(Data!$F539&lt;600,((Data!$F539/Data!$D539)*60)*1,AND(Data!$F539&gt;=600,Data!$F539&lt;=625),((Data!$F539/Data!$D539)*60)*1.2,AND(Data!$F539&gt;=626,Data!$F539&lt;=650),((Data!$F539/Data!$D539)*60)*1.5,Data!$F539&gt;=651,((Data!$F539/Data!$D539)*60)*1.8)</f>
        <v>1182.6000000000001</v>
      </c>
      <c r="AU539" s="23">
        <f>(Data!$I539*-1.2)+(Data!$J539*-1.1)+(Data!$K539*1.2)+(Data!$L539*1.3)+(Data!$M539*1.5)</f>
        <v>6.0999999999999979</v>
      </c>
      <c r="AV539" s="23">
        <f>(Data!$AS539*0.4)+(Data!$AT539*0.4)+(Data!$AU539*0.2)</f>
        <v>480.98000000000013</v>
      </c>
      <c r="AW539" s="35">
        <f>PERCENTRANK(AV:AV,Data!$AV539)*100</f>
        <v>69.3</v>
      </c>
      <c r="AX539" s="23" t="str">
        <f>_xlfn.CONCAT(TEXT(C539,"mmm"),"-",Data!$AE539)</f>
        <v>Oct-2023</v>
      </c>
    </row>
    <row r="540" spans="1:50" ht="17" thickTop="1" thickBot="1" x14ac:dyDescent="0.25">
      <c r="A540" s="28">
        <v>539</v>
      </c>
      <c r="B540" s="29">
        <f t="shared" si="66"/>
        <v>15</v>
      </c>
      <c r="C540" s="41">
        <v>45216</v>
      </c>
      <c r="D540" s="30">
        <f>SUM(Data!$I540:$M540)</f>
        <v>57</v>
      </c>
      <c r="E540" s="29">
        <v>10</v>
      </c>
      <c r="F540" s="29">
        <v>604</v>
      </c>
      <c r="G540" s="29">
        <v>164</v>
      </c>
      <c r="H540" s="29">
        <v>124</v>
      </c>
      <c r="I540" s="29">
        <v>15</v>
      </c>
      <c r="J540" s="29">
        <v>15</v>
      </c>
      <c r="K540" s="29">
        <v>17</v>
      </c>
      <c r="L540" s="29">
        <v>9</v>
      </c>
      <c r="M540" s="29">
        <v>1</v>
      </c>
      <c r="N540" s="29" t="s">
        <v>91</v>
      </c>
      <c r="O540" s="29" t="s">
        <v>57</v>
      </c>
      <c r="P540" s="29" t="s">
        <v>187</v>
      </c>
      <c r="Q540" s="29">
        <f t="shared" si="72"/>
        <v>2</v>
      </c>
      <c r="R540" s="29" t="str">
        <f t="shared" si="67"/>
        <v>10-2023</v>
      </c>
      <c r="S540" s="29" t="s">
        <v>104</v>
      </c>
      <c r="T540" s="29" t="str">
        <f t="shared" si="68"/>
        <v>Tuesday</v>
      </c>
      <c r="U540" s="29">
        <f t="shared" si="69"/>
        <v>0</v>
      </c>
      <c r="V540" s="31">
        <f>IFERROR(Data!$I540/Data!$D540,"")</f>
        <v>0.26315789473684209</v>
      </c>
      <c r="W540" s="31">
        <f>IFERROR(Data!$J540/Data!$D540,"")</f>
        <v>0.26315789473684209</v>
      </c>
      <c r="X540" s="31">
        <f>IFERROR(Data!$K540/Data!$D540,"")</f>
        <v>0.2982456140350877</v>
      </c>
      <c r="Y540" s="31">
        <f>IFERROR(Data!$L540/Data!$D540,"")</f>
        <v>0.15789473684210525</v>
      </c>
      <c r="Z540" s="31">
        <f>IFERROR(Data!$M540/Data!$D540,"")</f>
        <v>1.7543859649122806E-2</v>
      </c>
      <c r="AA540" s="32">
        <v>232.14</v>
      </c>
      <c r="AB540" s="32">
        <f t="shared" si="73"/>
        <v>15.475999999999999</v>
      </c>
      <c r="AC540" s="29">
        <f t="shared" si="70"/>
        <v>635.73333333333335</v>
      </c>
      <c r="AD540" s="29">
        <f t="shared" si="71"/>
        <v>14.133333333333333</v>
      </c>
      <c r="AE540" s="29">
        <f>YEAR(Data!$C540)</f>
        <v>2023</v>
      </c>
      <c r="AF540" s="29"/>
      <c r="AG540" s="29">
        <v>12</v>
      </c>
      <c r="AH540" s="33">
        <f>Data!$F540/Data!$D540</f>
        <v>10.596491228070175</v>
      </c>
      <c r="AI540" s="17" t="str">
        <f>RIGHT(Data!$O540,2)</f>
        <v>PM</v>
      </c>
      <c r="AJ540" s="29" t="str">
        <f>Data!$R540&amp;"-"&amp;WEEKNUM(Data!$C540,1)-WEEKNUM(DATE(YEAR(Data!$C540),MONTH(Data!$C540),1),1)+1</f>
        <v>10-2023-3</v>
      </c>
      <c r="AK540" s="29">
        <f>MONTH(Data!$C540)</f>
        <v>10</v>
      </c>
      <c r="AL540" s="29">
        <f>IFERROR(Data!$F540/Data!$E540,0)</f>
        <v>60.4</v>
      </c>
      <c r="AM540" s="29">
        <f>COUNTIF(Data!$N$2:$N$825,Data!$N540)</f>
        <v>218</v>
      </c>
      <c r="AN540" s="29" t="str">
        <f>VLOOKUP(Data!$N540,'Helpful Tables'!A:D,4,FALSE)</f>
        <v>Washington, DC</v>
      </c>
      <c r="AO540" s="29">
        <f>COUNTIF(AN:AN,Data!$AN540)/COUNTA(AN:AN)</f>
        <v>0.62424242424242427</v>
      </c>
      <c r="AP540" s="29">
        <v>38.934710000000003</v>
      </c>
      <c r="AQ540" s="29">
        <v>-77.058222999999998</v>
      </c>
      <c r="AR540" s="29">
        <f>COUNTIF(Data!$P$2:$P$825,Data!$P540)</f>
        <v>7</v>
      </c>
      <c r="AS540" s="29" cm="1">
        <f t="array" ref="AS540">_xlfn.IFS(Data!$E540&lt;12,((Data!$E540/Data!$D540)*60)*1,AND(Data!$E540&gt;=12,Data!$E540&lt;=15),((Data!$E540/Data!$D540)*60)*1.2,AND(Data!$E540&gt;=16,Data!$E540&lt;=19),((Data!$E540/Data!$D540)*60)*1.5,Data!$E540&gt;=20,((Data!$E540/Data!$D540)*60)*1.8)</f>
        <v>10.526315789473683</v>
      </c>
      <c r="AT540" s="29" cm="1">
        <f t="array" ref="AT540">_xlfn.IFS(Data!$F540&lt;600,((Data!$F540/Data!$D540)*60)*1,AND(Data!$F540&gt;=600,Data!$F540&lt;=625),((Data!$F540/Data!$D540)*60)*1.2,AND(Data!$F540&gt;=626,Data!$F540&lt;=650),((Data!$F540/Data!$D540)*60)*1.5,Data!$F540&gt;=651,((Data!$F540/Data!$D540)*60)*1.8)</f>
        <v>762.9473684210526</v>
      </c>
      <c r="AU540" s="29">
        <f>(Data!$I540*-1.2)+(Data!$J540*-1.1)+(Data!$K540*1.2)+(Data!$L540*1.3)+(Data!$M540*1.5)</f>
        <v>-0.90000000000000036</v>
      </c>
      <c r="AV540" s="29">
        <f>(Data!$AS540*0.4)+(Data!$AT540*0.4)+(Data!$AU540*0.2)</f>
        <v>309.20947368421054</v>
      </c>
      <c r="AW540" s="34">
        <f>PERCENTRANK(AV:AV,Data!$AV540)*100</f>
        <v>30.9</v>
      </c>
      <c r="AX540" s="29" t="str">
        <f>_xlfn.CONCAT(TEXT(C540,"mmm"),"-",Data!$AE540)</f>
        <v>Oct-2023</v>
      </c>
    </row>
    <row r="541" spans="1:50" ht="17" thickTop="1" thickBot="1" x14ac:dyDescent="0.25">
      <c r="A541" s="22">
        <v>540</v>
      </c>
      <c r="B541" s="23">
        <f t="shared" si="66"/>
        <v>15</v>
      </c>
      <c r="C541" s="41">
        <v>45217</v>
      </c>
      <c r="D541" s="24">
        <f>SUM(Data!$I541:$M541)</f>
        <v>60</v>
      </c>
      <c r="E541" s="23">
        <v>18</v>
      </c>
      <c r="F541" s="23">
        <v>668</v>
      </c>
      <c r="G541" s="23">
        <v>165</v>
      </c>
      <c r="H541" s="23">
        <v>127</v>
      </c>
      <c r="I541" s="23">
        <v>12</v>
      </c>
      <c r="J541" s="23">
        <v>19</v>
      </c>
      <c r="K541" s="23">
        <v>11</v>
      </c>
      <c r="L541" s="23">
        <v>17</v>
      </c>
      <c r="M541" s="23">
        <v>1</v>
      </c>
      <c r="N541" s="23" t="s">
        <v>101</v>
      </c>
      <c r="O541" s="23" t="s">
        <v>173</v>
      </c>
      <c r="P541" s="23" t="s">
        <v>189</v>
      </c>
      <c r="Q541" s="23">
        <f t="shared" si="72"/>
        <v>1</v>
      </c>
      <c r="R541" s="23" t="str">
        <f t="shared" si="67"/>
        <v>10-2023</v>
      </c>
      <c r="S541" s="23" t="s">
        <v>104</v>
      </c>
      <c r="T541" s="23" t="str">
        <f t="shared" si="68"/>
        <v>Wednesday</v>
      </c>
      <c r="U541" s="23">
        <f t="shared" si="69"/>
        <v>1</v>
      </c>
      <c r="V541" s="25">
        <f>IFERROR(Data!$I541/Data!$D541,"")</f>
        <v>0.2</v>
      </c>
      <c r="W541" s="25">
        <f>IFERROR(Data!$J541/Data!$D541,"")</f>
        <v>0.31666666666666665</v>
      </c>
      <c r="X541" s="25">
        <f>IFERROR(Data!$K541/Data!$D541,"")</f>
        <v>0.18333333333333332</v>
      </c>
      <c r="Y541" s="25">
        <f>IFERROR(Data!$L541/Data!$D541,"")</f>
        <v>0.28333333333333333</v>
      </c>
      <c r="Z541" s="25">
        <f>IFERROR(Data!$M541/Data!$D541,"")</f>
        <v>1.6666666666666666E-2</v>
      </c>
      <c r="AA541" s="26">
        <v>232.14</v>
      </c>
      <c r="AB541" s="26">
        <f t="shared" si="73"/>
        <v>15.475999999999999</v>
      </c>
      <c r="AC541" s="23">
        <f t="shared" si="70"/>
        <v>635.73333333333335</v>
      </c>
      <c r="AD541" s="23">
        <f t="shared" si="71"/>
        <v>14.133333333333333</v>
      </c>
      <c r="AE541" s="23">
        <f>YEAR(Data!$C541)</f>
        <v>2023</v>
      </c>
      <c r="AF541" s="23"/>
      <c r="AG541" s="23">
        <v>12</v>
      </c>
      <c r="AH541" s="27">
        <f>Data!$F541/Data!$D541</f>
        <v>11.133333333333333</v>
      </c>
      <c r="AI541" s="17" t="str">
        <f>RIGHT(Data!$O541,2)</f>
        <v>PM</v>
      </c>
      <c r="AJ541" s="23" t="str">
        <f>Data!$R541&amp;"-"&amp;WEEKNUM(Data!$C541,1)-WEEKNUM(DATE(YEAR(Data!$C541),MONTH(Data!$C541),1),1)+1</f>
        <v>10-2023-3</v>
      </c>
      <c r="AK541" s="23">
        <f>MONTH(Data!$C541)</f>
        <v>10</v>
      </c>
      <c r="AL541" s="23">
        <f>IFERROR(Data!$F541/Data!$E541,0)</f>
        <v>37.111111111111114</v>
      </c>
      <c r="AM541" s="23">
        <f>COUNTIF(Data!$N$2:$N$825,Data!$N541)</f>
        <v>191</v>
      </c>
      <c r="AN541" s="23" t="str">
        <f>VLOOKUP(Data!$N541,'Helpful Tables'!A:D,4,FALSE)</f>
        <v>Washington, DC</v>
      </c>
      <c r="AO541" s="23">
        <f>COUNTIF(AN:AN,Data!$AN541)/COUNTA(AN:AN)</f>
        <v>0.62424242424242427</v>
      </c>
      <c r="AP541" s="23">
        <v>38.949649000000001</v>
      </c>
      <c r="AQ541" s="23">
        <v>-77.080878999999996</v>
      </c>
      <c r="AR541" s="23">
        <f>COUNTIF(Data!$P$2:$P$825,Data!$P541)</f>
        <v>8</v>
      </c>
      <c r="AS541" s="23" cm="1">
        <f t="array" ref="AS541">_xlfn.IFS(Data!$E541&lt;12,((Data!$E541/Data!$D541)*60)*1,AND(Data!$E541&gt;=12,Data!$E541&lt;=15),((Data!$E541/Data!$D541)*60)*1.2,AND(Data!$E541&gt;=16,Data!$E541&lt;=19),((Data!$E541/Data!$D541)*60)*1.5,Data!$E541&gt;=20,((Data!$E541/Data!$D541)*60)*1.8)</f>
        <v>27</v>
      </c>
      <c r="AT541" s="23" cm="1">
        <f t="array" ref="AT541">_xlfn.IFS(Data!$F541&lt;600,((Data!$F541/Data!$D541)*60)*1,AND(Data!$F541&gt;=600,Data!$F541&lt;=625),((Data!$F541/Data!$D541)*60)*1.2,AND(Data!$F541&gt;=626,Data!$F541&lt;=650),((Data!$F541/Data!$D541)*60)*1.5,Data!$F541&gt;=651,((Data!$F541/Data!$D541)*60)*1.8)</f>
        <v>1202.4000000000001</v>
      </c>
      <c r="AU541" s="23">
        <f>(Data!$I541*-1.2)+(Data!$J541*-1.1)+(Data!$K541*1.2)+(Data!$L541*1.3)+(Data!$M541*1.5)</f>
        <v>1.5000000000000036</v>
      </c>
      <c r="AV541" s="23">
        <f>(Data!$AS541*0.4)+(Data!$AT541*0.4)+(Data!$AU541*0.2)</f>
        <v>492.06000000000006</v>
      </c>
      <c r="AW541" s="35">
        <f>PERCENTRANK(AV:AV,Data!$AV541)*100</f>
        <v>73.7</v>
      </c>
      <c r="AX541" s="23" t="str">
        <f>_xlfn.CONCAT(TEXT(C541,"mmm"),"-",Data!$AE541)</f>
        <v>Oct-2023</v>
      </c>
    </row>
    <row r="542" spans="1:50" ht="17" thickTop="1" thickBot="1" x14ac:dyDescent="0.25">
      <c r="A542" s="28">
        <v>541</v>
      </c>
      <c r="B542" s="29">
        <f t="shared" si="66"/>
        <v>15</v>
      </c>
      <c r="C542" s="41">
        <v>45220</v>
      </c>
      <c r="D542" s="30">
        <f>SUM(Data!$I542:$M542)</f>
        <v>61</v>
      </c>
      <c r="E542" s="29">
        <v>20</v>
      </c>
      <c r="F542" s="29">
        <v>693</v>
      </c>
      <c r="G542" s="29">
        <v>170</v>
      </c>
      <c r="H542" s="29">
        <v>130</v>
      </c>
      <c r="I542" s="29">
        <v>12</v>
      </c>
      <c r="J542" s="29">
        <v>15</v>
      </c>
      <c r="K542" s="29">
        <v>14</v>
      </c>
      <c r="L542" s="29">
        <v>17</v>
      </c>
      <c r="M542" s="29">
        <v>3</v>
      </c>
      <c r="N542" s="29" t="s">
        <v>91</v>
      </c>
      <c r="O542" s="29" t="s">
        <v>79</v>
      </c>
      <c r="P542" s="29" t="s">
        <v>187</v>
      </c>
      <c r="Q542" s="29">
        <f t="shared" si="72"/>
        <v>3</v>
      </c>
      <c r="R542" s="29" t="str">
        <f t="shared" si="67"/>
        <v>10-2023</v>
      </c>
      <c r="S542" s="29" t="s">
        <v>104</v>
      </c>
      <c r="T542" s="29" t="str">
        <f t="shared" si="68"/>
        <v>Saturday</v>
      </c>
      <c r="U542" s="29">
        <f t="shared" si="69"/>
        <v>1</v>
      </c>
      <c r="V542" s="31">
        <f>IFERROR(Data!$I542/Data!$D542,"")</f>
        <v>0.19672131147540983</v>
      </c>
      <c r="W542" s="31">
        <f>IFERROR(Data!$J542/Data!$D542,"")</f>
        <v>0.24590163934426229</v>
      </c>
      <c r="X542" s="31">
        <f>IFERROR(Data!$K542/Data!$D542,"")</f>
        <v>0.22950819672131148</v>
      </c>
      <c r="Y542" s="31">
        <f>IFERROR(Data!$L542/Data!$D542,"")</f>
        <v>0.27868852459016391</v>
      </c>
      <c r="Z542" s="31">
        <f>IFERROR(Data!$M542/Data!$D542,"")</f>
        <v>4.9180327868852458E-2</v>
      </c>
      <c r="AA542" s="32">
        <v>232.14</v>
      </c>
      <c r="AB542" s="32">
        <f t="shared" si="73"/>
        <v>15.475999999999999</v>
      </c>
      <c r="AC542" s="29">
        <f t="shared" si="70"/>
        <v>635.73333333333335</v>
      </c>
      <c r="AD542" s="29">
        <f t="shared" si="71"/>
        <v>14.133333333333333</v>
      </c>
      <c r="AE542" s="29">
        <f>YEAR(Data!$C542)</f>
        <v>2023</v>
      </c>
      <c r="AF542" s="29"/>
      <c r="AG542" s="29">
        <v>12</v>
      </c>
      <c r="AH542" s="33">
        <f>Data!$F542/Data!$D542</f>
        <v>11.360655737704919</v>
      </c>
      <c r="AI542" s="17" t="str">
        <f>RIGHT(Data!$O542,2)</f>
        <v>AM</v>
      </c>
      <c r="AJ542" s="29" t="str">
        <f>Data!$R542&amp;"-"&amp;WEEKNUM(Data!$C542,1)-WEEKNUM(DATE(YEAR(Data!$C542),MONTH(Data!$C542),1),1)+1</f>
        <v>10-2023-3</v>
      </c>
      <c r="AK542" s="29">
        <f>MONTH(Data!$C542)</f>
        <v>10</v>
      </c>
      <c r="AL542" s="29">
        <f>IFERROR(Data!$F542/Data!$E542,0)</f>
        <v>34.65</v>
      </c>
      <c r="AM542" s="29">
        <f>COUNTIF(Data!$N$2:$N$825,Data!$N542)</f>
        <v>218</v>
      </c>
      <c r="AN542" s="29" t="str">
        <f>VLOOKUP(Data!$N542,'Helpful Tables'!A:D,4,FALSE)</f>
        <v>Washington, DC</v>
      </c>
      <c r="AO542" s="29">
        <f>COUNTIF(AN:AN,Data!$AN542)/COUNTA(AN:AN)</f>
        <v>0.62424242424242427</v>
      </c>
      <c r="AP542" s="29">
        <v>38.934710000000003</v>
      </c>
      <c r="AQ542" s="29">
        <v>-77.058222999999998</v>
      </c>
      <c r="AR542" s="29">
        <f>COUNTIF(Data!$P$2:$P$825,Data!$P542)</f>
        <v>7</v>
      </c>
      <c r="AS542" s="29" cm="1">
        <f t="array" ref="AS542">_xlfn.IFS(Data!$E542&lt;12,((Data!$E542/Data!$D542)*60)*1,AND(Data!$E542&gt;=12,Data!$E542&lt;=15),((Data!$E542/Data!$D542)*60)*1.2,AND(Data!$E542&gt;=16,Data!$E542&lt;=19),((Data!$E542/Data!$D542)*60)*1.5,Data!$E542&gt;=20,((Data!$E542/Data!$D542)*60)*1.8)</f>
        <v>35.409836065573764</v>
      </c>
      <c r="AT542" s="29" cm="1">
        <f t="array" ref="AT542">_xlfn.IFS(Data!$F542&lt;600,((Data!$F542/Data!$D542)*60)*1,AND(Data!$F542&gt;=600,Data!$F542&lt;=625),((Data!$F542/Data!$D542)*60)*1.2,AND(Data!$F542&gt;=626,Data!$F542&lt;=650),((Data!$F542/Data!$D542)*60)*1.5,Data!$F542&gt;=651,((Data!$F542/Data!$D542)*60)*1.8)</f>
        <v>1226.9508196721313</v>
      </c>
      <c r="AU542" s="29">
        <f>(Data!$I542*-1.2)+(Data!$J542*-1.1)+(Data!$K542*1.2)+(Data!$L542*1.3)+(Data!$M542*1.5)</f>
        <v>12.500000000000004</v>
      </c>
      <c r="AV542" s="29">
        <f>(Data!$AS542*0.4)+(Data!$AT542*0.4)+(Data!$AU542*0.2)</f>
        <v>507.44426229508201</v>
      </c>
      <c r="AW542" s="34">
        <f>PERCENTRANK(AV:AV,Data!$AV542)*100</f>
        <v>82.8</v>
      </c>
      <c r="AX542" s="29" t="str">
        <f>_xlfn.CONCAT(TEXT(C542,"mmm"),"-",Data!$AE542)</f>
        <v>Oct-2023</v>
      </c>
    </row>
    <row r="543" spans="1:50" ht="17" thickTop="1" thickBot="1" x14ac:dyDescent="0.25">
      <c r="A543" s="22">
        <v>542</v>
      </c>
      <c r="B543" s="23">
        <f t="shared" si="66"/>
        <v>15</v>
      </c>
      <c r="C543" s="41">
        <v>45223</v>
      </c>
      <c r="D543" s="24">
        <f>SUM(Data!$I543:$M543)</f>
        <v>58</v>
      </c>
      <c r="E543" s="23">
        <v>8</v>
      </c>
      <c r="F543" s="23">
        <v>534</v>
      </c>
      <c r="G543" s="23">
        <v>169</v>
      </c>
      <c r="H543" s="23">
        <v>115</v>
      </c>
      <c r="I543" s="23">
        <v>24</v>
      </c>
      <c r="J543" s="23">
        <v>14</v>
      </c>
      <c r="K543" s="23">
        <v>12</v>
      </c>
      <c r="L543" s="23">
        <v>6</v>
      </c>
      <c r="M543" s="23">
        <v>2</v>
      </c>
      <c r="N543" s="23" t="s">
        <v>101</v>
      </c>
      <c r="O543" s="23" t="s">
        <v>173</v>
      </c>
      <c r="P543" s="23" t="s">
        <v>109</v>
      </c>
      <c r="Q543" s="23">
        <f t="shared" si="72"/>
        <v>3</v>
      </c>
      <c r="R543" s="23" t="str">
        <f t="shared" si="67"/>
        <v>10-2023</v>
      </c>
      <c r="S543" s="23" t="s">
        <v>104</v>
      </c>
      <c r="T543" s="23" t="str">
        <f t="shared" si="68"/>
        <v>Tuesday</v>
      </c>
      <c r="U543" s="23">
        <f t="shared" si="69"/>
        <v>0</v>
      </c>
      <c r="V543" s="25">
        <f>IFERROR(Data!$I543/Data!$D543,"")</f>
        <v>0.41379310344827586</v>
      </c>
      <c r="W543" s="25">
        <f>IFERROR(Data!$J543/Data!$D543,"")</f>
        <v>0.2413793103448276</v>
      </c>
      <c r="X543" s="25">
        <f>IFERROR(Data!$K543/Data!$D543,"")</f>
        <v>0.20689655172413793</v>
      </c>
      <c r="Y543" s="25">
        <f>IFERROR(Data!$L543/Data!$D543,"")</f>
        <v>0.10344827586206896</v>
      </c>
      <c r="Z543" s="25">
        <f>IFERROR(Data!$M543/Data!$D543,"")</f>
        <v>3.4482758620689655E-2</v>
      </c>
      <c r="AA543" s="26">
        <v>232.14</v>
      </c>
      <c r="AB543" s="26">
        <f t="shared" si="73"/>
        <v>15.475999999999999</v>
      </c>
      <c r="AC543" s="23">
        <f t="shared" si="70"/>
        <v>635.73333333333335</v>
      </c>
      <c r="AD543" s="23">
        <f t="shared" si="71"/>
        <v>14.133333333333333</v>
      </c>
      <c r="AE543" s="23">
        <f>YEAR(Data!$C543)</f>
        <v>2023</v>
      </c>
      <c r="AF543" s="23"/>
      <c r="AG543" s="23">
        <v>12</v>
      </c>
      <c r="AH543" s="27">
        <f>Data!$F543/Data!$D543</f>
        <v>9.2068965517241388</v>
      </c>
      <c r="AI543" s="17" t="str">
        <f>RIGHT(Data!$O543,2)</f>
        <v>PM</v>
      </c>
      <c r="AJ543" s="23" t="str">
        <f>Data!$R543&amp;"-"&amp;WEEKNUM(Data!$C543,1)-WEEKNUM(DATE(YEAR(Data!$C543),MONTH(Data!$C543),1),1)+1</f>
        <v>10-2023-4</v>
      </c>
      <c r="AK543" s="23">
        <f>MONTH(Data!$C543)</f>
        <v>10</v>
      </c>
      <c r="AL543" s="23">
        <f>IFERROR(Data!$F543/Data!$E543,0)</f>
        <v>66.75</v>
      </c>
      <c r="AM543" s="23">
        <f>COUNTIF(Data!$N$2:$N$825,Data!$N543)</f>
        <v>191</v>
      </c>
      <c r="AN543" s="23" t="str">
        <f>VLOOKUP(Data!$N543,'Helpful Tables'!A:D,4,FALSE)</f>
        <v>Washington, DC</v>
      </c>
      <c r="AO543" s="23">
        <f>COUNTIF(AN:AN,Data!$AN543)/COUNTA(AN:AN)</f>
        <v>0.62424242424242427</v>
      </c>
      <c r="AP543" s="23">
        <v>38.949649000000001</v>
      </c>
      <c r="AQ543" s="23">
        <v>-77.080878999999996</v>
      </c>
      <c r="AR543" s="23">
        <f>COUNTIF(Data!$P$2:$P$825,Data!$P543)</f>
        <v>66</v>
      </c>
      <c r="AS543" s="23" cm="1">
        <f t="array" ref="AS543">_xlfn.IFS(Data!$E543&lt;12,((Data!$E543/Data!$D543)*60)*1,AND(Data!$E543&gt;=12,Data!$E543&lt;=15),((Data!$E543/Data!$D543)*60)*1.2,AND(Data!$E543&gt;=16,Data!$E543&lt;=19),((Data!$E543/Data!$D543)*60)*1.5,Data!$E543&gt;=20,((Data!$E543/Data!$D543)*60)*1.8)</f>
        <v>8.2758620689655178</v>
      </c>
      <c r="AT543" s="23" cm="1">
        <f t="array" ref="AT543">_xlfn.IFS(Data!$F543&lt;600,((Data!$F543/Data!$D543)*60)*1,AND(Data!$F543&gt;=600,Data!$F543&lt;=625),((Data!$F543/Data!$D543)*60)*1.2,AND(Data!$F543&gt;=626,Data!$F543&lt;=650),((Data!$F543/Data!$D543)*60)*1.5,Data!$F543&gt;=651,((Data!$F543/Data!$D543)*60)*1.8)</f>
        <v>552.41379310344837</v>
      </c>
      <c r="AU543" s="23">
        <f>(Data!$I543*-1.2)+(Data!$J543*-1.1)+(Data!$K543*1.2)+(Data!$L543*1.3)+(Data!$M543*1.5)</f>
        <v>-19.000000000000004</v>
      </c>
      <c r="AV543" s="23">
        <f>(Data!$AS543*0.4)+(Data!$AT543*0.4)+(Data!$AU543*0.2)</f>
        <v>220.47586206896557</v>
      </c>
      <c r="AW543" s="35">
        <f>PERCENTRANK(AV:AV,Data!$AV543)*100</f>
        <v>4</v>
      </c>
      <c r="AX543" s="23" t="str">
        <f>_xlfn.CONCAT(TEXT(C543,"mmm"),"-",Data!$AE543)</f>
        <v>Oct-2023</v>
      </c>
    </row>
    <row r="544" spans="1:50" ht="17" thickTop="1" thickBot="1" x14ac:dyDescent="0.25">
      <c r="A544" s="28">
        <v>543</v>
      </c>
      <c r="B544" s="29">
        <f t="shared" si="66"/>
        <v>15</v>
      </c>
      <c r="C544" s="41">
        <v>45224</v>
      </c>
      <c r="D544" s="30">
        <f>SUM(Data!$I544:$M544)</f>
        <v>59</v>
      </c>
      <c r="E544" s="29">
        <v>15</v>
      </c>
      <c r="F544" s="29">
        <v>612</v>
      </c>
      <c r="G544" s="29">
        <v>165</v>
      </c>
      <c r="H544" s="29">
        <v>122</v>
      </c>
      <c r="I544" s="29">
        <v>24</v>
      </c>
      <c r="J544" s="29">
        <v>10</v>
      </c>
      <c r="K544" s="29">
        <v>10</v>
      </c>
      <c r="L544" s="29">
        <v>13</v>
      </c>
      <c r="M544" s="29">
        <v>2</v>
      </c>
      <c r="N544" s="29" t="s">
        <v>91</v>
      </c>
      <c r="O544" s="29" t="s">
        <v>57</v>
      </c>
      <c r="P544" s="29" t="s">
        <v>96</v>
      </c>
      <c r="Q544" s="29">
        <f t="shared" si="72"/>
        <v>1</v>
      </c>
      <c r="R544" s="29" t="str">
        <f t="shared" si="67"/>
        <v>10-2023</v>
      </c>
      <c r="S544" s="29" t="s">
        <v>104</v>
      </c>
      <c r="T544" s="29" t="str">
        <f t="shared" si="68"/>
        <v>Wednesday</v>
      </c>
      <c r="U544" s="29">
        <f t="shared" si="69"/>
        <v>1</v>
      </c>
      <c r="V544" s="31">
        <f>IFERROR(Data!$I544/Data!$D544,"")</f>
        <v>0.40677966101694918</v>
      </c>
      <c r="W544" s="31">
        <f>IFERROR(Data!$J544/Data!$D544,"")</f>
        <v>0.16949152542372881</v>
      </c>
      <c r="X544" s="31">
        <f>IFERROR(Data!$K544/Data!$D544,"")</f>
        <v>0.16949152542372881</v>
      </c>
      <c r="Y544" s="31">
        <f>IFERROR(Data!$L544/Data!$D544,"")</f>
        <v>0.22033898305084745</v>
      </c>
      <c r="Z544" s="31">
        <f>IFERROR(Data!$M544/Data!$D544,"")</f>
        <v>3.3898305084745763E-2</v>
      </c>
      <c r="AA544" s="32">
        <v>232.14</v>
      </c>
      <c r="AB544" s="32">
        <f t="shared" si="73"/>
        <v>15.475999999999999</v>
      </c>
      <c r="AC544" s="29">
        <f t="shared" si="70"/>
        <v>635.73333333333335</v>
      </c>
      <c r="AD544" s="29">
        <f t="shared" si="71"/>
        <v>14.133333333333333</v>
      </c>
      <c r="AE544" s="29">
        <f>YEAR(Data!$C544)</f>
        <v>2023</v>
      </c>
      <c r="AF544" s="29"/>
      <c r="AG544" s="29">
        <v>12</v>
      </c>
      <c r="AH544" s="33">
        <f>Data!$F544/Data!$D544</f>
        <v>10.372881355932204</v>
      </c>
      <c r="AI544" s="17" t="str">
        <f>RIGHT(Data!$O544,2)</f>
        <v>PM</v>
      </c>
      <c r="AJ544" s="29" t="str">
        <f>Data!$R544&amp;"-"&amp;WEEKNUM(Data!$C544,1)-WEEKNUM(DATE(YEAR(Data!$C544),MONTH(Data!$C544),1),1)+1</f>
        <v>10-2023-4</v>
      </c>
      <c r="AK544" s="29">
        <f>MONTH(Data!$C544)</f>
        <v>10</v>
      </c>
      <c r="AL544" s="29">
        <f>IFERROR(Data!$F544/Data!$E544,0)</f>
        <v>40.799999999999997</v>
      </c>
      <c r="AM544" s="29">
        <f>COUNTIF(Data!$N$2:$N$825,Data!$N544)</f>
        <v>218</v>
      </c>
      <c r="AN544" s="29" t="str">
        <f>VLOOKUP(Data!$N544,'Helpful Tables'!A:D,4,FALSE)</f>
        <v>Washington, DC</v>
      </c>
      <c r="AO544" s="29">
        <f>COUNTIF(AN:AN,Data!$AN544)/COUNTA(AN:AN)</f>
        <v>0.62424242424242427</v>
      </c>
      <c r="AP544" s="29">
        <v>38.934710000000003</v>
      </c>
      <c r="AQ544" s="29">
        <v>-77.058222999999998</v>
      </c>
      <c r="AR544" s="29">
        <f>COUNTIF(Data!$P$2:$P$825,Data!$P544)</f>
        <v>71</v>
      </c>
      <c r="AS544" s="29" cm="1">
        <f t="array" ref="AS544">_xlfn.IFS(Data!$E544&lt;12,((Data!$E544/Data!$D544)*60)*1,AND(Data!$E544&gt;=12,Data!$E544&lt;=15),((Data!$E544/Data!$D544)*60)*1.2,AND(Data!$E544&gt;=16,Data!$E544&lt;=19),((Data!$E544/Data!$D544)*60)*1.5,Data!$E544&gt;=20,((Data!$E544/Data!$D544)*60)*1.8)</f>
        <v>18.305084745762709</v>
      </c>
      <c r="AT544" s="29" cm="1">
        <f t="array" ref="AT544">_xlfn.IFS(Data!$F544&lt;600,((Data!$F544/Data!$D544)*60)*1,AND(Data!$F544&gt;=600,Data!$F544&lt;=625),((Data!$F544/Data!$D544)*60)*1.2,AND(Data!$F544&gt;=626,Data!$F544&lt;=650),((Data!$F544/Data!$D544)*60)*1.5,Data!$F544&gt;=651,((Data!$F544/Data!$D544)*60)*1.8)</f>
        <v>746.84745762711862</v>
      </c>
      <c r="AU544" s="29">
        <f>(Data!$I544*-1.2)+(Data!$J544*-1.1)+(Data!$K544*1.2)+(Data!$L544*1.3)+(Data!$M544*1.5)</f>
        <v>-7.899999999999995</v>
      </c>
      <c r="AV544" s="29">
        <f>(Data!$AS544*0.4)+(Data!$AT544*0.4)+(Data!$AU544*0.2)</f>
        <v>304.4810169491526</v>
      </c>
      <c r="AW544" s="34">
        <f>PERCENTRANK(AV:AV,Data!$AV544)*100</f>
        <v>28.199999999999996</v>
      </c>
      <c r="AX544" s="29" t="str">
        <f>_xlfn.CONCAT(TEXT(C544,"mmm"),"-",Data!$AE544)</f>
        <v>Oct-2023</v>
      </c>
    </row>
    <row r="545" spans="1:50" ht="17" thickTop="1" thickBot="1" x14ac:dyDescent="0.25">
      <c r="A545" s="22">
        <v>544</v>
      </c>
      <c r="B545" s="23">
        <f t="shared" si="66"/>
        <v>15</v>
      </c>
      <c r="C545" s="41">
        <v>45228</v>
      </c>
      <c r="D545" s="24">
        <f>SUM(Data!$I545:$M545)</f>
        <v>60</v>
      </c>
      <c r="E545" s="23">
        <v>16</v>
      </c>
      <c r="F545" s="23">
        <v>658</v>
      </c>
      <c r="G545" s="23">
        <v>167</v>
      </c>
      <c r="H545" s="23">
        <v>127</v>
      </c>
      <c r="I545" s="23">
        <v>15</v>
      </c>
      <c r="J545" s="23">
        <v>18</v>
      </c>
      <c r="K545" s="23">
        <v>11</v>
      </c>
      <c r="L545" s="23">
        <v>15</v>
      </c>
      <c r="M545" s="23">
        <v>1</v>
      </c>
      <c r="N545" s="23" t="s">
        <v>91</v>
      </c>
      <c r="O545" s="23" t="s">
        <v>79</v>
      </c>
      <c r="P545" s="23" t="s">
        <v>100</v>
      </c>
      <c r="Q545" s="23">
        <f t="shared" si="72"/>
        <v>4</v>
      </c>
      <c r="R545" s="23" t="str">
        <f t="shared" si="67"/>
        <v>10-2023</v>
      </c>
      <c r="S545" s="23" t="s">
        <v>104</v>
      </c>
      <c r="T545" s="23" t="str">
        <f t="shared" si="68"/>
        <v>Sunday</v>
      </c>
      <c r="U545" s="23">
        <f t="shared" si="69"/>
        <v>1</v>
      </c>
      <c r="V545" s="25">
        <f>IFERROR(Data!$I545/Data!$D545,"")</f>
        <v>0.25</v>
      </c>
      <c r="W545" s="25">
        <f>IFERROR(Data!$J545/Data!$D545,"")</f>
        <v>0.3</v>
      </c>
      <c r="X545" s="25">
        <f>IFERROR(Data!$K545/Data!$D545,"")</f>
        <v>0.18333333333333332</v>
      </c>
      <c r="Y545" s="25">
        <f>IFERROR(Data!$L545/Data!$D545,"")</f>
        <v>0.25</v>
      </c>
      <c r="Z545" s="25">
        <f>IFERROR(Data!$M545/Data!$D545,"")</f>
        <v>1.6666666666666666E-2</v>
      </c>
      <c r="AA545" s="26">
        <v>232.14</v>
      </c>
      <c r="AB545" s="26">
        <f t="shared" si="73"/>
        <v>15.475999999999999</v>
      </c>
      <c r="AC545" s="23">
        <f t="shared" si="70"/>
        <v>635.73333333333335</v>
      </c>
      <c r="AD545" s="23">
        <f t="shared" si="71"/>
        <v>14.133333333333333</v>
      </c>
      <c r="AE545" s="23">
        <f>YEAR(Data!$C545)</f>
        <v>2023</v>
      </c>
      <c r="AF545" s="23"/>
      <c r="AG545" s="23">
        <v>12</v>
      </c>
      <c r="AH545" s="27">
        <f>Data!$F545/Data!$D545</f>
        <v>10.966666666666667</v>
      </c>
      <c r="AI545" s="17" t="str">
        <f>RIGHT(Data!$O545,2)</f>
        <v>AM</v>
      </c>
      <c r="AJ545" s="23" t="str">
        <f>Data!$R545&amp;"-"&amp;WEEKNUM(Data!$C545,1)-WEEKNUM(DATE(YEAR(Data!$C545),MONTH(Data!$C545),1),1)+1</f>
        <v>10-2023-5</v>
      </c>
      <c r="AK545" s="23">
        <f>MONTH(Data!$C545)</f>
        <v>10</v>
      </c>
      <c r="AL545" s="23">
        <f>IFERROR(Data!$F545/Data!$E545,0)</f>
        <v>41.125</v>
      </c>
      <c r="AM545" s="23">
        <f>COUNTIF(Data!$N$2:$N$825,Data!$N545)</f>
        <v>218</v>
      </c>
      <c r="AN545" s="23" t="str">
        <f>VLOOKUP(Data!$N545,'Helpful Tables'!A:D,4,FALSE)</f>
        <v>Washington, DC</v>
      </c>
      <c r="AO545" s="23">
        <f>COUNTIF(AN:AN,Data!$AN545)/COUNTA(AN:AN)</f>
        <v>0.62424242424242427</v>
      </c>
      <c r="AP545" s="23">
        <v>38.934710000000003</v>
      </c>
      <c r="AQ545" s="23">
        <v>-77.058222999999998</v>
      </c>
      <c r="AR545" s="23">
        <f>COUNTIF(Data!$P$2:$P$825,Data!$P545)</f>
        <v>35</v>
      </c>
      <c r="AS545" s="23" cm="1">
        <f t="array" ref="AS545">_xlfn.IFS(Data!$E545&lt;12,((Data!$E545/Data!$D545)*60)*1,AND(Data!$E545&gt;=12,Data!$E545&lt;=15),((Data!$E545/Data!$D545)*60)*1.2,AND(Data!$E545&gt;=16,Data!$E545&lt;=19),((Data!$E545/Data!$D545)*60)*1.5,Data!$E545&gt;=20,((Data!$E545/Data!$D545)*60)*1.8)</f>
        <v>24</v>
      </c>
      <c r="AT545" s="23" cm="1">
        <f t="array" ref="AT545">_xlfn.IFS(Data!$F545&lt;600,((Data!$F545/Data!$D545)*60)*1,AND(Data!$F545&gt;=600,Data!$F545&lt;=625),((Data!$F545/Data!$D545)*60)*1.2,AND(Data!$F545&gt;=626,Data!$F545&lt;=650),((Data!$F545/Data!$D545)*60)*1.5,Data!$F545&gt;=651,((Data!$F545/Data!$D545)*60)*1.8)</f>
        <v>1184.4000000000001</v>
      </c>
      <c r="AU545" s="23">
        <f>(Data!$I545*-1.2)+(Data!$J545*-1.1)+(Data!$K545*1.2)+(Data!$L545*1.3)+(Data!$M545*1.5)</f>
        <v>-3.5999999999999979</v>
      </c>
      <c r="AV545" s="23">
        <f>(Data!$AS545*0.4)+(Data!$AT545*0.4)+(Data!$AU545*0.2)</f>
        <v>482.64000000000004</v>
      </c>
      <c r="AW545" s="35">
        <f>PERCENTRANK(AV:AV,Data!$AV545)*100</f>
        <v>69.8</v>
      </c>
      <c r="AX545" s="23" t="str">
        <f>_xlfn.CONCAT(TEXT(C545,"mmm"),"-",Data!$AE545)</f>
        <v>Oct-2023</v>
      </c>
    </row>
    <row r="546" spans="1:50" ht="17" thickTop="1" thickBot="1" x14ac:dyDescent="0.25">
      <c r="A546" s="28">
        <v>545</v>
      </c>
      <c r="B546" s="29">
        <f t="shared" si="66"/>
        <v>15</v>
      </c>
      <c r="C546" s="41">
        <v>45230</v>
      </c>
      <c r="D546" s="30">
        <f>SUM(Data!$I546:$M546)</f>
        <v>59</v>
      </c>
      <c r="E546" s="29">
        <v>13</v>
      </c>
      <c r="F546" s="29">
        <v>659</v>
      </c>
      <c r="G546" s="29">
        <v>167</v>
      </c>
      <c r="H546" s="29">
        <v>126</v>
      </c>
      <c r="I546" s="29">
        <v>10</v>
      </c>
      <c r="J546" s="29">
        <v>21</v>
      </c>
      <c r="K546" s="29">
        <v>15</v>
      </c>
      <c r="L546" s="29">
        <v>12</v>
      </c>
      <c r="M546" s="29">
        <v>1</v>
      </c>
      <c r="N546" s="29" t="s">
        <v>91</v>
      </c>
      <c r="O546" s="29" t="s">
        <v>89</v>
      </c>
      <c r="P546" s="29" t="s">
        <v>100</v>
      </c>
      <c r="Q546" s="29">
        <f t="shared" si="72"/>
        <v>2</v>
      </c>
      <c r="R546" s="29" t="str">
        <f t="shared" si="67"/>
        <v>10-2023</v>
      </c>
      <c r="S546" s="29" t="s">
        <v>104</v>
      </c>
      <c r="T546" s="29" t="str">
        <f t="shared" si="68"/>
        <v>Tuesday</v>
      </c>
      <c r="U546" s="29">
        <f t="shared" si="69"/>
        <v>1</v>
      </c>
      <c r="V546" s="31">
        <f>IFERROR(Data!$I546/Data!$D546,"")</f>
        <v>0.16949152542372881</v>
      </c>
      <c r="W546" s="31">
        <f>IFERROR(Data!$J546/Data!$D546,"")</f>
        <v>0.3559322033898305</v>
      </c>
      <c r="X546" s="31">
        <f>IFERROR(Data!$K546/Data!$D546,"")</f>
        <v>0.25423728813559321</v>
      </c>
      <c r="Y546" s="31">
        <f>IFERROR(Data!$L546/Data!$D546,"")</f>
        <v>0.20338983050847459</v>
      </c>
      <c r="Z546" s="31">
        <f>IFERROR(Data!$M546/Data!$D546,"")</f>
        <v>1.6949152542372881E-2</v>
      </c>
      <c r="AA546" s="32">
        <v>232.14</v>
      </c>
      <c r="AB546" s="32">
        <f t="shared" si="73"/>
        <v>15.475999999999999</v>
      </c>
      <c r="AC546" s="29">
        <f t="shared" si="70"/>
        <v>635.73333333333335</v>
      </c>
      <c r="AD546" s="29">
        <f t="shared" si="71"/>
        <v>14.133333333333333</v>
      </c>
      <c r="AE546" s="29">
        <f>YEAR(Data!$C546)</f>
        <v>2023</v>
      </c>
      <c r="AF546" s="29"/>
      <c r="AG546" s="29">
        <v>12</v>
      </c>
      <c r="AH546" s="33">
        <f>Data!$F546/Data!$D546</f>
        <v>11.169491525423728</v>
      </c>
      <c r="AI546" s="17" t="str">
        <f>RIGHT(Data!$O546,2)</f>
        <v>AM</v>
      </c>
      <c r="AJ546" s="29" t="str">
        <f>Data!$R546&amp;"-"&amp;WEEKNUM(Data!$C546,1)-WEEKNUM(DATE(YEAR(Data!$C546),MONTH(Data!$C546),1),1)+1</f>
        <v>10-2023-5</v>
      </c>
      <c r="AK546" s="29">
        <f>MONTH(Data!$C546)</f>
        <v>10</v>
      </c>
      <c r="AL546" s="29">
        <f>IFERROR(Data!$F546/Data!$E546,0)</f>
        <v>50.692307692307693</v>
      </c>
      <c r="AM546" s="29">
        <f>COUNTIF(Data!$N$2:$N$825,Data!$N546)</f>
        <v>218</v>
      </c>
      <c r="AN546" s="29" t="str">
        <f>VLOOKUP(Data!$N546,'Helpful Tables'!A:D,4,FALSE)</f>
        <v>Washington, DC</v>
      </c>
      <c r="AO546" s="29">
        <f>COUNTIF(AN:AN,Data!$AN546)/COUNTA(AN:AN)</f>
        <v>0.62424242424242427</v>
      </c>
      <c r="AP546" s="29">
        <v>38.934710000000003</v>
      </c>
      <c r="AQ546" s="29">
        <v>-77.058222999999998</v>
      </c>
      <c r="AR546" s="29">
        <f>COUNTIF(Data!$P$2:$P$825,Data!$P546)</f>
        <v>35</v>
      </c>
      <c r="AS546" s="29" cm="1">
        <f t="array" ref="AS546">_xlfn.IFS(Data!$E546&lt;12,((Data!$E546/Data!$D546)*60)*1,AND(Data!$E546&gt;=12,Data!$E546&lt;=15),((Data!$E546/Data!$D546)*60)*1.2,AND(Data!$E546&gt;=16,Data!$E546&lt;=19),((Data!$E546/Data!$D546)*60)*1.5,Data!$E546&gt;=20,((Data!$E546/Data!$D546)*60)*1.8)</f>
        <v>15.864406779661017</v>
      </c>
      <c r="AT546" s="29" cm="1">
        <f t="array" ref="AT546">_xlfn.IFS(Data!$F546&lt;600,((Data!$F546/Data!$D546)*60)*1,AND(Data!$F546&gt;=600,Data!$F546&lt;=625),((Data!$F546/Data!$D546)*60)*1.2,AND(Data!$F546&gt;=626,Data!$F546&lt;=650),((Data!$F546/Data!$D546)*60)*1.5,Data!$F546&gt;=651,((Data!$F546/Data!$D546)*60)*1.8)</f>
        <v>1206.3050847457628</v>
      </c>
      <c r="AU546" s="29">
        <f>(Data!$I546*-1.2)+(Data!$J546*-1.1)+(Data!$K546*1.2)+(Data!$L546*1.3)+(Data!$M546*1.5)</f>
        <v>0</v>
      </c>
      <c r="AV546" s="29">
        <f>(Data!$AS546*0.4)+(Data!$AT546*0.4)+(Data!$AU546*0.2)</f>
        <v>488.86779661016953</v>
      </c>
      <c r="AW546" s="34">
        <f>PERCENTRANK(AV:AV,Data!$AV546)*100</f>
        <v>72.099999999999994</v>
      </c>
      <c r="AX546" s="29" t="str">
        <f>_xlfn.CONCAT(TEXT(C546,"mmm"),"-",Data!$AE546)</f>
        <v>Oct-2023</v>
      </c>
    </row>
    <row r="547" spans="1:50" ht="17" thickTop="1" thickBot="1" x14ac:dyDescent="0.25">
      <c r="A547" s="22">
        <v>546</v>
      </c>
      <c r="B547" s="23">
        <f t="shared" si="66"/>
        <v>15</v>
      </c>
      <c r="C547" s="41">
        <v>45232</v>
      </c>
      <c r="D547" s="24">
        <f>SUM(Data!$I547:$M547)</f>
        <v>60</v>
      </c>
      <c r="E547" s="23">
        <v>16</v>
      </c>
      <c r="F547" s="23">
        <v>645</v>
      </c>
      <c r="G547" s="23">
        <v>170</v>
      </c>
      <c r="H547" s="23">
        <v>125</v>
      </c>
      <c r="I547" s="23">
        <v>16</v>
      </c>
      <c r="J547" s="23">
        <v>14</v>
      </c>
      <c r="K547" s="23">
        <v>14</v>
      </c>
      <c r="L547" s="23">
        <v>15</v>
      </c>
      <c r="M547" s="23">
        <v>1</v>
      </c>
      <c r="N547" s="23" t="s">
        <v>91</v>
      </c>
      <c r="O547" s="23" t="s">
        <v>57</v>
      </c>
      <c r="P547" s="23" t="s">
        <v>188</v>
      </c>
      <c r="Q547" s="23">
        <f t="shared" si="72"/>
        <v>2</v>
      </c>
      <c r="R547" s="23" t="str">
        <f t="shared" si="67"/>
        <v>11-2023</v>
      </c>
      <c r="S547" s="23" t="s">
        <v>104</v>
      </c>
      <c r="T547" s="23" t="str">
        <f t="shared" si="68"/>
        <v>Thursday</v>
      </c>
      <c r="U547" s="23">
        <f t="shared" si="69"/>
        <v>1</v>
      </c>
      <c r="V547" s="25">
        <f>IFERROR(Data!$I547/Data!$D547,"")</f>
        <v>0.26666666666666666</v>
      </c>
      <c r="W547" s="25">
        <f>IFERROR(Data!$J547/Data!$D547,"")</f>
        <v>0.23333333333333334</v>
      </c>
      <c r="X547" s="25">
        <f>IFERROR(Data!$K547/Data!$D547,"")</f>
        <v>0.23333333333333334</v>
      </c>
      <c r="Y547" s="25">
        <f>IFERROR(Data!$L547/Data!$D547,"")</f>
        <v>0.25</v>
      </c>
      <c r="Z547" s="25">
        <f>IFERROR(Data!$M547/Data!$D547,"")</f>
        <v>1.6666666666666666E-2</v>
      </c>
      <c r="AA547" s="26">
        <v>232.14</v>
      </c>
      <c r="AB547" s="26">
        <f t="shared" si="73"/>
        <v>15.475999999999999</v>
      </c>
      <c r="AC547" s="23">
        <f t="shared" si="70"/>
        <v>623.20000000000005</v>
      </c>
      <c r="AD547" s="23">
        <f t="shared" si="71"/>
        <v>14.066666666666666</v>
      </c>
      <c r="AE547" s="23">
        <f>YEAR(Data!$C547)</f>
        <v>2023</v>
      </c>
      <c r="AF547" s="23"/>
      <c r="AG547" s="23">
        <v>12</v>
      </c>
      <c r="AH547" s="27">
        <f>Data!$F547/Data!$D547</f>
        <v>10.75</v>
      </c>
      <c r="AI547" s="17" t="str">
        <f>RIGHT(Data!$O547,2)</f>
        <v>PM</v>
      </c>
      <c r="AJ547" s="23" t="str">
        <f>Data!$R547&amp;"-"&amp;WEEKNUM(Data!$C547,1)-WEEKNUM(DATE(YEAR(Data!$C547),MONTH(Data!$C547),1),1)+1</f>
        <v>11-2023-1</v>
      </c>
      <c r="AK547" s="23">
        <f>MONTH(Data!$C547)</f>
        <v>11</v>
      </c>
      <c r="AL547" s="23">
        <f>IFERROR(Data!$F547/Data!$E547,0)</f>
        <v>40.3125</v>
      </c>
      <c r="AM547" s="23">
        <f>COUNTIF(Data!$N$2:$N$825,Data!$N547)</f>
        <v>218</v>
      </c>
      <c r="AN547" s="23" t="str">
        <f>VLOOKUP(Data!$N547,'Helpful Tables'!A:D,4,FALSE)</f>
        <v>Washington, DC</v>
      </c>
      <c r="AO547" s="23">
        <f>COUNTIF(AN:AN,Data!$AN547)/COUNTA(AN:AN)</f>
        <v>0.62424242424242427</v>
      </c>
      <c r="AP547" s="23">
        <v>38.934710000000003</v>
      </c>
      <c r="AQ547" s="23">
        <v>-77.058222999999998</v>
      </c>
      <c r="AR547" s="23">
        <f>COUNTIF(Data!$P$2:$P$825,Data!$P547)</f>
        <v>10</v>
      </c>
      <c r="AS547" s="23" cm="1">
        <f t="array" ref="AS547">_xlfn.IFS(Data!$E547&lt;12,((Data!$E547/Data!$D547)*60)*1,AND(Data!$E547&gt;=12,Data!$E547&lt;=15),((Data!$E547/Data!$D547)*60)*1.2,AND(Data!$E547&gt;=16,Data!$E547&lt;=19),((Data!$E547/Data!$D547)*60)*1.5,Data!$E547&gt;=20,((Data!$E547/Data!$D547)*60)*1.8)</f>
        <v>24</v>
      </c>
      <c r="AT547" s="23" cm="1">
        <f t="array" ref="AT547">_xlfn.IFS(Data!$F547&lt;600,((Data!$F547/Data!$D547)*60)*1,AND(Data!$F547&gt;=600,Data!$F547&lt;=625),((Data!$F547/Data!$D547)*60)*1.2,AND(Data!$F547&gt;=626,Data!$F547&lt;=650),((Data!$F547/Data!$D547)*60)*1.5,Data!$F547&gt;=651,((Data!$F547/Data!$D547)*60)*1.8)</f>
        <v>967.5</v>
      </c>
      <c r="AU547" s="23">
        <f>(Data!$I547*-1.2)+(Data!$J547*-1.1)+(Data!$K547*1.2)+(Data!$L547*1.3)+(Data!$M547*1.5)</f>
        <v>3.1999999999999993</v>
      </c>
      <c r="AV547" s="23">
        <f>(Data!$AS547*0.4)+(Data!$AT547*0.4)+(Data!$AU547*0.2)</f>
        <v>397.24</v>
      </c>
      <c r="AW547" s="35">
        <f>PERCENTRANK(AV:AV,Data!$AV547)*100</f>
        <v>51.1</v>
      </c>
      <c r="AX547" s="23" t="str">
        <f>_xlfn.CONCAT(TEXT(C547,"mmm"),"-",Data!$AE547)</f>
        <v>Nov-2023</v>
      </c>
    </row>
    <row r="548" spans="1:50" ht="17" thickTop="1" thickBot="1" x14ac:dyDescent="0.25">
      <c r="A548" s="28">
        <v>547</v>
      </c>
      <c r="B548" s="29">
        <f t="shared" si="66"/>
        <v>15</v>
      </c>
      <c r="C548" s="41">
        <v>45235</v>
      </c>
      <c r="D548" s="30">
        <f>SUM(Data!$I548:$M548)</f>
        <v>65</v>
      </c>
      <c r="E548" s="29">
        <v>8</v>
      </c>
      <c r="F548" s="29">
        <v>559</v>
      </c>
      <c r="G548" s="29">
        <v>163</v>
      </c>
      <c r="H548" s="29">
        <v>110</v>
      </c>
      <c r="I548" s="29">
        <v>34</v>
      </c>
      <c r="J548" s="29">
        <v>9</v>
      </c>
      <c r="K548" s="29">
        <v>14</v>
      </c>
      <c r="L548" s="29">
        <v>8</v>
      </c>
      <c r="M548" s="29">
        <v>0</v>
      </c>
      <c r="N548" s="29" t="s">
        <v>101</v>
      </c>
      <c r="O548" s="29" t="s">
        <v>178</v>
      </c>
      <c r="P548" s="29" t="s">
        <v>189</v>
      </c>
      <c r="Q548" s="29">
        <f t="shared" si="72"/>
        <v>3</v>
      </c>
      <c r="R548" s="29" t="str">
        <f t="shared" si="67"/>
        <v>11-2023</v>
      </c>
      <c r="S548" s="29" t="s">
        <v>104</v>
      </c>
      <c r="T548" s="29" t="str">
        <f t="shared" si="68"/>
        <v>Sunday</v>
      </c>
      <c r="U548" s="29">
        <f t="shared" si="69"/>
        <v>0</v>
      </c>
      <c r="V548" s="31">
        <f>IFERROR(Data!$I548/Data!$D548,"")</f>
        <v>0.52307692307692311</v>
      </c>
      <c r="W548" s="31">
        <f>IFERROR(Data!$J548/Data!$D548,"")</f>
        <v>0.13846153846153847</v>
      </c>
      <c r="X548" s="31">
        <f>IFERROR(Data!$K548/Data!$D548,"")</f>
        <v>0.2153846153846154</v>
      </c>
      <c r="Y548" s="31">
        <f>IFERROR(Data!$L548/Data!$D548,"")</f>
        <v>0.12307692307692308</v>
      </c>
      <c r="Z548" s="31">
        <f>IFERROR(Data!$M548/Data!$D548,"")</f>
        <v>0</v>
      </c>
      <c r="AA548" s="32">
        <v>232.14</v>
      </c>
      <c r="AB548" s="32">
        <f t="shared" si="73"/>
        <v>15.475999999999999</v>
      </c>
      <c r="AC548" s="29">
        <f t="shared" si="70"/>
        <v>623.20000000000005</v>
      </c>
      <c r="AD548" s="29">
        <f t="shared" si="71"/>
        <v>14.066666666666666</v>
      </c>
      <c r="AE548" s="29">
        <f>YEAR(Data!$C548)</f>
        <v>2023</v>
      </c>
      <c r="AF548" s="29"/>
      <c r="AG548" s="29">
        <v>12</v>
      </c>
      <c r="AH548" s="33">
        <f>Data!$F548/Data!$D548</f>
        <v>8.6</v>
      </c>
      <c r="AI548" s="17" t="str">
        <f>RIGHT(Data!$O548,2)</f>
        <v>AM</v>
      </c>
      <c r="AJ548" s="29" t="str">
        <f>Data!$R548&amp;"-"&amp;WEEKNUM(Data!$C548,1)-WEEKNUM(DATE(YEAR(Data!$C548),MONTH(Data!$C548),1),1)+1</f>
        <v>11-2023-2</v>
      </c>
      <c r="AK548" s="29">
        <f>MONTH(Data!$C548)</f>
        <v>11</v>
      </c>
      <c r="AL548" s="29">
        <f>IFERROR(Data!$F548/Data!$E548,0)</f>
        <v>69.875</v>
      </c>
      <c r="AM548" s="29">
        <f>COUNTIF(Data!$N$2:$N$825,Data!$N548)</f>
        <v>191</v>
      </c>
      <c r="AN548" s="29" t="str">
        <f>VLOOKUP(Data!$N548,'Helpful Tables'!A:D,4,FALSE)</f>
        <v>Washington, DC</v>
      </c>
      <c r="AO548" s="29">
        <f>COUNTIF(AN:AN,Data!$AN548)/COUNTA(AN:AN)</f>
        <v>0.62424242424242427</v>
      </c>
      <c r="AP548" s="29">
        <v>38.949649000000001</v>
      </c>
      <c r="AQ548" s="29">
        <v>-77.080878999999996</v>
      </c>
      <c r="AR548" s="29">
        <f>COUNTIF(Data!$P$2:$P$825,Data!$P548)</f>
        <v>8</v>
      </c>
      <c r="AS548" s="29" cm="1">
        <f t="array" ref="AS548">_xlfn.IFS(Data!$E548&lt;12,((Data!$E548/Data!$D548)*60)*1,AND(Data!$E548&gt;=12,Data!$E548&lt;=15),((Data!$E548/Data!$D548)*60)*1.2,AND(Data!$E548&gt;=16,Data!$E548&lt;=19),((Data!$E548/Data!$D548)*60)*1.5,Data!$E548&gt;=20,((Data!$E548/Data!$D548)*60)*1.8)</f>
        <v>7.384615384615385</v>
      </c>
      <c r="AT548" s="29" cm="1">
        <f t="array" ref="AT548">_xlfn.IFS(Data!$F548&lt;600,((Data!$F548/Data!$D548)*60)*1,AND(Data!$F548&gt;=600,Data!$F548&lt;=625),((Data!$F548/Data!$D548)*60)*1.2,AND(Data!$F548&gt;=626,Data!$F548&lt;=650),((Data!$F548/Data!$D548)*60)*1.5,Data!$F548&gt;=651,((Data!$F548/Data!$D548)*60)*1.8)</f>
        <v>516</v>
      </c>
      <c r="AU548" s="29">
        <f>(Data!$I548*-1.2)+(Data!$J548*-1.1)+(Data!$K548*1.2)+(Data!$L548*1.3)+(Data!$M548*1.5)</f>
        <v>-23.499999999999993</v>
      </c>
      <c r="AV548" s="29">
        <f>(Data!$AS548*0.4)+(Data!$AT548*0.4)+(Data!$AU548*0.2)</f>
        <v>204.65384615384616</v>
      </c>
      <c r="AW548" s="34">
        <f>PERCENTRANK(AV:AV,Data!$AV548)*100</f>
        <v>1.0999999999999999</v>
      </c>
      <c r="AX548" s="29" t="str">
        <f>_xlfn.CONCAT(TEXT(C548,"mmm"),"-",Data!$AE548)</f>
        <v>Nov-2023</v>
      </c>
    </row>
    <row r="549" spans="1:50" ht="17" thickTop="1" thickBot="1" x14ac:dyDescent="0.25">
      <c r="A549" s="22">
        <v>548</v>
      </c>
      <c r="B549" s="23">
        <f t="shared" si="66"/>
        <v>15</v>
      </c>
      <c r="C549" s="41">
        <v>45236</v>
      </c>
      <c r="D549" s="24">
        <f>SUM(Data!$I549:$M549)</f>
        <v>56</v>
      </c>
      <c r="E549" s="23">
        <v>14</v>
      </c>
      <c r="F549" s="23">
        <v>642</v>
      </c>
      <c r="G549" s="23">
        <v>166</v>
      </c>
      <c r="H549" s="23">
        <v>129</v>
      </c>
      <c r="I549" s="23">
        <v>7</v>
      </c>
      <c r="J549" s="23">
        <v>18</v>
      </c>
      <c r="K549" s="23">
        <v>17</v>
      </c>
      <c r="L549" s="23">
        <v>13</v>
      </c>
      <c r="M549" s="23">
        <v>1</v>
      </c>
      <c r="N549" s="23" t="s">
        <v>91</v>
      </c>
      <c r="O549" s="23" t="s">
        <v>57</v>
      </c>
      <c r="P549" s="23" t="s">
        <v>168</v>
      </c>
      <c r="Q549" s="23">
        <f t="shared" si="72"/>
        <v>1</v>
      </c>
      <c r="R549" s="23" t="str">
        <f t="shared" si="67"/>
        <v>11-2023</v>
      </c>
      <c r="S549" s="23" t="s">
        <v>117</v>
      </c>
      <c r="T549" s="23" t="str">
        <f t="shared" si="68"/>
        <v>Monday</v>
      </c>
      <c r="U549" s="23">
        <f t="shared" si="69"/>
        <v>1</v>
      </c>
      <c r="V549" s="25">
        <f>IFERROR(Data!$I549/Data!$D549,"")</f>
        <v>0.125</v>
      </c>
      <c r="W549" s="25">
        <f>IFERROR(Data!$J549/Data!$D549,"")</f>
        <v>0.32142857142857145</v>
      </c>
      <c r="X549" s="25">
        <f>IFERROR(Data!$K549/Data!$D549,"")</f>
        <v>0.30357142857142855</v>
      </c>
      <c r="Y549" s="25">
        <f>IFERROR(Data!$L549/Data!$D549,"")</f>
        <v>0.23214285714285715</v>
      </c>
      <c r="Z549" s="25">
        <f>IFERROR(Data!$M549/Data!$D549,"")</f>
        <v>1.7857142857142856E-2</v>
      </c>
      <c r="AA549" s="26">
        <v>232.14</v>
      </c>
      <c r="AB549" s="26">
        <f t="shared" si="73"/>
        <v>15.475999999999999</v>
      </c>
      <c r="AC549" s="23">
        <f t="shared" si="70"/>
        <v>623.20000000000005</v>
      </c>
      <c r="AD549" s="23">
        <f t="shared" si="71"/>
        <v>14.066666666666666</v>
      </c>
      <c r="AE549" s="23">
        <f>YEAR(Data!$C549)</f>
        <v>2023</v>
      </c>
      <c r="AF549" s="23"/>
      <c r="AG549" s="23">
        <v>12</v>
      </c>
      <c r="AH549" s="27">
        <f>Data!$F549/Data!$D549</f>
        <v>11.464285714285714</v>
      </c>
      <c r="AI549" s="17" t="str">
        <f>RIGHT(Data!$O549,2)</f>
        <v>PM</v>
      </c>
      <c r="AJ549" s="23" t="str">
        <f>Data!$R549&amp;"-"&amp;WEEKNUM(Data!$C549,1)-WEEKNUM(DATE(YEAR(Data!$C549),MONTH(Data!$C549),1),1)+1</f>
        <v>11-2023-2</v>
      </c>
      <c r="AK549" s="23">
        <f>MONTH(Data!$C549)</f>
        <v>11</v>
      </c>
      <c r="AL549" s="23">
        <f>IFERROR(Data!$F549/Data!$E549,0)</f>
        <v>45.857142857142854</v>
      </c>
      <c r="AM549" s="23">
        <f>COUNTIF(Data!$N$2:$N$825,Data!$N549)</f>
        <v>218</v>
      </c>
      <c r="AN549" s="23" t="str">
        <f>VLOOKUP(Data!$N549,'Helpful Tables'!A:D,4,FALSE)</f>
        <v>Washington, DC</v>
      </c>
      <c r="AO549" s="23">
        <f>COUNTIF(AN:AN,Data!$AN549)/COUNTA(AN:AN)</f>
        <v>0.62424242424242427</v>
      </c>
      <c r="AP549" s="23">
        <v>38.934710000000003</v>
      </c>
      <c r="AQ549" s="23">
        <v>-77.058222999999998</v>
      </c>
      <c r="AR549" s="23">
        <f>COUNTIF(Data!$P$2:$P$825,Data!$P549)</f>
        <v>12</v>
      </c>
      <c r="AS549" s="23" cm="1">
        <f t="array" ref="AS549">_xlfn.IFS(Data!$E549&lt;12,((Data!$E549/Data!$D549)*60)*1,AND(Data!$E549&gt;=12,Data!$E549&lt;=15),((Data!$E549/Data!$D549)*60)*1.2,AND(Data!$E549&gt;=16,Data!$E549&lt;=19),((Data!$E549/Data!$D549)*60)*1.5,Data!$E549&gt;=20,((Data!$E549/Data!$D549)*60)*1.8)</f>
        <v>18</v>
      </c>
      <c r="AT549" s="23" cm="1">
        <f t="array" ref="AT549">_xlfn.IFS(Data!$F549&lt;600,((Data!$F549/Data!$D549)*60)*1,AND(Data!$F549&gt;=600,Data!$F549&lt;=625),((Data!$F549/Data!$D549)*60)*1.2,AND(Data!$F549&gt;=626,Data!$F549&lt;=650),((Data!$F549/Data!$D549)*60)*1.5,Data!$F549&gt;=651,((Data!$F549/Data!$D549)*60)*1.8)</f>
        <v>1031.7857142857142</v>
      </c>
      <c r="AU549" s="23">
        <f>(Data!$I549*-1.2)+(Data!$J549*-1.1)+(Data!$K549*1.2)+(Data!$L549*1.3)+(Data!$M549*1.5)</f>
        <v>10.599999999999998</v>
      </c>
      <c r="AV549" s="23">
        <f>(Data!$AS549*0.4)+(Data!$AT549*0.4)+(Data!$AU549*0.2)</f>
        <v>422.03428571428572</v>
      </c>
      <c r="AW549" s="35">
        <f>PERCENTRANK(AV:AV,Data!$AV549)*100</f>
        <v>61.9</v>
      </c>
      <c r="AX549" s="23" t="str">
        <f>_xlfn.CONCAT(TEXT(C549,"mmm"),"-",Data!$AE549)</f>
        <v>Nov-2023</v>
      </c>
    </row>
    <row r="550" spans="1:50" ht="17" thickTop="1" thickBot="1" x14ac:dyDescent="0.25">
      <c r="A550" s="28">
        <v>549</v>
      </c>
      <c r="B550" s="29">
        <f t="shared" si="66"/>
        <v>15</v>
      </c>
      <c r="C550" s="41">
        <v>45238</v>
      </c>
      <c r="D550" s="30">
        <f>SUM(Data!$I550:$M550)</f>
        <v>59</v>
      </c>
      <c r="E550" s="29">
        <v>13</v>
      </c>
      <c r="F550" s="29">
        <v>624</v>
      </c>
      <c r="G550" s="29">
        <v>170</v>
      </c>
      <c r="H550" s="29">
        <v>123</v>
      </c>
      <c r="I550" s="29">
        <v>18</v>
      </c>
      <c r="J550" s="29">
        <v>15</v>
      </c>
      <c r="K550" s="29">
        <v>13</v>
      </c>
      <c r="L550" s="29">
        <v>11</v>
      </c>
      <c r="M550" s="29">
        <v>2</v>
      </c>
      <c r="N550" s="29" t="s">
        <v>101</v>
      </c>
      <c r="O550" s="29" t="s">
        <v>173</v>
      </c>
      <c r="P550" s="29" t="s">
        <v>189</v>
      </c>
      <c r="Q550" s="29">
        <f t="shared" si="72"/>
        <v>2</v>
      </c>
      <c r="R550" s="29" t="str">
        <f t="shared" si="67"/>
        <v>11-2023</v>
      </c>
      <c r="S550" s="29" t="s">
        <v>104</v>
      </c>
      <c r="T550" s="29" t="str">
        <f t="shared" si="68"/>
        <v>Wednesday</v>
      </c>
      <c r="U550" s="29">
        <f t="shared" si="69"/>
        <v>1</v>
      </c>
      <c r="V550" s="31">
        <f>IFERROR(Data!$I550/Data!$D550,"")</f>
        <v>0.30508474576271188</v>
      </c>
      <c r="W550" s="31">
        <f>IFERROR(Data!$J550/Data!$D550,"")</f>
        <v>0.25423728813559321</v>
      </c>
      <c r="X550" s="31">
        <f>IFERROR(Data!$K550/Data!$D550,"")</f>
        <v>0.22033898305084745</v>
      </c>
      <c r="Y550" s="31">
        <f>IFERROR(Data!$L550/Data!$D550,"")</f>
        <v>0.1864406779661017</v>
      </c>
      <c r="Z550" s="31">
        <f>IFERROR(Data!$M550/Data!$D550,"")</f>
        <v>3.3898305084745763E-2</v>
      </c>
      <c r="AA550" s="32">
        <v>232.14</v>
      </c>
      <c r="AB550" s="32">
        <f t="shared" si="73"/>
        <v>15.475999999999999</v>
      </c>
      <c r="AC550" s="29">
        <f t="shared" si="70"/>
        <v>623.20000000000005</v>
      </c>
      <c r="AD550" s="29">
        <f t="shared" si="71"/>
        <v>14.066666666666666</v>
      </c>
      <c r="AE550" s="29">
        <f>YEAR(Data!$C550)</f>
        <v>2023</v>
      </c>
      <c r="AF550" s="29"/>
      <c r="AG550" s="29">
        <v>12</v>
      </c>
      <c r="AH550" s="33">
        <f>Data!$F550/Data!$D550</f>
        <v>10.576271186440678</v>
      </c>
      <c r="AI550" s="17" t="str">
        <f>RIGHT(Data!$O550,2)</f>
        <v>PM</v>
      </c>
      <c r="AJ550" s="29" t="str">
        <f>Data!$R550&amp;"-"&amp;WEEKNUM(Data!$C550,1)-WEEKNUM(DATE(YEAR(Data!$C550),MONTH(Data!$C550),1),1)+1</f>
        <v>11-2023-2</v>
      </c>
      <c r="AK550" s="29">
        <f>MONTH(Data!$C550)</f>
        <v>11</v>
      </c>
      <c r="AL550" s="29">
        <f>IFERROR(Data!$F550/Data!$E550,0)</f>
        <v>48</v>
      </c>
      <c r="AM550" s="29">
        <f>COUNTIF(Data!$N$2:$N$825,Data!$N550)</f>
        <v>191</v>
      </c>
      <c r="AN550" s="29" t="str">
        <f>VLOOKUP(Data!$N550,'Helpful Tables'!A:D,4,FALSE)</f>
        <v>Washington, DC</v>
      </c>
      <c r="AO550" s="29">
        <f>COUNTIF(AN:AN,Data!$AN550)/COUNTA(AN:AN)</f>
        <v>0.62424242424242427</v>
      </c>
      <c r="AP550" s="29">
        <v>38.949649000000001</v>
      </c>
      <c r="AQ550" s="29">
        <v>-77.080878999999996</v>
      </c>
      <c r="AR550" s="29">
        <f>COUNTIF(Data!$P$2:$P$825,Data!$P550)</f>
        <v>8</v>
      </c>
      <c r="AS550" s="29" cm="1">
        <f t="array" ref="AS550">_xlfn.IFS(Data!$E550&lt;12,((Data!$E550/Data!$D550)*60)*1,AND(Data!$E550&gt;=12,Data!$E550&lt;=15),((Data!$E550/Data!$D550)*60)*1.2,AND(Data!$E550&gt;=16,Data!$E550&lt;=19),((Data!$E550/Data!$D550)*60)*1.5,Data!$E550&gt;=20,((Data!$E550/Data!$D550)*60)*1.8)</f>
        <v>15.864406779661017</v>
      </c>
      <c r="AT550" s="29" cm="1">
        <f t="array" ref="AT550">_xlfn.IFS(Data!$F550&lt;600,((Data!$F550/Data!$D550)*60)*1,AND(Data!$F550&gt;=600,Data!$F550&lt;=625),((Data!$F550/Data!$D550)*60)*1.2,AND(Data!$F550&gt;=626,Data!$F550&lt;=650),((Data!$F550/Data!$D550)*60)*1.5,Data!$F550&gt;=651,((Data!$F550/Data!$D550)*60)*1.8)</f>
        <v>761.49152542372872</v>
      </c>
      <c r="AU550" s="29">
        <f>(Data!$I550*-1.2)+(Data!$J550*-1.1)+(Data!$K550*1.2)+(Data!$L550*1.3)+(Data!$M550*1.5)</f>
        <v>-5.1999999999999922</v>
      </c>
      <c r="AV550" s="29">
        <f>(Data!$AS550*0.4)+(Data!$AT550*0.4)+(Data!$AU550*0.2)</f>
        <v>309.90237288135586</v>
      </c>
      <c r="AW550" s="34">
        <f>PERCENTRANK(AV:AV,Data!$AV550)*100</f>
        <v>31.5</v>
      </c>
      <c r="AX550" s="29" t="str">
        <f>_xlfn.CONCAT(TEXT(C550,"mmm"),"-",Data!$AE550)</f>
        <v>Nov-2023</v>
      </c>
    </row>
    <row r="551" spans="1:50" ht="17" thickTop="1" thickBot="1" x14ac:dyDescent="0.25">
      <c r="A551" s="22">
        <v>550</v>
      </c>
      <c r="B551" s="23">
        <f t="shared" si="66"/>
        <v>15</v>
      </c>
      <c r="C551" s="41">
        <v>45240</v>
      </c>
      <c r="D551" s="24">
        <f>SUM(Data!$I551:$M551)</f>
        <v>56</v>
      </c>
      <c r="E551" s="23">
        <v>10</v>
      </c>
      <c r="F551" s="23">
        <v>606</v>
      </c>
      <c r="G551" s="23">
        <v>166</v>
      </c>
      <c r="H551" s="23">
        <v>124</v>
      </c>
      <c r="I551" s="23">
        <v>15</v>
      </c>
      <c r="J551" s="23">
        <v>15</v>
      </c>
      <c r="K551" s="23">
        <v>16</v>
      </c>
      <c r="L551" s="23">
        <v>9</v>
      </c>
      <c r="M551" s="23">
        <v>1</v>
      </c>
      <c r="N551" s="23" t="s">
        <v>101</v>
      </c>
      <c r="O551" s="23" t="s">
        <v>173</v>
      </c>
      <c r="P551" s="23" t="s">
        <v>146</v>
      </c>
      <c r="Q551" s="23">
        <f t="shared" si="72"/>
        <v>2</v>
      </c>
      <c r="R551" s="23" t="str">
        <f t="shared" si="67"/>
        <v>11-2023</v>
      </c>
      <c r="S551" s="23" t="s">
        <v>104</v>
      </c>
      <c r="T551" s="23" t="str">
        <f t="shared" si="68"/>
        <v>Friday</v>
      </c>
      <c r="U551" s="23">
        <f t="shared" si="69"/>
        <v>0</v>
      </c>
      <c r="V551" s="25">
        <f>IFERROR(Data!$I551/Data!$D551,"")</f>
        <v>0.26785714285714285</v>
      </c>
      <c r="W551" s="25">
        <f>IFERROR(Data!$J551/Data!$D551,"")</f>
        <v>0.26785714285714285</v>
      </c>
      <c r="X551" s="25">
        <f>IFERROR(Data!$K551/Data!$D551,"")</f>
        <v>0.2857142857142857</v>
      </c>
      <c r="Y551" s="25">
        <f>IFERROR(Data!$L551/Data!$D551,"")</f>
        <v>0.16071428571428573</v>
      </c>
      <c r="Z551" s="25">
        <f>IFERROR(Data!$M551/Data!$D551,"")</f>
        <v>1.7857142857142856E-2</v>
      </c>
      <c r="AA551" s="26">
        <v>232.14</v>
      </c>
      <c r="AB551" s="26">
        <f t="shared" si="73"/>
        <v>15.475999999999999</v>
      </c>
      <c r="AC551" s="23">
        <f t="shared" si="70"/>
        <v>623.20000000000005</v>
      </c>
      <c r="AD551" s="23">
        <f t="shared" si="71"/>
        <v>14.066666666666666</v>
      </c>
      <c r="AE551" s="23">
        <f>YEAR(Data!$C551)</f>
        <v>2023</v>
      </c>
      <c r="AF551" s="23"/>
      <c r="AG551" s="23">
        <v>12</v>
      </c>
      <c r="AH551" s="27">
        <f>Data!$F551/Data!$D551</f>
        <v>10.821428571428571</v>
      </c>
      <c r="AI551" s="17" t="str">
        <f>RIGHT(Data!$O551,2)</f>
        <v>PM</v>
      </c>
      <c r="AJ551" s="23" t="str">
        <f>Data!$R551&amp;"-"&amp;WEEKNUM(Data!$C551,1)-WEEKNUM(DATE(YEAR(Data!$C551),MONTH(Data!$C551),1),1)+1</f>
        <v>11-2023-2</v>
      </c>
      <c r="AK551" s="23">
        <f>MONTH(Data!$C551)</f>
        <v>11</v>
      </c>
      <c r="AL551" s="23">
        <f>IFERROR(Data!$F551/Data!$E551,0)</f>
        <v>60.6</v>
      </c>
      <c r="AM551" s="23">
        <f>COUNTIF(Data!$N$2:$N$825,Data!$N551)</f>
        <v>191</v>
      </c>
      <c r="AN551" s="23" t="str">
        <f>VLOOKUP(Data!$N551,'Helpful Tables'!A:D,4,FALSE)</f>
        <v>Washington, DC</v>
      </c>
      <c r="AO551" s="23">
        <f>COUNTIF(AN:AN,Data!$AN551)/COUNTA(AN:AN)</f>
        <v>0.62424242424242427</v>
      </c>
      <c r="AP551" s="23">
        <v>38.949649000000001</v>
      </c>
      <c r="AQ551" s="23">
        <v>-77.080878999999996</v>
      </c>
      <c r="AR551" s="23">
        <f>COUNTIF(Data!$P$2:$P$825,Data!$P551)</f>
        <v>3</v>
      </c>
      <c r="AS551" s="23" cm="1">
        <f t="array" ref="AS551">_xlfn.IFS(Data!$E551&lt;12,((Data!$E551/Data!$D551)*60)*1,AND(Data!$E551&gt;=12,Data!$E551&lt;=15),((Data!$E551/Data!$D551)*60)*1.2,AND(Data!$E551&gt;=16,Data!$E551&lt;=19),((Data!$E551/Data!$D551)*60)*1.5,Data!$E551&gt;=20,((Data!$E551/Data!$D551)*60)*1.8)</f>
        <v>10.714285714285715</v>
      </c>
      <c r="AT551" s="23" cm="1">
        <f t="array" ref="AT551">_xlfn.IFS(Data!$F551&lt;600,((Data!$F551/Data!$D551)*60)*1,AND(Data!$F551&gt;=600,Data!$F551&lt;=625),((Data!$F551/Data!$D551)*60)*1.2,AND(Data!$F551&gt;=626,Data!$F551&lt;=650),((Data!$F551/Data!$D551)*60)*1.5,Data!$F551&gt;=651,((Data!$F551/Data!$D551)*60)*1.8)</f>
        <v>779.142857142857</v>
      </c>
      <c r="AU551" s="23">
        <f>(Data!$I551*-1.2)+(Data!$J551*-1.1)+(Data!$K551*1.2)+(Data!$L551*1.3)+(Data!$M551*1.5)</f>
        <v>-2.0999999999999996</v>
      </c>
      <c r="AV551" s="23">
        <f>(Data!$AS551*0.4)+(Data!$AT551*0.4)+(Data!$AU551*0.2)</f>
        <v>315.52285714285711</v>
      </c>
      <c r="AW551" s="35">
        <f>PERCENTRANK(AV:AV,Data!$AV551)*100</f>
        <v>34.4</v>
      </c>
      <c r="AX551" s="23" t="str">
        <f>_xlfn.CONCAT(TEXT(C551,"mmm"),"-",Data!$AE551)</f>
        <v>Nov-2023</v>
      </c>
    </row>
    <row r="552" spans="1:50" ht="17" thickTop="1" thickBot="1" x14ac:dyDescent="0.25">
      <c r="A552" s="28">
        <v>551</v>
      </c>
      <c r="B552" s="29">
        <f t="shared" si="66"/>
        <v>15</v>
      </c>
      <c r="C552" s="41">
        <v>45242</v>
      </c>
      <c r="D552" s="30">
        <f>SUM(Data!$I552:$M552)</f>
        <v>59</v>
      </c>
      <c r="E552" s="29">
        <v>21</v>
      </c>
      <c r="F552" s="29">
        <v>669</v>
      </c>
      <c r="G552" s="29">
        <v>172</v>
      </c>
      <c r="H552" s="29">
        <v>128</v>
      </c>
      <c r="I552" s="29">
        <v>13</v>
      </c>
      <c r="J552" s="29">
        <v>17</v>
      </c>
      <c r="K552" s="29">
        <v>8</v>
      </c>
      <c r="L552" s="29">
        <v>17</v>
      </c>
      <c r="M552" s="29">
        <v>4</v>
      </c>
      <c r="N552" s="29" t="s">
        <v>91</v>
      </c>
      <c r="O552" s="29" t="s">
        <v>79</v>
      </c>
      <c r="P552" s="29" t="s">
        <v>100</v>
      </c>
      <c r="Q552" s="29">
        <f t="shared" si="72"/>
        <v>2</v>
      </c>
      <c r="R552" s="29" t="str">
        <f t="shared" si="67"/>
        <v>11-2023</v>
      </c>
      <c r="S552" s="29" t="s">
        <v>104</v>
      </c>
      <c r="T552" s="29" t="str">
        <f t="shared" si="68"/>
        <v>Sunday</v>
      </c>
      <c r="U552" s="29">
        <f t="shared" si="69"/>
        <v>1</v>
      </c>
      <c r="V552" s="31">
        <f>IFERROR(Data!$I552/Data!$D552,"")</f>
        <v>0.22033898305084745</v>
      </c>
      <c r="W552" s="31">
        <f>IFERROR(Data!$J552/Data!$D552,"")</f>
        <v>0.28813559322033899</v>
      </c>
      <c r="X552" s="31">
        <f>IFERROR(Data!$K552/Data!$D552,"")</f>
        <v>0.13559322033898305</v>
      </c>
      <c r="Y552" s="31">
        <f>IFERROR(Data!$L552/Data!$D552,"")</f>
        <v>0.28813559322033899</v>
      </c>
      <c r="Z552" s="31">
        <f>IFERROR(Data!$M552/Data!$D552,"")</f>
        <v>6.7796610169491525E-2</v>
      </c>
      <c r="AA552" s="32">
        <v>232.14</v>
      </c>
      <c r="AB552" s="32">
        <f t="shared" si="73"/>
        <v>15.475999999999999</v>
      </c>
      <c r="AC552" s="29">
        <f t="shared" si="70"/>
        <v>623.20000000000005</v>
      </c>
      <c r="AD552" s="29">
        <f t="shared" si="71"/>
        <v>14.066666666666666</v>
      </c>
      <c r="AE552" s="29">
        <f>YEAR(Data!$C552)</f>
        <v>2023</v>
      </c>
      <c r="AF552" s="29"/>
      <c r="AG552" s="29">
        <v>12</v>
      </c>
      <c r="AH552" s="33">
        <f>Data!$F552/Data!$D552</f>
        <v>11.338983050847459</v>
      </c>
      <c r="AI552" s="17" t="str">
        <f>RIGHT(Data!$O552,2)</f>
        <v>AM</v>
      </c>
      <c r="AJ552" s="29" t="str">
        <f>Data!$R552&amp;"-"&amp;WEEKNUM(Data!$C552,1)-WEEKNUM(DATE(YEAR(Data!$C552),MONTH(Data!$C552),1),1)+1</f>
        <v>11-2023-3</v>
      </c>
      <c r="AK552" s="29">
        <f>MONTH(Data!$C552)</f>
        <v>11</v>
      </c>
      <c r="AL552" s="29">
        <f>IFERROR(Data!$F552/Data!$E552,0)</f>
        <v>31.857142857142858</v>
      </c>
      <c r="AM552" s="29">
        <f>COUNTIF(Data!$N$2:$N$825,Data!$N552)</f>
        <v>218</v>
      </c>
      <c r="AN552" s="29" t="str">
        <f>VLOOKUP(Data!$N552,'Helpful Tables'!A:D,4,FALSE)</f>
        <v>Washington, DC</v>
      </c>
      <c r="AO552" s="29">
        <f>COUNTIF(AN:AN,Data!$AN552)/COUNTA(AN:AN)</f>
        <v>0.62424242424242427</v>
      </c>
      <c r="AP552" s="29">
        <v>38.934710000000003</v>
      </c>
      <c r="AQ552" s="29">
        <v>-77.058222999999998</v>
      </c>
      <c r="AR552" s="29">
        <f>COUNTIF(Data!$P$2:$P$825,Data!$P552)</f>
        <v>35</v>
      </c>
      <c r="AS552" s="29" cm="1">
        <f t="array" ref="AS552">_xlfn.IFS(Data!$E552&lt;12,((Data!$E552/Data!$D552)*60)*1,AND(Data!$E552&gt;=12,Data!$E552&lt;=15),((Data!$E552/Data!$D552)*60)*1.2,AND(Data!$E552&gt;=16,Data!$E552&lt;=19),((Data!$E552/Data!$D552)*60)*1.5,Data!$E552&gt;=20,((Data!$E552/Data!$D552)*60)*1.8)</f>
        <v>38.440677966101696</v>
      </c>
      <c r="AT552" s="29" cm="1">
        <f t="array" ref="AT552">_xlfn.IFS(Data!$F552&lt;600,((Data!$F552/Data!$D552)*60)*1,AND(Data!$F552&gt;=600,Data!$F552&lt;=625),((Data!$F552/Data!$D552)*60)*1.2,AND(Data!$F552&gt;=626,Data!$F552&lt;=650),((Data!$F552/Data!$D552)*60)*1.5,Data!$F552&gt;=651,((Data!$F552/Data!$D552)*60)*1.8)</f>
        <v>1224.6101694915255</v>
      </c>
      <c r="AU552" s="29">
        <f>(Data!$I552*-1.2)+(Data!$J552*-1.1)+(Data!$K552*1.2)+(Data!$L552*1.3)+(Data!$M552*1.5)</f>
        <v>3.3999999999999986</v>
      </c>
      <c r="AV552" s="29">
        <f>(Data!$AS552*0.4)+(Data!$AT552*0.4)+(Data!$AU552*0.2)</f>
        <v>505.90033898305097</v>
      </c>
      <c r="AW552" s="34">
        <f>PERCENTRANK(AV:AV,Data!$AV552)*100</f>
        <v>81.599999999999994</v>
      </c>
      <c r="AX552" s="29" t="str">
        <f>_xlfn.CONCAT(TEXT(C552,"mmm"),"-",Data!$AE552)</f>
        <v>Nov-2023</v>
      </c>
    </row>
    <row r="553" spans="1:50" ht="17" thickTop="1" thickBot="1" x14ac:dyDescent="0.25">
      <c r="A553" s="22">
        <v>552</v>
      </c>
      <c r="B553" s="23">
        <f t="shared" si="66"/>
        <v>15</v>
      </c>
      <c r="C553" s="41">
        <v>45244</v>
      </c>
      <c r="D553" s="24">
        <f>SUM(Data!$I553:$M553)</f>
        <v>58</v>
      </c>
      <c r="E553" s="23">
        <v>19</v>
      </c>
      <c r="F553" s="23">
        <v>659</v>
      </c>
      <c r="G553" s="23">
        <v>174</v>
      </c>
      <c r="H553" s="23">
        <v>129</v>
      </c>
      <c r="I553" s="23">
        <v>13</v>
      </c>
      <c r="J553" s="23">
        <v>15</v>
      </c>
      <c r="K553" s="23">
        <v>11</v>
      </c>
      <c r="L553" s="23">
        <v>15</v>
      </c>
      <c r="M553" s="23">
        <v>4</v>
      </c>
      <c r="N553" s="23" t="s">
        <v>101</v>
      </c>
      <c r="O553" s="23" t="s">
        <v>173</v>
      </c>
      <c r="P553" s="23" t="s">
        <v>109</v>
      </c>
      <c r="Q553" s="23">
        <f t="shared" si="72"/>
        <v>2</v>
      </c>
      <c r="R553" s="23" t="str">
        <f t="shared" si="67"/>
        <v>11-2023</v>
      </c>
      <c r="S553" s="23" t="s">
        <v>104</v>
      </c>
      <c r="T553" s="23" t="str">
        <f t="shared" si="68"/>
        <v>Tuesday</v>
      </c>
      <c r="U553" s="23">
        <f t="shared" si="69"/>
        <v>1</v>
      </c>
      <c r="V553" s="25">
        <f>IFERROR(Data!$I553/Data!$D553,"")</f>
        <v>0.22413793103448276</v>
      </c>
      <c r="W553" s="25">
        <f>IFERROR(Data!$J553/Data!$D553,"")</f>
        <v>0.25862068965517243</v>
      </c>
      <c r="X553" s="25">
        <f>IFERROR(Data!$K553/Data!$D553,"")</f>
        <v>0.18965517241379309</v>
      </c>
      <c r="Y553" s="25">
        <f>IFERROR(Data!$L553/Data!$D553,"")</f>
        <v>0.25862068965517243</v>
      </c>
      <c r="Z553" s="25">
        <f>IFERROR(Data!$M553/Data!$D553,"")</f>
        <v>6.8965517241379309E-2</v>
      </c>
      <c r="AA553" s="26">
        <v>232.14</v>
      </c>
      <c r="AB553" s="26">
        <f t="shared" si="73"/>
        <v>15.475999999999999</v>
      </c>
      <c r="AC553" s="23">
        <f t="shared" si="70"/>
        <v>623.20000000000005</v>
      </c>
      <c r="AD553" s="23">
        <f t="shared" si="71"/>
        <v>14.066666666666666</v>
      </c>
      <c r="AE553" s="23">
        <f>YEAR(Data!$C553)</f>
        <v>2023</v>
      </c>
      <c r="AF553" s="23"/>
      <c r="AG553" s="23">
        <v>12</v>
      </c>
      <c r="AH553" s="27">
        <f>Data!$F553/Data!$D553</f>
        <v>11.362068965517242</v>
      </c>
      <c r="AI553" s="17" t="str">
        <f>RIGHT(Data!$O553,2)</f>
        <v>PM</v>
      </c>
      <c r="AJ553" s="23" t="str">
        <f>Data!$R553&amp;"-"&amp;WEEKNUM(Data!$C553,1)-WEEKNUM(DATE(YEAR(Data!$C553),MONTH(Data!$C553),1),1)+1</f>
        <v>11-2023-3</v>
      </c>
      <c r="AK553" s="23">
        <f>MONTH(Data!$C553)</f>
        <v>11</v>
      </c>
      <c r="AL553" s="23">
        <f>IFERROR(Data!$F553/Data!$E553,0)</f>
        <v>34.684210526315788</v>
      </c>
      <c r="AM553" s="23">
        <f>COUNTIF(Data!$N$2:$N$825,Data!$N553)</f>
        <v>191</v>
      </c>
      <c r="AN553" s="23" t="str">
        <f>VLOOKUP(Data!$N553,'Helpful Tables'!A:D,4,FALSE)</f>
        <v>Washington, DC</v>
      </c>
      <c r="AO553" s="23">
        <f>COUNTIF(AN:AN,Data!$AN553)/COUNTA(AN:AN)</f>
        <v>0.62424242424242427</v>
      </c>
      <c r="AP553" s="23">
        <v>38.949649000000001</v>
      </c>
      <c r="AQ553" s="23">
        <v>-77.080878999999996</v>
      </c>
      <c r="AR553" s="23">
        <f>COUNTIF(Data!$P$2:$P$825,Data!$P553)</f>
        <v>66</v>
      </c>
      <c r="AS553" s="23" cm="1">
        <f t="array" ref="AS553">_xlfn.IFS(Data!$E553&lt;12,((Data!$E553/Data!$D553)*60)*1,AND(Data!$E553&gt;=12,Data!$E553&lt;=15),((Data!$E553/Data!$D553)*60)*1.2,AND(Data!$E553&gt;=16,Data!$E553&lt;=19),((Data!$E553/Data!$D553)*60)*1.5,Data!$E553&gt;=20,((Data!$E553/Data!$D553)*60)*1.8)</f>
        <v>29.482758620689655</v>
      </c>
      <c r="AT553" s="23" cm="1">
        <f t="array" ref="AT553">_xlfn.IFS(Data!$F553&lt;600,((Data!$F553/Data!$D553)*60)*1,AND(Data!$F553&gt;=600,Data!$F553&lt;=625),((Data!$F553/Data!$D553)*60)*1.2,AND(Data!$F553&gt;=626,Data!$F553&lt;=650),((Data!$F553/Data!$D553)*60)*1.5,Data!$F553&gt;=651,((Data!$F553/Data!$D553)*60)*1.8)</f>
        <v>1227.1034482758621</v>
      </c>
      <c r="AU553" s="23">
        <f>(Data!$I553*-1.2)+(Data!$J553*-1.1)+(Data!$K553*1.2)+(Data!$L553*1.3)+(Data!$M553*1.5)</f>
        <v>6.5999999999999979</v>
      </c>
      <c r="AV553" s="23">
        <f>(Data!$AS553*0.4)+(Data!$AT553*0.4)+(Data!$AU553*0.2)</f>
        <v>503.95448275862071</v>
      </c>
      <c r="AW553" s="35">
        <f>PERCENTRANK(AV:AV,Data!$AV553)*100</f>
        <v>80.300000000000011</v>
      </c>
      <c r="AX553" s="23" t="str">
        <f>_xlfn.CONCAT(TEXT(C553,"mmm"),"-",Data!$AE553)</f>
        <v>Nov-2023</v>
      </c>
    </row>
    <row r="554" spans="1:50" ht="17" thickTop="1" thickBot="1" x14ac:dyDescent="0.25">
      <c r="A554" s="28">
        <v>553</v>
      </c>
      <c r="B554" s="29">
        <f t="shared" si="66"/>
        <v>15</v>
      </c>
      <c r="C554" s="41">
        <v>45245</v>
      </c>
      <c r="D554" s="30">
        <f>SUM(Data!$I554:$M554)</f>
        <v>58</v>
      </c>
      <c r="E554" s="29">
        <v>11</v>
      </c>
      <c r="F554" s="29">
        <v>657</v>
      </c>
      <c r="G554" s="29">
        <v>168</v>
      </c>
      <c r="H554" s="29">
        <v>127</v>
      </c>
      <c r="I554" s="29">
        <v>8</v>
      </c>
      <c r="J554" s="29">
        <v>19</v>
      </c>
      <c r="K554" s="29">
        <v>20</v>
      </c>
      <c r="L554" s="29">
        <v>9</v>
      </c>
      <c r="M554" s="29">
        <v>2</v>
      </c>
      <c r="N554" s="29" t="s">
        <v>91</v>
      </c>
      <c r="O554" s="29" t="s">
        <v>57</v>
      </c>
      <c r="P554" s="29" t="s">
        <v>188</v>
      </c>
      <c r="Q554" s="29">
        <f t="shared" si="72"/>
        <v>1</v>
      </c>
      <c r="R554" s="29" t="str">
        <f t="shared" si="67"/>
        <v>11-2023</v>
      </c>
      <c r="S554" s="29" t="s">
        <v>104</v>
      </c>
      <c r="T554" s="29" t="str">
        <f t="shared" si="68"/>
        <v>Wednesday</v>
      </c>
      <c r="U554" s="29">
        <f t="shared" si="69"/>
        <v>0</v>
      </c>
      <c r="V554" s="31">
        <f>IFERROR(Data!$I554/Data!$D554,"")</f>
        <v>0.13793103448275862</v>
      </c>
      <c r="W554" s="31">
        <f>IFERROR(Data!$J554/Data!$D554,"")</f>
        <v>0.32758620689655171</v>
      </c>
      <c r="X554" s="31">
        <f>IFERROR(Data!$K554/Data!$D554,"")</f>
        <v>0.34482758620689657</v>
      </c>
      <c r="Y554" s="31">
        <f>IFERROR(Data!$L554/Data!$D554,"")</f>
        <v>0.15517241379310345</v>
      </c>
      <c r="Z554" s="31">
        <f>IFERROR(Data!$M554/Data!$D554,"")</f>
        <v>3.4482758620689655E-2</v>
      </c>
      <c r="AA554" s="32">
        <v>232.14</v>
      </c>
      <c r="AB554" s="32">
        <f t="shared" si="73"/>
        <v>15.475999999999999</v>
      </c>
      <c r="AC554" s="29">
        <f t="shared" si="70"/>
        <v>623.20000000000005</v>
      </c>
      <c r="AD554" s="29">
        <f t="shared" si="71"/>
        <v>14.066666666666666</v>
      </c>
      <c r="AE554" s="29">
        <f>YEAR(Data!$C554)</f>
        <v>2023</v>
      </c>
      <c r="AF554" s="29"/>
      <c r="AG554" s="29">
        <v>12</v>
      </c>
      <c r="AH554" s="33">
        <f>Data!$F554/Data!$D554</f>
        <v>11.327586206896552</v>
      </c>
      <c r="AI554" s="17" t="str">
        <f>RIGHT(Data!$O554,2)</f>
        <v>PM</v>
      </c>
      <c r="AJ554" s="29" t="str">
        <f>Data!$R554&amp;"-"&amp;WEEKNUM(Data!$C554,1)-WEEKNUM(DATE(YEAR(Data!$C554),MONTH(Data!$C554),1),1)+1</f>
        <v>11-2023-3</v>
      </c>
      <c r="AK554" s="29">
        <f>MONTH(Data!$C554)</f>
        <v>11</v>
      </c>
      <c r="AL554" s="29">
        <f>IFERROR(Data!$F554/Data!$E554,0)</f>
        <v>59.727272727272727</v>
      </c>
      <c r="AM554" s="29">
        <f>COUNTIF(Data!$N$2:$N$825,Data!$N554)</f>
        <v>218</v>
      </c>
      <c r="AN554" s="29" t="str">
        <f>VLOOKUP(Data!$N554,'Helpful Tables'!A:D,4,FALSE)</f>
        <v>Washington, DC</v>
      </c>
      <c r="AO554" s="29">
        <f>COUNTIF(AN:AN,Data!$AN554)/COUNTA(AN:AN)</f>
        <v>0.62424242424242427</v>
      </c>
      <c r="AP554" s="29">
        <v>38.934710000000003</v>
      </c>
      <c r="AQ554" s="29">
        <v>-77.058222999999998</v>
      </c>
      <c r="AR554" s="29">
        <f>COUNTIF(Data!$P$2:$P$825,Data!$P554)</f>
        <v>10</v>
      </c>
      <c r="AS554" s="29" cm="1">
        <f t="array" ref="AS554">_xlfn.IFS(Data!$E554&lt;12,((Data!$E554/Data!$D554)*60)*1,AND(Data!$E554&gt;=12,Data!$E554&lt;=15),((Data!$E554/Data!$D554)*60)*1.2,AND(Data!$E554&gt;=16,Data!$E554&lt;=19),((Data!$E554/Data!$D554)*60)*1.5,Data!$E554&gt;=20,((Data!$E554/Data!$D554)*60)*1.8)</f>
        <v>11.379310344827585</v>
      </c>
      <c r="AT554" s="29" cm="1">
        <f t="array" ref="AT554">_xlfn.IFS(Data!$F554&lt;600,((Data!$F554/Data!$D554)*60)*1,AND(Data!$F554&gt;=600,Data!$F554&lt;=625),((Data!$F554/Data!$D554)*60)*1.2,AND(Data!$F554&gt;=626,Data!$F554&lt;=650),((Data!$F554/Data!$D554)*60)*1.5,Data!$F554&gt;=651,((Data!$F554/Data!$D554)*60)*1.8)</f>
        <v>1223.3793103448277</v>
      </c>
      <c r="AU554" s="29">
        <f>(Data!$I554*-1.2)+(Data!$J554*-1.1)+(Data!$K554*1.2)+(Data!$L554*1.3)+(Data!$M554*1.5)</f>
        <v>8.2000000000000011</v>
      </c>
      <c r="AV554" s="29">
        <f>(Data!$AS554*0.4)+(Data!$AT554*0.4)+(Data!$AU554*0.2)</f>
        <v>495.54344827586215</v>
      </c>
      <c r="AW554" s="34">
        <f>PERCENTRANK(AV:AV,Data!$AV554)*100</f>
        <v>75</v>
      </c>
      <c r="AX554" s="29" t="str">
        <f>_xlfn.CONCAT(TEXT(C554,"mmm"),"-",Data!$AE554)</f>
        <v>Nov-2023</v>
      </c>
    </row>
    <row r="555" spans="1:50" ht="17" thickTop="1" thickBot="1" x14ac:dyDescent="0.25">
      <c r="A555" s="22">
        <v>554</v>
      </c>
      <c r="B555" s="23">
        <f t="shared" si="66"/>
        <v>15</v>
      </c>
      <c r="C555" s="41">
        <v>45247</v>
      </c>
      <c r="D555" s="24">
        <f>SUM(Data!$I555:$M555)</f>
        <v>57</v>
      </c>
      <c r="E555" s="23">
        <v>13</v>
      </c>
      <c r="F555" s="23">
        <v>607</v>
      </c>
      <c r="G555" s="23">
        <v>166</v>
      </c>
      <c r="H555" s="23">
        <v>123</v>
      </c>
      <c r="I555" s="23">
        <v>17</v>
      </c>
      <c r="J555" s="23">
        <v>12</v>
      </c>
      <c r="K555" s="23">
        <v>15</v>
      </c>
      <c r="L555" s="23">
        <v>12</v>
      </c>
      <c r="M555" s="23">
        <v>1</v>
      </c>
      <c r="N555" s="23" t="s">
        <v>91</v>
      </c>
      <c r="O555" s="23" t="s">
        <v>57</v>
      </c>
      <c r="P555" s="23" t="s">
        <v>96</v>
      </c>
      <c r="Q555" s="23">
        <f t="shared" si="72"/>
        <v>2</v>
      </c>
      <c r="R555" s="23" t="str">
        <f t="shared" si="67"/>
        <v>11-2023</v>
      </c>
      <c r="S555" s="23" t="s">
        <v>104</v>
      </c>
      <c r="T555" s="23" t="str">
        <f t="shared" si="68"/>
        <v>Friday</v>
      </c>
      <c r="U555" s="23">
        <f t="shared" si="69"/>
        <v>1</v>
      </c>
      <c r="V555" s="25">
        <f>IFERROR(Data!$I555/Data!$D555,"")</f>
        <v>0.2982456140350877</v>
      </c>
      <c r="W555" s="25">
        <f>IFERROR(Data!$J555/Data!$D555,"")</f>
        <v>0.21052631578947367</v>
      </c>
      <c r="X555" s="25">
        <f>IFERROR(Data!$K555/Data!$D555,"")</f>
        <v>0.26315789473684209</v>
      </c>
      <c r="Y555" s="25">
        <f>IFERROR(Data!$L555/Data!$D555,"")</f>
        <v>0.21052631578947367</v>
      </c>
      <c r="Z555" s="25">
        <f>IFERROR(Data!$M555/Data!$D555,"")</f>
        <v>1.7543859649122806E-2</v>
      </c>
      <c r="AA555" s="26">
        <v>232.14</v>
      </c>
      <c r="AB555" s="26">
        <f t="shared" si="73"/>
        <v>15.475999999999999</v>
      </c>
      <c r="AC555" s="23">
        <f t="shared" si="70"/>
        <v>623.20000000000005</v>
      </c>
      <c r="AD555" s="23">
        <f t="shared" si="71"/>
        <v>14.066666666666666</v>
      </c>
      <c r="AE555" s="23">
        <f>YEAR(Data!$C555)</f>
        <v>2023</v>
      </c>
      <c r="AF555" s="23"/>
      <c r="AG555" s="23">
        <v>12</v>
      </c>
      <c r="AH555" s="27">
        <f>Data!$F555/Data!$D555</f>
        <v>10.649122807017545</v>
      </c>
      <c r="AI555" s="17" t="str">
        <f>RIGHT(Data!$O555,2)</f>
        <v>PM</v>
      </c>
      <c r="AJ555" s="23" t="str">
        <f>Data!$R555&amp;"-"&amp;WEEKNUM(Data!$C555,1)-WEEKNUM(DATE(YEAR(Data!$C555),MONTH(Data!$C555),1),1)+1</f>
        <v>11-2023-3</v>
      </c>
      <c r="AK555" s="23">
        <f>MONTH(Data!$C555)</f>
        <v>11</v>
      </c>
      <c r="AL555" s="23">
        <f>IFERROR(Data!$F555/Data!$E555,0)</f>
        <v>46.692307692307693</v>
      </c>
      <c r="AM555" s="23">
        <f>COUNTIF(Data!$N$2:$N$825,Data!$N555)</f>
        <v>218</v>
      </c>
      <c r="AN555" s="23" t="str">
        <f>VLOOKUP(Data!$N555,'Helpful Tables'!A:D,4,FALSE)</f>
        <v>Washington, DC</v>
      </c>
      <c r="AO555" s="23">
        <f>COUNTIF(AN:AN,Data!$AN555)/COUNTA(AN:AN)</f>
        <v>0.62424242424242427</v>
      </c>
      <c r="AP555" s="23">
        <v>38.934710000000003</v>
      </c>
      <c r="AQ555" s="23">
        <v>-77.058222999999998</v>
      </c>
      <c r="AR555" s="23">
        <f>COUNTIF(Data!$P$2:$P$825,Data!$P555)</f>
        <v>71</v>
      </c>
      <c r="AS555" s="23" cm="1">
        <f t="array" ref="AS555">_xlfn.IFS(Data!$E555&lt;12,((Data!$E555/Data!$D555)*60)*1,AND(Data!$E555&gt;=12,Data!$E555&lt;=15),((Data!$E555/Data!$D555)*60)*1.2,AND(Data!$E555&gt;=16,Data!$E555&lt;=19),((Data!$E555/Data!$D555)*60)*1.5,Data!$E555&gt;=20,((Data!$E555/Data!$D555)*60)*1.8)</f>
        <v>16.421052631578945</v>
      </c>
      <c r="AT555" s="23" cm="1">
        <f t="array" ref="AT555">_xlfn.IFS(Data!$F555&lt;600,((Data!$F555/Data!$D555)*60)*1,AND(Data!$F555&gt;=600,Data!$F555&lt;=625),((Data!$F555/Data!$D555)*60)*1.2,AND(Data!$F555&gt;=626,Data!$F555&lt;=650),((Data!$F555/Data!$D555)*60)*1.5,Data!$F555&gt;=651,((Data!$F555/Data!$D555)*60)*1.8)</f>
        <v>766.73684210526324</v>
      </c>
      <c r="AU555" s="23">
        <f>(Data!$I555*-1.2)+(Data!$J555*-1.1)+(Data!$K555*1.2)+(Data!$L555*1.3)+(Data!$M555*1.5)</f>
        <v>1.5</v>
      </c>
      <c r="AV555" s="23">
        <f>(Data!$AS555*0.4)+(Data!$AT555*0.4)+(Data!$AU555*0.2)</f>
        <v>313.56315789473689</v>
      </c>
      <c r="AW555" s="35">
        <f>PERCENTRANK(AV:AV,Data!$AV555)*100</f>
        <v>32.800000000000004</v>
      </c>
      <c r="AX555" s="23" t="str">
        <f>_xlfn.CONCAT(TEXT(C555,"mmm"),"-",Data!$AE555)</f>
        <v>Nov-2023</v>
      </c>
    </row>
    <row r="556" spans="1:50" ht="17" thickTop="1" thickBot="1" x14ac:dyDescent="0.25">
      <c r="A556" s="28">
        <v>555</v>
      </c>
      <c r="B556" s="29">
        <f t="shared" si="66"/>
        <v>15</v>
      </c>
      <c r="C556" s="41">
        <v>45249</v>
      </c>
      <c r="D556" s="30">
        <f>SUM(Data!$I556:$M556)</f>
        <v>56</v>
      </c>
      <c r="E556" s="29">
        <v>18</v>
      </c>
      <c r="F556" s="29">
        <v>626</v>
      </c>
      <c r="G556" s="29">
        <v>167</v>
      </c>
      <c r="H556" s="29">
        <v>128</v>
      </c>
      <c r="I556" s="29">
        <v>10</v>
      </c>
      <c r="J556" s="29">
        <v>18</v>
      </c>
      <c r="K556" s="29">
        <v>10</v>
      </c>
      <c r="L556" s="29">
        <v>17</v>
      </c>
      <c r="M556" s="29">
        <v>1</v>
      </c>
      <c r="N556" s="29" t="s">
        <v>30</v>
      </c>
      <c r="O556" s="29" t="s">
        <v>58</v>
      </c>
      <c r="P556" s="29" t="s">
        <v>193</v>
      </c>
      <c r="Q556" s="29">
        <f t="shared" si="72"/>
        <v>2</v>
      </c>
      <c r="R556" s="29" t="str">
        <f t="shared" si="67"/>
        <v>11-2023</v>
      </c>
      <c r="S556" s="29" t="s">
        <v>104</v>
      </c>
      <c r="T556" s="29" t="str">
        <f t="shared" si="68"/>
        <v>Sunday</v>
      </c>
      <c r="U556" s="29">
        <f t="shared" si="69"/>
        <v>1</v>
      </c>
      <c r="V556" s="31">
        <f>IFERROR(Data!$I556/Data!$D556,"")</f>
        <v>0.17857142857142858</v>
      </c>
      <c r="W556" s="31">
        <f>IFERROR(Data!$J556/Data!$D556,"")</f>
        <v>0.32142857142857145</v>
      </c>
      <c r="X556" s="31">
        <f>IFERROR(Data!$K556/Data!$D556,"")</f>
        <v>0.17857142857142858</v>
      </c>
      <c r="Y556" s="31">
        <f>IFERROR(Data!$L556/Data!$D556,"")</f>
        <v>0.30357142857142855</v>
      </c>
      <c r="Z556" s="31">
        <f>IFERROR(Data!$M556/Data!$D556,"")</f>
        <v>1.7857142857142856E-2</v>
      </c>
      <c r="AA556" s="32">
        <v>232.14</v>
      </c>
      <c r="AB556" s="32">
        <f t="shared" si="73"/>
        <v>15.475999999999999</v>
      </c>
      <c r="AC556" s="29">
        <f t="shared" si="70"/>
        <v>623.20000000000005</v>
      </c>
      <c r="AD556" s="29">
        <f t="shared" si="71"/>
        <v>14.066666666666666</v>
      </c>
      <c r="AE556" s="29">
        <f>YEAR(Data!$C556)</f>
        <v>2023</v>
      </c>
      <c r="AF556" s="29"/>
      <c r="AG556" s="29">
        <v>12</v>
      </c>
      <c r="AH556" s="33">
        <f>Data!$F556/Data!$D556</f>
        <v>11.178571428571429</v>
      </c>
      <c r="AI556" s="17" t="str">
        <f>RIGHT(Data!$O556,2)</f>
        <v>AM</v>
      </c>
      <c r="AJ556" s="29" t="str">
        <f>Data!$R556&amp;"-"&amp;WEEKNUM(Data!$C556,1)-WEEKNUM(DATE(YEAR(Data!$C556),MONTH(Data!$C556),1),1)+1</f>
        <v>11-2023-4</v>
      </c>
      <c r="AK556" s="29">
        <f>MONTH(Data!$C556)</f>
        <v>11</v>
      </c>
      <c r="AL556" s="29">
        <f>IFERROR(Data!$F556/Data!$E556,0)</f>
        <v>34.777777777777779</v>
      </c>
      <c r="AM556" s="29">
        <f>COUNTIF(Data!$N$2:$N$825,Data!$N556)</f>
        <v>9</v>
      </c>
      <c r="AN556" s="29" t="str">
        <f>VLOOKUP(Data!$N556,'Helpful Tables'!A:D,4,FALSE)</f>
        <v>Virginia</v>
      </c>
      <c r="AO556" s="29">
        <f>COUNTIF(AN:AN,Data!$AN556)/COUNTA(AN:AN)</f>
        <v>6.424242424242424E-2</v>
      </c>
      <c r="AP556" s="29">
        <v>38.894024999999999</v>
      </c>
      <c r="AQ556" s="29">
        <v>-77.078213000000005</v>
      </c>
      <c r="AR556" s="29">
        <f>COUNTIF(Data!$P$2:$P$825,Data!$P556)</f>
        <v>2</v>
      </c>
      <c r="AS556" s="29" cm="1">
        <f t="array" ref="AS556">_xlfn.IFS(Data!$E556&lt;12,((Data!$E556/Data!$D556)*60)*1,AND(Data!$E556&gt;=12,Data!$E556&lt;=15),((Data!$E556/Data!$D556)*60)*1.2,AND(Data!$E556&gt;=16,Data!$E556&lt;=19),((Data!$E556/Data!$D556)*60)*1.5,Data!$E556&gt;=20,((Data!$E556/Data!$D556)*60)*1.8)</f>
        <v>28.928571428571431</v>
      </c>
      <c r="AT556" s="29" cm="1">
        <f t="array" ref="AT556">_xlfn.IFS(Data!$F556&lt;600,((Data!$F556/Data!$D556)*60)*1,AND(Data!$F556&gt;=600,Data!$F556&lt;=625),((Data!$F556/Data!$D556)*60)*1.2,AND(Data!$F556&gt;=626,Data!$F556&lt;=650),((Data!$F556/Data!$D556)*60)*1.5,Data!$F556&gt;=651,((Data!$F556/Data!$D556)*60)*1.8)</f>
        <v>1006.0714285714287</v>
      </c>
      <c r="AU556" s="29">
        <f>(Data!$I556*-1.2)+(Data!$J556*-1.1)+(Data!$K556*1.2)+(Data!$L556*1.3)+(Data!$M556*1.5)</f>
        <v>3.8000000000000007</v>
      </c>
      <c r="AV556" s="29">
        <f>(Data!$AS556*0.4)+(Data!$AT556*0.4)+(Data!$AU556*0.2)</f>
        <v>414.76000000000005</v>
      </c>
      <c r="AW556" s="34">
        <f>PERCENTRANK(AV:AV,Data!$AV556)*100</f>
        <v>59.4</v>
      </c>
      <c r="AX556" s="29" t="str">
        <f>_xlfn.CONCAT(TEXT(C556,"mmm"),"-",Data!$AE556)</f>
        <v>Nov-2023</v>
      </c>
    </row>
    <row r="557" spans="1:50" ht="17" thickTop="1" thickBot="1" x14ac:dyDescent="0.25">
      <c r="A557" s="22">
        <v>556</v>
      </c>
      <c r="B557" s="23">
        <f t="shared" si="66"/>
        <v>15</v>
      </c>
      <c r="C557" s="41">
        <v>45251</v>
      </c>
      <c r="D557" s="24">
        <f>SUM(Data!$I557:$M557)</f>
        <v>60</v>
      </c>
      <c r="E557" s="23">
        <v>17</v>
      </c>
      <c r="F557" s="23">
        <v>670</v>
      </c>
      <c r="G557" s="23">
        <v>165</v>
      </c>
      <c r="H557" s="23">
        <v>128</v>
      </c>
      <c r="I557" s="23">
        <v>13</v>
      </c>
      <c r="J557" s="23">
        <v>16</v>
      </c>
      <c r="K557" s="23">
        <v>14</v>
      </c>
      <c r="L557" s="23">
        <v>15</v>
      </c>
      <c r="M557" s="23">
        <v>2</v>
      </c>
      <c r="N557" s="23" t="s">
        <v>194</v>
      </c>
      <c r="O557" s="23" t="s">
        <v>113</v>
      </c>
      <c r="P557" s="23" t="s">
        <v>195</v>
      </c>
      <c r="Q557" s="23">
        <f t="shared" si="72"/>
        <v>2</v>
      </c>
      <c r="R557" s="23" t="str">
        <f t="shared" si="67"/>
        <v>11-2023</v>
      </c>
      <c r="S557" s="23" t="s">
        <v>104</v>
      </c>
      <c r="T557" s="23" t="str">
        <f t="shared" si="68"/>
        <v>Tuesday</v>
      </c>
      <c r="U557" s="23">
        <f t="shared" si="69"/>
        <v>1</v>
      </c>
      <c r="V557" s="25">
        <f>IFERROR(Data!$I557/Data!$D557,"")</f>
        <v>0.21666666666666667</v>
      </c>
      <c r="W557" s="25">
        <f>IFERROR(Data!$J557/Data!$D557,"")</f>
        <v>0.26666666666666666</v>
      </c>
      <c r="X557" s="25">
        <f>IFERROR(Data!$K557/Data!$D557,"")</f>
        <v>0.23333333333333334</v>
      </c>
      <c r="Y557" s="25">
        <f>IFERROR(Data!$L557/Data!$D557,"")</f>
        <v>0.25</v>
      </c>
      <c r="Z557" s="25">
        <f>IFERROR(Data!$M557/Data!$D557,"")</f>
        <v>3.3333333333333333E-2</v>
      </c>
      <c r="AA557" s="26">
        <v>232.14</v>
      </c>
      <c r="AB557" s="26">
        <f t="shared" si="73"/>
        <v>15.475999999999999</v>
      </c>
      <c r="AC557" s="23">
        <f t="shared" si="70"/>
        <v>623.20000000000005</v>
      </c>
      <c r="AD557" s="23">
        <f t="shared" si="71"/>
        <v>14.066666666666666</v>
      </c>
      <c r="AE557" s="23">
        <f>YEAR(Data!$C557)</f>
        <v>2023</v>
      </c>
      <c r="AF557" s="23"/>
      <c r="AG557" s="23">
        <v>12</v>
      </c>
      <c r="AH557" s="27">
        <f>Data!$F557/Data!$D557</f>
        <v>11.166666666666666</v>
      </c>
      <c r="AI557" s="17" t="str">
        <f>RIGHT(Data!$O557,2)</f>
        <v>AM</v>
      </c>
      <c r="AJ557" s="23" t="str">
        <f>Data!$R557&amp;"-"&amp;WEEKNUM(Data!$C557,1)-WEEKNUM(DATE(YEAR(Data!$C557),MONTH(Data!$C557),1),1)+1</f>
        <v>11-2023-4</v>
      </c>
      <c r="AK557" s="23">
        <f>MONTH(Data!$C557)</f>
        <v>11</v>
      </c>
      <c r="AL557" s="23">
        <f>IFERROR(Data!$F557/Data!$E557,0)</f>
        <v>39.411764705882355</v>
      </c>
      <c r="AM557" s="23">
        <f>COUNTIF(Data!$N$2:$N$825,Data!$N557)</f>
        <v>2</v>
      </c>
      <c r="AN557" s="23" t="str">
        <f>VLOOKUP(Data!$N557,'Helpful Tables'!A:D,4,FALSE)</f>
        <v>Massachusetts</v>
      </c>
      <c r="AO557" s="23">
        <f>COUNTIF(AN:AN,Data!$AN557)/COUNTA(AN:AN)</f>
        <v>1.9393939393939394E-2</v>
      </c>
      <c r="AP557" s="23">
        <v>42.366121999999997</v>
      </c>
      <c r="AQ557" s="23">
        <v>-71.082223999999997</v>
      </c>
      <c r="AR557" s="23">
        <f>COUNTIF(Data!$P$2:$P$825,Data!$P557)</f>
        <v>2</v>
      </c>
      <c r="AS557" s="23" cm="1">
        <f t="array" ref="AS557">_xlfn.IFS(Data!$E557&lt;12,((Data!$E557/Data!$D557)*60)*1,AND(Data!$E557&gt;=12,Data!$E557&lt;=15),((Data!$E557/Data!$D557)*60)*1.2,AND(Data!$E557&gt;=16,Data!$E557&lt;=19),((Data!$E557/Data!$D557)*60)*1.5,Data!$E557&gt;=20,((Data!$E557/Data!$D557)*60)*1.8)</f>
        <v>25.5</v>
      </c>
      <c r="AT557" s="23" cm="1">
        <f t="array" ref="AT557">_xlfn.IFS(Data!$F557&lt;600,((Data!$F557/Data!$D557)*60)*1,AND(Data!$F557&gt;=600,Data!$F557&lt;=625),((Data!$F557/Data!$D557)*60)*1.2,AND(Data!$F557&gt;=626,Data!$F557&lt;=650),((Data!$F557/Data!$D557)*60)*1.5,Data!$F557&gt;=651,((Data!$F557/Data!$D557)*60)*1.8)</f>
        <v>1206</v>
      </c>
      <c r="AU557" s="23">
        <f>(Data!$I557*-1.2)+(Data!$J557*-1.1)+(Data!$K557*1.2)+(Data!$L557*1.3)+(Data!$M557*1.5)</f>
        <v>6.0999999999999979</v>
      </c>
      <c r="AV557" s="23">
        <f>(Data!$AS557*0.4)+(Data!$AT557*0.4)+(Data!$AU557*0.2)</f>
        <v>493.82000000000005</v>
      </c>
      <c r="AW557" s="35">
        <f>PERCENTRANK(AV:AV,Data!$AV557)*100</f>
        <v>73.900000000000006</v>
      </c>
      <c r="AX557" s="23" t="str">
        <f>_xlfn.CONCAT(TEXT(C557,"mmm"),"-",Data!$AE557)</f>
        <v>Nov-2023</v>
      </c>
    </row>
    <row r="558" spans="1:50" ht="17" thickTop="1" thickBot="1" x14ac:dyDescent="0.25">
      <c r="A558" s="28">
        <v>557</v>
      </c>
      <c r="B558" s="29">
        <f t="shared" si="66"/>
        <v>15</v>
      </c>
      <c r="C558" s="41">
        <v>45253</v>
      </c>
      <c r="D558" s="30">
        <f>SUM(Data!$I558:$M558)</f>
        <v>58</v>
      </c>
      <c r="E558" s="29">
        <v>6</v>
      </c>
      <c r="F558" s="29">
        <v>581</v>
      </c>
      <c r="G558" s="29">
        <v>160</v>
      </c>
      <c r="H558" s="29">
        <v>120</v>
      </c>
      <c r="I558" s="29">
        <v>17</v>
      </c>
      <c r="J558" s="29">
        <v>18</v>
      </c>
      <c r="K558" s="29">
        <v>17</v>
      </c>
      <c r="L558" s="29">
        <v>6</v>
      </c>
      <c r="M558" s="29">
        <v>0</v>
      </c>
      <c r="N558" s="29" t="s">
        <v>194</v>
      </c>
      <c r="O558" s="29" t="s">
        <v>113</v>
      </c>
      <c r="P558" s="29" t="s">
        <v>196</v>
      </c>
      <c r="Q558" s="29">
        <f t="shared" si="72"/>
        <v>2</v>
      </c>
      <c r="R558" s="29" t="str">
        <f t="shared" si="67"/>
        <v>11-2023</v>
      </c>
      <c r="S558" s="29" t="s">
        <v>104</v>
      </c>
      <c r="T558" s="29" t="str">
        <f t="shared" si="68"/>
        <v>Thursday</v>
      </c>
      <c r="U558" s="29">
        <f t="shared" si="69"/>
        <v>0</v>
      </c>
      <c r="V558" s="31">
        <f>IFERROR(Data!$I558/Data!$D558,"")</f>
        <v>0.29310344827586204</v>
      </c>
      <c r="W558" s="31">
        <f>IFERROR(Data!$J558/Data!$D558,"")</f>
        <v>0.31034482758620691</v>
      </c>
      <c r="X558" s="31">
        <f>IFERROR(Data!$K558/Data!$D558,"")</f>
        <v>0.29310344827586204</v>
      </c>
      <c r="Y558" s="31">
        <f>IFERROR(Data!$L558/Data!$D558,"")</f>
        <v>0.10344827586206896</v>
      </c>
      <c r="Z558" s="31">
        <f>IFERROR(Data!$M558/Data!$D558,"")</f>
        <v>0</v>
      </c>
      <c r="AA558" s="32">
        <v>232.14</v>
      </c>
      <c r="AB558" s="32">
        <f t="shared" si="73"/>
        <v>15.475999999999999</v>
      </c>
      <c r="AC558" s="29">
        <f t="shared" si="70"/>
        <v>623.20000000000005</v>
      </c>
      <c r="AD558" s="29">
        <f t="shared" si="71"/>
        <v>14.066666666666666</v>
      </c>
      <c r="AE558" s="29">
        <f>YEAR(Data!$C558)</f>
        <v>2023</v>
      </c>
      <c r="AF558" s="29"/>
      <c r="AG558" s="29">
        <v>12</v>
      </c>
      <c r="AH558" s="33">
        <f>Data!$F558/Data!$D558</f>
        <v>10.017241379310345</v>
      </c>
      <c r="AI558" s="17" t="str">
        <f>RIGHT(Data!$O558,2)</f>
        <v>AM</v>
      </c>
      <c r="AJ558" s="29" t="str">
        <f>Data!$R558&amp;"-"&amp;WEEKNUM(Data!$C558,1)-WEEKNUM(DATE(YEAR(Data!$C558),MONTH(Data!$C558),1),1)+1</f>
        <v>11-2023-4</v>
      </c>
      <c r="AK558" s="29">
        <f>MONTH(Data!$C558)</f>
        <v>11</v>
      </c>
      <c r="AL558" s="29">
        <f>IFERROR(Data!$F558/Data!$E558,0)</f>
        <v>96.833333333333329</v>
      </c>
      <c r="AM558" s="29">
        <f>COUNTIF(Data!$N$2:$N$825,Data!$N558)</f>
        <v>2</v>
      </c>
      <c r="AN558" s="29" t="str">
        <f>VLOOKUP(Data!$N558,'Helpful Tables'!A:D,4,FALSE)</f>
        <v>Massachusetts</v>
      </c>
      <c r="AO558" s="29">
        <f>COUNTIF(AN:AN,Data!$AN558)/COUNTA(AN:AN)</f>
        <v>1.9393939393939394E-2</v>
      </c>
      <c r="AP558" s="29">
        <v>42.366121999999997</v>
      </c>
      <c r="AQ558" s="29">
        <v>-71.082223999999997</v>
      </c>
      <c r="AR558" s="29">
        <f>COUNTIF(Data!$P$2:$P$825,Data!$P558)</f>
        <v>1</v>
      </c>
      <c r="AS558" s="29" cm="1">
        <f t="array" ref="AS558">_xlfn.IFS(Data!$E558&lt;12,((Data!$E558/Data!$D558)*60)*1,AND(Data!$E558&gt;=12,Data!$E558&lt;=15),((Data!$E558/Data!$D558)*60)*1.2,AND(Data!$E558&gt;=16,Data!$E558&lt;=19),((Data!$E558/Data!$D558)*60)*1.5,Data!$E558&gt;=20,((Data!$E558/Data!$D558)*60)*1.8)</f>
        <v>6.2068965517241379</v>
      </c>
      <c r="AT558" s="29" cm="1">
        <f t="array" ref="AT558">_xlfn.IFS(Data!$F558&lt;600,((Data!$F558/Data!$D558)*60)*1,AND(Data!$F558&gt;=600,Data!$F558&lt;=625),((Data!$F558/Data!$D558)*60)*1.2,AND(Data!$F558&gt;=626,Data!$F558&lt;=650),((Data!$F558/Data!$D558)*60)*1.5,Data!$F558&gt;=651,((Data!$F558/Data!$D558)*60)*1.8)</f>
        <v>601.0344827586207</v>
      </c>
      <c r="AU558" s="29">
        <f>(Data!$I558*-1.2)+(Data!$J558*-1.1)+(Data!$K558*1.2)+(Data!$L558*1.3)+(Data!$M558*1.5)</f>
        <v>-12.000000000000004</v>
      </c>
      <c r="AV558" s="29">
        <f>(Data!$AS558*0.4)+(Data!$AT558*0.4)+(Data!$AU558*0.2)</f>
        <v>240.49655172413793</v>
      </c>
      <c r="AW558" s="34">
        <f>PERCENTRANK(AV:AV,Data!$AV558)*100</f>
        <v>12.4</v>
      </c>
      <c r="AX558" s="29" t="str">
        <f>_xlfn.CONCAT(TEXT(C558,"mmm"),"-",Data!$AE558)</f>
        <v>Nov-2023</v>
      </c>
    </row>
    <row r="559" spans="1:50" ht="17" thickTop="1" thickBot="1" x14ac:dyDescent="0.25">
      <c r="A559" s="22">
        <v>558</v>
      </c>
      <c r="B559" s="23">
        <f t="shared" si="66"/>
        <v>15</v>
      </c>
      <c r="C559" s="41">
        <v>45256</v>
      </c>
      <c r="D559" s="24">
        <f>SUM(Data!$I559:$M559)</f>
        <v>55</v>
      </c>
      <c r="E559" s="23">
        <v>7</v>
      </c>
      <c r="F559" s="23">
        <v>507</v>
      </c>
      <c r="G559" s="23">
        <v>161</v>
      </c>
      <c r="H559" s="23">
        <v>116</v>
      </c>
      <c r="I559" s="23">
        <v>20</v>
      </c>
      <c r="J559" s="23">
        <v>20</v>
      </c>
      <c r="K559" s="23">
        <v>8</v>
      </c>
      <c r="L559" s="23">
        <v>7</v>
      </c>
      <c r="M559" s="23">
        <v>0</v>
      </c>
      <c r="N559" s="23" t="s">
        <v>91</v>
      </c>
      <c r="O559" s="23" t="s">
        <v>79</v>
      </c>
      <c r="P559" s="23" t="s">
        <v>100</v>
      </c>
      <c r="Q559" s="23">
        <f t="shared" si="72"/>
        <v>3</v>
      </c>
      <c r="R559" s="23" t="str">
        <f t="shared" si="67"/>
        <v>11-2023</v>
      </c>
      <c r="S559" s="23" t="s">
        <v>145</v>
      </c>
      <c r="T559" s="23" t="str">
        <f t="shared" si="68"/>
        <v>Sunday</v>
      </c>
      <c r="U559" s="23">
        <f t="shared" si="69"/>
        <v>0</v>
      </c>
      <c r="V559" s="25">
        <f>IFERROR(Data!$I559/Data!$D559,"")</f>
        <v>0.36363636363636365</v>
      </c>
      <c r="W559" s="25">
        <f>IFERROR(Data!$J559/Data!$D559,"")</f>
        <v>0.36363636363636365</v>
      </c>
      <c r="X559" s="25">
        <f>IFERROR(Data!$K559/Data!$D559,"")</f>
        <v>0.14545454545454545</v>
      </c>
      <c r="Y559" s="25">
        <f>IFERROR(Data!$L559/Data!$D559,"")</f>
        <v>0.12727272727272726</v>
      </c>
      <c r="Z559" s="25">
        <f>IFERROR(Data!$M559/Data!$D559,"")</f>
        <v>0</v>
      </c>
      <c r="AA559" s="26">
        <v>232.14</v>
      </c>
      <c r="AB559" s="26">
        <f t="shared" si="73"/>
        <v>15.475999999999999</v>
      </c>
      <c r="AC559" s="23">
        <f t="shared" si="70"/>
        <v>623.20000000000005</v>
      </c>
      <c r="AD559" s="23">
        <f t="shared" si="71"/>
        <v>14.066666666666666</v>
      </c>
      <c r="AE559" s="23">
        <f>YEAR(Data!$C559)</f>
        <v>2023</v>
      </c>
      <c r="AF559" s="23"/>
      <c r="AG559" s="23">
        <v>12</v>
      </c>
      <c r="AH559" s="27">
        <f>Data!$F559/Data!$D559</f>
        <v>9.2181818181818187</v>
      </c>
      <c r="AI559" s="17" t="str">
        <f>RIGHT(Data!$O559,2)</f>
        <v>AM</v>
      </c>
      <c r="AJ559" s="23" t="str">
        <f>Data!$R559&amp;"-"&amp;WEEKNUM(Data!$C559,1)-WEEKNUM(DATE(YEAR(Data!$C559),MONTH(Data!$C559),1),1)+1</f>
        <v>11-2023-5</v>
      </c>
      <c r="AK559" s="23">
        <f>MONTH(Data!$C559)</f>
        <v>11</v>
      </c>
      <c r="AL559" s="23">
        <f>IFERROR(Data!$F559/Data!$E559,0)</f>
        <v>72.428571428571431</v>
      </c>
      <c r="AM559" s="23">
        <f>COUNTIF(Data!$N$2:$N$825,Data!$N559)</f>
        <v>218</v>
      </c>
      <c r="AN559" s="23" t="str">
        <f>VLOOKUP(Data!$N559,'Helpful Tables'!A:D,4,FALSE)</f>
        <v>Washington, DC</v>
      </c>
      <c r="AO559" s="23">
        <f>COUNTIF(AN:AN,Data!$AN559)/COUNTA(AN:AN)</f>
        <v>0.62424242424242427</v>
      </c>
      <c r="AP559" s="23">
        <v>38.934710000000003</v>
      </c>
      <c r="AQ559" s="23">
        <v>-77.058222999999998</v>
      </c>
      <c r="AR559" s="23">
        <f>COUNTIF(Data!$P$2:$P$825,Data!$P559)</f>
        <v>35</v>
      </c>
      <c r="AS559" s="23" cm="1">
        <f t="array" ref="AS559">_xlfn.IFS(Data!$E559&lt;12,((Data!$E559/Data!$D559)*60)*1,AND(Data!$E559&gt;=12,Data!$E559&lt;=15),((Data!$E559/Data!$D559)*60)*1.2,AND(Data!$E559&gt;=16,Data!$E559&lt;=19),((Data!$E559/Data!$D559)*60)*1.5,Data!$E559&gt;=20,((Data!$E559/Data!$D559)*60)*1.8)</f>
        <v>7.6363636363636358</v>
      </c>
      <c r="AT559" s="23" cm="1">
        <f t="array" ref="AT559">_xlfn.IFS(Data!$F559&lt;600,((Data!$F559/Data!$D559)*60)*1,AND(Data!$F559&gt;=600,Data!$F559&lt;=625),((Data!$F559/Data!$D559)*60)*1.2,AND(Data!$F559&gt;=626,Data!$F559&lt;=650),((Data!$F559/Data!$D559)*60)*1.5,Data!$F559&gt;=651,((Data!$F559/Data!$D559)*60)*1.8)</f>
        <v>553.09090909090912</v>
      </c>
      <c r="AU559" s="23">
        <f>(Data!$I559*-1.2)+(Data!$J559*-1.1)+(Data!$K559*1.2)+(Data!$L559*1.3)+(Data!$M559*1.5)</f>
        <v>-27.299999999999997</v>
      </c>
      <c r="AV559" s="23">
        <f>(Data!$AS559*0.4)+(Data!$AT559*0.4)+(Data!$AU559*0.2)</f>
        <v>218.8309090909091</v>
      </c>
      <c r="AW559" s="35">
        <f>PERCENTRANK(AV:AV,Data!$AV559)*100</f>
        <v>3.4000000000000004</v>
      </c>
      <c r="AX559" s="23" t="str">
        <f>_xlfn.CONCAT(TEXT(C559,"mmm"),"-",Data!$AE559)</f>
        <v>Nov-2023</v>
      </c>
    </row>
    <row r="560" spans="1:50" ht="17" thickTop="1" thickBot="1" x14ac:dyDescent="0.25">
      <c r="A560" s="28">
        <v>559</v>
      </c>
      <c r="B560" s="29">
        <f t="shared" si="66"/>
        <v>15</v>
      </c>
      <c r="C560" s="41">
        <v>45258</v>
      </c>
      <c r="D560" s="30">
        <f>SUM(Data!$I560:$M560)</f>
        <v>57</v>
      </c>
      <c r="E560" s="29">
        <v>17</v>
      </c>
      <c r="F560" s="29">
        <v>616</v>
      </c>
      <c r="G560" s="29">
        <v>167</v>
      </c>
      <c r="H560" s="29">
        <v>125</v>
      </c>
      <c r="I560" s="29">
        <v>20</v>
      </c>
      <c r="J560" s="29">
        <v>3</v>
      </c>
      <c r="K560" s="29">
        <v>17</v>
      </c>
      <c r="L560" s="29">
        <v>15</v>
      </c>
      <c r="M560" s="29">
        <v>2</v>
      </c>
      <c r="N560" s="29" t="s">
        <v>101</v>
      </c>
      <c r="O560" s="29" t="s">
        <v>173</v>
      </c>
      <c r="P560" s="29" t="s">
        <v>109</v>
      </c>
      <c r="Q560" s="29">
        <f t="shared" si="72"/>
        <v>2</v>
      </c>
      <c r="R560" s="29" t="str">
        <f t="shared" si="67"/>
        <v>11-2023</v>
      </c>
      <c r="S560" s="29" t="s">
        <v>104</v>
      </c>
      <c r="T560" s="29" t="str">
        <f t="shared" si="68"/>
        <v>Tuesday</v>
      </c>
      <c r="U560" s="29">
        <f t="shared" si="69"/>
        <v>1</v>
      </c>
      <c r="V560" s="31">
        <f>IFERROR(Data!$I560/Data!$D560,"")</f>
        <v>0.35087719298245612</v>
      </c>
      <c r="W560" s="31">
        <f>IFERROR(Data!$J560/Data!$D560,"")</f>
        <v>5.2631578947368418E-2</v>
      </c>
      <c r="X560" s="31">
        <f>IFERROR(Data!$K560/Data!$D560,"")</f>
        <v>0.2982456140350877</v>
      </c>
      <c r="Y560" s="31">
        <f>IFERROR(Data!$L560/Data!$D560,"")</f>
        <v>0.26315789473684209</v>
      </c>
      <c r="Z560" s="31">
        <f>IFERROR(Data!$M560/Data!$D560,"")</f>
        <v>3.5087719298245612E-2</v>
      </c>
      <c r="AA560" s="32">
        <v>232.14</v>
      </c>
      <c r="AB560" s="32">
        <f t="shared" si="73"/>
        <v>15.475999999999999</v>
      </c>
      <c r="AC560" s="29">
        <f t="shared" si="70"/>
        <v>623.20000000000005</v>
      </c>
      <c r="AD560" s="29">
        <f t="shared" si="71"/>
        <v>14.066666666666666</v>
      </c>
      <c r="AE560" s="29">
        <f>YEAR(Data!$C560)</f>
        <v>2023</v>
      </c>
      <c r="AF560" s="29"/>
      <c r="AG560" s="29">
        <v>12</v>
      </c>
      <c r="AH560" s="33">
        <f>Data!$F560/Data!$D560</f>
        <v>10.807017543859649</v>
      </c>
      <c r="AI560" s="17" t="str">
        <f>RIGHT(Data!$O560,2)</f>
        <v>PM</v>
      </c>
      <c r="AJ560" s="29" t="str">
        <f>Data!$R560&amp;"-"&amp;WEEKNUM(Data!$C560,1)-WEEKNUM(DATE(YEAR(Data!$C560),MONTH(Data!$C560),1),1)+1</f>
        <v>11-2023-5</v>
      </c>
      <c r="AK560" s="29">
        <f>MONTH(Data!$C560)</f>
        <v>11</v>
      </c>
      <c r="AL560" s="29">
        <f>IFERROR(Data!$F560/Data!$E560,0)</f>
        <v>36.235294117647058</v>
      </c>
      <c r="AM560" s="29">
        <f>COUNTIF(Data!$N$2:$N$825,Data!$N560)</f>
        <v>191</v>
      </c>
      <c r="AN560" s="29" t="str">
        <f>VLOOKUP(Data!$N560,'Helpful Tables'!A:D,4,FALSE)</f>
        <v>Washington, DC</v>
      </c>
      <c r="AO560" s="29">
        <f>COUNTIF(AN:AN,Data!$AN560)/COUNTA(AN:AN)</f>
        <v>0.62424242424242427</v>
      </c>
      <c r="AP560" s="29">
        <v>38.949649000000001</v>
      </c>
      <c r="AQ560" s="29">
        <v>-77.080878999999996</v>
      </c>
      <c r="AR560" s="29">
        <f>COUNTIF(Data!$P$2:$P$825,Data!$P560)</f>
        <v>66</v>
      </c>
      <c r="AS560" s="29" cm="1">
        <f t="array" ref="AS560">_xlfn.IFS(Data!$E560&lt;12,((Data!$E560/Data!$D560)*60)*1,AND(Data!$E560&gt;=12,Data!$E560&lt;=15),((Data!$E560/Data!$D560)*60)*1.2,AND(Data!$E560&gt;=16,Data!$E560&lt;=19),((Data!$E560/Data!$D560)*60)*1.5,Data!$E560&gt;=20,((Data!$E560/Data!$D560)*60)*1.8)</f>
        <v>26.842105263157897</v>
      </c>
      <c r="AT560" s="29" cm="1">
        <f t="array" ref="AT560">_xlfn.IFS(Data!$F560&lt;600,((Data!$F560/Data!$D560)*60)*1,AND(Data!$F560&gt;=600,Data!$F560&lt;=625),((Data!$F560/Data!$D560)*60)*1.2,AND(Data!$F560&gt;=626,Data!$F560&lt;=650),((Data!$F560/Data!$D560)*60)*1.5,Data!$F560&gt;=651,((Data!$F560/Data!$D560)*60)*1.8)</f>
        <v>778.10526315789468</v>
      </c>
      <c r="AU560" s="29">
        <f>(Data!$I560*-1.2)+(Data!$J560*-1.1)+(Data!$K560*1.2)+(Data!$L560*1.3)+(Data!$M560*1.5)</f>
        <v>15.599999999999998</v>
      </c>
      <c r="AV560" s="29">
        <f>(Data!$AS560*0.4)+(Data!$AT560*0.4)+(Data!$AU560*0.2)</f>
        <v>325.09894736842108</v>
      </c>
      <c r="AW560" s="34">
        <f>PERCENTRANK(AV:AV,Data!$AV560)*100</f>
        <v>39.700000000000003</v>
      </c>
      <c r="AX560" s="29" t="str">
        <f>_xlfn.CONCAT(TEXT(C560,"mmm"),"-",Data!$AE560)</f>
        <v>Nov-2023</v>
      </c>
    </row>
    <row r="561" spans="1:50" ht="17" thickTop="1" thickBot="1" x14ac:dyDescent="0.25">
      <c r="A561" s="22">
        <v>560</v>
      </c>
      <c r="B561" s="23">
        <f t="shared" si="66"/>
        <v>15</v>
      </c>
      <c r="C561" s="41">
        <v>45259</v>
      </c>
      <c r="D561" s="24">
        <f>SUM(Data!$I561:$M561)</f>
        <v>58</v>
      </c>
      <c r="E561" s="23">
        <v>21</v>
      </c>
      <c r="F561" s="23">
        <v>680</v>
      </c>
      <c r="G561" s="23">
        <v>170</v>
      </c>
      <c r="H561" s="23">
        <v>131</v>
      </c>
      <c r="I561" s="23">
        <v>11</v>
      </c>
      <c r="J561" s="23">
        <v>15</v>
      </c>
      <c r="K561" s="23">
        <v>11</v>
      </c>
      <c r="L561" s="23">
        <v>18</v>
      </c>
      <c r="M561" s="23">
        <v>3</v>
      </c>
      <c r="N561" s="23" t="s">
        <v>91</v>
      </c>
      <c r="O561" s="23" t="s">
        <v>57</v>
      </c>
      <c r="P561" s="23" t="s">
        <v>96</v>
      </c>
      <c r="Q561" s="23">
        <f t="shared" si="72"/>
        <v>1</v>
      </c>
      <c r="R561" s="23" t="str">
        <f t="shared" si="67"/>
        <v>11-2023</v>
      </c>
      <c r="S561" s="23" t="s">
        <v>104</v>
      </c>
      <c r="T561" s="23" t="str">
        <f t="shared" si="68"/>
        <v>Wednesday</v>
      </c>
      <c r="U561" s="23">
        <f t="shared" si="69"/>
        <v>1</v>
      </c>
      <c r="V561" s="25">
        <f>IFERROR(Data!$I561/Data!$D561,"")</f>
        <v>0.18965517241379309</v>
      </c>
      <c r="W561" s="25">
        <f>IFERROR(Data!$J561/Data!$D561,"")</f>
        <v>0.25862068965517243</v>
      </c>
      <c r="X561" s="25">
        <f>IFERROR(Data!$K561/Data!$D561,"")</f>
        <v>0.18965517241379309</v>
      </c>
      <c r="Y561" s="25">
        <f>IFERROR(Data!$L561/Data!$D561,"")</f>
        <v>0.31034482758620691</v>
      </c>
      <c r="Z561" s="25">
        <f>IFERROR(Data!$M561/Data!$D561,"")</f>
        <v>5.1724137931034482E-2</v>
      </c>
      <c r="AA561" s="26">
        <v>232.14</v>
      </c>
      <c r="AB561" s="26">
        <f t="shared" si="73"/>
        <v>15.475999999999999</v>
      </c>
      <c r="AC561" s="23">
        <f t="shared" si="70"/>
        <v>623.20000000000005</v>
      </c>
      <c r="AD561" s="23">
        <f t="shared" si="71"/>
        <v>14.066666666666666</v>
      </c>
      <c r="AE561" s="23">
        <f>YEAR(Data!$C561)</f>
        <v>2023</v>
      </c>
      <c r="AF561" s="23"/>
      <c r="AG561" s="23">
        <v>12</v>
      </c>
      <c r="AH561" s="27">
        <f>Data!$F561/Data!$D561</f>
        <v>11.724137931034482</v>
      </c>
      <c r="AI561" s="17" t="str">
        <f>RIGHT(Data!$O561,2)</f>
        <v>PM</v>
      </c>
      <c r="AJ561" s="23" t="str">
        <f>Data!$R561&amp;"-"&amp;WEEKNUM(Data!$C561,1)-WEEKNUM(DATE(YEAR(Data!$C561),MONTH(Data!$C561),1),1)+1</f>
        <v>11-2023-5</v>
      </c>
      <c r="AK561" s="23">
        <f>MONTH(Data!$C561)</f>
        <v>11</v>
      </c>
      <c r="AL561" s="23">
        <f>IFERROR(Data!$F561/Data!$E561,0)</f>
        <v>32.38095238095238</v>
      </c>
      <c r="AM561" s="23">
        <f>COUNTIF(Data!$N$2:$N$825,Data!$N561)</f>
        <v>218</v>
      </c>
      <c r="AN561" s="23" t="str">
        <f>VLOOKUP(Data!$N561,'Helpful Tables'!A:D,4,FALSE)</f>
        <v>Washington, DC</v>
      </c>
      <c r="AO561" s="23">
        <f>COUNTIF(AN:AN,Data!$AN561)/COUNTA(AN:AN)</f>
        <v>0.62424242424242427</v>
      </c>
      <c r="AP561" s="23">
        <v>38.934710000000003</v>
      </c>
      <c r="AQ561" s="23">
        <v>-77.058222999999998</v>
      </c>
      <c r="AR561" s="23">
        <f>COUNTIF(Data!$P$2:$P$825,Data!$P561)</f>
        <v>71</v>
      </c>
      <c r="AS561" s="23" cm="1">
        <f t="array" ref="AS561">_xlfn.IFS(Data!$E561&lt;12,((Data!$E561/Data!$D561)*60)*1,AND(Data!$E561&gt;=12,Data!$E561&lt;=15),((Data!$E561/Data!$D561)*60)*1.2,AND(Data!$E561&gt;=16,Data!$E561&lt;=19),((Data!$E561/Data!$D561)*60)*1.5,Data!$E561&gt;=20,((Data!$E561/Data!$D561)*60)*1.8)</f>
        <v>39.103448275862071</v>
      </c>
      <c r="AT561" s="23" cm="1">
        <f t="array" ref="AT561">_xlfn.IFS(Data!$F561&lt;600,((Data!$F561/Data!$D561)*60)*1,AND(Data!$F561&gt;=600,Data!$F561&lt;=625),((Data!$F561/Data!$D561)*60)*1.2,AND(Data!$F561&gt;=626,Data!$F561&lt;=650),((Data!$F561/Data!$D561)*60)*1.5,Data!$F561&gt;=651,((Data!$F561/Data!$D561)*60)*1.8)</f>
        <v>1266.2068965517242</v>
      </c>
      <c r="AU561" s="23">
        <f>(Data!$I561*-1.2)+(Data!$J561*-1.1)+(Data!$K561*1.2)+(Data!$L561*1.3)+(Data!$M561*1.5)</f>
        <v>11.400000000000002</v>
      </c>
      <c r="AV561" s="23">
        <f>(Data!$AS561*0.4)+(Data!$AT561*0.4)+(Data!$AU561*0.2)</f>
        <v>524.40413793103448</v>
      </c>
      <c r="AW561" s="35">
        <f>PERCENTRANK(AV:AV,Data!$AV561)*100</f>
        <v>91.9</v>
      </c>
      <c r="AX561" s="23" t="str">
        <f>_xlfn.CONCAT(TEXT(C561,"mmm"),"-",Data!$AE561)</f>
        <v>Nov-2023</v>
      </c>
    </row>
    <row r="562" spans="1:50" ht="17" thickTop="1" thickBot="1" x14ac:dyDescent="0.25">
      <c r="A562" s="28">
        <v>561</v>
      </c>
      <c r="B562" s="29">
        <f t="shared" si="66"/>
        <v>12</v>
      </c>
      <c r="C562" s="41">
        <v>45262</v>
      </c>
      <c r="D562" s="30">
        <f>SUM(Data!$I562:$M562)</f>
        <v>58</v>
      </c>
      <c r="E562" s="29">
        <v>24</v>
      </c>
      <c r="F562" s="29">
        <v>748</v>
      </c>
      <c r="G562" s="29">
        <v>171</v>
      </c>
      <c r="H562" s="29">
        <v>139</v>
      </c>
      <c r="I562" s="29">
        <v>3</v>
      </c>
      <c r="J562" s="29">
        <v>12</v>
      </c>
      <c r="K562" s="29">
        <v>19</v>
      </c>
      <c r="L562" s="29">
        <v>17</v>
      </c>
      <c r="M562" s="29">
        <v>7</v>
      </c>
      <c r="N562" s="29" t="s">
        <v>101</v>
      </c>
      <c r="O562" s="29" t="s">
        <v>192</v>
      </c>
      <c r="P562" s="29" t="s">
        <v>148</v>
      </c>
      <c r="Q562" s="29">
        <f t="shared" si="72"/>
        <v>3</v>
      </c>
      <c r="R562" s="29" t="str">
        <f t="shared" si="67"/>
        <v>12-2023</v>
      </c>
      <c r="S562" s="29" t="s">
        <v>104</v>
      </c>
      <c r="T562" s="29" t="str">
        <f t="shared" si="68"/>
        <v>Saturday</v>
      </c>
      <c r="U562" s="29">
        <f t="shared" si="69"/>
        <v>1</v>
      </c>
      <c r="V562" s="31">
        <f>IFERROR(Data!$I562/Data!$D562,"")</f>
        <v>5.1724137931034482E-2</v>
      </c>
      <c r="W562" s="31">
        <f>IFERROR(Data!$J562/Data!$D562,"")</f>
        <v>0.20689655172413793</v>
      </c>
      <c r="X562" s="31">
        <f>IFERROR(Data!$K562/Data!$D562,"")</f>
        <v>0.32758620689655171</v>
      </c>
      <c r="Y562" s="31">
        <f>IFERROR(Data!$L562/Data!$D562,"")</f>
        <v>0.29310344827586204</v>
      </c>
      <c r="Z562" s="31">
        <f>IFERROR(Data!$M562/Data!$D562,"")</f>
        <v>0.1206896551724138</v>
      </c>
      <c r="AA562" s="32">
        <v>232.14</v>
      </c>
      <c r="AB562" s="32">
        <f t="shared" si="73"/>
        <v>19.344999999999999</v>
      </c>
      <c r="AC562" s="29">
        <f t="shared" si="70"/>
        <v>649.58333333333337</v>
      </c>
      <c r="AD562" s="29">
        <f t="shared" si="71"/>
        <v>15.25</v>
      </c>
      <c r="AE562" s="29">
        <f>YEAR(Data!$C562)</f>
        <v>2023</v>
      </c>
      <c r="AF562" s="29"/>
      <c r="AG562" s="29">
        <v>12</v>
      </c>
      <c r="AH562" s="33">
        <f>Data!$F562/Data!$D562</f>
        <v>12.896551724137931</v>
      </c>
      <c r="AI562" s="17" t="str">
        <f>RIGHT(Data!$O562,2)</f>
        <v>PM</v>
      </c>
      <c r="AJ562" s="29" t="str">
        <f>Data!$R562&amp;"-"&amp;WEEKNUM(Data!$C562,1)-WEEKNUM(DATE(YEAR(Data!$C562),MONTH(Data!$C562),1),1)+1</f>
        <v>12-2023-1</v>
      </c>
      <c r="AK562" s="29">
        <f>MONTH(Data!$C562)</f>
        <v>12</v>
      </c>
      <c r="AL562" s="29">
        <f>IFERROR(Data!$F562/Data!$E562,0)</f>
        <v>31.166666666666668</v>
      </c>
      <c r="AM562" s="29">
        <f>COUNTIF(Data!$N$2:$N$825,Data!$N562)</f>
        <v>191</v>
      </c>
      <c r="AN562" s="29" t="str">
        <f>VLOOKUP(Data!$N562,'Helpful Tables'!A:D,4,FALSE)</f>
        <v>Washington, DC</v>
      </c>
      <c r="AO562" s="29">
        <f>COUNTIF(AN:AN,Data!$AN562)/COUNTA(AN:AN)</f>
        <v>0.62424242424242427</v>
      </c>
      <c r="AP562" s="29">
        <v>38.949649000000001</v>
      </c>
      <c r="AQ562" s="29">
        <v>-77.080878999999996</v>
      </c>
      <c r="AR562" s="29">
        <f>COUNTIF(Data!$P$2:$P$825,Data!$P562)</f>
        <v>14</v>
      </c>
      <c r="AS562" s="29" cm="1">
        <f t="array" ref="AS562">_xlfn.IFS(Data!$E562&lt;12,((Data!$E562/Data!$D562)*60)*1,AND(Data!$E562&gt;=12,Data!$E562&lt;=15),((Data!$E562/Data!$D562)*60)*1.2,AND(Data!$E562&gt;=16,Data!$E562&lt;=19),((Data!$E562/Data!$D562)*60)*1.5,Data!$E562&gt;=20,((Data!$E562/Data!$D562)*60)*1.8)</f>
        <v>44.689655172413794</v>
      </c>
      <c r="AT562" s="29" cm="1">
        <f t="array" ref="AT562">_xlfn.IFS(Data!$F562&lt;600,((Data!$F562/Data!$D562)*60)*1,AND(Data!$F562&gt;=600,Data!$F562&lt;=625),((Data!$F562/Data!$D562)*60)*1.2,AND(Data!$F562&gt;=626,Data!$F562&lt;=650),((Data!$F562/Data!$D562)*60)*1.5,Data!$F562&gt;=651,((Data!$F562/Data!$D562)*60)*1.8)</f>
        <v>1392.8275862068965</v>
      </c>
      <c r="AU562" s="29">
        <f>(Data!$I562*-1.2)+(Data!$J562*-1.1)+(Data!$K562*1.2)+(Data!$L562*1.3)+(Data!$M562*1.5)</f>
        <v>38.6</v>
      </c>
      <c r="AV562" s="29">
        <f>(Data!$AS562*0.4)+(Data!$AT562*0.4)+(Data!$AU562*0.2)</f>
        <v>582.72689655172417</v>
      </c>
      <c r="AW562" s="34">
        <f>PERCENTRANK(AV:AV,Data!$AV562)*100</f>
        <v>100</v>
      </c>
      <c r="AX562" s="29" t="str">
        <f>_xlfn.CONCAT(TEXT(C562,"mmm"),"-",Data!$AE562)</f>
        <v>Dec-2023</v>
      </c>
    </row>
    <row r="563" spans="1:50" ht="17" thickTop="1" thickBot="1" x14ac:dyDescent="0.25">
      <c r="A563" s="22">
        <v>562</v>
      </c>
      <c r="B563" s="23">
        <f t="shared" si="66"/>
        <v>12</v>
      </c>
      <c r="C563" s="41">
        <v>45263</v>
      </c>
      <c r="D563" s="24">
        <f>SUM(Data!$I563:$M563)</f>
        <v>58</v>
      </c>
      <c r="E563" s="23">
        <v>16</v>
      </c>
      <c r="F563" s="23">
        <v>629</v>
      </c>
      <c r="G563" s="23">
        <v>167</v>
      </c>
      <c r="H563" s="23">
        <v>121</v>
      </c>
      <c r="I563" s="23">
        <v>16</v>
      </c>
      <c r="J563" s="23">
        <v>16</v>
      </c>
      <c r="K563" s="23">
        <v>10</v>
      </c>
      <c r="L563" s="23">
        <v>15</v>
      </c>
      <c r="M563" s="23">
        <v>1</v>
      </c>
      <c r="N563" s="23" t="s">
        <v>91</v>
      </c>
      <c r="O563" s="23" t="s">
        <v>79</v>
      </c>
      <c r="P563" s="23" t="s">
        <v>100</v>
      </c>
      <c r="Q563" s="23">
        <f t="shared" si="72"/>
        <v>1</v>
      </c>
      <c r="R563" s="23" t="str">
        <f t="shared" si="67"/>
        <v>12-2023</v>
      </c>
      <c r="S563" s="23" t="s">
        <v>104</v>
      </c>
      <c r="T563" s="23" t="str">
        <f t="shared" si="68"/>
        <v>Sunday</v>
      </c>
      <c r="U563" s="23">
        <f t="shared" si="69"/>
        <v>1</v>
      </c>
      <c r="V563" s="25">
        <f>IFERROR(Data!$I563/Data!$D563,"")</f>
        <v>0.27586206896551724</v>
      </c>
      <c r="W563" s="25">
        <f>IFERROR(Data!$J563/Data!$D563,"")</f>
        <v>0.27586206896551724</v>
      </c>
      <c r="X563" s="25">
        <f>IFERROR(Data!$K563/Data!$D563,"")</f>
        <v>0.17241379310344829</v>
      </c>
      <c r="Y563" s="25">
        <f>IFERROR(Data!$L563/Data!$D563,"")</f>
        <v>0.25862068965517243</v>
      </c>
      <c r="Z563" s="25">
        <f>IFERROR(Data!$M563/Data!$D563,"")</f>
        <v>1.7241379310344827E-2</v>
      </c>
      <c r="AA563" s="26">
        <v>232.14</v>
      </c>
      <c r="AB563" s="26">
        <f t="shared" si="73"/>
        <v>19.344999999999999</v>
      </c>
      <c r="AC563" s="23">
        <f t="shared" si="70"/>
        <v>649.58333333333337</v>
      </c>
      <c r="AD563" s="23">
        <f t="shared" si="71"/>
        <v>15.25</v>
      </c>
      <c r="AE563" s="23">
        <f>YEAR(Data!$C563)</f>
        <v>2023</v>
      </c>
      <c r="AF563" s="23"/>
      <c r="AG563" s="23">
        <v>12</v>
      </c>
      <c r="AH563" s="27">
        <f>Data!$F563/Data!$D563</f>
        <v>10.844827586206897</v>
      </c>
      <c r="AI563" s="17" t="str">
        <f>RIGHT(Data!$O563,2)</f>
        <v>AM</v>
      </c>
      <c r="AJ563" s="23" t="str">
        <f>Data!$R563&amp;"-"&amp;WEEKNUM(Data!$C563,1)-WEEKNUM(DATE(YEAR(Data!$C563),MONTH(Data!$C563),1),1)+1</f>
        <v>12-2023-2</v>
      </c>
      <c r="AK563" s="23">
        <f>MONTH(Data!$C563)</f>
        <v>12</v>
      </c>
      <c r="AL563" s="23">
        <f>IFERROR(Data!$F563/Data!$E563,0)</f>
        <v>39.3125</v>
      </c>
      <c r="AM563" s="23">
        <f>COUNTIF(Data!$N$2:$N$825,Data!$N563)</f>
        <v>218</v>
      </c>
      <c r="AN563" s="23" t="str">
        <f>VLOOKUP(Data!$N563,'Helpful Tables'!A:D,4,FALSE)</f>
        <v>Washington, DC</v>
      </c>
      <c r="AO563" s="23">
        <f>COUNTIF(AN:AN,Data!$AN563)/COUNTA(AN:AN)</f>
        <v>0.62424242424242427</v>
      </c>
      <c r="AP563" s="23">
        <v>38.934710000000003</v>
      </c>
      <c r="AQ563" s="23">
        <v>-77.058222999999998</v>
      </c>
      <c r="AR563" s="23">
        <f>COUNTIF(Data!$P$2:$P$825,Data!$P563)</f>
        <v>35</v>
      </c>
      <c r="AS563" s="23" cm="1">
        <f t="array" ref="AS563">_xlfn.IFS(Data!$E563&lt;12,((Data!$E563/Data!$D563)*60)*1,AND(Data!$E563&gt;=12,Data!$E563&lt;=15),((Data!$E563/Data!$D563)*60)*1.2,AND(Data!$E563&gt;=16,Data!$E563&lt;=19),((Data!$E563/Data!$D563)*60)*1.5,Data!$E563&gt;=20,((Data!$E563/Data!$D563)*60)*1.8)</f>
        <v>24.827586206896555</v>
      </c>
      <c r="AT563" s="23" cm="1">
        <f t="array" ref="AT563">_xlfn.IFS(Data!$F563&lt;600,((Data!$F563/Data!$D563)*60)*1,AND(Data!$F563&gt;=600,Data!$F563&lt;=625),((Data!$F563/Data!$D563)*60)*1.2,AND(Data!$F563&gt;=626,Data!$F563&lt;=650),((Data!$F563/Data!$D563)*60)*1.5,Data!$F563&gt;=651,((Data!$F563/Data!$D563)*60)*1.8)</f>
        <v>976.0344827586207</v>
      </c>
      <c r="AU563" s="23">
        <f>(Data!$I563*-1.2)+(Data!$J563*-1.1)+(Data!$K563*1.2)+(Data!$L563*1.3)+(Data!$M563*1.5)</f>
        <v>-3.7999999999999972</v>
      </c>
      <c r="AV563" s="23">
        <f>(Data!$AS563*0.4)+(Data!$AT563*0.4)+(Data!$AU563*0.2)</f>
        <v>399.58482758620693</v>
      </c>
      <c r="AW563" s="35">
        <f>PERCENTRANK(AV:AV,Data!$AV563)*100</f>
        <v>52.400000000000006</v>
      </c>
      <c r="AX563" s="23" t="str">
        <f>_xlfn.CONCAT(TEXT(C563,"mmm"),"-",Data!$AE563)</f>
        <v>Dec-2023</v>
      </c>
    </row>
    <row r="564" spans="1:50" ht="17" thickTop="1" thickBot="1" x14ac:dyDescent="0.25">
      <c r="A564" s="28">
        <v>563</v>
      </c>
      <c r="B564" s="29">
        <f t="shared" si="66"/>
        <v>12</v>
      </c>
      <c r="C564" s="41">
        <v>45265</v>
      </c>
      <c r="D564" s="30">
        <f>SUM(Data!$I564:$M564)</f>
        <v>58</v>
      </c>
      <c r="E564" s="29">
        <v>19</v>
      </c>
      <c r="F564" s="29">
        <v>705</v>
      </c>
      <c r="G564" s="29">
        <v>163</v>
      </c>
      <c r="H564" s="29">
        <v>134</v>
      </c>
      <c r="I564" s="29">
        <v>5</v>
      </c>
      <c r="J564" s="29">
        <v>12</v>
      </c>
      <c r="K564" s="29">
        <v>22</v>
      </c>
      <c r="L564" s="29">
        <v>18</v>
      </c>
      <c r="M564" s="29">
        <v>1</v>
      </c>
      <c r="N564" s="29" t="s">
        <v>101</v>
      </c>
      <c r="O564" s="29" t="s">
        <v>173</v>
      </c>
      <c r="P564" s="29" t="s">
        <v>109</v>
      </c>
      <c r="Q564" s="29">
        <f t="shared" si="72"/>
        <v>2</v>
      </c>
      <c r="R564" s="29" t="str">
        <f t="shared" si="67"/>
        <v>12-2023</v>
      </c>
      <c r="S564" s="29" t="s">
        <v>104</v>
      </c>
      <c r="T564" s="29" t="str">
        <f t="shared" si="68"/>
        <v>Tuesday</v>
      </c>
      <c r="U564" s="29">
        <f t="shared" si="69"/>
        <v>1</v>
      </c>
      <c r="V564" s="31">
        <f>IFERROR(Data!$I564/Data!$D564,"")</f>
        <v>8.6206896551724144E-2</v>
      </c>
      <c r="W564" s="31">
        <f>IFERROR(Data!$J564/Data!$D564,"")</f>
        <v>0.20689655172413793</v>
      </c>
      <c r="X564" s="31">
        <f>IFERROR(Data!$K564/Data!$D564,"")</f>
        <v>0.37931034482758619</v>
      </c>
      <c r="Y564" s="31">
        <f>IFERROR(Data!$L564/Data!$D564,"")</f>
        <v>0.31034482758620691</v>
      </c>
      <c r="Z564" s="31">
        <f>IFERROR(Data!$M564/Data!$D564,"")</f>
        <v>1.7241379310344827E-2</v>
      </c>
      <c r="AA564" s="32">
        <v>232.14</v>
      </c>
      <c r="AB564" s="32">
        <f t="shared" si="73"/>
        <v>19.344999999999999</v>
      </c>
      <c r="AC564" s="29">
        <f t="shared" si="70"/>
        <v>649.58333333333337</v>
      </c>
      <c r="AD564" s="29">
        <f t="shared" si="71"/>
        <v>15.25</v>
      </c>
      <c r="AE564" s="29">
        <f>YEAR(Data!$C564)</f>
        <v>2023</v>
      </c>
      <c r="AF564" s="29"/>
      <c r="AG564" s="29">
        <v>12</v>
      </c>
      <c r="AH564" s="33">
        <f>Data!$F564/Data!$D564</f>
        <v>12.155172413793103</v>
      </c>
      <c r="AI564" s="17" t="str">
        <f>RIGHT(Data!$O564,2)</f>
        <v>PM</v>
      </c>
      <c r="AJ564" s="29" t="str">
        <f>Data!$R564&amp;"-"&amp;WEEKNUM(Data!$C564,1)-WEEKNUM(DATE(YEAR(Data!$C564),MONTH(Data!$C564),1),1)+1</f>
        <v>12-2023-2</v>
      </c>
      <c r="AK564" s="29">
        <f>MONTH(Data!$C564)</f>
        <v>12</v>
      </c>
      <c r="AL564" s="29">
        <f>IFERROR(Data!$F564/Data!$E564,0)</f>
        <v>37.10526315789474</v>
      </c>
      <c r="AM564" s="29">
        <f>COUNTIF(Data!$N$2:$N$825,Data!$N564)</f>
        <v>191</v>
      </c>
      <c r="AN564" s="29" t="str">
        <f>VLOOKUP(Data!$N564,'Helpful Tables'!A:D,4,FALSE)</f>
        <v>Washington, DC</v>
      </c>
      <c r="AO564" s="29">
        <f>COUNTIF(AN:AN,Data!$AN564)/COUNTA(AN:AN)</f>
        <v>0.62424242424242427</v>
      </c>
      <c r="AP564" s="29">
        <v>38.949649000000001</v>
      </c>
      <c r="AQ564" s="29">
        <v>-77.080878999999996</v>
      </c>
      <c r="AR564" s="29">
        <f>COUNTIF(Data!$P$2:$P$825,Data!$P564)</f>
        <v>66</v>
      </c>
      <c r="AS564" s="29" cm="1">
        <f t="array" ref="AS564">_xlfn.IFS(Data!$E564&lt;12,((Data!$E564/Data!$D564)*60)*1,AND(Data!$E564&gt;=12,Data!$E564&lt;=15),((Data!$E564/Data!$D564)*60)*1.2,AND(Data!$E564&gt;=16,Data!$E564&lt;=19),((Data!$E564/Data!$D564)*60)*1.5,Data!$E564&gt;=20,((Data!$E564/Data!$D564)*60)*1.8)</f>
        <v>29.482758620689655</v>
      </c>
      <c r="AT564" s="29" cm="1">
        <f t="array" ref="AT564">_xlfn.IFS(Data!$F564&lt;600,((Data!$F564/Data!$D564)*60)*1,AND(Data!$F564&gt;=600,Data!$F564&lt;=625),((Data!$F564/Data!$D564)*60)*1.2,AND(Data!$F564&gt;=626,Data!$F564&lt;=650),((Data!$F564/Data!$D564)*60)*1.5,Data!$F564&gt;=651,((Data!$F564/Data!$D564)*60)*1.8)</f>
        <v>1312.7586206896551</v>
      </c>
      <c r="AU564" s="29">
        <f>(Data!$I564*-1.2)+(Data!$J564*-1.1)+(Data!$K564*1.2)+(Data!$L564*1.3)+(Data!$M564*1.5)</f>
        <v>32.099999999999994</v>
      </c>
      <c r="AV564" s="29">
        <f>(Data!$AS564*0.4)+(Data!$AT564*0.4)+(Data!$AU564*0.2)</f>
        <v>543.31655172413787</v>
      </c>
      <c r="AW564" s="34">
        <f>PERCENTRANK(AV:AV,Data!$AV564)*100</f>
        <v>97.1</v>
      </c>
      <c r="AX564" s="29" t="str">
        <f>_xlfn.CONCAT(TEXT(C564,"mmm"),"-",Data!$AE564)</f>
        <v>Dec-2023</v>
      </c>
    </row>
    <row r="565" spans="1:50" ht="17" thickTop="1" thickBot="1" x14ac:dyDescent="0.25">
      <c r="A565" s="22">
        <v>564</v>
      </c>
      <c r="B565" s="23">
        <f t="shared" si="66"/>
        <v>12</v>
      </c>
      <c r="C565" s="41">
        <v>45266</v>
      </c>
      <c r="D565" s="24">
        <f>SUM(Data!$I565:$M565)</f>
        <v>60</v>
      </c>
      <c r="E565" s="23">
        <v>17</v>
      </c>
      <c r="F565" s="23">
        <v>661</v>
      </c>
      <c r="G565" s="23">
        <v>165</v>
      </c>
      <c r="H565" s="23">
        <v>127</v>
      </c>
      <c r="I565" s="23">
        <v>13</v>
      </c>
      <c r="J565" s="23">
        <v>17</v>
      </c>
      <c r="K565" s="23">
        <v>13</v>
      </c>
      <c r="L565" s="23">
        <v>16</v>
      </c>
      <c r="M565" s="23">
        <v>1</v>
      </c>
      <c r="N565" s="23" t="s">
        <v>101</v>
      </c>
      <c r="O565" s="23" t="s">
        <v>173</v>
      </c>
      <c r="P565" s="23" t="s">
        <v>189</v>
      </c>
      <c r="Q565" s="23">
        <f t="shared" si="72"/>
        <v>1</v>
      </c>
      <c r="R565" s="23" t="str">
        <f t="shared" si="67"/>
        <v>12-2023</v>
      </c>
      <c r="S565" s="23" t="s">
        <v>104</v>
      </c>
      <c r="T565" s="23" t="str">
        <f t="shared" si="68"/>
        <v>Wednesday</v>
      </c>
      <c r="U565" s="23">
        <f t="shared" si="69"/>
        <v>1</v>
      </c>
      <c r="V565" s="25">
        <f>IFERROR(Data!$I565/Data!$D565,"")</f>
        <v>0.21666666666666667</v>
      </c>
      <c r="W565" s="25">
        <f>IFERROR(Data!$J565/Data!$D565,"")</f>
        <v>0.28333333333333333</v>
      </c>
      <c r="X565" s="25">
        <f>IFERROR(Data!$K565/Data!$D565,"")</f>
        <v>0.21666666666666667</v>
      </c>
      <c r="Y565" s="25">
        <f>IFERROR(Data!$L565/Data!$D565,"")</f>
        <v>0.26666666666666666</v>
      </c>
      <c r="Z565" s="25">
        <f>IFERROR(Data!$M565/Data!$D565,"")</f>
        <v>1.6666666666666666E-2</v>
      </c>
      <c r="AA565" s="26">
        <v>232.14</v>
      </c>
      <c r="AB565" s="26">
        <f t="shared" si="73"/>
        <v>19.344999999999999</v>
      </c>
      <c r="AC565" s="23">
        <f t="shared" si="70"/>
        <v>649.58333333333337</v>
      </c>
      <c r="AD565" s="23">
        <f t="shared" si="71"/>
        <v>15.25</v>
      </c>
      <c r="AE565" s="23">
        <f>YEAR(Data!$C565)</f>
        <v>2023</v>
      </c>
      <c r="AF565" s="23"/>
      <c r="AG565" s="23">
        <v>12</v>
      </c>
      <c r="AH565" s="27">
        <f>Data!$F565/Data!$D565</f>
        <v>11.016666666666667</v>
      </c>
      <c r="AI565" s="17" t="str">
        <f>RIGHT(Data!$O565,2)</f>
        <v>PM</v>
      </c>
      <c r="AJ565" s="23" t="str">
        <f>Data!$R565&amp;"-"&amp;WEEKNUM(Data!$C565,1)-WEEKNUM(DATE(YEAR(Data!$C565),MONTH(Data!$C565),1),1)+1</f>
        <v>12-2023-2</v>
      </c>
      <c r="AK565" s="23">
        <f>MONTH(Data!$C565)</f>
        <v>12</v>
      </c>
      <c r="AL565" s="23">
        <f>IFERROR(Data!$F565/Data!$E565,0)</f>
        <v>38.882352941176471</v>
      </c>
      <c r="AM565" s="23">
        <f>COUNTIF(Data!$N$2:$N$825,Data!$N565)</f>
        <v>191</v>
      </c>
      <c r="AN565" s="23" t="str">
        <f>VLOOKUP(Data!$N565,'Helpful Tables'!A:D,4,FALSE)</f>
        <v>Washington, DC</v>
      </c>
      <c r="AO565" s="23">
        <f>COUNTIF(AN:AN,Data!$AN565)/COUNTA(AN:AN)</f>
        <v>0.62424242424242427</v>
      </c>
      <c r="AP565" s="23">
        <v>38.949649000000001</v>
      </c>
      <c r="AQ565" s="23">
        <v>-77.080878999999996</v>
      </c>
      <c r="AR565" s="23">
        <f>COUNTIF(Data!$P$2:$P$825,Data!$P565)</f>
        <v>8</v>
      </c>
      <c r="AS565" s="23" cm="1">
        <f t="array" ref="AS565">_xlfn.IFS(Data!$E565&lt;12,((Data!$E565/Data!$D565)*60)*1,AND(Data!$E565&gt;=12,Data!$E565&lt;=15),((Data!$E565/Data!$D565)*60)*1.2,AND(Data!$E565&gt;=16,Data!$E565&lt;=19),((Data!$E565/Data!$D565)*60)*1.5,Data!$E565&gt;=20,((Data!$E565/Data!$D565)*60)*1.8)</f>
        <v>25.5</v>
      </c>
      <c r="AT565" s="23" cm="1">
        <f t="array" ref="AT565">_xlfn.IFS(Data!$F565&lt;600,((Data!$F565/Data!$D565)*60)*1,AND(Data!$F565&gt;=600,Data!$F565&lt;=625),((Data!$F565/Data!$D565)*60)*1.2,AND(Data!$F565&gt;=626,Data!$F565&lt;=650),((Data!$F565/Data!$D565)*60)*1.5,Data!$F565&gt;=651,((Data!$F565/Data!$D565)*60)*1.8)</f>
        <v>1189.8</v>
      </c>
      <c r="AU565" s="23">
        <f>(Data!$I565*-1.2)+(Data!$J565*-1.1)+(Data!$K565*1.2)+(Data!$L565*1.3)+(Data!$M565*1.5)</f>
        <v>3.5999999999999979</v>
      </c>
      <c r="AV565" s="23">
        <f>(Data!$AS565*0.4)+(Data!$AT565*0.4)+(Data!$AU565*0.2)</f>
        <v>486.84000000000003</v>
      </c>
      <c r="AW565" s="35">
        <f>PERCENTRANK(AV:AV,Data!$AV565)*100</f>
        <v>71.099999999999994</v>
      </c>
      <c r="AX565" s="23" t="str">
        <f>_xlfn.CONCAT(TEXT(C565,"mmm"),"-",Data!$AE565)</f>
        <v>Dec-2023</v>
      </c>
    </row>
    <row r="566" spans="1:50" ht="17" thickTop="1" thickBot="1" x14ac:dyDescent="0.25">
      <c r="A566" s="28">
        <v>565</v>
      </c>
      <c r="B566" s="29">
        <f t="shared" si="66"/>
        <v>12</v>
      </c>
      <c r="C566" s="41">
        <v>45269</v>
      </c>
      <c r="D566" s="30">
        <f>SUM(Data!$I566:$M566)</f>
        <v>57</v>
      </c>
      <c r="E566" s="29">
        <v>2</v>
      </c>
      <c r="F566" s="29">
        <v>555</v>
      </c>
      <c r="G566" s="29">
        <v>156</v>
      </c>
      <c r="H566" s="29">
        <v>117</v>
      </c>
      <c r="I566" s="29">
        <v>18</v>
      </c>
      <c r="J566" s="29">
        <v>17</v>
      </c>
      <c r="K566" s="29">
        <v>20</v>
      </c>
      <c r="L566" s="29">
        <v>2</v>
      </c>
      <c r="M566" s="29">
        <v>0</v>
      </c>
      <c r="N566" s="29" t="s">
        <v>91</v>
      </c>
      <c r="O566" s="29" t="s">
        <v>159</v>
      </c>
      <c r="P566" s="29" t="s">
        <v>168</v>
      </c>
      <c r="Q566" s="29">
        <f t="shared" si="72"/>
        <v>3</v>
      </c>
      <c r="R566" s="29" t="str">
        <f t="shared" si="67"/>
        <v>12-2023</v>
      </c>
      <c r="S566" s="29" t="s">
        <v>104</v>
      </c>
      <c r="T566" s="29" t="str">
        <f t="shared" si="68"/>
        <v>Saturday</v>
      </c>
      <c r="U566" s="29">
        <f t="shared" si="69"/>
        <v>0</v>
      </c>
      <c r="V566" s="31">
        <f>IFERROR(Data!$I566/Data!$D566,"")</f>
        <v>0.31578947368421051</v>
      </c>
      <c r="W566" s="31">
        <f>IFERROR(Data!$J566/Data!$D566,"")</f>
        <v>0.2982456140350877</v>
      </c>
      <c r="X566" s="31">
        <f>IFERROR(Data!$K566/Data!$D566,"")</f>
        <v>0.35087719298245612</v>
      </c>
      <c r="Y566" s="31">
        <f>IFERROR(Data!$L566/Data!$D566,"")</f>
        <v>3.5087719298245612E-2</v>
      </c>
      <c r="Z566" s="31">
        <f>IFERROR(Data!$M566/Data!$D566,"")</f>
        <v>0</v>
      </c>
      <c r="AA566" s="32">
        <v>232.14</v>
      </c>
      <c r="AB566" s="32">
        <f t="shared" si="73"/>
        <v>19.344999999999999</v>
      </c>
      <c r="AC566" s="29">
        <f t="shared" si="70"/>
        <v>649.58333333333337</v>
      </c>
      <c r="AD566" s="29">
        <f t="shared" si="71"/>
        <v>15.25</v>
      </c>
      <c r="AE566" s="29">
        <f>YEAR(Data!$C566)</f>
        <v>2023</v>
      </c>
      <c r="AF566" s="29"/>
      <c r="AG566" s="29">
        <v>12</v>
      </c>
      <c r="AH566" s="33">
        <f>Data!$F566/Data!$D566</f>
        <v>9.7368421052631575</v>
      </c>
      <c r="AI566" s="17" t="str">
        <f>RIGHT(Data!$O566,2)</f>
        <v>AM</v>
      </c>
      <c r="AJ566" s="29" t="str">
        <f>Data!$R566&amp;"-"&amp;WEEKNUM(Data!$C566,1)-WEEKNUM(DATE(YEAR(Data!$C566),MONTH(Data!$C566),1),1)+1</f>
        <v>12-2023-2</v>
      </c>
      <c r="AK566" s="29">
        <f>MONTH(Data!$C566)</f>
        <v>12</v>
      </c>
      <c r="AL566" s="29">
        <f>IFERROR(Data!$F566/Data!$E566,0)</f>
        <v>277.5</v>
      </c>
      <c r="AM566" s="29">
        <f>COUNTIF(Data!$N$2:$N$825,Data!$N566)</f>
        <v>218</v>
      </c>
      <c r="AN566" s="29" t="str">
        <f>VLOOKUP(Data!$N566,'Helpful Tables'!A:D,4,FALSE)</f>
        <v>Washington, DC</v>
      </c>
      <c r="AO566" s="29">
        <f>COUNTIF(AN:AN,Data!$AN566)/COUNTA(AN:AN)</f>
        <v>0.62424242424242427</v>
      </c>
      <c r="AP566" s="29">
        <v>38.934710000000003</v>
      </c>
      <c r="AQ566" s="29">
        <v>-77.058222999999998</v>
      </c>
      <c r="AR566" s="29">
        <f>COUNTIF(Data!$P$2:$P$825,Data!$P566)</f>
        <v>12</v>
      </c>
      <c r="AS566" s="29" cm="1">
        <f t="array" ref="AS566">_xlfn.IFS(Data!$E566&lt;12,((Data!$E566/Data!$D566)*60)*1,AND(Data!$E566&gt;=12,Data!$E566&lt;=15),((Data!$E566/Data!$D566)*60)*1.2,AND(Data!$E566&gt;=16,Data!$E566&lt;=19),((Data!$E566/Data!$D566)*60)*1.5,Data!$E566&gt;=20,((Data!$E566/Data!$D566)*60)*1.8)</f>
        <v>2.1052631578947367</v>
      </c>
      <c r="AT566" s="29" cm="1">
        <f t="array" ref="AT566">_xlfn.IFS(Data!$F566&lt;600,((Data!$F566/Data!$D566)*60)*1,AND(Data!$F566&gt;=600,Data!$F566&lt;=625),((Data!$F566/Data!$D566)*60)*1.2,AND(Data!$F566&gt;=626,Data!$F566&lt;=650),((Data!$F566/Data!$D566)*60)*1.5,Data!$F566&gt;=651,((Data!$F566/Data!$D566)*60)*1.8)</f>
        <v>584.21052631578948</v>
      </c>
      <c r="AU566" s="29">
        <f>(Data!$I566*-1.2)+(Data!$J566*-1.1)+(Data!$K566*1.2)+(Data!$L566*1.3)+(Data!$M566*1.5)</f>
        <v>-13.699999999999998</v>
      </c>
      <c r="AV566" s="29">
        <f>(Data!$AS566*0.4)+(Data!$AT566*0.4)+(Data!$AU566*0.2)</f>
        <v>231.78631578947369</v>
      </c>
      <c r="AW566" s="34">
        <f>PERCENTRANK(AV:AV,Data!$AV566)*100</f>
        <v>7.9</v>
      </c>
      <c r="AX566" s="29" t="str">
        <f>_xlfn.CONCAT(TEXT(C566,"mmm"),"-",Data!$AE566)</f>
        <v>Dec-2023</v>
      </c>
    </row>
    <row r="567" spans="1:50" ht="17" thickTop="1" thickBot="1" x14ac:dyDescent="0.25">
      <c r="A567" s="22">
        <v>566</v>
      </c>
      <c r="B567" s="23">
        <f t="shared" si="66"/>
        <v>12</v>
      </c>
      <c r="C567" s="41">
        <v>45270</v>
      </c>
      <c r="D567" s="24">
        <f>SUM(Data!$I567:$M567)</f>
        <v>57</v>
      </c>
      <c r="E567" s="23">
        <v>13</v>
      </c>
      <c r="F567" s="23">
        <v>546</v>
      </c>
      <c r="G567" s="23">
        <v>160</v>
      </c>
      <c r="H567" s="23">
        <v>117</v>
      </c>
      <c r="I567" s="23">
        <v>25</v>
      </c>
      <c r="J567" s="23">
        <v>9</v>
      </c>
      <c r="K567" s="23">
        <v>10</v>
      </c>
      <c r="L567" s="23">
        <v>13</v>
      </c>
      <c r="M567" s="23">
        <v>0</v>
      </c>
      <c r="N567" s="23" t="s">
        <v>91</v>
      </c>
      <c r="O567" s="23" t="s">
        <v>79</v>
      </c>
      <c r="P567" s="23" t="s">
        <v>168</v>
      </c>
      <c r="Q567" s="23">
        <f t="shared" si="72"/>
        <v>1</v>
      </c>
      <c r="R567" s="23" t="str">
        <f t="shared" si="67"/>
        <v>12-2023</v>
      </c>
      <c r="S567" s="23" t="s">
        <v>104</v>
      </c>
      <c r="T567" s="23" t="str">
        <f t="shared" si="68"/>
        <v>Sunday</v>
      </c>
      <c r="U567" s="23">
        <f t="shared" si="69"/>
        <v>1</v>
      </c>
      <c r="V567" s="25">
        <f>IFERROR(Data!$I567/Data!$D567,"")</f>
        <v>0.43859649122807015</v>
      </c>
      <c r="W567" s="25">
        <f>IFERROR(Data!$J567/Data!$D567,"")</f>
        <v>0.15789473684210525</v>
      </c>
      <c r="X567" s="25">
        <f>IFERROR(Data!$K567/Data!$D567,"")</f>
        <v>0.17543859649122806</v>
      </c>
      <c r="Y567" s="25">
        <f>IFERROR(Data!$L567/Data!$D567,"")</f>
        <v>0.22807017543859648</v>
      </c>
      <c r="Z567" s="25">
        <f>IFERROR(Data!$M567/Data!$D567,"")</f>
        <v>0</v>
      </c>
      <c r="AA567" s="26">
        <v>232.14</v>
      </c>
      <c r="AB567" s="26">
        <f t="shared" si="73"/>
        <v>19.344999999999999</v>
      </c>
      <c r="AC567" s="23">
        <f t="shared" si="70"/>
        <v>649.58333333333337</v>
      </c>
      <c r="AD567" s="23">
        <f t="shared" si="71"/>
        <v>15.25</v>
      </c>
      <c r="AE567" s="23">
        <f>YEAR(Data!$C567)</f>
        <v>2023</v>
      </c>
      <c r="AF567" s="23"/>
      <c r="AG567" s="23">
        <v>12</v>
      </c>
      <c r="AH567" s="27">
        <f>Data!$F567/Data!$D567</f>
        <v>9.5789473684210531</v>
      </c>
      <c r="AI567" s="17" t="str">
        <f>RIGHT(Data!$O567,2)</f>
        <v>AM</v>
      </c>
      <c r="AJ567" s="23" t="str">
        <f>Data!$R567&amp;"-"&amp;WEEKNUM(Data!$C567,1)-WEEKNUM(DATE(YEAR(Data!$C567),MONTH(Data!$C567),1),1)+1</f>
        <v>12-2023-3</v>
      </c>
      <c r="AK567" s="23">
        <f>MONTH(Data!$C567)</f>
        <v>12</v>
      </c>
      <c r="AL567" s="23">
        <f>IFERROR(Data!$F567/Data!$E567,0)</f>
        <v>42</v>
      </c>
      <c r="AM567" s="23">
        <f>COUNTIF(Data!$N$2:$N$825,Data!$N567)</f>
        <v>218</v>
      </c>
      <c r="AN567" s="23" t="str">
        <f>VLOOKUP(Data!$N567,'Helpful Tables'!A:D,4,FALSE)</f>
        <v>Washington, DC</v>
      </c>
      <c r="AO567" s="23">
        <f>COUNTIF(AN:AN,Data!$AN567)/COUNTA(AN:AN)</f>
        <v>0.62424242424242427</v>
      </c>
      <c r="AP567" s="23">
        <v>38.934710000000003</v>
      </c>
      <c r="AQ567" s="23">
        <v>-77.058222999999998</v>
      </c>
      <c r="AR567" s="23">
        <f>COUNTIF(Data!$P$2:$P$825,Data!$P567)</f>
        <v>12</v>
      </c>
      <c r="AS567" s="23" cm="1">
        <f t="array" ref="AS567">_xlfn.IFS(Data!$E567&lt;12,((Data!$E567/Data!$D567)*60)*1,AND(Data!$E567&gt;=12,Data!$E567&lt;=15),((Data!$E567/Data!$D567)*60)*1.2,AND(Data!$E567&gt;=16,Data!$E567&lt;=19),((Data!$E567/Data!$D567)*60)*1.5,Data!$E567&gt;=20,((Data!$E567/Data!$D567)*60)*1.8)</f>
        <v>16.421052631578945</v>
      </c>
      <c r="AT567" s="23" cm="1">
        <f t="array" ref="AT567">_xlfn.IFS(Data!$F567&lt;600,((Data!$F567/Data!$D567)*60)*1,AND(Data!$F567&gt;=600,Data!$F567&lt;=625),((Data!$F567/Data!$D567)*60)*1.2,AND(Data!$F567&gt;=626,Data!$F567&lt;=650),((Data!$F567/Data!$D567)*60)*1.5,Data!$F567&gt;=651,((Data!$F567/Data!$D567)*60)*1.8)</f>
        <v>574.73684210526324</v>
      </c>
      <c r="AU567" s="23">
        <f>(Data!$I567*-1.2)+(Data!$J567*-1.1)+(Data!$K567*1.2)+(Data!$L567*1.3)+(Data!$M567*1.5)</f>
        <v>-10.999999999999996</v>
      </c>
      <c r="AV567" s="23">
        <f>(Data!$AS567*0.4)+(Data!$AT567*0.4)+(Data!$AU567*0.2)</f>
        <v>234.26315789473691</v>
      </c>
      <c r="AW567" s="35">
        <f>PERCENTRANK(AV:AV,Data!$AV567)*100</f>
        <v>9.4</v>
      </c>
      <c r="AX567" s="23" t="str">
        <f>_xlfn.CONCAT(TEXT(C567,"mmm"),"-",Data!$AE567)</f>
        <v>Dec-2023</v>
      </c>
    </row>
    <row r="568" spans="1:50" ht="17" thickTop="1" thickBot="1" x14ac:dyDescent="0.25">
      <c r="A568" s="28">
        <v>567</v>
      </c>
      <c r="B568" s="29">
        <f t="shared" si="66"/>
        <v>12</v>
      </c>
      <c r="C568" s="41">
        <v>45272</v>
      </c>
      <c r="D568" s="30">
        <f>SUM(Data!$I568:$M568)</f>
        <v>60</v>
      </c>
      <c r="E568" s="29">
        <v>15</v>
      </c>
      <c r="F568" s="29">
        <v>698</v>
      </c>
      <c r="G568" s="29">
        <v>166</v>
      </c>
      <c r="H568" s="29">
        <v>131</v>
      </c>
      <c r="I568" s="29">
        <v>7</v>
      </c>
      <c r="J568" s="29">
        <v>12</v>
      </c>
      <c r="K568" s="29">
        <v>26</v>
      </c>
      <c r="L568" s="29">
        <v>14</v>
      </c>
      <c r="M568" s="29">
        <v>1</v>
      </c>
      <c r="N568" s="29" t="s">
        <v>197</v>
      </c>
      <c r="O568" s="29" t="s">
        <v>199</v>
      </c>
      <c r="P568" s="29" t="s">
        <v>198</v>
      </c>
      <c r="Q568" s="29">
        <f t="shared" si="72"/>
        <v>2</v>
      </c>
      <c r="R568" s="29" t="str">
        <f t="shared" si="67"/>
        <v>12-2023</v>
      </c>
      <c r="S568" s="29" t="s">
        <v>104</v>
      </c>
      <c r="T568" s="29" t="str">
        <f t="shared" si="68"/>
        <v>Tuesday</v>
      </c>
      <c r="U568" s="29">
        <f t="shared" si="69"/>
        <v>1</v>
      </c>
      <c r="V568" s="31">
        <f>IFERROR(Data!$I568/Data!$D568,"")</f>
        <v>0.11666666666666667</v>
      </c>
      <c r="W568" s="31">
        <f>IFERROR(Data!$J568/Data!$D568,"")</f>
        <v>0.2</v>
      </c>
      <c r="X568" s="31">
        <f>IFERROR(Data!$K568/Data!$D568,"")</f>
        <v>0.43333333333333335</v>
      </c>
      <c r="Y568" s="31">
        <f>IFERROR(Data!$L568/Data!$D568,"")</f>
        <v>0.23333333333333334</v>
      </c>
      <c r="Z568" s="31">
        <f>IFERROR(Data!$M568/Data!$D568,"")</f>
        <v>1.6666666666666666E-2</v>
      </c>
      <c r="AA568" s="32">
        <v>232.14</v>
      </c>
      <c r="AB568" s="32">
        <f t="shared" si="73"/>
        <v>19.344999999999999</v>
      </c>
      <c r="AC568" s="29">
        <f t="shared" si="70"/>
        <v>649.58333333333337</v>
      </c>
      <c r="AD568" s="29">
        <f t="shared" si="71"/>
        <v>15.25</v>
      </c>
      <c r="AE568" s="29">
        <f>YEAR(Data!$C568)</f>
        <v>2023</v>
      </c>
      <c r="AF568" s="29"/>
      <c r="AG568" s="29">
        <v>12</v>
      </c>
      <c r="AH568" s="33">
        <f>Data!$F568/Data!$D568</f>
        <v>11.633333333333333</v>
      </c>
      <c r="AI568" s="17" t="str">
        <f>RIGHT(Data!$O568,2)</f>
        <v>PM</v>
      </c>
      <c r="AJ568" s="29" t="str">
        <f>Data!$R568&amp;"-"&amp;WEEKNUM(Data!$C568,1)-WEEKNUM(DATE(YEAR(Data!$C568),MONTH(Data!$C568),1),1)+1</f>
        <v>12-2023-3</v>
      </c>
      <c r="AK568" s="29">
        <f>MONTH(Data!$C568)</f>
        <v>12</v>
      </c>
      <c r="AL568" s="29">
        <f>IFERROR(Data!$F568/Data!$E568,0)</f>
        <v>46.533333333333331</v>
      </c>
      <c r="AM568" s="29">
        <f>COUNTIF(Data!$N$2:$N$825,Data!$N568)</f>
        <v>1</v>
      </c>
      <c r="AN568" s="29" t="str">
        <f>VLOOKUP(Data!$N568,'Helpful Tables'!A:D,4,FALSE)</f>
        <v>Oregon</v>
      </c>
      <c r="AO568" s="29">
        <f>COUNTIF(AN:AN,Data!$AN568)/COUNTA(AN:AN)</f>
        <v>0.27393939393939393</v>
      </c>
      <c r="AP568" s="29">
        <v>45.516534</v>
      </c>
      <c r="AQ568" s="29">
        <v>-122.656554</v>
      </c>
      <c r="AR568" s="29">
        <f>COUNTIF(Data!$P$2:$P$825,Data!$P568)</f>
        <v>1</v>
      </c>
      <c r="AS568" s="29" cm="1">
        <f t="array" ref="AS568">_xlfn.IFS(Data!$E568&lt;12,((Data!$E568/Data!$D568)*60)*1,AND(Data!$E568&gt;=12,Data!$E568&lt;=15),((Data!$E568/Data!$D568)*60)*1.2,AND(Data!$E568&gt;=16,Data!$E568&lt;=19),((Data!$E568/Data!$D568)*60)*1.5,Data!$E568&gt;=20,((Data!$E568/Data!$D568)*60)*1.8)</f>
        <v>18</v>
      </c>
      <c r="AT568" s="29" cm="1">
        <f t="array" ref="AT568">_xlfn.IFS(Data!$F568&lt;600,((Data!$F568/Data!$D568)*60)*1,AND(Data!$F568&gt;=600,Data!$F568&lt;=625),((Data!$F568/Data!$D568)*60)*1.2,AND(Data!$F568&gt;=626,Data!$F568&lt;=650),((Data!$F568/Data!$D568)*60)*1.5,Data!$F568&gt;=651,((Data!$F568/Data!$D568)*60)*1.8)</f>
        <v>1256.4000000000001</v>
      </c>
      <c r="AU568" s="29">
        <f>(Data!$I568*-1.2)+(Data!$J568*-1.1)+(Data!$K568*1.2)+(Data!$L568*1.3)+(Data!$M568*1.5)</f>
        <v>29.299999999999997</v>
      </c>
      <c r="AV568" s="29">
        <f>(Data!$AS568*0.4)+(Data!$AT568*0.4)+(Data!$AU568*0.2)</f>
        <v>515.62</v>
      </c>
      <c r="AW568" s="34">
        <f>PERCENTRANK(AV:AV,Data!$AV568)*100</f>
        <v>87.6</v>
      </c>
      <c r="AX568" s="29" t="str">
        <f>_xlfn.CONCAT(TEXT(C568,"mmm"),"-",Data!$AE568)</f>
        <v>Dec-2023</v>
      </c>
    </row>
    <row r="569" spans="1:50" ht="17" thickTop="1" thickBot="1" x14ac:dyDescent="0.25">
      <c r="A569" s="22">
        <v>568</v>
      </c>
      <c r="B569" s="23">
        <f t="shared" si="66"/>
        <v>12</v>
      </c>
      <c r="C569" s="41">
        <v>45274</v>
      </c>
      <c r="D569" s="24">
        <f>SUM(Data!$I569:$M569)</f>
        <v>59</v>
      </c>
      <c r="E569" s="23">
        <v>12</v>
      </c>
      <c r="F569" s="23">
        <v>682</v>
      </c>
      <c r="G569" s="23">
        <v>166</v>
      </c>
      <c r="H569" s="23">
        <v>129</v>
      </c>
      <c r="I569" s="23">
        <v>8</v>
      </c>
      <c r="J569" s="23">
        <v>12</v>
      </c>
      <c r="K569" s="23">
        <v>27</v>
      </c>
      <c r="L569" s="23">
        <v>11</v>
      </c>
      <c r="M569" s="23">
        <v>1</v>
      </c>
      <c r="N569" s="23" t="s">
        <v>200</v>
      </c>
      <c r="O569" s="23" t="s">
        <v>127</v>
      </c>
      <c r="P569" s="23" t="s">
        <v>201</v>
      </c>
      <c r="Q569" s="23">
        <f t="shared" si="72"/>
        <v>2</v>
      </c>
      <c r="R569" s="23" t="str">
        <f t="shared" si="67"/>
        <v>12-2023</v>
      </c>
      <c r="S569" s="23" t="s">
        <v>104</v>
      </c>
      <c r="T569" s="23" t="str">
        <f t="shared" si="68"/>
        <v>Thursday</v>
      </c>
      <c r="U569" s="23">
        <f t="shared" si="69"/>
        <v>1</v>
      </c>
      <c r="V569" s="25">
        <f>IFERROR(Data!$I569/Data!$D569,"")</f>
        <v>0.13559322033898305</v>
      </c>
      <c r="W569" s="25">
        <f>IFERROR(Data!$J569/Data!$D569,"")</f>
        <v>0.20338983050847459</v>
      </c>
      <c r="X569" s="25">
        <f>IFERROR(Data!$K569/Data!$D569,"")</f>
        <v>0.4576271186440678</v>
      </c>
      <c r="Y569" s="25">
        <f>IFERROR(Data!$L569/Data!$D569,"")</f>
        <v>0.1864406779661017</v>
      </c>
      <c r="Z569" s="25">
        <f>IFERROR(Data!$M569/Data!$D569,"")</f>
        <v>1.6949152542372881E-2</v>
      </c>
      <c r="AA569" s="26">
        <v>232.14</v>
      </c>
      <c r="AB569" s="26">
        <f t="shared" si="73"/>
        <v>19.344999999999999</v>
      </c>
      <c r="AC569" s="23">
        <f t="shared" si="70"/>
        <v>649.58333333333337</v>
      </c>
      <c r="AD569" s="23">
        <f t="shared" si="71"/>
        <v>15.25</v>
      </c>
      <c r="AE569" s="23">
        <f>YEAR(Data!$C569)</f>
        <v>2023</v>
      </c>
      <c r="AF569" s="23"/>
      <c r="AG569" s="23">
        <v>12</v>
      </c>
      <c r="AH569" s="27">
        <f>Data!$F569/Data!$D569</f>
        <v>11.559322033898304</v>
      </c>
      <c r="AI569" s="17" t="str">
        <f>RIGHT(Data!$O569,2)</f>
        <v>PM</v>
      </c>
      <c r="AJ569" s="23" t="str">
        <f>Data!$R569&amp;"-"&amp;WEEKNUM(Data!$C569,1)-WEEKNUM(DATE(YEAR(Data!$C569),MONTH(Data!$C569),1),1)+1</f>
        <v>12-2023-3</v>
      </c>
      <c r="AK569" s="23">
        <f>MONTH(Data!$C569)</f>
        <v>12</v>
      </c>
      <c r="AL569" s="23">
        <f>IFERROR(Data!$F569/Data!$E569,0)</f>
        <v>56.833333333333336</v>
      </c>
      <c r="AM569" s="23">
        <f>COUNTIF(Data!$N$2:$N$825,Data!$N569)</f>
        <v>1</v>
      </c>
      <c r="AN569" s="23" t="str">
        <f>VLOOKUP(Data!$N569,'Helpful Tables'!A:D,4,FALSE)</f>
        <v>Oregon</v>
      </c>
      <c r="AO569" s="23">
        <f>COUNTIF(AN:AN,Data!$AN569)/COUNTA(AN:AN)</f>
        <v>0.27393939393939393</v>
      </c>
      <c r="AP569" s="23">
        <v>45.496763000000001</v>
      </c>
      <c r="AQ569" s="23">
        <v>-122.669736</v>
      </c>
      <c r="AR569" s="23">
        <f>COUNTIF(Data!$P$2:$P$825,Data!$P569)</f>
        <v>1</v>
      </c>
      <c r="AS569" s="23" cm="1">
        <f t="array" ref="AS569">_xlfn.IFS(Data!$E569&lt;12,((Data!$E569/Data!$D569)*60)*1,AND(Data!$E569&gt;=12,Data!$E569&lt;=15),((Data!$E569/Data!$D569)*60)*1.2,AND(Data!$E569&gt;=16,Data!$E569&lt;=19),((Data!$E569/Data!$D569)*60)*1.5,Data!$E569&gt;=20,((Data!$E569/Data!$D569)*60)*1.8)</f>
        <v>14.64406779661017</v>
      </c>
      <c r="AT569" s="23" cm="1">
        <f t="array" ref="AT569">_xlfn.IFS(Data!$F569&lt;600,((Data!$F569/Data!$D569)*60)*1,AND(Data!$F569&gt;=600,Data!$F569&lt;=625),((Data!$F569/Data!$D569)*60)*1.2,AND(Data!$F569&gt;=626,Data!$F569&lt;=650),((Data!$F569/Data!$D569)*60)*1.5,Data!$F569&gt;=651,((Data!$F569/Data!$D569)*60)*1.8)</f>
        <v>1248.406779661017</v>
      </c>
      <c r="AU569" s="23">
        <f>(Data!$I569*-1.2)+(Data!$J569*-1.1)+(Data!$K569*1.2)+(Data!$L569*1.3)+(Data!$M569*1.5)</f>
        <v>25.4</v>
      </c>
      <c r="AV569" s="23">
        <f>(Data!$AS569*0.4)+(Data!$AT569*0.4)+(Data!$AU569*0.2)</f>
        <v>510.30033898305089</v>
      </c>
      <c r="AW569" s="35">
        <f>PERCENTRANK(AV:AV,Data!$AV569)*100</f>
        <v>84.7</v>
      </c>
      <c r="AX569" s="23" t="str">
        <f>_xlfn.CONCAT(TEXT(C569,"mmm"),"-",Data!$AE569)</f>
        <v>Dec-2023</v>
      </c>
    </row>
    <row r="570" spans="1:50" ht="17" thickTop="1" thickBot="1" x14ac:dyDescent="0.25">
      <c r="A570" s="28">
        <v>569</v>
      </c>
      <c r="B570" s="29">
        <f t="shared" si="66"/>
        <v>12</v>
      </c>
      <c r="C570" s="41">
        <v>45287</v>
      </c>
      <c r="D570" s="30">
        <f>SUM(Data!$I570:$M570)</f>
        <v>57</v>
      </c>
      <c r="E570" s="29">
        <v>22</v>
      </c>
      <c r="F570" s="29">
        <v>687</v>
      </c>
      <c r="G570" s="29">
        <v>169</v>
      </c>
      <c r="H570" s="29">
        <v>134</v>
      </c>
      <c r="I570" s="29">
        <v>5</v>
      </c>
      <c r="J570" s="29">
        <v>19</v>
      </c>
      <c r="K570" s="29">
        <v>11</v>
      </c>
      <c r="L570" s="29">
        <v>17</v>
      </c>
      <c r="M570" s="29">
        <v>5</v>
      </c>
      <c r="N570" s="29" t="s">
        <v>101</v>
      </c>
      <c r="O570" s="29" t="s">
        <v>53</v>
      </c>
      <c r="P570" s="29" t="s">
        <v>189</v>
      </c>
      <c r="Q570" s="29">
        <f t="shared" si="72"/>
        <v>13</v>
      </c>
      <c r="R570" s="29" t="str">
        <f t="shared" si="67"/>
        <v>12-2023</v>
      </c>
      <c r="S570" s="29" t="s">
        <v>104</v>
      </c>
      <c r="T570" s="29" t="str">
        <f t="shared" si="68"/>
        <v>Wednesday</v>
      </c>
      <c r="U570" s="29">
        <f t="shared" si="69"/>
        <v>1</v>
      </c>
      <c r="V570" s="31">
        <f>IFERROR(Data!$I570/Data!$D570,"")</f>
        <v>8.771929824561403E-2</v>
      </c>
      <c r="W570" s="31">
        <f>IFERROR(Data!$J570/Data!$D570,"")</f>
        <v>0.33333333333333331</v>
      </c>
      <c r="X570" s="31">
        <f>IFERROR(Data!$K570/Data!$D570,"")</f>
        <v>0.19298245614035087</v>
      </c>
      <c r="Y570" s="31">
        <f>IFERROR(Data!$L570/Data!$D570,"")</f>
        <v>0.2982456140350877</v>
      </c>
      <c r="Z570" s="31">
        <f>IFERROR(Data!$M570/Data!$D570,"")</f>
        <v>8.771929824561403E-2</v>
      </c>
      <c r="AA570" s="32">
        <v>232.14</v>
      </c>
      <c r="AB570" s="32">
        <f t="shared" si="73"/>
        <v>19.344999999999999</v>
      </c>
      <c r="AC570" s="29">
        <f t="shared" si="70"/>
        <v>649.58333333333337</v>
      </c>
      <c r="AD570" s="29">
        <f t="shared" si="71"/>
        <v>15.25</v>
      </c>
      <c r="AE570" s="29">
        <f>YEAR(Data!$C570)</f>
        <v>2023</v>
      </c>
      <c r="AF570" s="29"/>
      <c r="AG570" s="29">
        <v>12</v>
      </c>
      <c r="AH570" s="33">
        <f>Data!$F570/Data!$D570</f>
        <v>12.052631578947368</v>
      </c>
      <c r="AI570" s="17" t="str">
        <f>RIGHT(Data!$O570,2)</f>
        <v>PM</v>
      </c>
      <c r="AJ570" s="29" t="str">
        <f>Data!$R570&amp;"-"&amp;WEEKNUM(Data!$C570,1)-WEEKNUM(DATE(YEAR(Data!$C570),MONTH(Data!$C570),1),1)+1</f>
        <v>12-2023-5</v>
      </c>
      <c r="AK570" s="29">
        <f>MONTH(Data!$C570)</f>
        <v>12</v>
      </c>
      <c r="AL570" s="29">
        <f>IFERROR(Data!$F570/Data!$E570,0)</f>
        <v>31.227272727272727</v>
      </c>
      <c r="AM570" s="29">
        <f>COUNTIF(Data!$N$2:$N$825,Data!$N570)</f>
        <v>191</v>
      </c>
      <c r="AN570" s="29" t="str">
        <f>VLOOKUP(Data!$N570,'Helpful Tables'!A:D,4,FALSE)</f>
        <v>Washington, DC</v>
      </c>
      <c r="AO570" s="29">
        <f>COUNTIF(AN:AN,Data!$AN570)/COUNTA(AN:AN)</f>
        <v>0.62424242424242427</v>
      </c>
      <c r="AP570" s="29">
        <v>38.949649000000001</v>
      </c>
      <c r="AQ570" s="29">
        <v>-77.080878999999996</v>
      </c>
      <c r="AR570" s="29">
        <f>COUNTIF(Data!$P$2:$P$825,Data!$P570)</f>
        <v>8</v>
      </c>
      <c r="AS570" s="29" cm="1">
        <f t="array" ref="AS570">_xlfn.IFS(Data!$E570&lt;12,((Data!$E570/Data!$D570)*60)*1,AND(Data!$E570&gt;=12,Data!$E570&lt;=15),((Data!$E570/Data!$D570)*60)*1.2,AND(Data!$E570&gt;=16,Data!$E570&lt;=19),((Data!$E570/Data!$D570)*60)*1.5,Data!$E570&gt;=20,((Data!$E570/Data!$D570)*60)*1.8)</f>
        <v>41.684210526315788</v>
      </c>
      <c r="AT570" s="29" cm="1">
        <f t="array" ref="AT570">_xlfn.IFS(Data!$F570&lt;600,((Data!$F570/Data!$D570)*60)*1,AND(Data!$F570&gt;=600,Data!$F570&lt;=625),((Data!$F570/Data!$D570)*60)*1.2,AND(Data!$F570&gt;=626,Data!$F570&lt;=650),((Data!$F570/Data!$D570)*60)*1.5,Data!$F570&gt;=651,((Data!$F570/Data!$D570)*60)*1.8)</f>
        <v>1301.6842105263158</v>
      </c>
      <c r="AU570" s="29">
        <f>(Data!$I570*-1.2)+(Data!$J570*-1.1)+(Data!$K570*1.2)+(Data!$L570*1.3)+(Data!$M570*1.5)</f>
        <v>15.899999999999999</v>
      </c>
      <c r="AV570" s="29">
        <f>(Data!$AS570*0.4)+(Data!$AT570*0.4)+(Data!$AU570*0.2)</f>
        <v>540.52736842105264</v>
      </c>
      <c r="AW570" s="34">
        <f>PERCENTRANK(AV:AV,Data!$AV570)*100</f>
        <v>96.399999999999991</v>
      </c>
      <c r="AX570" s="29" t="str">
        <f>_xlfn.CONCAT(TEXT(C570,"mmm"),"-",Data!$AE570)</f>
        <v>Dec-2023</v>
      </c>
    </row>
    <row r="571" spans="1:50" ht="17" thickTop="1" thickBot="1" x14ac:dyDescent="0.25">
      <c r="A571" s="22">
        <v>570</v>
      </c>
      <c r="B571" s="23">
        <f t="shared" si="66"/>
        <v>12</v>
      </c>
      <c r="C571" s="41">
        <v>45288</v>
      </c>
      <c r="D571" s="24">
        <f>SUM(Data!$I571:$M571)</f>
        <v>58</v>
      </c>
      <c r="E571" s="23">
        <v>15</v>
      </c>
      <c r="F571" s="23">
        <v>618</v>
      </c>
      <c r="G571" s="23">
        <v>170</v>
      </c>
      <c r="H571" s="23">
        <v>124</v>
      </c>
      <c r="I571" s="23">
        <v>18</v>
      </c>
      <c r="J571" s="23">
        <v>12</v>
      </c>
      <c r="K571" s="23">
        <v>13</v>
      </c>
      <c r="L571" s="23">
        <v>15</v>
      </c>
      <c r="M571" s="23">
        <v>0</v>
      </c>
      <c r="N571" s="23" t="s">
        <v>101</v>
      </c>
      <c r="O571" s="23" t="s">
        <v>53</v>
      </c>
      <c r="P571" s="23" t="s">
        <v>109</v>
      </c>
      <c r="Q571" s="23">
        <f t="shared" si="72"/>
        <v>1</v>
      </c>
      <c r="R571" s="23" t="str">
        <f t="shared" si="67"/>
        <v>12-2023</v>
      </c>
      <c r="S571" s="23" t="s">
        <v>104</v>
      </c>
      <c r="T571" s="23" t="str">
        <f t="shared" si="68"/>
        <v>Thursday</v>
      </c>
      <c r="U571" s="23">
        <f t="shared" si="69"/>
        <v>1</v>
      </c>
      <c r="V571" s="25">
        <f>IFERROR(Data!$I571/Data!$D571,"")</f>
        <v>0.31034482758620691</v>
      </c>
      <c r="W571" s="25">
        <f>IFERROR(Data!$J571/Data!$D571,"")</f>
        <v>0.20689655172413793</v>
      </c>
      <c r="X571" s="25">
        <f>IFERROR(Data!$K571/Data!$D571,"")</f>
        <v>0.22413793103448276</v>
      </c>
      <c r="Y571" s="25">
        <f>IFERROR(Data!$L571/Data!$D571,"")</f>
        <v>0.25862068965517243</v>
      </c>
      <c r="Z571" s="25">
        <f>IFERROR(Data!$M571/Data!$D571,"")</f>
        <v>0</v>
      </c>
      <c r="AA571" s="26">
        <v>232.14</v>
      </c>
      <c r="AB571" s="26">
        <f t="shared" si="73"/>
        <v>19.344999999999999</v>
      </c>
      <c r="AC571" s="23">
        <f t="shared" si="70"/>
        <v>649.58333333333337</v>
      </c>
      <c r="AD571" s="23">
        <f t="shared" si="71"/>
        <v>15.25</v>
      </c>
      <c r="AE571" s="23">
        <f>YEAR(Data!$C571)</f>
        <v>2023</v>
      </c>
      <c r="AF571" s="23"/>
      <c r="AG571" s="23">
        <v>12</v>
      </c>
      <c r="AH571" s="27">
        <f>Data!$F571/Data!$D571</f>
        <v>10.655172413793103</v>
      </c>
      <c r="AI571" s="17" t="str">
        <f>RIGHT(Data!$O571,2)</f>
        <v>PM</v>
      </c>
      <c r="AJ571" s="23" t="str">
        <f>Data!$R571&amp;"-"&amp;WEEKNUM(Data!$C571,1)-WEEKNUM(DATE(YEAR(Data!$C571),MONTH(Data!$C571),1),1)+1</f>
        <v>12-2023-5</v>
      </c>
      <c r="AK571" s="23">
        <f>MONTH(Data!$C571)</f>
        <v>12</v>
      </c>
      <c r="AL571" s="23">
        <f>IFERROR(Data!$F571/Data!$E571,0)</f>
        <v>41.2</v>
      </c>
      <c r="AM571" s="23">
        <f>COUNTIF(Data!$N$2:$N$825,Data!$N571)</f>
        <v>191</v>
      </c>
      <c r="AN571" s="23" t="str">
        <f>VLOOKUP(Data!$N571,'Helpful Tables'!A:D,4,FALSE)</f>
        <v>Washington, DC</v>
      </c>
      <c r="AO571" s="23">
        <f>COUNTIF(AN:AN,Data!$AN571)/COUNTA(AN:AN)</f>
        <v>0.62424242424242427</v>
      </c>
      <c r="AP571" s="23">
        <v>38.949649000000001</v>
      </c>
      <c r="AQ571" s="23">
        <v>-77.080878999999996</v>
      </c>
      <c r="AR571" s="23">
        <f>COUNTIF(Data!$P$2:$P$825,Data!$P571)</f>
        <v>66</v>
      </c>
      <c r="AS571" s="23" cm="1">
        <f t="array" ref="AS571">_xlfn.IFS(Data!$E571&lt;12,((Data!$E571/Data!$D571)*60)*1,AND(Data!$E571&gt;=12,Data!$E571&lt;=15),((Data!$E571/Data!$D571)*60)*1.2,AND(Data!$E571&gt;=16,Data!$E571&lt;=19),((Data!$E571/Data!$D571)*60)*1.5,Data!$E571&gt;=20,((Data!$E571/Data!$D571)*60)*1.8)</f>
        <v>18.620689655172413</v>
      </c>
      <c r="AT571" s="23" cm="1">
        <f t="array" ref="AT571">_xlfn.IFS(Data!$F571&lt;600,((Data!$F571/Data!$D571)*60)*1,AND(Data!$F571&gt;=600,Data!$F571&lt;=625),((Data!$F571/Data!$D571)*60)*1.2,AND(Data!$F571&gt;=626,Data!$F571&lt;=650),((Data!$F571/Data!$D571)*60)*1.5,Data!$F571&gt;=651,((Data!$F571/Data!$D571)*60)*1.8)</f>
        <v>767.17241379310337</v>
      </c>
      <c r="AU571" s="23">
        <f>(Data!$I571*-1.2)+(Data!$J571*-1.1)+(Data!$K571*1.2)+(Data!$L571*1.3)+(Data!$M571*1.5)</f>
        <v>0.30000000000000426</v>
      </c>
      <c r="AV571" s="23">
        <f>(Data!$AS571*0.4)+(Data!$AT571*0.4)+(Data!$AU571*0.2)</f>
        <v>314.37724137931031</v>
      </c>
      <c r="AW571" s="35">
        <f>PERCENTRANK(AV:AV,Data!$AV571)*100</f>
        <v>33.300000000000004</v>
      </c>
      <c r="AX571" s="23" t="str">
        <f>_xlfn.CONCAT(TEXT(C571,"mmm"),"-",Data!$AE571)</f>
        <v>Dec-2023</v>
      </c>
    </row>
    <row r="572" spans="1:50" ht="17" thickTop="1" thickBot="1" x14ac:dyDescent="0.25">
      <c r="A572" s="28">
        <v>571</v>
      </c>
      <c r="B572" s="29">
        <f t="shared" si="66"/>
        <v>12</v>
      </c>
      <c r="C572" s="41">
        <v>45290</v>
      </c>
      <c r="D572" s="30">
        <f>SUM(Data!$I572:$M572)</f>
        <v>57</v>
      </c>
      <c r="E572" s="29">
        <v>21</v>
      </c>
      <c r="F572" s="29">
        <v>653</v>
      </c>
      <c r="G572" s="29">
        <v>167</v>
      </c>
      <c r="H572" s="29">
        <v>129</v>
      </c>
      <c r="I572" s="29">
        <v>14</v>
      </c>
      <c r="J572" s="29">
        <v>15</v>
      </c>
      <c r="K572" s="29">
        <v>7</v>
      </c>
      <c r="L572" s="29">
        <v>17</v>
      </c>
      <c r="M572" s="29">
        <v>4</v>
      </c>
      <c r="N572" s="29" t="s">
        <v>91</v>
      </c>
      <c r="O572" s="29" t="s">
        <v>79</v>
      </c>
      <c r="P572" s="29" t="s">
        <v>188</v>
      </c>
      <c r="Q572" s="29">
        <f t="shared" si="72"/>
        <v>2</v>
      </c>
      <c r="R572" s="29" t="str">
        <f t="shared" si="67"/>
        <v>12-2023</v>
      </c>
      <c r="S572" s="29" t="s">
        <v>104</v>
      </c>
      <c r="T572" s="29" t="str">
        <f t="shared" si="68"/>
        <v>Saturday</v>
      </c>
      <c r="U572" s="29">
        <f t="shared" si="69"/>
        <v>1</v>
      </c>
      <c r="V572" s="31">
        <f>IFERROR(Data!$I572/Data!$D572,"")</f>
        <v>0.24561403508771928</v>
      </c>
      <c r="W572" s="31">
        <f>IFERROR(Data!$J572/Data!$D572,"")</f>
        <v>0.26315789473684209</v>
      </c>
      <c r="X572" s="31">
        <f>IFERROR(Data!$K572/Data!$D572,"")</f>
        <v>0.12280701754385964</v>
      </c>
      <c r="Y572" s="31">
        <f>IFERROR(Data!$L572/Data!$D572,"")</f>
        <v>0.2982456140350877</v>
      </c>
      <c r="Z572" s="31">
        <f>IFERROR(Data!$M572/Data!$D572,"")</f>
        <v>7.0175438596491224E-2</v>
      </c>
      <c r="AA572" s="32">
        <v>232.14</v>
      </c>
      <c r="AB572" s="32">
        <f t="shared" si="73"/>
        <v>19.344999999999999</v>
      </c>
      <c r="AC572" s="29">
        <f t="shared" si="70"/>
        <v>649.58333333333337</v>
      </c>
      <c r="AD572" s="29">
        <f t="shared" si="71"/>
        <v>15.25</v>
      </c>
      <c r="AE572" s="29">
        <f>YEAR(Data!$C572)</f>
        <v>2023</v>
      </c>
      <c r="AF572" s="29"/>
      <c r="AG572" s="29">
        <v>12</v>
      </c>
      <c r="AH572" s="33">
        <f>Data!$F572/Data!$D572</f>
        <v>11.456140350877194</v>
      </c>
      <c r="AI572" s="17" t="str">
        <f>RIGHT(Data!$O572,2)</f>
        <v>AM</v>
      </c>
      <c r="AJ572" s="29" t="str">
        <f>Data!$R572&amp;"-"&amp;WEEKNUM(Data!$C572,1)-WEEKNUM(DATE(YEAR(Data!$C572),MONTH(Data!$C572),1),1)+1</f>
        <v>12-2023-5</v>
      </c>
      <c r="AK572" s="29">
        <f>MONTH(Data!$C572)</f>
        <v>12</v>
      </c>
      <c r="AL572" s="29">
        <f>IFERROR(Data!$F572/Data!$E572,0)</f>
        <v>31.095238095238095</v>
      </c>
      <c r="AM572" s="29">
        <f>COUNTIF(Data!$N$2:$N$825,Data!$N572)</f>
        <v>218</v>
      </c>
      <c r="AN572" s="29" t="str">
        <f>VLOOKUP(Data!$N572,'Helpful Tables'!A:D,4,FALSE)</f>
        <v>Washington, DC</v>
      </c>
      <c r="AO572" s="29">
        <f>COUNTIF(AN:AN,Data!$AN572)/COUNTA(AN:AN)</f>
        <v>0.62424242424242427</v>
      </c>
      <c r="AP572" s="29">
        <v>38.934710000000003</v>
      </c>
      <c r="AQ572" s="29">
        <v>-77.058222999999998</v>
      </c>
      <c r="AR572" s="29">
        <f>COUNTIF(Data!$P$2:$P$825,Data!$P572)</f>
        <v>10</v>
      </c>
      <c r="AS572" s="29" cm="1">
        <f t="array" ref="AS572">_xlfn.IFS(Data!$E572&lt;12,((Data!$E572/Data!$D572)*60)*1,AND(Data!$E572&gt;=12,Data!$E572&lt;=15),((Data!$E572/Data!$D572)*60)*1.2,AND(Data!$E572&gt;=16,Data!$E572&lt;=19),((Data!$E572/Data!$D572)*60)*1.5,Data!$E572&gt;=20,((Data!$E572/Data!$D572)*60)*1.8)</f>
        <v>39.789473684210527</v>
      </c>
      <c r="AT572" s="29" cm="1">
        <f t="array" ref="AT572">_xlfn.IFS(Data!$F572&lt;600,((Data!$F572/Data!$D572)*60)*1,AND(Data!$F572&gt;=600,Data!$F572&lt;=625),((Data!$F572/Data!$D572)*60)*1.2,AND(Data!$F572&gt;=626,Data!$F572&lt;=650),((Data!$F572/Data!$D572)*60)*1.5,Data!$F572&gt;=651,((Data!$F572/Data!$D572)*60)*1.8)</f>
        <v>1237.2631578947369</v>
      </c>
      <c r="AU572" s="29">
        <f>(Data!$I572*-1.2)+(Data!$J572*-1.1)+(Data!$K572*1.2)+(Data!$L572*1.3)+(Data!$M572*1.5)</f>
        <v>3.2000000000000028</v>
      </c>
      <c r="AV572" s="29">
        <f>(Data!$AS572*0.4)+(Data!$AT572*0.4)+(Data!$AU572*0.2)</f>
        <v>511.46105263157892</v>
      </c>
      <c r="AW572" s="34">
        <f>PERCENTRANK(AV:AV,Data!$AV572)*100</f>
        <v>85.8</v>
      </c>
      <c r="AX572" s="29" t="str">
        <f>_xlfn.CONCAT(TEXT(C572,"mmm"),"-",Data!$AE572)</f>
        <v>Dec-2023</v>
      </c>
    </row>
    <row r="573" spans="1:50" ht="17" thickTop="1" thickBot="1" x14ac:dyDescent="0.25">
      <c r="A573" s="22">
        <v>572</v>
      </c>
      <c r="B573" s="23">
        <f t="shared" si="66"/>
        <v>12</v>
      </c>
      <c r="C573" s="41">
        <v>45291</v>
      </c>
      <c r="D573" s="24">
        <f>SUM(Data!$I573:$M573)</f>
        <v>60</v>
      </c>
      <c r="E573" s="23">
        <v>7</v>
      </c>
      <c r="F573" s="23">
        <v>613</v>
      </c>
      <c r="G573" s="23">
        <v>160</v>
      </c>
      <c r="H573" s="23">
        <v>122</v>
      </c>
      <c r="I573" s="23">
        <v>15</v>
      </c>
      <c r="J573" s="23">
        <v>15</v>
      </c>
      <c r="K573" s="23">
        <v>23</v>
      </c>
      <c r="L573" s="23">
        <v>7</v>
      </c>
      <c r="M573" s="23">
        <v>0</v>
      </c>
      <c r="N573" s="23" t="s">
        <v>30</v>
      </c>
      <c r="O573" s="23" t="s">
        <v>58</v>
      </c>
      <c r="P573" s="23" t="s">
        <v>193</v>
      </c>
      <c r="Q573" s="23">
        <f t="shared" si="72"/>
        <v>1</v>
      </c>
      <c r="R573" s="23" t="str">
        <f t="shared" si="67"/>
        <v>12-2023</v>
      </c>
      <c r="S573" s="23" t="s">
        <v>117</v>
      </c>
      <c r="T573" s="23" t="str">
        <f t="shared" si="68"/>
        <v>Sunday</v>
      </c>
      <c r="U573" s="23">
        <f t="shared" si="69"/>
        <v>0</v>
      </c>
      <c r="V573" s="25">
        <f>IFERROR(Data!$I573/Data!$D573,"")</f>
        <v>0.25</v>
      </c>
      <c r="W573" s="25">
        <f>IFERROR(Data!$J573/Data!$D573,"")</f>
        <v>0.25</v>
      </c>
      <c r="X573" s="25">
        <f>IFERROR(Data!$K573/Data!$D573,"")</f>
        <v>0.38333333333333336</v>
      </c>
      <c r="Y573" s="25">
        <f>IFERROR(Data!$L573/Data!$D573,"")</f>
        <v>0.11666666666666667</v>
      </c>
      <c r="Z573" s="25">
        <f>IFERROR(Data!$M573/Data!$D573,"")</f>
        <v>0</v>
      </c>
      <c r="AA573" s="26">
        <v>232.14</v>
      </c>
      <c r="AB573" s="26">
        <f t="shared" si="73"/>
        <v>19.344999999999999</v>
      </c>
      <c r="AC573" s="23">
        <f t="shared" si="70"/>
        <v>649.58333333333337</v>
      </c>
      <c r="AD573" s="23">
        <f t="shared" si="71"/>
        <v>15.25</v>
      </c>
      <c r="AE573" s="23">
        <f>YEAR(Data!$C573)</f>
        <v>2023</v>
      </c>
      <c r="AF573" s="23"/>
      <c r="AG573" s="23">
        <v>12</v>
      </c>
      <c r="AH573" s="27">
        <f>Data!$F573/Data!$D573</f>
        <v>10.216666666666667</v>
      </c>
      <c r="AI573" s="17" t="str">
        <f>RIGHT(Data!$O573,2)</f>
        <v>AM</v>
      </c>
      <c r="AJ573" s="23" t="str">
        <f>Data!$R573&amp;"-"&amp;WEEKNUM(Data!$C573,1)-WEEKNUM(DATE(YEAR(Data!$C573),MONTH(Data!$C573),1),1)+1</f>
        <v>12-2023-6</v>
      </c>
      <c r="AK573" s="23">
        <f>MONTH(Data!$C573)</f>
        <v>12</v>
      </c>
      <c r="AL573" s="23">
        <f>IFERROR(Data!$F573/Data!$E573,0)</f>
        <v>87.571428571428569</v>
      </c>
      <c r="AM573" s="23">
        <f>COUNTIF(Data!$N$2:$N$825,Data!$N573)</f>
        <v>9</v>
      </c>
      <c r="AN573" s="23" t="str">
        <f>VLOOKUP(Data!$N573,'Helpful Tables'!A:D,4,FALSE)</f>
        <v>Virginia</v>
      </c>
      <c r="AO573" s="23">
        <f>COUNTIF(AN:AN,Data!$AN573)/COUNTA(AN:AN)</f>
        <v>6.424242424242424E-2</v>
      </c>
      <c r="AP573" s="23">
        <v>38.894024999999999</v>
      </c>
      <c r="AQ573" s="23">
        <v>-77.078213000000005</v>
      </c>
      <c r="AR573" s="23">
        <f>COUNTIF(Data!$P$2:$P$825,Data!$P573)</f>
        <v>2</v>
      </c>
      <c r="AS573" s="23" cm="1">
        <f t="array" ref="AS573">_xlfn.IFS(Data!$E573&lt;12,((Data!$E573/Data!$D573)*60)*1,AND(Data!$E573&gt;=12,Data!$E573&lt;=15),((Data!$E573/Data!$D573)*60)*1.2,AND(Data!$E573&gt;=16,Data!$E573&lt;=19),((Data!$E573/Data!$D573)*60)*1.5,Data!$E573&gt;=20,((Data!$E573/Data!$D573)*60)*1.8)</f>
        <v>7</v>
      </c>
      <c r="AT573" s="23" cm="1">
        <f t="array" ref="AT573">_xlfn.IFS(Data!$F573&lt;600,((Data!$F573/Data!$D573)*60)*1,AND(Data!$F573&gt;=600,Data!$F573&lt;=625),((Data!$F573/Data!$D573)*60)*1.2,AND(Data!$F573&gt;=626,Data!$F573&lt;=650),((Data!$F573/Data!$D573)*60)*1.5,Data!$F573&gt;=651,((Data!$F573/Data!$D573)*60)*1.8)</f>
        <v>735.6</v>
      </c>
      <c r="AU573" s="23">
        <f>(Data!$I573*-1.2)+(Data!$J573*-1.1)+(Data!$K573*1.2)+(Data!$L573*1.3)+(Data!$M573*1.5)</f>
        <v>2.1999999999999975</v>
      </c>
      <c r="AV573" s="23">
        <f>(Data!$AS573*0.4)+(Data!$AT573*0.4)+(Data!$AU573*0.2)</f>
        <v>297.48</v>
      </c>
      <c r="AW573" s="35">
        <f>PERCENTRANK(AV:AV,Data!$AV573)*100</f>
        <v>25.5</v>
      </c>
      <c r="AX573" s="23" t="str">
        <f>_xlfn.CONCAT(TEXT(C573,"mmm"),"-",Data!$AE573)</f>
        <v>Dec-2023</v>
      </c>
    </row>
    <row r="574" spans="1:50" ht="17" thickTop="1" thickBot="1" x14ac:dyDescent="0.25">
      <c r="A574" s="28">
        <v>573</v>
      </c>
      <c r="B574" s="29">
        <f t="shared" si="66"/>
        <v>16</v>
      </c>
      <c r="C574" s="41">
        <v>45294</v>
      </c>
      <c r="D574" s="30">
        <f>SUM(Data!$I574:$M574)</f>
        <v>59</v>
      </c>
      <c r="E574" s="29">
        <v>14</v>
      </c>
      <c r="F574" s="29">
        <v>665</v>
      </c>
      <c r="G574" s="29">
        <v>167</v>
      </c>
      <c r="H574" s="29">
        <v>128</v>
      </c>
      <c r="I574" s="29">
        <v>12</v>
      </c>
      <c r="J574" s="29">
        <v>16</v>
      </c>
      <c r="K574" s="29">
        <v>17</v>
      </c>
      <c r="L574" s="29">
        <v>12</v>
      </c>
      <c r="M574" s="29">
        <v>2</v>
      </c>
      <c r="N574" s="29" t="s">
        <v>91</v>
      </c>
      <c r="O574" s="29" t="s">
        <v>57</v>
      </c>
      <c r="P574" s="29" t="s">
        <v>96</v>
      </c>
      <c r="Q574" s="29">
        <f t="shared" si="72"/>
        <v>3</v>
      </c>
      <c r="R574" s="29" t="str">
        <f t="shared" si="67"/>
        <v>1-2024</v>
      </c>
      <c r="S574" s="29" t="s">
        <v>104</v>
      </c>
      <c r="T574" s="29" t="str">
        <f t="shared" si="68"/>
        <v>Wednesday</v>
      </c>
      <c r="U574" s="29">
        <f t="shared" si="69"/>
        <v>1</v>
      </c>
      <c r="V574" s="31">
        <f>IFERROR(Data!$I574/Data!$D574,"")</f>
        <v>0.20338983050847459</v>
      </c>
      <c r="W574" s="31">
        <f>IFERROR(Data!$J574/Data!$D574,"")</f>
        <v>0.2711864406779661</v>
      </c>
      <c r="X574" s="31">
        <f>IFERROR(Data!$K574/Data!$D574,"")</f>
        <v>0.28813559322033899</v>
      </c>
      <c r="Y574" s="31">
        <f>IFERROR(Data!$L574/Data!$D574,"")</f>
        <v>0.20338983050847459</v>
      </c>
      <c r="Z574" s="31">
        <f>IFERROR(Data!$M574/Data!$D574,"")</f>
        <v>3.3898305084745763E-2</v>
      </c>
      <c r="AA574" s="32">
        <v>232.14</v>
      </c>
      <c r="AB574" s="32">
        <f t="shared" si="73"/>
        <v>14.508749999999999</v>
      </c>
      <c r="AC574" s="29">
        <f t="shared" si="70"/>
        <v>634.0625</v>
      </c>
      <c r="AD574" s="29">
        <f t="shared" si="71"/>
        <v>13.4375</v>
      </c>
      <c r="AE574" s="29">
        <f>YEAR(Data!$C574)</f>
        <v>2024</v>
      </c>
      <c r="AF574" s="29"/>
      <c r="AG574" s="29">
        <v>12</v>
      </c>
      <c r="AH574" s="33">
        <f>Data!$F574/Data!$D574</f>
        <v>11.271186440677965</v>
      </c>
      <c r="AI574" s="17" t="str">
        <f>RIGHT(Data!$O574,2)</f>
        <v>PM</v>
      </c>
      <c r="AJ574" s="29" t="str">
        <f>Data!$R574&amp;"-"&amp;WEEKNUM(Data!$C574,1)-WEEKNUM(DATE(YEAR(Data!$C574),MONTH(Data!$C574),1),1)+1</f>
        <v>1-2024-1</v>
      </c>
      <c r="AK574" s="29">
        <f>MONTH(Data!$C574)</f>
        <v>1</v>
      </c>
      <c r="AL574" s="29">
        <f>IFERROR(Data!$F574/Data!$E574,0)</f>
        <v>47.5</v>
      </c>
      <c r="AM574" s="29">
        <f>COUNTIF(Data!$N$2:$N$825,Data!$N574)</f>
        <v>218</v>
      </c>
      <c r="AN574" s="29" t="str">
        <f>VLOOKUP(Data!$N574,'Helpful Tables'!A:D,4,FALSE)</f>
        <v>Washington, DC</v>
      </c>
      <c r="AO574" s="29">
        <f>COUNTIF(AN:AN,Data!$AN574)/COUNTA(AN:AN)</f>
        <v>0.62424242424242427</v>
      </c>
      <c r="AP574" s="29">
        <v>38.934710000000003</v>
      </c>
      <c r="AQ574" s="29">
        <v>-77.058222999999998</v>
      </c>
      <c r="AR574" s="29">
        <f>COUNTIF(Data!$P$2:$P$825,Data!$P574)</f>
        <v>71</v>
      </c>
      <c r="AS574" s="29" cm="1">
        <f t="array" ref="AS574">_xlfn.IFS(Data!$E574&lt;12,((Data!$E574/Data!$D574)*60)*1,AND(Data!$E574&gt;=12,Data!$E574&lt;=15),((Data!$E574/Data!$D574)*60)*1.2,AND(Data!$E574&gt;=16,Data!$E574&lt;=19),((Data!$E574/Data!$D574)*60)*1.5,Data!$E574&gt;=20,((Data!$E574/Data!$D574)*60)*1.8)</f>
        <v>17.084745762711865</v>
      </c>
      <c r="AT574" s="29" cm="1">
        <f t="array" ref="AT574">_xlfn.IFS(Data!$F574&lt;600,((Data!$F574/Data!$D574)*60)*1,AND(Data!$F574&gt;=600,Data!$F574&lt;=625),((Data!$F574/Data!$D574)*60)*1.2,AND(Data!$F574&gt;=626,Data!$F574&lt;=650),((Data!$F574/Data!$D574)*60)*1.5,Data!$F574&gt;=651,((Data!$F574/Data!$D574)*60)*1.8)</f>
        <v>1217.2881355932202</v>
      </c>
      <c r="AU574" s="29">
        <f>(Data!$I574*-1.2)+(Data!$J574*-1.1)+(Data!$K574*1.2)+(Data!$L574*1.3)+(Data!$M574*1.5)</f>
        <v>7</v>
      </c>
      <c r="AV574" s="29">
        <f>(Data!$AS574*0.4)+(Data!$AT574*0.4)+(Data!$AU574*0.2)</f>
        <v>495.1491525423728</v>
      </c>
      <c r="AW574" s="34">
        <f>PERCENTRANK(AV:AV,Data!$AV574)*100</f>
        <v>74.599999999999994</v>
      </c>
      <c r="AX574" s="29" t="str">
        <f>_xlfn.CONCAT(TEXT(C574,"mmm"),"-",Data!$AE574)</f>
        <v>Jan-2024</v>
      </c>
    </row>
    <row r="575" spans="1:50" ht="17" thickTop="1" thickBot="1" x14ac:dyDescent="0.25">
      <c r="A575" s="22">
        <v>574</v>
      </c>
      <c r="B575" s="23">
        <f t="shared" si="66"/>
        <v>16</v>
      </c>
      <c r="C575" s="41">
        <v>45297</v>
      </c>
      <c r="D575" s="24">
        <f>SUM(Data!$I575:$M575)</f>
        <v>61</v>
      </c>
      <c r="E575" s="23">
        <v>14</v>
      </c>
      <c r="F575" s="23">
        <v>655</v>
      </c>
      <c r="G575" s="23">
        <v>167</v>
      </c>
      <c r="H575" s="23">
        <v>125</v>
      </c>
      <c r="I575" s="23">
        <v>14</v>
      </c>
      <c r="J575" s="23">
        <v>21</v>
      </c>
      <c r="K575" s="23">
        <v>12</v>
      </c>
      <c r="L575" s="23">
        <v>11</v>
      </c>
      <c r="M575" s="23">
        <v>3</v>
      </c>
      <c r="N575" s="23" t="s">
        <v>91</v>
      </c>
      <c r="O575" s="23" t="s">
        <v>79</v>
      </c>
      <c r="P575" s="23" t="s">
        <v>188</v>
      </c>
      <c r="Q575" s="23">
        <f t="shared" si="72"/>
        <v>3</v>
      </c>
      <c r="R575" s="23" t="str">
        <f t="shared" si="67"/>
        <v>1-2024</v>
      </c>
      <c r="S575" s="23" t="s">
        <v>104</v>
      </c>
      <c r="T575" s="23" t="str">
        <f t="shared" si="68"/>
        <v>Saturday</v>
      </c>
      <c r="U575" s="23">
        <f t="shared" si="69"/>
        <v>1</v>
      </c>
      <c r="V575" s="25">
        <f>IFERROR(Data!$I575/Data!$D575,"")</f>
        <v>0.22950819672131148</v>
      </c>
      <c r="W575" s="25">
        <f>IFERROR(Data!$J575/Data!$D575,"")</f>
        <v>0.34426229508196721</v>
      </c>
      <c r="X575" s="25">
        <f>IFERROR(Data!$K575/Data!$D575,"")</f>
        <v>0.19672131147540983</v>
      </c>
      <c r="Y575" s="25">
        <f>IFERROR(Data!$L575/Data!$D575,"")</f>
        <v>0.18032786885245902</v>
      </c>
      <c r="Z575" s="25">
        <f>IFERROR(Data!$M575/Data!$D575,"")</f>
        <v>4.9180327868852458E-2</v>
      </c>
      <c r="AA575" s="26">
        <v>232.14</v>
      </c>
      <c r="AB575" s="26">
        <f t="shared" si="73"/>
        <v>14.508749999999999</v>
      </c>
      <c r="AC575" s="23">
        <f t="shared" si="70"/>
        <v>634.0625</v>
      </c>
      <c r="AD575" s="23">
        <f t="shared" si="71"/>
        <v>13.4375</v>
      </c>
      <c r="AE575" s="23">
        <f>YEAR(Data!$C575)</f>
        <v>2024</v>
      </c>
      <c r="AF575" s="23"/>
      <c r="AG575" s="23">
        <v>12</v>
      </c>
      <c r="AH575" s="27">
        <f>Data!$F575/Data!$D575</f>
        <v>10.737704918032787</v>
      </c>
      <c r="AI575" s="17" t="str">
        <f>RIGHT(Data!$O575,2)</f>
        <v>AM</v>
      </c>
      <c r="AJ575" s="23" t="str">
        <f>Data!$R575&amp;"-"&amp;WEEKNUM(Data!$C575,1)-WEEKNUM(DATE(YEAR(Data!$C575),MONTH(Data!$C575),1),1)+1</f>
        <v>1-2024-1</v>
      </c>
      <c r="AK575" s="23">
        <f>MONTH(Data!$C575)</f>
        <v>1</v>
      </c>
      <c r="AL575" s="23">
        <f>IFERROR(Data!$F575/Data!$E575,0)</f>
        <v>46.785714285714285</v>
      </c>
      <c r="AM575" s="23">
        <f>COUNTIF(Data!$N$2:$N$825,Data!$N575)</f>
        <v>218</v>
      </c>
      <c r="AN575" s="23" t="str">
        <f>VLOOKUP(Data!$N575,'Helpful Tables'!A:D,4,FALSE)</f>
        <v>Washington, DC</v>
      </c>
      <c r="AO575" s="23">
        <f>COUNTIF(AN:AN,Data!$AN575)/COUNTA(AN:AN)</f>
        <v>0.62424242424242427</v>
      </c>
      <c r="AP575" s="23">
        <v>38.934710000000003</v>
      </c>
      <c r="AQ575" s="23">
        <v>-77.058222999999998</v>
      </c>
      <c r="AR575" s="23">
        <f>COUNTIF(Data!$P$2:$P$825,Data!$P575)</f>
        <v>10</v>
      </c>
      <c r="AS575" s="23" cm="1">
        <f t="array" ref="AS575">_xlfn.IFS(Data!$E575&lt;12,((Data!$E575/Data!$D575)*60)*1,AND(Data!$E575&gt;=12,Data!$E575&lt;=15),((Data!$E575/Data!$D575)*60)*1.2,AND(Data!$E575&gt;=16,Data!$E575&lt;=19),((Data!$E575/Data!$D575)*60)*1.5,Data!$E575&gt;=20,((Data!$E575/Data!$D575)*60)*1.8)</f>
        <v>16.524590163934427</v>
      </c>
      <c r="AT575" s="23" cm="1">
        <f t="array" ref="AT575">_xlfn.IFS(Data!$F575&lt;600,((Data!$F575/Data!$D575)*60)*1,AND(Data!$F575&gt;=600,Data!$F575&lt;=625),((Data!$F575/Data!$D575)*60)*1.2,AND(Data!$F575&gt;=626,Data!$F575&lt;=650),((Data!$F575/Data!$D575)*60)*1.5,Data!$F575&gt;=651,((Data!$F575/Data!$D575)*60)*1.8)</f>
        <v>1159.672131147541</v>
      </c>
      <c r="AU575" s="23">
        <f>(Data!$I575*-1.2)+(Data!$J575*-1.1)+(Data!$K575*1.2)+(Data!$L575*1.3)+(Data!$M575*1.5)</f>
        <v>-6.7000000000000064</v>
      </c>
      <c r="AV575" s="23">
        <f>(Data!$AS575*0.4)+(Data!$AT575*0.4)+(Data!$AU575*0.2)</f>
        <v>469.13868852459018</v>
      </c>
      <c r="AW575" s="35">
        <f>PERCENTRANK(AV:AV,Data!$AV575)*100</f>
        <v>66.8</v>
      </c>
      <c r="AX575" s="23" t="str">
        <f>_xlfn.CONCAT(TEXT(C575,"mmm"),"-",Data!$AE575)</f>
        <v>Jan-2024</v>
      </c>
    </row>
    <row r="576" spans="1:50" ht="17" thickTop="1" thickBot="1" x14ac:dyDescent="0.25">
      <c r="A576" s="28">
        <v>575</v>
      </c>
      <c r="B576" s="29">
        <f t="shared" si="66"/>
        <v>16</v>
      </c>
      <c r="C576" s="41">
        <v>45298</v>
      </c>
      <c r="D576" s="30">
        <f>SUM(Data!$I576:$M576)</f>
        <v>57</v>
      </c>
      <c r="E576" s="29">
        <v>19</v>
      </c>
      <c r="F576" s="29">
        <v>689</v>
      </c>
      <c r="G576" s="29">
        <v>166</v>
      </c>
      <c r="H576" s="29">
        <v>133</v>
      </c>
      <c r="I576" s="29">
        <v>6</v>
      </c>
      <c r="J576" s="29">
        <v>16</v>
      </c>
      <c r="K576" s="29">
        <v>16</v>
      </c>
      <c r="L576" s="29">
        <v>16</v>
      </c>
      <c r="M576" s="29">
        <v>3</v>
      </c>
      <c r="N576" s="29" t="s">
        <v>101</v>
      </c>
      <c r="O576" s="29" t="s">
        <v>192</v>
      </c>
      <c r="P576" s="29" t="s">
        <v>202</v>
      </c>
      <c r="Q576" s="29">
        <f t="shared" si="72"/>
        <v>1</v>
      </c>
      <c r="R576" s="29" t="str">
        <f t="shared" si="67"/>
        <v>1-2024</v>
      </c>
      <c r="S576" s="29" t="s">
        <v>104</v>
      </c>
      <c r="T576" s="29" t="str">
        <f t="shared" si="68"/>
        <v>Sunday</v>
      </c>
      <c r="U576" s="29">
        <f t="shared" si="69"/>
        <v>1</v>
      </c>
      <c r="V576" s="31">
        <f>IFERROR(Data!$I576/Data!$D576,"")</f>
        <v>0.10526315789473684</v>
      </c>
      <c r="W576" s="31">
        <f>IFERROR(Data!$J576/Data!$D576,"")</f>
        <v>0.2807017543859649</v>
      </c>
      <c r="X576" s="31">
        <f>IFERROR(Data!$K576/Data!$D576,"")</f>
        <v>0.2807017543859649</v>
      </c>
      <c r="Y576" s="31">
        <f>IFERROR(Data!$L576/Data!$D576,"")</f>
        <v>0.2807017543859649</v>
      </c>
      <c r="Z576" s="31">
        <f>IFERROR(Data!$M576/Data!$D576,"")</f>
        <v>5.2631578947368418E-2</v>
      </c>
      <c r="AA576" s="32">
        <v>232.14</v>
      </c>
      <c r="AB576" s="32">
        <f t="shared" si="73"/>
        <v>14.508749999999999</v>
      </c>
      <c r="AC576" s="29">
        <f t="shared" si="70"/>
        <v>634.0625</v>
      </c>
      <c r="AD576" s="29">
        <f t="shared" si="71"/>
        <v>13.4375</v>
      </c>
      <c r="AE576" s="29">
        <f>YEAR(Data!$C576)</f>
        <v>2024</v>
      </c>
      <c r="AF576" s="29"/>
      <c r="AG576" s="29">
        <v>12</v>
      </c>
      <c r="AH576" s="33">
        <f>Data!$F576/Data!$D576</f>
        <v>12.087719298245615</v>
      </c>
      <c r="AI576" s="17" t="str">
        <f>RIGHT(Data!$O576,2)</f>
        <v>PM</v>
      </c>
      <c r="AJ576" s="29" t="str">
        <f>Data!$R576&amp;"-"&amp;WEEKNUM(Data!$C576,1)-WEEKNUM(DATE(YEAR(Data!$C576),MONTH(Data!$C576),1),1)+1</f>
        <v>1-2024-2</v>
      </c>
      <c r="AK576" s="29">
        <f>MONTH(Data!$C576)</f>
        <v>1</v>
      </c>
      <c r="AL576" s="29">
        <f>IFERROR(Data!$F576/Data!$E576,0)</f>
        <v>36.263157894736842</v>
      </c>
      <c r="AM576" s="29">
        <f>COUNTIF(Data!$N$2:$N$825,Data!$N576)</f>
        <v>191</v>
      </c>
      <c r="AN576" s="29" t="str">
        <f>VLOOKUP(Data!$N576,'Helpful Tables'!A:D,4,FALSE)</f>
        <v>Washington, DC</v>
      </c>
      <c r="AO576" s="29">
        <f>COUNTIF(AN:AN,Data!$AN576)/COUNTA(AN:AN)</f>
        <v>0.62424242424242427</v>
      </c>
      <c r="AP576" s="29">
        <v>38.949649000000001</v>
      </c>
      <c r="AQ576" s="29">
        <v>-77.080878999999996</v>
      </c>
      <c r="AR576" s="29">
        <f>COUNTIF(Data!$P$2:$P$825,Data!$P576)</f>
        <v>4</v>
      </c>
      <c r="AS576" s="29" cm="1">
        <f t="array" ref="AS576">_xlfn.IFS(Data!$E576&lt;12,((Data!$E576/Data!$D576)*60)*1,AND(Data!$E576&gt;=12,Data!$E576&lt;=15),((Data!$E576/Data!$D576)*60)*1.2,AND(Data!$E576&gt;=16,Data!$E576&lt;=19),((Data!$E576/Data!$D576)*60)*1.5,Data!$E576&gt;=20,((Data!$E576/Data!$D576)*60)*1.8)</f>
        <v>30</v>
      </c>
      <c r="AT576" s="29" cm="1">
        <f t="array" ref="AT576">_xlfn.IFS(Data!$F576&lt;600,((Data!$F576/Data!$D576)*60)*1,AND(Data!$F576&gt;=600,Data!$F576&lt;=625),((Data!$F576/Data!$D576)*60)*1.2,AND(Data!$F576&gt;=626,Data!$F576&lt;=650),((Data!$F576/Data!$D576)*60)*1.5,Data!$F576&gt;=651,((Data!$F576/Data!$D576)*60)*1.8)</f>
        <v>1305.4736842105265</v>
      </c>
      <c r="AU576" s="29">
        <f>(Data!$I576*-1.2)+(Data!$J576*-1.1)+(Data!$K576*1.2)+(Data!$L576*1.3)+(Data!$M576*1.5)</f>
        <v>19.7</v>
      </c>
      <c r="AV576" s="29">
        <f>(Data!$AS576*0.4)+(Data!$AT576*0.4)+(Data!$AU576*0.2)</f>
        <v>538.12947368421067</v>
      </c>
      <c r="AW576" s="34">
        <f>PERCENTRANK(AV:AV,Data!$AV576)*100</f>
        <v>96</v>
      </c>
      <c r="AX576" s="29" t="str">
        <f>_xlfn.CONCAT(TEXT(C576,"mmm"),"-",Data!$AE576)</f>
        <v>Jan-2024</v>
      </c>
    </row>
    <row r="577" spans="1:50" ht="17" thickTop="1" thickBot="1" x14ac:dyDescent="0.25">
      <c r="A577" s="22">
        <v>576</v>
      </c>
      <c r="B577" s="23">
        <f t="shared" si="66"/>
        <v>16</v>
      </c>
      <c r="C577" s="41">
        <v>45300</v>
      </c>
      <c r="D577" s="24">
        <f>SUM(Data!$I577:$M577)</f>
        <v>56</v>
      </c>
      <c r="E577" s="23">
        <v>12</v>
      </c>
      <c r="F577" s="23">
        <v>638</v>
      </c>
      <c r="G577" s="23">
        <v>169</v>
      </c>
      <c r="H577" s="23">
        <v>128</v>
      </c>
      <c r="I577" s="23">
        <v>9</v>
      </c>
      <c r="J577" s="23">
        <v>16</v>
      </c>
      <c r="K577" s="23">
        <v>19</v>
      </c>
      <c r="L577" s="23">
        <v>9</v>
      </c>
      <c r="M577" s="23">
        <v>3</v>
      </c>
      <c r="N577" s="23" t="s">
        <v>101</v>
      </c>
      <c r="O577" s="23" t="s">
        <v>173</v>
      </c>
      <c r="P577" s="23" t="s">
        <v>202</v>
      </c>
      <c r="Q577" s="23">
        <f t="shared" si="72"/>
        <v>2</v>
      </c>
      <c r="R577" s="23" t="str">
        <f t="shared" si="67"/>
        <v>1-2024</v>
      </c>
      <c r="S577" s="23" t="s">
        <v>145</v>
      </c>
      <c r="T577" s="23" t="str">
        <f t="shared" si="68"/>
        <v>Tuesday</v>
      </c>
      <c r="U577" s="23">
        <f t="shared" si="69"/>
        <v>1</v>
      </c>
      <c r="V577" s="25">
        <f>IFERROR(Data!$I577/Data!$D577,"")</f>
        <v>0.16071428571428573</v>
      </c>
      <c r="W577" s="25">
        <f>IFERROR(Data!$J577/Data!$D577,"")</f>
        <v>0.2857142857142857</v>
      </c>
      <c r="X577" s="25">
        <f>IFERROR(Data!$K577/Data!$D577,"")</f>
        <v>0.3392857142857143</v>
      </c>
      <c r="Y577" s="25">
        <f>IFERROR(Data!$L577/Data!$D577,"")</f>
        <v>0.16071428571428573</v>
      </c>
      <c r="Z577" s="25">
        <f>IFERROR(Data!$M577/Data!$D577,"")</f>
        <v>5.3571428571428568E-2</v>
      </c>
      <c r="AA577" s="26">
        <v>232.14</v>
      </c>
      <c r="AB577" s="26">
        <f t="shared" si="73"/>
        <v>14.508749999999999</v>
      </c>
      <c r="AC577" s="23">
        <f t="shared" si="70"/>
        <v>634.0625</v>
      </c>
      <c r="AD577" s="23">
        <f t="shared" si="71"/>
        <v>13.4375</v>
      </c>
      <c r="AE577" s="23">
        <f>YEAR(Data!$C577)</f>
        <v>2024</v>
      </c>
      <c r="AF577" s="23"/>
      <c r="AG577" s="23">
        <v>12</v>
      </c>
      <c r="AH577" s="27">
        <f>Data!$F577/Data!$D577</f>
        <v>11.392857142857142</v>
      </c>
      <c r="AI577" s="17" t="str">
        <f>RIGHT(Data!$O577,2)</f>
        <v>PM</v>
      </c>
      <c r="AJ577" s="23" t="str">
        <f>Data!$R577&amp;"-"&amp;WEEKNUM(Data!$C577,1)-WEEKNUM(DATE(YEAR(Data!$C577),MONTH(Data!$C577),1),1)+1</f>
        <v>1-2024-2</v>
      </c>
      <c r="AK577" s="23">
        <f>MONTH(Data!$C577)</f>
        <v>1</v>
      </c>
      <c r="AL577" s="23">
        <f>IFERROR(Data!$F577/Data!$E577,0)</f>
        <v>53.166666666666664</v>
      </c>
      <c r="AM577" s="23">
        <f>COUNTIF(Data!$N$2:$N$825,Data!$N577)</f>
        <v>191</v>
      </c>
      <c r="AN577" s="23" t="str">
        <f>VLOOKUP(Data!$N577,'Helpful Tables'!A:D,4,FALSE)</f>
        <v>Washington, DC</v>
      </c>
      <c r="AO577" s="23">
        <f>COUNTIF(AN:AN,Data!$AN577)/COUNTA(AN:AN)</f>
        <v>0.62424242424242427</v>
      </c>
      <c r="AP577" s="23">
        <v>38.949649000000001</v>
      </c>
      <c r="AQ577" s="23">
        <v>-77.080878999999996</v>
      </c>
      <c r="AR577" s="23">
        <f>COUNTIF(Data!$P$2:$P$825,Data!$P577)</f>
        <v>4</v>
      </c>
      <c r="AS577" s="23" cm="1">
        <f t="array" ref="AS577">_xlfn.IFS(Data!$E577&lt;12,((Data!$E577/Data!$D577)*60)*1,AND(Data!$E577&gt;=12,Data!$E577&lt;=15),((Data!$E577/Data!$D577)*60)*1.2,AND(Data!$E577&gt;=16,Data!$E577&lt;=19),((Data!$E577/Data!$D577)*60)*1.5,Data!$E577&gt;=20,((Data!$E577/Data!$D577)*60)*1.8)</f>
        <v>15.428571428571427</v>
      </c>
      <c r="AT577" s="23" cm="1">
        <f t="array" ref="AT577">_xlfn.IFS(Data!$F577&lt;600,((Data!$F577/Data!$D577)*60)*1,AND(Data!$F577&gt;=600,Data!$F577&lt;=625),((Data!$F577/Data!$D577)*60)*1.2,AND(Data!$F577&gt;=626,Data!$F577&lt;=650),((Data!$F577/Data!$D577)*60)*1.5,Data!$F577&gt;=651,((Data!$F577/Data!$D577)*60)*1.8)</f>
        <v>1025.3571428571429</v>
      </c>
      <c r="AU577" s="23">
        <f>(Data!$I577*-1.2)+(Data!$J577*-1.1)+(Data!$K577*1.2)+(Data!$L577*1.3)+(Data!$M577*1.5)</f>
        <v>10.600000000000003</v>
      </c>
      <c r="AV577" s="23">
        <f>(Data!$AS577*0.4)+(Data!$AT577*0.4)+(Data!$AU577*0.2)</f>
        <v>418.43428571428575</v>
      </c>
      <c r="AW577" s="35">
        <f>PERCENTRANK(AV:AV,Data!$AV577)*100</f>
        <v>60.5</v>
      </c>
      <c r="AX577" s="23" t="str">
        <f>_xlfn.CONCAT(TEXT(C577,"mmm"),"-",Data!$AE577)</f>
        <v>Jan-2024</v>
      </c>
    </row>
    <row r="578" spans="1:50" ht="17" thickTop="1" thickBot="1" x14ac:dyDescent="0.25">
      <c r="A578" s="28">
        <v>577</v>
      </c>
      <c r="B578" s="29">
        <f t="shared" ref="B578:B641" si="74">COUNTIF(R:R,R578)</f>
        <v>16</v>
      </c>
      <c r="C578" s="41">
        <v>45301</v>
      </c>
      <c r="D578" s="30">
        <f>SUM(Data!$I578:$M578)</f>
        <v>60</v>
      </c>
      <c r="E578" s="29">
        <v>9</v>
      </c>
      <c r="F578" s="29">
        <v>604</v>
      </c>
      <c r="G578" s="29">
        <v>171</v>
      </c>
      <c r="H578" s="29">
        <v>121</v>
      </c>
      <c r="I578" s="29">
        <v>18</v>
      </c>
      <c r="J578" s="29">
        <v>16</v>
      </c>
      <c r="K578" s="29">
        <v>17</v>
      </c>
      <c r="L578" s="29">
        <v>8</v>
      </c>
      <c r="M578" s="29">
        <v>1</v>
      </c>
      <c r="N578" s="29" t="s">
        <v>91</v>
      </c>
      <c r="O578" s="29" t="s">
        <v>57</v>
      </c>
      <c r="P578" s="29" t="s">
        <v>96</v>
      </c>
      <c r="Q578" s="29">
        <f t="shared" si="72"/>
        <v>1</v>
      </c>
      <c r="R578" s="29" t="str">
        <f t="shared" ref="R578:R641" si="75">MONTH(C578)&amp;"-"&amp;YEAR(C578)</f>
        <v>1-2024</v>
      </c>
      <c r="S578" s="29" t="s">
        <v>104</v>
      </c>
      <c r="T578" s="29" t="str">
        <f t="shared" ref="T578:T641" si="76">IF(WEEKDAY(C578)=1,"Sunday",IF(WEEKDAY(C578)=2,"Monday",IF(WEEKDAY(C578)=3,"Tuesday",IF(WEEKDAY(C578)=4,"Wednesday",IF(WEEKDAY(C578)=5,"Thursday",IF(WEEKDAY(C578)=6,"Friday","Saturday"))))))</f>
        <v>Wednesday</v>
      </c>
      <c r="U578" s="29">
        <f t="shared" ref="U578:U641" si="77">IF(E578&gt;=12,1,0)</f>
        <v>0</v>
      </c>
      <c r="V578" s="31">
        <f>IFERROR(Data!$I578/Data!$D578,"")</f>
        <v>0.3</v>
      </c>
      <c r="W578" s="31">
        <f>IFERROR(Data!$J578/Data!$D578,"")</f>
        <v>0.26666666666666666</v>
      </c>
      <c r="X578" s="31">
        <f>IFERROR(Data!$K578/Data!$D578,"")</f>
        <v>0.28333333333333333</v>
      </c>
      <c r="Y578" s="31">
        <f>IFERROR(Data!$L578/Data!$D578,"")</f>
        <v>0.13333333333333333</v>
      </c>
      <c r="Z578" s="31">
        <f>IFERROR(Data!$M578/Data!$D578,"")</f>
        <v>1.6666666666666666E-2</v>
      </c>
      <c r="AA578" s="32">
        <v>232.14</v>
      </c>
      <c r="AB578" s="32">
        <f t="shared" si="73"/>
        <v>14.508749999999999</v>
      </c>
      <c r="AC578" s="29">
        <f t="shared" ref="AC578:AC641" si="78">AVERAGEIF(R:R,R578,F:F)</f>
        <v>634.0625</v>
      </c>
      <c r="AD578" s="29">
        <f t="shared" ref="AD578:AD641" si="79">AVERAGEIF(R:R,R578,E:E)</f>
        <v>13.4375</v>
      </c>
      <c r="AE578" s="29">
        <f>YEAR(Data!$C578)</f>
        <v>2024</v>
      </c>
      <c r="AF578" s="29"/>
      <c r="AG578" s="29">
        <v>12</v>
      </c>
      <c r="AH578" s="33">
        <f>Data!$F578/Data!$D578</f>
        <v>10.066666666666666</v>
      </c>
      <c r="AI578" s="17" t="str">
        <f>RIGHT(Data!$O578,2)</f>
        <v>PM</v>
      </c>
      <c r="AJ578" s="29" t="str">
        <f>Data!$R578&amp;"-"&amp;WEEKNUM(Data!$C578,1)-WEEKNUM(DATE(YEAR(Data!$C578),MONTH(Data!$C578),1),1)+1</f>
        <v>1-2024-2</v>
      </c>
      <c r="AK578" s="29">
        <f>MONTH(Data!$C578)</f>
        <v>1</v>
      </c>
      <c r="AL578" s="29">
        <f>IFERROR(Data!$F578/Data!$E578,0)</f>
        <v>67.111111111111114</v>
      </c>
      <c r="AM578" s="29">
        <f>COUNTIF(Data!$N$2:$N$825,Data!$N578)</f>
        <v>218</v>
      </c>
      <c r="AN578" s="29" t="str">
        <f>VLOOKUP(Data!$N578,'Helpful Tables'!A:D,4,FALSE)</f>
        <v>Washington, DC</v>
      </c>
      <c r="AO578" s="29">
        <f>COUNTIF(AN:AN,Data!$AN578)/COUNTA(AN:AN)</f>
        <v>0.62424242424242427</v>
      </c>
      <c r="AP578" s="29">
        <v>38.934710000000003</v>
      </c>
      <c r="AQ578" s="29">
        <v>-77.058222999999998</v>
      </c>
      <c r="AR578" s="29">
        <f>COUNTIF(Data!$P$2:$P$825,Data!$P578)</f>
        <v>71</v>
      </c>
      <c r="AS578" s="29" cm="1">
        <f t="array" ref="AS578">_xlfn.IFS(Data!$E578&lt;12,((Data!$E578/Data!$D578)*60)*1,AND(Data!$E578&gt;=12,Data!$E578&lt;=15),((Data!$E578/Data!$D578)*60)*1.2,AND(Data!$E578&gt;=16,Data!$E578&lt;=19),((Data!$E578/Data!$D578)*60)*1.5,Data!$E578&gt;=20,((Data!$E578/Data!$D578)*60)*1.8)</f>
        <v>9</v>
      </c>
      <c r="AT578" s="29" cm="1">
        <f t="array" ref="AT578">_xlfn.IFS(Data!$F578&lt;600,((Data!$F578/Data!$D578)*60)*1,AND(Data!$F578&gt;=600,Data!$F578&lt;=625),((Data!$F578/Data!$D578)*60)*1.2,AND(Data!$F578&gt;=626,Data!$F578&lt;=650),((Data!$F578/Data!$D578)*60)*1.5,Data!$F578&gt;=651,((Data!$F578/Data!$D578)*60)*1.8)</f>
        <v>724.8</v>
      </c>
      <c r="AU578" s="29">
        <f>(Data!$I578*-1.2)+(Data!$J578*-1.1)+(Data!$K578*1.2)+(Data!$L578*1.3)+(Data!$M578*1.5)</f>
        <v>-6.9000000000000039</v>
      </c>
      <c r="AV578" s="29">
        <f>(Data!$AS578*0.4)+(Data!$AT578*0.4)+(Data!$AU578*0.2)</f>
        <v>292.14000000000004</v>
      </c>
      <c r="AW578" s="34">
        <f>PERCENTRANK(AV:AV,Data!$AV578)*100</f>
        <v>24.4</v>
      </c>
      <c r="AX578" s="29" t="str">
        <f>_xlfn.CONCAT(TEXT(C578,"mmm"),"-",Data!$AE578)</f>
        <v>Jan-2024</v>
      </c>
    </row>
    <row r="579" spans="1:50" ht="17" thickTop="1" thickBot="1" x14ac:dyDescent="0.25">
      <c r="A579" s="22">
        <v>578</v>
      </c>
      <c r="B579" s="23">
        <f t="shared" si="74"/>
        <v>16</v>
      </c>
      <c r="C579" s="41">
        <v>45303</v>
      </c>
      <c r="D579" s="24">
        <f>SUM(Data!$I579:$M579)</f>
        <v>57</v>
      </c>
      <c r="E579" s="23">
        <v>12</v>
      </c>
      <c r="F579" s="23">
        <v>650</v>
      </c>
      <c r="G579" s="23">
        <v>163</v>
      </c>
      <c r="H579" s="23">
        <v>128</v>
      </c>
      <c r="I579" s="23">
        <v>9</v>
      </c>
      <c r="J579" s="23">
        <v>20</v>
      </c>
      <c r="K579" s="23">
        <v>16</v>
      </c>
      <c r="L579" s="23">
        <v>12</v>
      </c>
      <c r="M579" s="23">
        <v>0</v>
      </c>
      <c r="N579" s="23" t="s">
        <v>101</v>
      </c>
      <c r="O579" s="23" t="s">
        <v>173</v>
      </c>
      <c r="P579" s="23" t="s">
        <v>189</v>
      </c>
      <c r="Q579" s="23">
        <f t="shared" ref="Q579:Q642" si="80">C579-C578</f>
        <v>2</v>
      </c>
      <c r="R579" s="23" t="str">
        <f t="shared" si="75"/>
        <v>1-2024</v>
      </c>
      <c r="S579" s="23" t="s">
        <v>104</v>
      </c>
      <c r="T579" s="23" t="str">
        <f t="shared" si="76"/>
        <v>Friday</v>
      </c>
      <c r="U579" s="23">
        <f t="shared" si="77"/>
        <v>1</v>
      </c>
      <c r="V579" s="25">
        <f>IFERROR(Data!$I579/Data!$D579,"")</f>
        <v>0.15789473684210525</v>
      </c>
      <c r="W579" s="25">
        <f>IFERROR(Data!$J579/Data!$D579,"")</f>
        <v>0.35087719298245612</v>
      </c>
      <c r="X579" s="25">
        <f>IFERROR(Data!$K579/Data!$D579,"")</f>
        <v>0.2807017543859649</v>
      </c>
      <c r="Y579" s="25">
        <f>IFERROR(Data!$L579/Data!$D579,"")</f>
        <v>0.21052631578947367</v>
      </c>
      <c r="Z579" s="25">
        <f>IFERROR(Data!$M579/Data!$D579,"")</f>
        <v>0</v>
      </c>
      <c r="AA579" s="26">
        <v>232.14</v>
      </c>
      <c r="AB579" s="26">
        <f t="shared" si="73"/>
        <v>14.508749999999999</v>
      </c>
      <c r="AC579" s="23">
        <f t="shared" si="78"/>
        <v>634.0625</v>
      </c>
      <c r="AD579" s="23">
        <f t="shared" si="79"/>
        <v>13.4375</v>
      </c>
      <c r="AE579" s="23">
        <f>YEAR(Data!$C579)</f>
        <v>2024</v>
      </c>
      <c r="AF579" s="23"/>
      <c r="AG579" s="23">
        <v>12</v>
      </c>
      <c r="AH579" s="27">
        <f>Data!$F579/Data!$D579</f>
        <v>11.403508771929825</v>
      </c>
      <c r="AI579" s="17" t="str">
        <f>RIGHT(Data!$O579,2)</f>
        <v>PM</v>
      </c>
      <c r="AJ579" s="23" t="str">
        <f>Data!$R579&amp;"-"&amp;WEEKNUM(Data!$C579,1)-WEEKNUM(DATE(YEAR(Data!$C579),MONTH(Data!$C579),1),1)+1</f>
        <v>1-2024-2</v>
      </c>
      <c r="AK579" s="23">
        <f>MONTH(Data!$C579)</f>
        <v>1</v>
      </c>
      <c r="AL579" s="23">
        <f>IFERROR(Data!$F579/Data!$E579,0)</f>
        <v>54.166666666666664</v>
      </c>
      <c r="AM579" s="23">
        <f>COUNTIF(Data!$N$2:$N$825,Data!$N579)</f>
        <v>191</v>
      </c>
      <c r="AN579" s="23" t="str">
        <f>VLOOKUP(Data!$N579,'Helpful Tables'!A:D,4,FALSE)</f>
        <v>Washington, DC</v>
      </c>
      <c r="AO579" s="23">
        <f>COUNTIF(AN:AN,Data!$AN579)/COUNTA(AN:AN)</f>
        <v>0.62424242424242427</v>
      </c>
      <c r="AP579" s="23">
        <v>38.949649000000001</v>
      </c>
      <c r="AQ579" s="23">
        <v>-77.080878999999996</v>
      </c>
      <c r="AR579" s="23">
        <f>COUNTIF(Data!$P$2:$P$825,Data!$P579)</f>
        <v>8</v>
      </c>
      <c r="AS579" s="23" cm="1">
        <f t="array" ref="AS579">_xlfn.IFS(Data!$E579&lt;12,((Data!$E579/Data!$D579)*60)*1,AND(Data!$E579&gt;=12,Data!$E579&lt;=15),((Data!$E579/Data!$D579)*60)*1.2,AND(Data!$E579&gt;=16,Data!$E579&lt;=19),((Data!$E579/Data!$D579)*60)*1.5,Data!$E579&gt;=20,((Data!$E579/Data!$D579)*60)*1.8)</f>
        <v>15.157894736842104</v>
      </c>
      <c r="AT579" s="23" cm="1">
        <f t="array" ref="AT579">_xlfn.IFS(Data!$F579&lt;600,((Data!$F579/Data!$D579)*60)*1,AND(Data!$F579&gt;=600,Data!$F579&lt;=625),((Data!$F579/Data!$D579)*60)*1.2,AND(Data!$F579&gt;=626,Data!$F579&lt;=650),((Data!$F579/Data!$D579)*60)*1.5,Data!$F579&gt;=651,((Data!$F579/Data!$D579)*60)*1.8)</f>
        <v>1026.3157894736842</v>
      </c>
      <c r="AU579" s="23">
        <f>(Data!$I579*-1.2)+(Data!$J579*-1.1)+(Data!$K579*1.2)+(Data!$L579*1.3)+(Data!$M579*1.5)</f>
        <v>2.0000000000000036</v>
      </c>
      <c r="AV579" s="23">
        <f>(Data!$AS579*0.4)+(Data!$AT579*0.4)+(Data!$AU579*0.2)</f>
        <v>416.98947368421051</v>
      </c>
      <c r="AW579" s="35">
        <f>PERCENTRANK(AV:AV,Data!$AV579)*100</f>
        <v>60.099999999999994</v>
      </c>
      <c r="AX579" s="23" t="str">
        <f>_xlfn.CONCAT(TEXT(C579,"mmm"),"-",Data!$AE579)</f>
        <v>Jan-2024</v>
      </c>
    </row>
    <row r="580" spans="1:50" ht="17" thickTop="1" thickBot="1" x14ac:dyDescent="0.25">
      <c r="A580" s="28">
        <v>579</v>
      </c>
      <c r="B580" s="29">
        <f t="shared" si="74"/>
        <v>16</v>
      </c>
      <c r="C580" s="41">
        <v>45305</v>
      </c>
      <c r="D580" s="30">
        <f>SUM(Data!$I580:$M580)</f>
        <v>60</v>
      </c>
      <c r="E580" s="29">
        <v>10</v>
      </c>
      <c r="F580" s="29">
        <v>614</v>
      </c>
      <c r="G580" s="29">
        <v>165</v>
      </c>
      <c r="H580" s="29">
        <v>122</v>
      </c>
      <c r="I580" s="29">
        <v>19</v>
      </c>
      <c r="J580" s="29">
        <v>15</v>
      </c>
      <c r="K580" s="29">
        <v>16</v>
      </c>
      <c r="L580" s="29">
        <v>9</v>
      </c>
      <c r="M580" s="29">
        <v>1</v>
      </c>
      <c r="N580" s="29" t="s">
        <v>91</v>
      </c>
      <c r="O580" s="29" t="s">
        <v>79</v>
      </c>
      <c r="P580" s="29" t="s">
        <v>100</v>
      </c>
      <c r="Q580" s="29">
        <f t="shared" si="80"/>
        <v>2</v>
      </c>
      <c r="R580" s="29" t="str">
        <f t="shared" si="75"/>
        <v>1-2024</v>
      </c>
      <c r="S580" s="29" t="s">
        <v>104</v>
      </c>
      <c r="T580" s="29" t="str">
        <f t="shared" si="76"/>
        <v>Sunday</v>
      </c>
      <c r="U580" s="29">
        <f t="shared" si="77"/>
        <v>0</v>
      </c>
      <c r="V580" s="31">
        <f>IFERROR(Data!$I580/Data!$D580,"")</f>
        <v>0.31666666666666665</v>
      </c>
      <c r="W580" s="31">
        <f>IFERROR(Data!$J580/Data!$D580,"")</f>
        <v>0.25</v>
      </c>
      <c r="X580" s="31">
        <f>IFERROR(Data!$K580/Data!$D580,"")</f>
        <v>0.26666666666666666</v>
      </c>
      <c r="Y580" s="31">
        <f>IFERROR(Data!$L580/Data!$D580,"")</f>
        <v>0.15</v>
      </c>
      <c r="Z580" s="31">
        <f>IFERROR(Data!$M580/Data!$D580,"")</f>
        <v>1.6666666666666666E-2</v>
      </c>
      <c r="AA580" s="32">
        <v>232.14</v>
      </c>
      <c r="AB580" s="32">
        <f t="shared" si="73"/>
        <v>14.508749999999999</v>
      </c>
      <c r="AC580" s="29">
        <f t="shared" si="78"/>
        <v>634.0625</v>
      </c>
      <c r="AD580" s="29">
        <f t="shared" si="79"/>
        <v>13.4375</v>
      </c>
      <c r="AE580" s="29">
        <f>YEAR(Data!$C580)</f>
        <v>2024</v>
      </c>
      <c r="AF580" s="29"/>
      <c r="AG580" s="29">
        <v>12</v>
      </c>
      <c r="AH580" s="33">
        <f>Data!$F580/Data!$D580</f>
        <v>10.233333333333333</v>
      </c>
      <c r="AI580" s="17" t="str">
        <f>RIGHT(Data!$O580,2)</f>
        <v>AM</v>
      </c>
      <c r="AJ580" s="29" t="str">
        <f>Data!$R580&amp;"-"&amp;WEEKNUM(Data!$C580,1)-WEEKNUM(DATE(YEAR(Data!$C580),MONTH(Data!$C580),1),1)+1</f>
        <v>1-2024-3</v>
      </c>
      <c r="AK580" s="29">
        <f>MONTH(Data!$C580)</f>
        <v>1</v>
      </c>
      <c r="AL580" s="29">
        <f>IFERROR(Data!$F580/Data!$E580,0)</f>
        <v>61.4</v>
      </c>
      <c r="AM580" s="29">
        <f>COUNTIF(Data!$N$2:$N$825,Data!$N580)</f>
        <v>218</v>
      </c>
      <c r="AN580" s="29" t="str">
        <f>VLOOKUP(Data!$N580,'Helpful Tables'!A:D,4,FALSE)</f>
        <v>Washington, DC</v>
      </c>
      <c r="AO580" s="29">
        <f>COUNTIF(AN:AN,Data!$AN580)/COUNTA(AN:AN)</f>
        <v>0.62424242424242427</v>
      </c>
      <c r="AP580" s="29">
        <v>38.934710000000003</v>
      </c>
      <c r="AQ580" s="29">
        <v>-77.058222999999998</v>
      </c>
      <c r="AR580" s="29">
        <f>COUNTIF(Data!$P$2:$P$825,Data!$P580)</f>
        <v>35</v>
      </c>
      <c r="AS580" s="29" cm="1">
        <f t="array" ref="AS580">_xlfn.IFS(Data!$E580&lt;12,((Data!$E580/Data!$D580)*60)*1,AND(Data!$E580&gt;=12,Data!$E580&lt;=15),((Data!$E580/Data!$D580)*60)*1.2,AND(Data!$E580&gt;=16,Data!$E580&lt;=19),((Data!$E580/Data!$D580)*60)*1.5,Data!$E580&gt;=20,((Data!$E580/Data!$D580)*60)*1.8)</f>
        <v>10</v>
      </c>
      <c r="AT580" s="29" cm="1">
        <f t="array" ref="AT580">_xlfn.IFS(Data!$F580&lt;600,((Data!$F580/Data!$D580)*60)*1,AND(Data!$F580&gt;=600,Data!$F580&lt;=625),((Data!$F580/Data!$D580)*60)*1.2,AND(Data!$F580&gt;=626,Data!$F580&lt;=650),((Data!$F580/Data!$D580)*60)*1.5,Data!$F580&gt;=651,((Data!$F580/Data!$D580)*60)*1.8)</f>
        <v>736.8</v>
      </c>
      <c r="AU580" s="29">
        <f>(Data!$I580*-1.2)+(Data!$J580*-1.1)+(Data!$K580*1.2)+(Data!$L580*1.3)+(Data!$M580*1.5)</f>
        <v>-6.8999999999999968</v>
      </c>
      <c r="AV580" s="29">
        <f>(Data!$AS580*0.4)+(Data!$AT580*0.4)+(Data!$AU580*0.2)</f>
        <v>297.33999999999997</v>
      </c>
      <c r="AW580" s="34">
        <f>PERCENTRANK(AV:AV,Data!$AV580)*100</f>
        <v>25.4</v>
      </c>
      <c r="AX580" s="29" t="str">
        <f>_xlfn.CONCAT(TEXT(C580,"mmm"),"-",Data!$AE580)</f>
        <v>Jan-2024</v>
      </c>
    </row>
    <row r="581" spans="1:50" ht="17" thickTop="1" thickBot="1" x14ac:dyDescent="0.25">
      <c r="A581" s="22">
        <v>580</v>
      </c>
      <c r="B581" s="23">
        <f t="shared" si="74"/>
        <v>16</v>
      </c>
      <c r="C581" s="41">
        <v>45306</v>
      </c>
      <c r="D581" s="24">
        <f>SUM(Data!$I581:$M581)</f>
        <v>60</v>
      </c>
      <c r="E581" s="23">
        <v>12</v>
      </c>
      <c r="F581" s="23">
        <v>506</v>
      </c>
      <c r="G581" s="23">
        <v>162</v>
      </c>
      <c r="H581" s="23">
        <v>109</v>
      </c>
      <c r="I581" s="23">
        <v>38</v>
      </c>
      <c r="J581" s="23">
        <v>6</v>
      </c>
      <c r="K581" s="23">
        <v>4</v>
      </c>
      <c r="L581" s="23">
        <v>12</v>
      </c>
      <c r="M581" s="23">
        <v>0</v>
      </c>
      <c r="N581" s="23" t="s">
        <v>101</v>
      </c>
      <c r="O581" s="23" t="s">
        <v>190</v>
      </c>
      <c r="P581" s="23" t="s">
        <v>203</v>
      </c>
      <c r="Q581" s="23">
        <f t="shared" si="80"/>
        <v>1</v>
      </c>
      <c r="R581" s="23" t="str">
        <f t="shared" si="75"/>
        <v>1-2024</v>
      </c>
      <c r="S581" s="23" t="s">
        <v>117</v>
      </c>
      <c r="T581" s="23" t="str">
        <f t="shared" si="76"/>
        <v>Monday</v>
      </c>
      <c r="U581" s="23">
        <f t="shared" si="77"/>
        <v>1</v>
      </c>
      <c r="V581" s="25">
        <f>IFERROR(Data!$I581/Data!$D581,"")</f>
        <v>0.6333333333333333</v>
      </c>
      <c r="W581" s="25">
        <f>IFERROR(Data!$J581/Data!$D581,"")</f>
        <v>0.1</v>
      </c>
      <c r="X581" s="25">
        <f>IFERROR(Data!$K581/Data!$D581,"")</f>
        <v>6.6666666666666666E-2</v>
      </c>
      <c r="Y581" s="25">
        <f>IFERROR(Data!$L581/Data!$D581,"")</f>
        <v>0.2</v>
      </c>
      <c r="Z581" s="25">
        <f>IFERROR(Data!$M581/Data!$D581,"")</f>
        <v>0</v>
      </c>
      <c r="AA581" s="26">
        <v>232.14</v>
      </c>
      <c r="AB581" s="26">
        <f t="shared" si="73"/>
        <v>14.508749999999999</v>
      </c>
      <c r="AC581" s="23">
        <f t="shared" si="78"/>
        <v>634.0625</v>
      </c>
      <c r="AD581" s="23">
        <f t="shared" si="79"/>
        <v>13.4375</v>
      </c>
      <c r="AE581" s="23">
        <f>YEAR(Data!$C581)</f>
        <v>2024</v>
      </c>
      <c r="AF581" s="23"/>
      <c r="AG581" s="23">
        <v>12</v>
      </c>
      <c r="AH581" s="27">
        <f>Data!$F581/Data!$D581</f>
        <v>8.4333333333333336</v>
      </c>
      <c r="AI581" s="17" t="str">
        <f>RIGHT(Data!$O581,2)</f>
        <v>AM</v>
      </c>
      <c r="AJ581" s="23" t="str">
        <f>Data!$R581&amp;"-"&amp;WEEKNUM(Data!$C581,1)-WEEKNUM(DATE(YEAR(Data!$C581),MONTH(Data!$C581),1),1)+1</f>
        <v>1-2024-3</v>
      </c>
      <c r="AK581" s="23">
        <f>MONTH(Data!$C581)</f>
        <v>1</v>
      </c>
      <c r="AL581" s="23">
        <f>IFERROR(Data!$F581/Data!$E581,0)</f>
        <v>42.166666666666664</v>
      </c>
      <c r="AM581" s="23">
        <f>COUNTIF(Data!$N$2:$N$825,Data!$N581)</f>
        <v>191</v>
      </c>
      <c r="AN581" s="23" t="str">
        <f>VLOOKUP(Data!$N581,'Helpful Tables'!A:D,4,FALSE)</f>
        <v>Washington, DC</v>
      </c>
      <c r="AO581" s="23">
        <f>COUNTIF(AN:AN,Data!$AN581)/COUNTA(AN:AN)</f>
        <v>0.62424242424242427</v>
      </c>
      <c r="AP581" s="23">
        <v>38.949649000000001</v>
      </c>
      <c r="AQ581" s="23">
        <v>-77.080878999999996</v>
      </c>
      <c r="AR581" s="23">
        <f>COUNTIF(Data!$P$2:$P$825,Data!$P581)</f>
        <v>4</v>
      </c>
      <c r="AS581" s="23" cm="1">
        <f t="array" ref="AS581">_xlfn.IFS(Data!$E581&lt;12,((Data!$E581/Data!$D581)*60)*1,AND(Data!$E581&gt;=12,Data!$E581&lt;=15),((Data!$E581/Data!$D581)*60)*1.2,AND(Data!$E581&gt;=16,Data!$E581&lt;=19),((Data!$E581/Data!$D581)*60)*1.5,Data!$E581&gt;=20,((Data!$E581/Data!$D581)*60)*1.8)</f>
        <v>14.399999999999999</v>
      </c>
      <c r="AT581" s="23" cm="1">
        <f t="array" ref="AT581">_xlfn.IFS(Data!$F581&lt;600,((Data!$F581/Data!$D581)*60)*1,AND(Data!$F581&gt;=600,Data!$F581&lt;=625),((Data!$F581/Data!$D581)*60)*1.2,AND(Data!$F581&gt;=626,Data!$F581&lt;=650),((Data!$F581/Data!$D581)*60)*1.5,Data!$F581&gt;=651,((Data!$F581/Data!$D581)*60)*1.8)</f>
        <v>506</v>
      </c>
      <c r="AU581" s="23">
        <f>(Data!$I581*-1.2)+(Data!$J581*-1.1)+(Data!$K581*1.2)+(Data!$L581*1.3)+(Data!$M581*1.5)</f>
        <v>-31.800000000000004</v>
      </c>
      <c r="AV581" s="23">
        <f>(Data!$AS581*0.4)+(Data!$AT581*0.4)+(Data!$AU581*0.2)</f>
        <v>201.79999999999998</v>
      </c>
      <c r="AW581" s="35">
        <f>PERCENTRANK(AV:AV,Data!$AV581)*100</f>
        <v>0.8</v>
      </c>
      <c r="AX581" s="23" t="str">
        <f>_xlfn.CONCAT(TEXT(C581,"mmm"),"-",Data!$AE581)</f>
        <v>Jan-2024</v>
      </c>
    </row>
    <row r="582" spans="1:50" ht="17" thickTop="1" thickBot="1" x14ac:dyDescent="0.25">
      <c r="A582" s="28">
        <v>581</v>
      </c>
      <c r="B582" s="29">
        <f t="shared" si="74"/>
        <v>16</v>
      </c>
      <c r="C582" s="41">
        <v>45309</v>
      </c>
      <c r="D582" s="30">
        <f>SUM(Data!$I582:$M582)</f>
        <v>59</v>
      </c>
      <c r="E582" s="29">
        <v>13</v>
      </c>
      <c r="F582" s="29">
        <v>657</v>
      </c>
      <c r="G582" s="29">
        <v>166</v>
      </c>
      <c r="H582" s="29">
        <v>127</v>
      </c>
      <c r="I582" s="29">
        <v>15</v>
      </c>
      <c r="J582" s="29">
        <v>10</v>
      </c>
      <c r="K582" s="29">
        <v>21</v>
      </c>
      <c r="L582" s="29">
        <v>11</v>
      </c>
      <c r="M582" s="29">
        <v>2</v>
      </c>
      <c r="N582" s="29" t="s">
        <v>91</v>
      </c>
      <c r="O582" s="29" t="s">
        <v>57</v>
      </c>
      <c r="P582" s="29" t="s">
        <v>188</v>
      </c>
      <c r="Q582" s="29">
        <f t="shared" si="80"/>
        <v>3</v>
      </c>
      <c r="R582" s="29" t="str">
        <f t="shared" si="75"/>
        <v>1-2024</v>
      </c>
      <c r="S582" s="29" t="s">
        <v>104</v>
      </c>
      <c r="T582" s="29" t="str">
        <f t="shared" si="76"/>
        <v>Thursday</v>
      </c>
      <c r="U582" s="29">
        <f t="shared" si="77"/>
        <v>1</v>
      </c>
      <c r="V582" s="31">
        <f>IFERROR(Data!$I582/Data!$D582,"")</f>
        <v>0.25423728813559321</v>
      </c>
      <c r="W582" s="31">
        <f>IFERROR(Data!$J582/Data!$D582,"")</f>
        <v>0.16949152542372881</v>
      </c>
      <c r="X582" s="31">
        <f>IFERROR(Data!$K582/Data!$D582,"")</f>
        <v>0.3559322033898305</v>
      </c>
      <c r="Y582" s="31">
        <f>IFERROR(Data!$L582/Data!$D582,"")</f>
        <v>0.1864406779661017</v>
      </c>
      <c r="Z582" s="31">
        <f>IFERROR(Data!$M582/Data!$D582,"")</f>
        <v>3.3898305084745763E-2</v>
      </c>
      <c r="AA582" s="32">
        <v>232.14</v>
      </c>
      <c r="AB582" s="32">
        <f t="shared" si="73"/>
        <v>14.508749999999999</v>
      </c>
      <c r="AC582" s="29">
        <f t="shared" si="78"/>
        <v>634.0625</v>
      </c>
      <c r="AD582" s="29">
        <f t="shared" si="79"/>
        <v>13.4375</v>
      </c>
      <c r="AE582" s="29">
        <f>YEAR(Data!$C582)</f>
        <v>2024</v>
      </c>
      <c r="AF582" s="29"/>
      <c r="AG582" s="29">
        <v>12</v>
      </c>
      <c r="AH582" s="33">
        <f>Data!$F582/Data!$D582</f>
        <v>11.135593220338983</v>
      </c>
      <c r="AI582" s="17" t="str">
        <f>RIGHT(Data!$O582,2)</f>
        <v>PM</v>
      </c>
      <c r="AJ582" s="29" t="str">
        <f>Data!$R582&amp;"-"&amp;WEEKNUM(Data!$C582,1)-WEEKNUM(DATE(YEAR(Data!$C582),MONTH(Data!$C582),1),1)+1</f>
        <v>1-2024-3</v>
      </c>
      <c r="AK582" s="29">
        <f>MONTH(Data!$C582)</f>
        <v>1</v>
      </c>
      <c r="AL582" s="29">
        <f>IFERROR(Data!$F582/Data!$E582,0)</f>
        <v>50.53846153846154</v>
      </c>
      <c r="AM582" s="29">
        <f>COUNTIF(Data!$N$2:$N$825,Data!$N582)</f>
        <v>218</v>
      </c>
      <c r="AN582" s="29" t="str">
        <f>VLOOKUP(Data!$N582,'Helpful Tables'!A:D,4,FALSE)</f>
        <v>Washington, DC</v>
      </c>
      <c r="AO582" s="29">
        <f>COUNTIF(AN:AN,Data!$AN582)/COUNTA(AN:AN)</f>
        <v>0.62424242424242427</v>
      </c>
      <c r="AP582" s="29">
        <v>38.934710000000003</v>
      </c>
      <c r="AQ582" s="29">
        <v>-77.058222999999998</v>
      </c>
      <c r="AR582" s="29">
        <f>COUNTIF(Data!$P$2:$P$825,Data!$P582)</f>
        <v>10</v>
      </c>
      <c r="AS582" s="29" cm="1">
        <f t="array" ref="AS582">_xlfn.IFS(Data!$E582&lt;12,((Data!$E582/Data!$D582)*60)*1,AND(Data!$E582&gt;=12,Data!$E582&lt;=15),((Data!$E582/Data!$D582)*60)*1.2,AND(Data!$E582&gt;=16,Data!$E582&lt;=19),((Data!$E582/Data!$D582)*60)*1.5,Data!$E582&gt;=20,((Data!$E582/Data!$D582)*60)*1.8)</f>
        <v>15.864406779661017</v>
      </c>
      <c r="AT582" s="29" cm="1">
        <f t="array" ref="AT582">_xlfn.IFS(Data!$F582&lt;600,((Data!$F582/Data!$D582)*60)*1,AND(Data!$F582&gt;=600,Data!$F582&lt;=625),((Data!$F582/Data!$D582)*60)*1.2,AND(Data!$F582&gt;=626,Data!$F582&lt;=650),((Data!$F582/Data!$D582)*60)*1.5,Data!$F582&gt;=651,((Data!$F582/Data!$D582)*60)*1.8)</f>
        <v>1202.6440677966102</v>
      </c>
      <c r="AU582" s="29">
        <f>(Data!$I582*-1.2)+(Data!$J582*-1.1)+(Data!$K582*1.2)+(Data!$L582*1.3)+(Data!$M582*1.5)</f>
        <v>13.5</v>
      </c>
      <c r="AV582" s="29">
        <f>(Data!$AS582*0.4)+(Data!$AT582*0.4)+(Data!$AU582*0.2)</f>
        <v>490.10338983050849</v>
      </c>
      <c r="AW582" s="34">
        <f>PERCENTRANK(AV:AV,Data!$AV582)*100</f>
        <v>73.2</v>
      </c>
      <c r="AX582" s="29" t="str">
        <f>_xlfn.CONCAT(TEXT(C582,"mmm"),"-",Data!$AE582)</f>
        <v>Jan-2024</v>
      </c>
    </row>
    <row r="583" spans="1:50" ht="17" thickTop="1" thickBot="1" x14ac:dyDescent="0.25">
      <c r="A583" s="22">
        <v>582</v>
      </c>
      <c r="B583" s="23">
        <f t="shared" si="74"/>
        <v>16</v>
      </c>
      <c r="C583" s="41">
        <v>45311</v>
      </c>
      <c r="D583" s="24">
        <f>SUM(Data!$I583:$M583)</f>
        <v>58</v>
      </c>
      <c r="E583" s="23">
        <v>16</v>
      </c>
      <c r="F583" s="23">
        <v>670</v>
      </c>
      <c r="G583" s="23">
        <v>167</v>
      </c>
      <c r="H583" s="23">
        <v>130</v>
      </c>
      <c r="I583" s="23">
        <v>11</v>
      </c>
      <c r="J583" s="23">
        <v>15</v>
      </c>
      <c r="K583" s="23">
        <v>16</v>
      </c>
      <c r="L583" s="23">
        <v>13</v>
      </c>
      <c r="M583" s="23">
        <v>3</v>
      </c>
      <c r="N583" s="23" t="s">
        <v>91</v>
      </c>
      <c r="O583" s="23" t="s">
        <v>204</v>
      </c>
      <c r="P583" s="23" t="s">
        <v>96</v>
      </c>
      <c r="Q583" s="23">
        <f t="shared" si="80"/>
        <v>2</v>
      </c>
      <c r="R583" s="23" t="str">
        <f t="shared" si="75"/>
        <v>1-2024</v>
      </c>
      <c r="S583" s="23" t="s">
        <v>104</v>
      </c>
      <c r="T583" s="23" t="str">
        <f t="shared" si="76"/>
        <v>Saturday</v>
      </c>
      <c r="U583" s="23">
        <f t="shared" si="77"/>
        <v>1</v>
      </c>
      <c r="V583" s="25">
        <f>IFERROR(Data!$I583/Data!$D583,"")</f>
        <v>0.18965517241379309</v>
      </c>
      <c r="W583" s="25">
        <f>IFERROR(Data!$J583/Data!$D583,"")</f>
        <v>0.25862068965517243</v>
      </c>
      <c r="X583" s="25">
        <f>IFERROR(Data!$K583/Data!$D583,"")</f>
        <v>0.27586206896551724</v>
      </c>
      <c r="Y583" s="25">
        <f>IFERROR(Data!$L583/Data!$D583,"")</f>
        <v>0.22413793103448276</v>
      </c>
      <c r="Z583" s="25">
        <f>IFERROR(Data!$M583/Data!$D583,"")</f>
        <v>5.1724137931034482E-2</v>
      </c>
      <c r="AA583" s="26">
        <v>232.14</v>
      </c>
      <c r="AB583" s="26">
        <f t="shared" si="73"/>
        <v>14.508749999999999</v>
      </c>
      <c r="AC583" s="23">
        <f t="shared" si="78"/>
        <v>634.0625</v>
      </c>
      <c r="AD583" s="23">
        <f t="shared" si="79"/>
        <v>13.4375</v>
      </c>
      <c r="AE583" s="23">
        <f>YEAR(Data!$C583)</f>
        <v>2024</v>
      </c>
      <c r="AF583" s="23"/>
      <c r="AG583" s="23">
        <v>12</v>
      </c>
      <c r="AH583" s="27">
        <f>Data!$F583/Data!$D583</f>
        <v>11.551724137931034</v>
      </c>
      <c r="AI583" s="17" t="str">
        <f>RIGHT(Data!$O583,2)</f>
        <v>AM</v>
      </c>
      <c r="AJ583" s="23" t="str">
        <f>Data!$R583&amp;"-"&amp;WEEKNUM(Data!$C583,1)-WEEKNUM(DATE(YEAR(Data!$C583),MONTH(Data!$C583),1),1)+1</f>
        <v>1-2024-3</v>
      </c>
      <c r="AK583" s="23">
        <f>MONTH(Data!$C583)</f>
        <v>1</v>
      </c>
      <c r="AL583" s="23">
        <f>IFERROR(Data!$F583/Data!$E583,0)</f>
        <v>41.875</v>
      </c>
      <c r="AM583" s="23">
        <f>COUNTIF(Data!$N$2:$N$825,Data!$N583)</f>
        <v>218</v>
      </c>
      <c r="AN583" s="23" t="str">
        <f>VLOOKUP(Data!$N583,'Helpful Tables'!A:D,4,FALSE)</f>
        <v>Washington, DC</v>
      </c>
      <c r="AO583" s="23">
        <f>COUNTIF(AN:AN,Data!$AN583)/COUNTA(AN:AN)</f>
        <v>0.62424242424242427</v>
      </c>
      <c r="AP583" s="23">
        <v>38.934710000000003</v>
      </c>
      <c r="AQ583" s="23">
        <v>-77.058222999999998</v>
      </c>
      <c r="AR583" s="23">
        <f>COUNTIF(Data!$P$2:$P$825,Data!$P583)</f>
        <v>71</v>
      </c>
      <c r="AS583" s="23" cm="1">
        <f t="array" ref="AS583">_xlfn.IFS(Data!$E583&lt;12,((Data!$E583/Data!$D583)*60)*1,AND(Data!$E583&gt;=12,Data!$E583&lt;=15),((Data!$E583/Data!$D583)*60)*1.2,AND(Data!$E583&gt;=16,Data!$E583&lt;=19),((Data!$E583/Data!$D583)*60)*1.5,Data!$E583&gt;=20,((Data!$E583/Data!$D583)*60)*1.8)</f>
        <v>24.827586206896555</v>
      </c>
      <c r="AT583" s="23" cm="1">
        <f t="array" ref="AT583">_xlfn.IFS(Data!$F583&lt;600,((Data!$F583/Data!$D583)*60)*1,AND(Data!$F583&gt;=600,Data!$F583&lt;=625),((Data!$F583/Data!$D583)*60)*1.2,AND(Data!$F583&gt;=626,Data!$F583&lt;=650),((Data!$F583/Data!$D583)*60)*1.5,Data!$F583&gt;=651,((Data!$F583/Data!$D583)*60)*1.8)</f>
        <v>1247.5862068965516</v>
      </c>
      <c r="AU583" s="23">
        <f>(Data!$I583*-1.2)+(Data!$J583*-1.1)+(Data!$K583*1.2)+(Data!$L583*1.3)+(Data!$M583*1.5)</f>
        <v>10.900000000000002</v>
      </c>
      <c r="AV583" s="23">
        <f>(Data!$AS583*0.4)+(Data!$AT583*0.4)+(Data!$AU583*0.2)</f>
        <v>511.14551724137931</v>
      </c>
      <c r="AW583" s="35">
        <f>PERCENTRANK(AV:AV,Data!$AV583)*100</f>
        <v>85.399999999999991</v>
      </c>
      <c r="AX583" s="23" t="str">
        <f>_xlfn.CONCAT(TEXT(C583,"mmm"),"-",Data!$AE583)</f>
        <v>Jan-2024</v>
      </c>
    </row>
    <row r="584" spans="1:50" ht="17" thickTop="1" thickBot="1" x14ac:dyDescent="0.25">
      <c r="A584" s="28">
        <v>583</v>
      </c>
      <c r="B584" s="29">
        <f t="shared" si="74"/>
        <v>16</v>
      </c>
      <c r="C584" s="41">
        <v>45313</v>
      </c>
      <c r="D584" s="30">
        <f>SUM(Data!$I584:$M584)</f>
        <v>58</v>
      </c>
      <c r="E584" s="29">
        <v>12</v>
      </c>
      <c r="F584" s="29">
        <v>612</v>
      </c>
      <c r="G584" s="29">
        <v>161</v>
      </c>
      <c r="H584" s="29">
        <v>122</v>
      </c>
      <c r="I584" s="29">
        <v>19</v>
      </c>
      <c r="J584" s="29">
        <v>15</v>
      </c>
      <c r="K584" s="29">
        <v>12</v>
      </c>
      <c r="L584" s="29">
        <v>12</v>
      </c>
      <c r="M584" s="29">
        <v>0</v>
      </c>
      <c r="N584" s="29" t="s">
        <v>91</v>
      </c>
      <c r="O584" s="29" t="s">
        <v>57</v>
      </c>
      <c r="P584" s="29" t="s">
        <v>187</v>
      </c>
      <c r="Q584" s="29">
        <f t="shared" si="80"/>
        <v>2</v>
      </c>
      <c r="R584" s="29" t="str">
        <f t="shared" si="75"/>
        <v>1-2024</v>
      </c>
      <c r="S584" s="29" t="s">
        <v>104</v>
      </c>
      <c r="T584" s="29" t="str">
        <f t="shared" si="76"/>
        <v>Monday</v>
      </c>
      <c r="U584" s="29">
        <f t="shared" si="77"/>
        <v>1</v>
      </c>
      <c r="V584" s="31">
        <f>IFERROR(Data!$I584/Data!$D584,"")</f>
        <v>0.32758620689655171</v>
      </c>
      <c r="W584" s="31">
        <f>IFERROR(Data!$J584/Data!$D584,"")</f>
        <v>0.25862068965517243</v>
      </c>
      <c r="X584" s="31">
        <f>IFERROR(Data!$K584/Data!$D584,"")</f>
        <v>0.20689655172413793</v>
      </c>
      <c r="Y584" s="31">
        <f>IFERROR(Data!$L584/Data!$D584,"")</f>
        <v>0.20689655172413793</v>
      </c>
      <c r="Z584" s="31">
        <f>IFERROR(Data!$M584/Data!$D584,"")</f>
        <v>0</v>
      </c>
      <c r="AA584" s="32">
        <v>232.14</v>
      </c>
      <c r="AB584" s="32">
        <f t="shared" si="73"/>
        <v>14.508749999999999</v>
      </c>
      <c r="AC584" s="29">
        <f t="shared" si="78"/>
        <v>634.0625</v>
      </c>
      <c r="AD584" s="29">
        <f t="shared" si="79"/>
        <v>13.4375</v>
      </c>
      <c r="AE584" s="29">
        <f>YEAR(Data!$C584)</f>
        <v>2024</v>
      </c>
      <c r="AF584" s="29"/>
      <c r="AG584" s="29">
        <v>12</v>
      </c>
      <c r="AH584" s="33">
        <f>Data!$F584/Data!$D584</f>
        <v>10.551724137931034</v>
      </c>
      <c r="AI584" s="17" t="str">
        <f>RIGHT(Data!$O584,2)</f>
        <v>PM</v>
      </c>
      <c r="AJ584" s="29" t="str">
        <f>Data!$R584&amp;"-"&amp;WEEKNUM(Data!$C584,1)-WEEKNUM(DATE(YEAR(Data!$C584),MONTH(Data!$C584),1),1)+1</f>
        <v>1-2024-4</v>
      </c>
      <c r="AK584" s="29">
        <f>MONTH(Data!$C584)</f>
        <v>1</v>
      </c>
      <c r="AL584" s="29">
        <f>IFERROR(Data!$F584/Data!$E584,0)</f>
        <v>51</v>
      </c>
      <c r="AM584" s="29">
        <f>COUNTIF(Data!$N$2:$N$825,Data!$N584)</f>
        <v>218</v>
      </c>
      <c r="AN584" s="29" t="str">
        <f>VLOOKUP(Data!$N584,'Helpful Tables'!A:D,4,FALSE)</f>
        <v>Washington, DC</v>
      </c>
      <c r="AO584" s="29">
        <f>COUNTIF(AN:AN,Data!$AN584)/COUNTA(AN:AN)</f>
        <v>0.62424242424242427</v>
      </c>
      <c r="AP584" s="29">
        <v>38.934710000000003</v>
      </c>
      <c r="AQ584" s="29">
        <v>-77.058222999999998</v>
      </c>
      <c r="AR584" s="29">
        <f>COUNTIF(Data!$P$2:$P$825,Data!$P584)</f>
        <v>7</v>
      </c>
      <c r="AS584" s="29" cm="1">
        <f t="array" ref="AS584">_xlfn.IFS(Data!$E584&lt;12,((Data!$E584/Data!$D584)*60)*1,AND(Data!$E584&gt;=12,Data!$E584&lt;=15),((Data!$E584/Data!$D584)*60)*1.2,AND(Data!$E584&gt;=16,Data!$E584&lt;=19),((Data!$E584/Data!$D584)*60)*1.5,Data!$E584&gt;=20,((Data!$E584/Data!$D584)*60)*1.8)</f>
        <v>14.896551724137931</v>
      </c>
      <c r="AT584" s="29" cm="1">
        <f t="array" ref="AT584">_xlfn.IFS(Data!$F584&lt;600,((Data!$F584/Data!$D584)*60)*1,AND(Data!$F584&gt;=600,Data!$F584&lt;=625),((Data!$F584/Data!$D584)*60)*1.2,AND(Data!$F584&gt;=626,Data!$F584&lt;=650),((Data!$F584/Data!$D584)*60)*1.5,Data!$F584&gt;=651,((Data!$F584/Data!$D584)*60)*1.8)</f>
        <v>759.72413793103431</v>
      </c>
      <c r="AU584" s="29">
        <f>(Data!$I584*-1.2)+(Data!$J584*-1.1)+(Data!$K584*1.2)+(Data!$L584*1.3)+(Data!$M584*1.5)</f>
        <v>-9.2999999999999972</v>
      </c>
      <c r="AV584" s="29">
        <f>(Data!$AS584*0.4)+(Data!$AT584*0.4)+(Data!$AU584*0.2)</f>
        <v>307.98827586206886</v>
      </c>
      <c r="AW584" s="34">
        <f>PERCENTRANK(AV:AV,Data!$AV584)*100</f>
        <v>30</v>
      </c>
      <c r="AX584" s="29" t="str">
        <f>_xlfn.CONCAT(TEXT(C584,"mmm"),"-",Data!$AE584)</f>
        <v>Jan-2024</v>
      </c>
    </row>
    <row r="585" spans="1:50" ht="17" thickTop="1" thickBot="1" x14ac:dyDescent="0.25">
      <c r="A585" s="22">
        <v>584</v>
      </c>
      <c r="B585" s="23">
        <f t="shared" si="74"/>
        <v>16</v>
      </c>
      <c r="C585" s="41">
        <v>45315</v>
      </c>
      <c r="D585" s="24">
        <f>SUM(Data!$I585:$M585)</f>
        <v>57</v>
      </c>
      <c r="E585" s="23">
        <v>22</v>
      </c>
      <c r="F585" s="23">
        <v>737</v>
      </c>
      <c r="G585" s="23">
        <v>177</v>
      </c>
      <c r="H585" s="23">
        <v>138</v>
      </c>
      <c r="I585" s="23">
        <v>2</v>
      </c>
      <c r="J585" s="23">
        <v>13</v>
      </c>
      <c r="K585" s="23">
        <v>20</v>
      </c>
      <c r="L585" s="23">
        <v>16</v>
      </c>
      <c r="M585" s="23">
        <v>6</v>
      </c>
      <c r="N585" s="23" t="s">
        <v>101</v>
      </c>
      <c r="O585" s="23" t="s">
        <v>173</v>
      </c>
      <c r="P585" s="23" t="s">
        <v>203</v>
      </c>
      <c r="Q585" s="23">
        <f t="shared" si="80"/>
        <v>2</v>
      </c>
      <c r="R585" s="23" t="str">
        <f t="shared" si="75"/>
        <v>1-2024</v>
      </c>
      <c r="S585" s="23" t="s">
        <v>104</v>
      </c>
      <c r="T585" s="23" t="str">
        <f t="shared" si="76"/>
        <v>Wednesday</v>
      </c>
      <c r="U585" s="23">
        <f t="shared" si="77"/>
        <v>1</v>
      </c>
      <c r="V585" s="25">
        <f>IFERROR(Data!$I585/Data!$D585,"")</f>
        <v>3.5087719298245612E-2</v>
      </c>
      <c r="W585" s="25">
        <f>IFERROR(Data!$J585/Data!$D585,"")</f>
        <v>0.22807017543859648</v>
      </c>
      <c r="X585" s="25">
        <f>IFERROR(Data!$K585/Data!$D585,"")</f>
        <v>0.35087719298245612</v>
      </c>
      <c r="Y585" s="25">
        <f>IFERROR(Data!$L585/Data!$D585,"")</f>
        <v>0.2807017543859649</v>
      </c>
      <c r="Z585" s="25">
        <f>IFERROR(Data!$M585/Data!$D585,"")</f>
        <v>0.10526315789473684</v>
      </c>
      <c r="AA585" s="26">
        <v>232.14</v>
      </c>
      <c r="AB585" s="26">
        <f t="shared" si="73"/>
        <v>14.508749999999999</v>
      </c>
      <c r="AC585" s="23">
        <f t="shared" si="78"/>
        <v>634.0625</v>
      </c>
      <c r="AD585" s="23">
        <f t="shared" si="79"/>
        <v>13.4375</v>
      </c>
      <c r="AE585" s="23">
        <f>YEAR(Data!$C585)</f>
        <v>2024</v>
      </c>
      <c r="AF585" s="23"/>
      <c r="AG585" s="23">
        <v>12</v>
      </c>
      <c r="AH585" s="27">
        <f>Data!$F585/Data!$D585</f>
        <v>12.929824561403509</v>
      </c>
      <c r="AI585" s="17" t="str">
        <f>RIGHT(Data!$O585,2)</f>
        <v>PM</v>
      </c>
      <c r="AJ585" s="23" t="str">
        <f>Data!$R585&amp;"-"&amp;WEEKNUM(Data!$C585,1)-WEEKNUM(DATE(YEAR(Data!$C585),MONTH(Data!$C585),1),1)+1</f>
        <v>1-2024-4</v>
      </c>
      <c r="AK585" s="23">
        <f>MONTH(Data!$C585)</f>
        <v>1</v>
      </c>
      <c r="AL585" s="23">
        <f>IFERROR(Data!$F585/Data!$E585,0)</f>
        <v>33.5</v>
      </c>
      <c r="AM585" s="23">
        <f>COUNTIF(Data!$N$2:$N$825,Data!$N585)</f>
        <v>191</v>
      </c>
      <c r="AN585" s="23" t="str">
        <f>VLOOKUP(Data!$N585,'Helpful Tables'!A:D,4,FALSE)</f>
        <v>Washington, DC</v>
      </c>
      <c r="AO585" s="23">
        <f>COUNTIF(AN:AN,Data!$AN585)/COUNTA(AN:AN)</f>
        <v>0.62424242424242427</v>
      </c>
      <c r="AP585" s="23">
        <v>38.949649000000001</v>
      </c>
      <c r="AQ585" s="23">
        <v>-77.080878999999996</v>
      </c>
      <c r="AR585" s="23">
        <f>COUNTIF(Data!$P$2:$P$825,Data!$P585)</f>
        <v>4</v>
      </c>
      <c r="AS585" s="23" cm="1">
        <f t="array" ref="AS585">_xlfn.IFS(Data!$E585&lt;12,((Data!$E585/Data!$D585)*60)*1,AND(Data!$E585&gt;=12,Data!$E585&lt;=15),((Data!$E585/Data!$D585)*60)*1.2,AND(Data!$E585&gt;=16,Data!$E585&lt;=19),((Data!$E585/Data!$D585)*60)*1.5,Data!$E585&gt;=20,((Data!$E585/Data!$D585)*60)*1.8)</f>
        <v>41.684210526315788</v>
      </c>
      <c r="AT585" s="23" cm="1">
        <f t="array" ref="AT585">_xlfn.IFS(Data!$F585&lt;600,((Data!$F585/Data!$D585)*60)*1,AND(Data!$F585&gt;=600,Data!$F585&lt;=625),((Data!$F585/Data!$D585)*60)*1.2,AND(Data!$F585&gt;=626,Data!$F585&lt;=650),((Data!$F585/Data!$D585)*60)*1.5,Data!$F585&gt;=651,((Data!$F585/Data!$D585)*60)*1.8)</f>
        <v>1396.421052631579</v>
      </c>
      <c r="AU585" s="23">
        <f>(Data!$I585*-1.2)+(Data!$J585*-1.1)+(Data!$K585*1.2)+(Data!$L585*1.3)+(Data!$M585*1.5)</f>
        <v>37.1</v>
      </c>
      <c r="AV585" s="23">
        <f>(Data!$AS585*0.4)+(Data!$AT585*0.4)+(Data!$AU585*0.2)</f>
        <v>582.66210526315786</v>
      </c>
      <c r="AW585" s="35">
        <f>PERCENTRANK(AV:AV,Data!$AV585)*100</f>
        <v>99.8</v>
      </c>
      <c r="AX585" s="23" t="str">
        <f>_xlfn.CONCAT(TEXT(C585,"mmm"),"-",Data!$AE585)</f>
        <v>Jan-2024</v>
      </c>
    </row>
    <row r="586" spans="1:50" ht="17" thickTop="1" thickBot="1" x14ac:dyDescent="0.25">
      <c r="A586" s="28">
        <v>585</v>
      </c>
      <c r="B586" s="29">
        <f t="shared" si="74"/>
        <v>16</v>
      </c>
      <c r="C586" s="41">
        <v>45316</v>
      </c>
      <c r="D586" s="30">
        <f>SUM(Data!$I586:$M586)</f>
        <v>59</v>
      </c>
      <c r="E586" s="29">
        <v>13</v>
      </c>
      <c r="F586" s="29">
        <v>626</v>
      </c>
      <c r="G586" s="29">
        <v>166</v>
      </c>
      <c r="H586" s="29">
        <v>123</v>
      </c>
      <c r="I586" s="29">
        <v>18</v>
      </c>
      <c r="J586" s="29">
        <v>11</v>
      </c>
      <c r="K586" s="29">
        <v>17</v>
      </c>
      <c r="L586" s="29">
        <v>11</v>
      </c>
      <c r="M586" s="29">
        <v>2</v>
      </c>
      <c r="N586" s="29" t="s">
        <v>91</v>
      </c>
      <c r="O586" s="29" t="s">
        <v>57</v>
      </c>
      <c r="P586" s="29" t="s">
        <v>188</v>
      </c>
      <c r="Q586" s="29">
        <f t="shared" si="80"/>
        <v>1</v>
      </c>
      <c r="R586" s="29" t="str">
        <f t="shared" si="75"/>
        <v>1-2024</v>
      </c>
      <c r="S586" s="29" t="s">
        <v>104</v>
      </c>
      <c r="T586" s="29" t="str">
        <f t="shared" si="76"/>
        <v>Thursday</v>
      </c>
      <c r="U586" s="29">
        <f t="shared" si="77"/>
        <v>1</v>
      </c>
      <c r="V586" s="31">
        <f>IFERROR(Data!$I586/Data!$D586,"")</f>
        <v>0.30508474576271188</v>
      </c>
      <c r="W586" s="31">
        <f>IFERROR(Data!$J586/Data!$D586,"")</f>
        <v>0.1864406779661017</v>
      </c>
      <c r="X586" s="31">
        <f>IFERROR(Data!$K586/Data!$D586,"")</f>
        <v>0.28813559322033899</v>
      </c>
      <c r="Y586" s="31">
        <f>IFERROR(Data!$L586/Data!$D586,"")</f>
        <v>0.1864406779661017</v>
      </c>
      <c r="Z586" s="31">
        <f>IFERROR(Data!$M586/Data!$D586,"")</f>
        <v>3.3898305084745763E-2</v>
      </c>
      <c r="AA586" s="32">
        <v>232.14</v>
      </c>
      <c r="AB586" s="32">
        <f t="shared" si="73"/>
        <v>14.508749999999999</v>
      </c>
      <c r="AC586" s="29">
        <f t="shared" si="78"/>
        <v>634.0625</v>
      </c>
      <c r="AD586" s="29">
        <f t="shared" si="79"/>
        <v>13.4375</v>
      </c>
      <c r="AE586" s="29">
        <f>YEAR(Data!$C586)</f>
        <v>2024</v>
      </c>
      <c r="AF586" s="29"/>
      <c r="AG586" s="29">
        <v>12</v>
      </c>
      <c r="AH586" s="33">
        <f>Data!$F586/Data!$D586</f>
        <v>10.610169491525424</v>
      </c>
      <c r="AI586" s="17" t="str">
        <f>RIGHT(Data!$O586,2)</f>
        <v>PM</v>
      </c>
      <c r="AJ586" s="29" t="str">
        <f>Data!$R586&amp;"-"&amp;WEEKNUM(Data!$C586,1)-WEEKNUM(DATE(YEAR(Data!$C586),MONTH(Data!$C586),1),1)+1</f>
        <v>1-2024-4</v>
      </c>
      <c r="AK586" s="29">
        <f>MONTH(Data!$C586)</f>
        <v>1</v>
      </c>
      <c r="AL586" s="29">
        <f>IFERROR(Data!$F586/Data!$E586,0)</f>
        <v>48.153846153846153</v>
      </c>
      <c r="AM586" s="29">
        <f>COUNTIF(Data!$N$2:$N$825,Data!$N586)</f>
        <v>218</v>
      </c>
      <c r="AN586" s="29" t="str">
        <f>VLOOKUP(Data!$N586,'Helpful Tables'!A:D,4,FALSE)</f>
        <v>Washington, DC</v>
      </c>
      <c r="AO586" s="29">
        <f>COUNTIF(AN:AN,Data!$AN586)/COUNTA(AN:AN)</f>
        <v>0.62424242424242427</v>
      </c>
      <c r="AP586" s="29">
        <v>38.934710000000003</v>
      </c>
      <c r="AQ586" s="29">
        <v>-77.058222999999998</v>
      </c>
      <c r="AR586" s="29">
        <f>COUNTIF(Data!$P$2:$P$825,Data!$P586)</f>
        <v>10</v>
      </c>
      <c r="AS586" s="29" cm="1">
        <f t="array" ref="AS586">_xlfn.IFS(Data!$E586&lt;12,((Data!$E586/Data!$D586)*60)*1,AND(Data!$E586&gt;=12,Data!$E586&lt;=15),((Data!$E586/Data!$D586)*60)*1.2,AND(Data!$E586&gt;=16,Data!$E586&lt;=19),((Data!$E586/Data!$D586)*60)*1.5,Data!$E586&gt;=20,((Data!$E586/Data!$D586)*60)*1.8)</f>
        <v>15.864406779661017</v>
      </c>
      <c r="AT586" s="29" cm="1">
        <f t="array" ref="AT586">_xlfn.IFS(Data!$F586&lt;600,((Data!$F586/Data!$D586)*60)*1,AND(Data!$F586&gt;=600,Data!$F586&lt;=625),((Data!$F586/Data!$D586)*60)*1.2,AND(Data!$F586&gt;=626,Data!$F586&lt;=650),((Data!$F586/Data!$D586)*60)*1.5,Data!$F586&gt;=651,((Data!$F586/Data!$D586)*60)*1.8)</f>
        <v>954.91525423728808</v>
      </c>
      <c r="AU586" s="29">
        <f>(Data!$I586*-1.2)+(Data!$J586*-1.1)+(Data!$K586*1.2)+(Data!$L586*1.3)+(Data!$M586*1.5)</f>
        <v>3.9999999999999964</v>
      </c>
      <c r="AV586" s="29">
        <f>(Data!$AS586*0.4)+(Data!$AT586*0.4)+(Data!$AU586*0.2)</f>
        <v>389.11186440677966</v>
      </c>
      <c r="AW586" s="34">
        <f>PERCENTRANK(AV:AV,Data!$AV586)*100</f>
        <v>47.4</v>
      </c>
      <c r="AX586" s="29" t="str">
        <f>_xlfn.CONCAT(TEXT(C586,"mmm"),"-",Data!$AE586)</f>
        <v>Jan-2024</v>
      </c>
    </row>
    <row r="587" spans="1:50" ht="17" thickTop="1" thickBot="1" x14ac:dyDescent="0.25">
      <c r="A587" s="22">
        <v>586</v>
      </c>
      <c r="B587" s="23">
        <f t="shared" si="74"/>
        <v>16</v>
      </c>
      <c r="C587" s="41">
        <v>45318</v>
      </c>
      <c r="D587" s="24">
        <f>SUM(Data!$I587:$M587)</f>
        <v>57</v>
      </c>
      <c r="E587" s="23">
        <v>9</v>
      </c>
      <c r="F587" s="23">
        <v>534</v>
      </c>
      <c r="G587" s="23">
        <v>162</v>
      </c>
      <c r="H587" s="23">
        <v>114</v>
      </c>
      <c r="I587" s="23">
        <v>24</v>
      </c>
      <c r="J587" s="23">
        <v>15</v>
      </c>
      <c r="K587" s="23">
        <v>9</v>
      </c>
      <c r="L587" s="23">
        <v>9</v>
      </c>
      <c r="M587" s="23">
        <v>0</v>
      </c>
      <c r="N587" s="23" t="s">
        <v>101</v>
      </c>
      <c r="O587" s="23" t="s">
        <v>180</v>
      </c>
      <c r="P587" s="23" t="s">
        <v>148</v>
      </c>
      <c r="Q587" s="23">
        <f t="shared" si="80"/>
        <v>2</v>
      </c>
      <c r="R587" s="23" t="str">
        <f t="shared" si="75"/>
        <v>1-2024</v>
      </c>
      <c r="S587" s="23" t="s">
        <v>117</v>
      </c>
      <c r="T587" s="23" t="str">
        <f t="shared" si="76"/>
        <v>Saturday</v>
      </c>
      <c r="U587" s="23">
        <f t="shared" si="77"/>
        <v>0</v>
      </c>
      <c r="V587" s="25">
        <f>IFERROR(Data!$I587/Data!$D587,"")</f>
        <v>0.42105263157894735</v>
      </c>
      <c r="W587" s="25">
        <f>IFERROR(Data!$J587/Data!$D587,"")</f>
        <v>0.26315789473684209</v>
      </c>
      <c r="X587" s="25">
        <f>IFERROR(Data!$K587/Data!$D587,"")</f>
        <v>0.15789473684210525</v>
      </c>
      <c r="Y587" s="25">
        <f>IFERROR(Data!$L587/Data!$D587,"")</f>
        <v>0.15789473684210525</v>
      </c>
      <c r="Z587" s="25">
        <f>IFERROR(Data!$M587/Data!$D587,"")</f>
        <v>0</v>
      </c>
      <c r="AA587" s="26">
        <v>232.14</v>
      </c>
      <c r="AB587" s="26">
        <f t="shared" si="73"/>
        <v>14.508749999999999</v>
      </c>
      <c r="AC587" s="23">
        <f t="shared" si="78"/>
        <v>634.0625</v>
      </c>
      <c r="AD587" s="23">
        <f t="shared" si="79"/>
        <v>13.4375</v>
      </c>
      <c r="AE587" s="23">
        <f>YEAR(Data!$C587)</f>
        <v>2024</v>
      </c>
      <c r="AF587" s="23"/>
      <c r="AG587" s="23">
        <v>12</v>
      </c>
      <c r="AH587" s="27">
        <f>Data!$F587/Data!$D587</f>
        <v>9.3684210526315788</v>
      </c>
      <c r="AI587" s="17" t="str">
        <f>RIGHT(Data!$O587,2)</f>
        <v>AM</v>
      </c>
      <c r="AJ587" s="23" t="str">
        <f>Data!$R587&amp;"-"&amp;WEEKNUM(Data!$C587,1)-WEEKNUM(DATE(YEAR(Data!$C587),MONTH(Data!$C587),1),1)+1</f>
        <v>1-2024-4</v>
      </c>
      <c r="AK587" s="23">
        <f>MONTH(Data!$C587)</f>
        <v>1</v>
      </c>
      <c r="AL587" s="23">
        <f>IFERROR(Data!$F587/Data!$E587,0)</f>
        <v>59.333333333333336</v>
      </c>
      <c r="AM587" s="23">
        <f>COUNTIF(Data!$N$2:$N$825,Data!$N587)</f>
        <v>191</v>
      </c>
      <c r="AN587" s="23" t="str">
        <f>VLOOKUP(Data!$N587,'Helpful Tables'!A:D,4,FALSE)</f>
        <v>Washington, DC</v>
      </c>
      <c r="AO587" s="23">
        <f>COUNTIF(AN:AN,Data!$AN587)/COUNTA(AN:AN)</f>
        <v>0.62424242424242427</v>
      </c>
      <c r="AP587" s="23">
        <v>38.949649000000001</v>
      </c>
      <c r="AQ587" s="23">
        <v>-77.080878999999996</v>
      </c>
      <c r="AR587" s="23">
        <f>COUNTIF(Data!$P$2:$P$825,Data!$P587)</f>
        <v>14</v>
      </c>
      <c r="AS587" s="23" cm="1">
        <f t="array" ref="AS587">_xlfn.IFS(Data!$E587&lt;12,((Data!$E587/Data!$D587)*60)*1,AND(Data!$E587&gt;=12,Data!$E587&lt;=15),((Data!$E587/Data!$D587)*60)*1.2,AND(Data!$E587&gt;=16,Data!$E587&lt;=19),((Data!$E587/Data!$D587)*60)*1.5,Data!$E587&gt;=20,((Data!$E587/Data!$D587)*60)*1.8)</f>
        <v>9.473684210526315</v>
      </c>
      <c r="AT587" s="23" cm="1">
        <f t="array" ref="AT587">_xlfn.IFS(Data!$F587&lt;600,((Data!$F587/Data!$D587)*60)*1,AND(Data!$F587&gt;=600,Data!$F587&lt;=625),((Data!$F587/Data!$D587)*60)*1.2,AND(Data!$F587&gt;=626,Data!$F587&lt;=650),((Data!$F587/Data!$D587)*60)*1.5,Data!$F587&gt;=651,((Data!$F587/Data!$D587)*60)*1.8)</f>
        <v>562.10526315789468</v>
      </c>
      <c r="AU587" s="23">
        <f>(Data!$I587*-1.2)+(Data!$J587*-1.1)+(Data!$K587*1.2)+(Data!$L587*1.3)+(Data!$M587*1.5)</f>
        <v>-22.799999999999997</v>
      </c>
      <c r="AV587" s="23">
        <f>(Data!$AS587*0.4)+(Data!$AT587*0.4)+(Data!$AU587*0.2)</f>
        <v>224.07157894736841</v>
      </c>
      <c r="AW587" s="35">
        <f>PERCENTRANK(AV:AV,Data!$AV587)*100</f>
        <v>4.8</v>
      </c>
      <c r="AX587" s="23" t="str">
        <f>_xlfn.CONCAT(TEXT(C587,"mmm"),"-",Data!$AE587)</f>
        <v>Jan-2024</v>
      </c>
    </row>
    <row r="588" spans="1:50" ht="17" thickTop="1" thickBot="1" x14ac:dyDescent="0.25">
      <c r="A588" s="28">
        <v>587</v>
      </c>
      <c r="B588" s="29">
        <f t="shared" si="74"/>
        <v>16</v>
      </c>
      <c r="C588" s="41">
        <v>45320</v>
      </c>
      <c r="D588" s="30">
        <f>SUM(Data!$I588:$M588)</f>
        <v>62</v>
      </c>
      <c r="E588" s="29">
        <v>13</v>
      </c>
      <c r="F588" s="29">
        <v>626</v>
      </c>
      <c r="G588" s="29">
        <v>165</v>
      </c>
      <c r="H588" s="29">
        <v>121</v>
      </c>
      <c r="I588" s="29">
        <v>18</v>
      </c>
      <c r="J588" s="29">
        <v>17</v>
      </c>
      <c r="K588" s="29">
        <v>14</v>
      </c>
      <c r="L588" s="29">
        <v>12</v>
      </c>
      <c r="M588" s="29">
        <v>1</v>
      </c>
      <c r="N588" s="29" t="s">
        <v>91</v>
      </c>
      <c r="O588" s="29" t="s">
        <v>57</v>
      </c>
      <c r="P588" s="29" t="s">
        <v>187</v>
      </c>
      <c r="Q588" s="29">
        <f t="shared" si="80"/>
        <v>2</v>
      </c>
      <c r="R588" s="29" t="str">
        <f t="shared" si="75"/>
        <v>1-2024</v>
      </c>
      <c r="S588" s="29" t="s">
        <v>104</v>
      </c>
      <c r="T588" s="29" t="str">
        <f t="shared" si="76"/>
        <v>Monday</v>
      </c>
      <c r="U588" s="29">
        <f t="shared" si="77"/>
        <v>1</v>
      </c>
      <c r="V588" s="31">
        <f>IFERROR(Data!$I588/Data!$D588,"")</f>
        <v>0.29032258064516131</v>
      </c>
      <c r="W588" s="31">
        <f>IFERROR(Data!$J588/Data!$D588,"")</f>
        <v>0.27419354838709675</v>
      </c>
      <c r="X588" s="31">
        <f>IFERROR(Data!$K588/Data!$D588,"")</f>
        <v>0.22580645161290322</v>
      </c>
      <c r="Y588" s="31">
        <f>IFERROR(Data!$L588/Data!$D588,"")</f>
        <v>0.19354838709677419</v>
      </c>
      <c r="Z588" s="31">
        <f>IFERROR(Data!$M588/Data!$D588,"")</f>
        <v>1.6129032258064516E-2</v>
      </c>
      <c r="AA588" s="32">
        <v>232.14</v>
      </c>
      <c r="AB588" s="32">
        <f t="shared" si="73"/>
        <v>14.508749999999999</v>
      </c>
      <c r="AC588" s="29">
        <f t="shared" si="78"/>
        <v>634.0625</v>
      </c>
      <c r="AD588" s="29">
        <f t="shared" si="79"/>
        <v>13.4375</v>
      </c>
      <c r="AE588" s="29">
        <f>YEAR(Data!$C588)</f>
        <v>2024</v>
      </c>
      <c r="AF588" s="29"/>
      <c r="AG588" s="29">
        <v>12</v>
      </c>
      <c r="AH588" s="33">
        <f>Data!$F588/Data!$D588</f>
        <v>10.096774193548388</v>
      </c>
      <c r="AI588" s="17" t="str">
        <f>RIGHT(Data!$O588,2)</f>
        <v>PM</v>
      </c>
      <c r="AJ588" s="29" t="str">
        <f>Data!$R588&amp;"-"&amp;WEEKNUM(Data!$C588,1)-WEEKNUM(DATE(YEAR(Data!$C588),MONTH(Data!$C588),1),1)+1</f>
        <v>1-2024-5</v>
      </c>
      <c r="AK588" s="29">
        <f>MONTH(Data!$C588)</f>
        <v>1</v>
      </c>
      <c r="AL588" s="29">
        <f>IFERROR(Data!$F588/Data!$E588,0)</f>
        <v>48.153846153846153</v>
      </c>
      <c r="AM588" s="29">
        <f>COUNTIF(Data!$N$2:$N$825,Data!$N588)</f>
        <v>218</v>
      </c>
      <c r="AN588" s="29" t="str">
        <f>VLOOKUP(Data!$N588,'Helpful Tables'!A:D,4,FALSE)</f>
        <v>Washington, DC</v>
      </c>
      <c r="AO588" s="29">
        <f>COUNTIF(AN:AN,Data!$AN588)/COUNTA(AN:AN)</f>
        <v>0.62424242424242427</v>
      </c>
      <c r="AP588" s="29">
        <v>38.934710000000003</v>
      </c>
      <c r="AQ588" s="29">
        <v>-77.058222999999998</v>
      </c>
      <c r="AR588" s="29">
        <f>COUNTIF(Data!$P$2:$P$825,Data!$P588)</f>
        <v>7</v>
      </c>
      <c r="AS588" s="29" cm="1">
        <f t="array" ref="AS588">_xlfn.IFS(Data!$E588&lt;12,((Data!$E588/Data!$D588)*60)*1,AND(Data!$E588&gt;=12,Data!$E588&lt;=15),((Data!$E588/Data!$D588)*60)*1.2,AND(Data!$E588&gt;=16,Data!$E588&lt;=19),((Data!$E588/Data!$D588)*60)*1.5,Data!$E588&gt;=20,((Data!$E588/Data!$D588)*60)*1.8)</f>
        <v>15.096774193548388</v>
      </c>
      <c r="AT588" s="29" cm="1">
        <f t="array" ref="AT588">_xlfn.IFS(Data!$F588&lt;600,((Data!$F588/Data!$D588)*60)*1,AND(Data!$F588&gt;=600,Data!$F588&lt;=625),((Data!$F588/Data!$D588)*60)*1.2,AND(Data!$F588&gt;=626,Data!$F588&lt;=650),((Data!$F588/Data!$D588)*60)*1.5,Data!$F588&gt;=651,((Data!$F588/Data!$D588)*60)*1.8)</f>
        <v>908.70967741935488</v>
      </c>
      <c r="AU588" s="29">
        <f>(Data!$I588*-1.2)+(Data!$J588*-1.1)+(Data!$K588*1.2)+(Data!$L588*1.3)+(Data!$M588*1.5)</f>
        <v>-6.399999999999995</v>
      </c>
      <c r="AV588" s="29">
        <f>(Data!$AS588*0.4)+(Data!$AT588*0.4)+(Data!$AU588*0.2)</f>
        <v>368.24258064516135</v>
      </c>
      <c r="AW588" s="34">
        <f>PERCENTRANK(AV:AV,Data!$AV588)*100</f>
        <v>44.2</v>
      </c>
      <c r="AX588" s="29" t="str">
        <f>_xlfn.CONCAT(TEXT(C588,"mmm"),"-",Data!$AE588)</f>
        <v>Jan-2024</v>
      </c>
    </row>
    <row r="589" spans="1:50" ht="17" thickTop="1" thickBot="1" x14ac:dyDescent="0.25">
      <c r="A589" s="22">
        <v>588</v>
      </c>
      <c r="B589" s="23">
        <f t="shared" si="74"/>
        <v>16</v>
      </c>
      <c r="C589" s="41">
        <v>45322</v>
      </c>
      <c r="D589" s="24">
        <f>SUM(Data!$I589:$M589)</f>
        <v>62</v>
      </c>
      <c r="E589" s="23">
        <v>15</v>
      </c>
      <c r="F589" s="23">
        <v>662</v>
      </c>
      <c r="G589" s="23">
        <v>168</v>
      </c>
      <c r="H589" s="23">
        <v>125</v>
      </c>
      <c r="I589" s="23">
        <v>14</v>
      </c>
      <c r="J589" s="23">
        <v>16</v>
      </c>
      <c r="K589" s="23">
        <v>17</v>
      </c>
      <c r="L589" s="23">
        <v>14</v>
      </c>
      <c r="M589" s="23">
        <v>1</v>
      </c>
      <c r="N589" s="23" t="s">
        <v>101</v>
      </c>
      <c r="O589" s="23" t="s">
        <v>173</v>
      </c>
      <c r="P589" s="23" t="s">
        <v>203</v>
      </c>
      <c r="Q589" s="23">
        <f t="shared" si="80"/>
        <v>2</v>
      </c>
      <c r="R589" s="23" t="str">
        <f t="shared" si="75"/>
        <v>1-2024</v>
      </c>
      <c r="S589" s="23" t="s">
        <v>104</v>
      </c>
      <c r="T589" s="23" t="str">
        <f t="shared" si="76"/>
        <v>Wednesday</v>
      </c>
      <c r="U589" s="23">
        <f t="shared" si="77"/>
        <v>1</v>
      </c>
      <c r="V589" s="25">
        <f>IFERROR(Data!$I589/Data!$D589,"")</f>
        <v>0.22580645161290322</v>
      </c>
      <c r="W589" s="25">
        <f>IFERROR(Data!$J589/Data!$D589,"")</f>
        <v>0.25806451612903225</v>
      </c>
      <c r="X589" s="25">
        <f>IFERROR(Data!$K589/Data!$D589,"")</f>
        <v>0.27419354838709675</v>
      </c>
      <c r="Y589" s="25">
        <f>IFERROR(Data!$L589/Data!$D589,"")</f>
        <v>0.22580645161290322</v>
      </c>
      <c r="Z589" s="25">
        <f>IFERROR(Data!$M589/Data!$D589,"")</f>
        <v>1.6129032258064516E-2</v>
      </c>
      <c r="AA589" s="26">
        <v>232.14</v>
      </c>
      <c r="AB589" s="26">
        <f t="shared" si="73"/>
        <v>14.508749999999999</v>
      </c>
      <c r="AC589" s="23">
        <f t="shared" si="78"/>
        <v>634.0625</v>
      </c>
      <c r="AD589" s="23">
        <f t="shared" si="79"/>
        <v>13.4375</v>
      </c>
      <c r="AE589" s="23">
        <f>YEAR(Data!$C589)</f>
        <v>2024</v>
      </c>
      <c r="AF589" s="23"/>
      <c r="AG589" s="23">
        <v>12</v>
      </c>
      <c r="AH589" s="27">
        <f>Data!$F589/Data!$D589</f>
        <v>10.67741935483871</v>
      </c>
      <c r="AI589" s="17" t="str">
        <f>RIGHT(Data!$O589,2)</f>
        <v>PM</v>
      </c>
      <c r="AJ589" s="23" t="str">
        <f>Data!$R589&amp;"-"&amp;WEEKNUM(Data!$C589,1)-WEEKNUM(DATE(YEAR(Data!$C589),MONTH(Data!$C589),1),1)+1</f>
        <v>1-2024-5</v>
      </c>
      <c r="AK589" s="23">
        <f>MONTH(Data!$C589)</f>
        <v>1</v>
      </c>
      <c r="AL589" s="23">
        <f>IFERROR(Data!$F589/Data!$E589,0)</f>
        <v>44.133333333333333</v>
      </c>
      <c r="AM589" s="23">
        <f>COUNTIF(Data!$N$2:$N$825,Data!$N589)</f>
        <v>191</v>
      </c>
      <c r="AN589" s="23" t="str">
        <f>VLOOKUP(Data!$N589,'Helpful Tables'!A:D,4,FALSE)</f>
        <v>Washington, DC</v>
      </c>
      <c r="AO589" s="23">
        <f>COUNTIF(AN:AN,Data!$AN589)/COUNTA(AN:AN)</f>
        <v>0.62424242424242427</v>
      </c>
      <c r="AP589" s="23">
        <v>38.949649000000001</v>
      </c>
      <c r="AQ589" s="23">
        <v>-77.080878999999996</v>
      </c>
      <c r="AR589" s="23">
        <f>COUNTIF(Data!$P$2:$P$825,Data!$P589)</f>
        <v>4</v>
      </c>
      <c r="AS589" s="23" cm="1">
        <f t="array" ref="AS589">_xlfn.IFS(Data!$E589&lt;12,((Data!$E589/Data!$D589)*60)*1,AND(Data!$E589&gt;=12,Data!$E589&lt;=15),((Data!$E589/Data!$D589)*60)*1.2,AND(Data!$E589&gt;=16,Data!$E589&lt;=19),((Data!$E589/Data!$D589)*60)*1.5,Data!$E589&gt;=20,((Data!$E589/Data!$D589)*60)*1.8)</f>
        <v>17.419354838709676</v>
      </c>
      <c r="AT589" s="23" cm="1">
        <f t="array" ref="AT589">_xlfn.IFS(Data!$F589&lt;600,((Data!$F589/Data!$D589)*60)*1,AND(Data!$F589&gt;=600,Data!$F589&lt;=625),((Data!$F589/Data!$D589)*60)*1.2,AND(Data!$F589&gt;=626,Data!$F589&lt;=650),((Data!$F589/Data!$D589)*60)*1.5,Data!$F589&gt;=651,((Data!$F589/Data!$D589)*60)*1.8)</f>
        <v>1153.1612903225807</v>
      </c>
      <c r="AU589" s="23">
        <f>(Data!$I589*-1.2)+(Data!$J589*-1.1)+(Data!$K589*1.2)+(Data!$L589*1.3)+(Data!$M589*1.5)</f>
        <v>5.6999999999999922</v>
      </c>
      <c r="AV589" s="23">
        <f>(Data!$AS589*0.4)+(Data!$AT589*0.4)+(Data!$AU589*0.2)</f>
        <v>469.37225806451613</v>
      </c>
      <c r="AW589" s="35">
        <f>PERCENTRANK(AV:AV,Data!$AV589)*100</f>
        <v>66.900000000000006</v>
      </c>
      <c r="AX589" s="23" t="str">
        <f>_xlfn.CONCAT(TEXT(C589,"mmm"),"-",Data!$AE589)</f>
        <v>Jan-2024</v>
      </c>
    </row>
    <row r="590" spans="1:50" ht="17" thickTop="1" thickBot="1" x14ac:dyDescent="0.25">
      <c r="A590" s="28">
        <v>589</v>
      </c>
      <c r="B590" s="29">
        <f t="shared" si="74"/>
        <v>13</v>
      </c>
      <c r="C590" s="41">
        <v>45324</v>
      </c>
      <c r="D590" s="30">
        <f>SUM(Data!$I590:$M590)</f>
        <v>60</v>
      </c>
      <c r="E590" s="29">
        <v>17</v>
      </c>
      <c r="F590" s="29">
        <v>687</v>
      </c>
      <c r="G590" s="29">
        <v>167</v>
      </c>
      <c r="H590" s="29">
        <v>129</v>
      </c>
      <c r="I590" s="29">
        <v>9</v>
      </c>
      <c r="J590" s="29">
        <v>23</v>
      </c>
      <c r="K590" s="29">
        <v>11</v>
      </c>
      <c r="L590" s="29">
        <v>15</v>
      </c>
      <c r="M590" s="29">
        <v>2</v>
      </c>
      <c r="N590" s="29" t="s">
        <v>91</v>
      </c>
      <c r="O590" s="29" t="s">
        <v>57</v>
      </c>
      <c r="P590" s="29" t="s">
        <v>96</v>
      </c>
      <c r="Q590" s="29">
        <f t="shared" si="80"/>
        <v>2</v>
      </c>
      <c r="R590" s="29" t="str">
        <f t="shared" si="75"/>
        <v>2-2024</v>
      </c>
      <c r="S590" s="29" t="s">
        <v>104</v>
      </c>
      <c r="T590" s="29" t="str">
        <f t="shared" si="76"/>
        <v>Friday</v>
      </c>
      <c r="U590" s="29">
        <f t="shared" si="77"/>
        <v>1</v>
      </c>
      <c r="V590" s="31">
        <f>IFERROR(Data!$I590/Data!$D590,"")</f>
        <v>0.15</v>
      </c>
      <c r="W590" s="31">
        <f>IFERROR(Data!$J590/Data!$D590,"")</f>
        <v>0.38333333333333336</v>
      </c>
      <c r="X590" s="31">
        <f>IFERROR(Data!$K590/Data!$D590,"")</f>
        <v>0.18333333333333332</v>
      </c>
      <c r="Y590" s="31">
        <f>IFERROR(Data!$L590/Data!$D590,"")</f>
        <v>0.25</v>
      </c>
      <c r="Z590" s="31">
        <f>IFERROR(Data!$M590/Data!$D590,"")</f>
        <v>3.3333333333333333E-2</v>
      </c>
      <c r="AA590" s="32">
        <v>232.14</v>
      </c>
      <c r="AB590" s="32">
        <f t="shared" si="73"/>
        <v>17.856923076923074</v>
      </c>
      <c r="AC590" s="29">
        <f t="shared" si="78"/>
        <v>643.07692307692309</v>
      </c>
      <c r="AD590" s="29">
        <f t="shared" si="79"/>
        <v>14.692307692307692</v>
      </c>
      <c r="AE590" s="29">
        <f>YEAR(Data!$C590)</f>
        <v>2024</v>
      </c>
      <c r="AF590" s="29"/>
      <c r="AG590" s="29">
        <v>12</v>
      </c>
      <c r="AH590" s="33">
        <f>Data!$F590/Data!$D590</f>
        <v>11.45</v>
      </c>
      <c r="AI590" s="17" t="str">
        <f>RIGHT(Data!$O590,2)</f>
        <v>PM</v>
      </c>
      <c r="AJ590" s="29" t="str">
        <f>Data!$R590&amp;"-"&amp;WEEKNUM(Data!$C590,1)-WEEKNUM(DATE(YEAR(Data!$C590),MONTH(Data!$C590),1),1)+1</f>
        <v>2-2024-1</v>
      </c>
      <c r="AK590" s="29">
        <f>MONTH(Data!$C590)</f>
        <v>2</v>
      </c>
      <c r="AL590" s="29">
        <f>IFERROR(Data!$F590/Data!$E590,0)</f>
        <v>40.411764705882355</v>
      </c>
      <c r="AM590" s="29">
        <f>COUNTIF(Data!$N$2:$N$825,Data!$N590)</f>
        <v>218</v>
      </c>
      <c r="AN590" s="29" t="str">
        <f>VLOOKUP(Data!$N590,'Helpful Tables'!A:D,4,FALSE)</f>
        <v>Washington, DC</v>
      </c>
      <c r="AO590" s="29">
        <f>COUNTIF(AN:AN,Data!$AN590)/COUNTA(AN:AN)</f>
        <v>0.62424242424242427</v>
      </c>
      <c r="AP590" s="29">
        <v>38.934710000000003</v>
      </c>
      <c r="AQ590" s="29">
        <v>-77.058222999999998</v>
      </c>
      <c r="AR590" s="29">
        <f>COUNTIF(Data!$P$2:$P$825,Data!$P590)</f>
        <v>71</v>
      </c>
      <c r="AS590" s="29" cm="1">
        <f t="array" ref="AS590">_xlfn.IFS(Data!$E590&lt;12,((Data!$E590/Data!$D590)*60)*1,AND(Data!$E590&gt;=12,Data!$E590&lt;=15),((Data!$E590/Data!$D590)*60)*1.2,AND(Data!$E590&gt;=16,Data!$E590&lt;=19),((Data!$E590/Data!$D590)*60)*1.5,Data!$E590&gt;=20,((Data!$E590/Data!$D590)*60)*1.8)</f>
        <v>25.5</v>
      </c>
      <c r="AT590" s="29" cm="1">
        <f t="array" ref="AT590">_xlfn.IFS(Data!$F590&lt;600,((Data!$F590/Data!$D590)*60)*1,AND(Data!$F590&gt;=600,Data!$F590&lt;=625),((Data!$F590/Data!$D590)*60)*1.2,AND(Data!$F590&gt;=626,Data!$F590&lt;=650),((Data!$F590/Data!$D590)*60)*1.5,Data!$F590&gt;=651,((Data!$F590/Data!$D590)*60)*1.8)</f>
        <v>1236.6000000000001</v>
      </c>
      <c r="AU590" s="29">
        <f>(Data!$I590*-1.2)+(Data!$J590*-1.1)+(Data!$K590*1.2)+(Data!$L590*1.3)+(Data!$M590*1.5)</f>
        <v>-0.40000000000000213</v>
      </c>
      <c r="AV590" s="29">
        <f>(Data!$AS590*0.4)+(Data!$AT590*0.4)+(Data!$AU590*0.2)</f>
        <v>504.7600000000001</v>
      </c>
      <c r="AW590" s="34">
        <f>PERCENTRANK(AV:AV,Data!$AV590)*100</f>
        <v>81.100000000000009</v>
      </c>
      <c r="AX590" s="29" t="str">
        <f>_xlfn.CONCAT(TEXT(C590,"mmm"),"-",Data!$AE590)</f>
        <v>Feb-2024</v>
      </c>
    </row>
    <row r="591" spans="1:50" ht="17" thickTop="1" thickBot="1" x14ac:dyDescent="0.25">
      <c r="A591" s="22">
        <v>590</v>
      </c>
      <c r="B591" s="23">
        <f t="shared" si="74"/>
        <v>13</v>
      </c>
      <c r="C591" s="41">
        <v>45326</v>
      </c>
      <c r="D591" s="24">
        <f>SUM(Data!$I591:$M591)</f>
        <v>58</v>
      </c>
      <c r="E591" s="23">
        <v>15</v>
      </c>
      <c r="F591" s="23">
        <v>603</v>
      </c>
      <c r="G591" s="23">
        <v>166</v>
      </c>
      <c r="H591" s="23">
        <v>122</v>
      </c>
      <c r="I591" s="23">
        <v>21</v>
      </c>
      <c r="J591" s="23">
        <v>12</v>
      </c>
      <c r="K591" s="23">
        <v>10</v>
      </c>
      <c r="L591" s="23">
        <v>14</v>
      </c>
      <c r="M591" s="23">
        <v>1</v>
      </c>
      <c r="N591" s="23" t="s">
        <v>91</v>
      </c>
      <c r="O591" s="23" t="s">
        <v>32</v>
      </c>
      <c r="P591" s="23" t="s">
        <v>100</v>
      </c>
      <c r="Q591" s="23">
        <f t="shared" si="80"/>
        <v>2</v>
      </c>
      <c r="R591" s="23" t="str">
        <f t="shared" si="75"/>
        <v>2-2024</v>
      </c>
      <c r="S591" s="23" t="s">
        <v>104</v>
      </c>
      <c r="T591" s="23" t="str">
        <f t="shared" si="76"/>
        <v>Sunday</v>
      </c>
      <c r="U591" s="23">
        <f t="shared" si="77"/>
        <v>1</v>
      </c>
      <c r="V591" s="25">
        <f>IFERROR(Data!$I591/Data!$D591,"")</f>
        <v>0.36206896551724138</v>
      </c>
      <c r="W591" s="25">
        <f>IFERROR(Data!$J591/Data!$D591,"")</f>
        <v>0.20689655172413793</v>
      </c>
      <c r="X591" s="25">
        <f>IFERROR(Data!$K591/Data!$D591,"")</f>
        <v>0.17241379310344829</v>
      </c>
      <c r="Y591" s="25">
        <f>IFERROR(Data!$L591/Data!$D591,"")</f>
        <v>0.2413793103448276</v>
      </c>
      <c r="Z591" s="25">
        <f>IFERROR(Data!$M591/Data!$D591,"")</f>
        <v>1.7241379310344827E-2</v>
      </c>
      <c r="AA591" s="26">
        <v>232.14</v>
      </c>
      <c r="AB591" s="26">
        <f t="shared" si="73"/>
        <v>17.856923076923074</v>
      </c>
      <c r="AC591" s="23">
        <f t="shared" si="78"/>
        <v>643.07692307692309</v>
      </c>
      <c r="AD591" s="23">
        <f t="shared" si="79"/>
        <v>14.692307692307692</v>
      </c>
      <c r="AE591" s="23">
        <f>YEAR(Data!$C591)</f>
        <v>2024</v>
      </c>
      <c r="AF591" s="23"/>
      <c r="AG591" s="23">
        <v>12</v>
      </c>
      <c r="AH591" s="27">
        <f>Data!$F591/Data!$D591</f>
        <v>10.396551724137931</v>
      </c>
      <c r="AI591" s="17" t="str">
        <f>RIGHT(Data!$O591,2)</f>
        <v>AM</v>
      </c>
      <c r="AJ591" s="23" t="str">
        <f>Data!$R591&amp;"-"&amp;WEEKNUM(Data!$C591,1)-WEEKNUM(DATE(YEAR(Data!$C591),MONTH(Data!$C591),1),1)+1</f>
        <v>2-2024-2</v>
      </c>
      <c r="AK591" s="23">
        <f>MONTH(Data!$C591)</f>
        <v>2</v>
      </c>
      <c r="AL591" s="23">
        <f>IFERROR(Data!$F591/Data!$E591,0)</f>
        <v>40.200000000000003</v>
      </c>
      <c r="AM591" s="23">
        <f>COUNTIF(Data!$N$2:$N$825,Data!$N591)</f>
        <v>218</v>
      </c>
      <c r="AN591" s="23" t="str">
        <f>VLOOKUP(Data!$N591,'Helpful Tables'!A:D,4,FALSE)</f>
        <v>Washington, DC</v>
      </c>
      <c r="AO591" s="23">
        <f>COUNTIF(AN:AN,Data!$AN591)/COUNTA(AN:AN)</f>
        <v>0.62424242424242427</v>
      </c>
      <c r="AP591" s="23">
        <v>38.934710000000003</v>
      </c>
      <c r="AQ591" s="23">
        <v>-77.058222999999998</v>
      </c>
      <c r="AR591" s="23">
        <f>COUNTIF(Data!$P$2:$P$825,Data!$P591)</f>
        <v>35</v>
      </c>
      <c r="AS591" s="23" cm="1">
        <f t="array" ref="AS591">_xlfn.IFS(Data!$E591&lt;12,((Data!$E591/Data!$D591)*60)*1,AND(Data!$E591&gt;=12,Data!$E591&lt;=15),((Data!$E591/Data!$D591)*60)*1.2,AND(Data!$E591&gt;=16,Data!$E591&lt;=19),((Data!$E591/Data!$D591)*60)*1.5,Data!$E591&gt;=20,((Data!$E591/Data!$D591)*60)*1.8)</f>
        <v>18.620689655172413</v>
      </c>
      <c r="AT591" s="23" cm="1">
        <f t="array" ref="AT591">_xlfn.IFS(Data!$F591&lt;600,((Data!$F591/Data!$D591)*60)*1,AND(Data!$F591&gt;=600,Data!$F591&lt;=625),((Data!$F591/Data!$D591)*60)*1.2,AND(Data!$F591&gt;=626,Data!$F591&lt;=650),((Data!$F591/Data!$D591)*60)*1.5,Data!$F591&gt;=651,((Data!$F591/Data!$D591)*60)*1.8)</f>
        <v>748.55172413793093</v>
      </c>
      <c r="AU591" s="23">
        <f>(Data!$I591*-1.2)+(Data!$J591*-1.1)+(Data!$K591*1.2)+(Data!$L591*1.3)+(Data!$M591*1.5)</f>
        <v>-6.6999999999999993</v>
      </c>
      <c r="AV591" s="23">
        <f>(Data!$AS591*0.4)+(Data!$AT591*0.4)+(Data!$AU591*0.2)</f>
        <v>305.52896551724137</v>
      </c>
      <c r="AW591" s="35">
        <f>PERCENTRANK(AV:AV,Data!$AV591)*100</f>
        <v>29.2</v>
      </c>
      <c r="AX591" s="23" t="str">
        <f>_xlfn.CONCAT(TEXT(C591,"mmm"),"-",Data!$AE591)</f>
        <v>Feb-2024</v>
      </c>
    </row>
    <row r="592" spans="1:50" ht="17" thickTop="1" thickBot="1" x14ac:dyDescent="0.25">
      <c r="A592" s="28">
        <v>591</v>
      </c>
      <c r="B592" s="29">
        <f t="shared" si="74"/>
        <v>13</v>
      </c>
      <c r="C592" s="41">
        <v>45329</v>
      </c>
      <c r="D592" s="30">
        <f>SUM(Data!$I592:$M592)</f>
        <v>59</v>
      </c>
      <c r="E592" s="29">
        <v>17</v>
      </c>
      <c r="F592" s="29">
        <v>590</v>
      </c>
      <c r="G592" s="29">
        <v>158</v>
      </c>
      <c r="H592" s="29">
        <v>119</v>
      </c>
      <c r="I592" s="29">
        <v>21</v>
      </c>
      <c r="J592" s="29">
        <v>13</v>
      </c>
      <c r="K592" s="29">
        <v>8</v>
      </c>
      <c r="L592" s="29">
        <v>17</v>
      </c>
      <c r="M592" s="29">
        <v>0</v>
      </c>
      <c r="N592" s="29" t="s">
        <v>101</v>
      </c>
      <c r="O592" s="29" t="s">
        <v>173</v>
      </c>
      <c r="P592" s="29" t="s">
        <v>203</v>
      </c>
      <c r="Q592" s="29">
        <f t="shared" si="80"/>
        <v>3</v>
      </c>
      <c r="R592" s="29" t="str">
        <f t="shared" si="75"/>
        <v>2-2024</v>
      </c>
      <c r="S592" s="29" t="s">
        <v>104</v>
      </c>
      <c r="T592" s="29" t="str">
        <f t="shared" si="76"/>
        <v>Wednesday</v>
      </c>
      <c r="U592" s="29">
        <f t="shared" si="77"/>
        <v>1</v>
      </c>
      <c r="V592" s="31">
        <f>IFERROR(Data!$I592/Data!$D592,"")</f>
        <v>0.3559322033898305</v>
      </c>
      <c r="W592" s="31">
        <f>IFERROR(Data!$J592/Data!$D592,"")</f>
        <v>0.22033898305084745</v>
      </c>
      <c r="X592" s="31">
        <f>IFERROR(Data!$K592/Data!$D592,"")</f>
        <v>0.13559322033898305</v>
      </c>
      <c r="Y592" s="31">
        <f>IFERROR(Data!$L592/Data!$D592,"")</f>
        <v>0.28813559322033899</v>
      </c>
      <c r="Z592" s="31">
        <f>IFERROR(Data!$M592/Data!$D592,"")</f>
        <v>0</v>
      </c>
      <c r="AA592" s="32">
        <v>232.14</v>
      </c>
      <c r="AB592" s="32">
        <f t="shared" ref="AB592:AB655" si="81">AA592/B592</f>
        <v>17.856923076923074</v>
      </c>
      <c r="AC592" s="29">
        <f t="shared" si="78"/>
        <v>643.07692307692309</v>
      </c>
      <c r="AD592" s="29">
        <f t="shared" si="79"/>
        <v>14.692307692307692</v>
      </c>
      <c r="AE592" s="29">
        <f>YEAR(Data!$C592)</f>
        <v>2024</v>
      </c>
      <c r="AF592" s="29"/>
      <c r="AG592" s="29">
        <v>12</v>
      </c>
      <c r="AH592" s="33">
        <f>Data!$F592/Data!$D592</f>
        <v>10</v>
      </c>
      <c r="AI592" s="17" t="str">
        <f>RIGHT(Data!$O592,2)</f>
        <v>PM</v>
      </c>
      <c r="AJ592" s="29" t="str">
        <f>Data!$R592&amp;"-"&amp;WEEKNUM(Data!$C592,1)-WEEKNUM(DATE(YEAR(Data!$C592),MONTH(Data!$C592),1),1)+1</f>
        <v>2-2024-2</v>
      </c>
      <c r="AK592" s="29">
        <f>MONTH(Data!$C592)</f>
        <v>2</v>
      </c>
      <c r="AL592" s="29">
        <f>IFERROR(Data!$F592/Data!$E592,0)</f>
        <v>34.705882352941174</v>
      </c>
      <c r="AM592" s="29">
        <f>COUNTIF(Data!$N$2:$N$825,Data!$N592)</f>
        <v>191</v>
      </c>
      <c r="AN592" s="29" t="str">
        <f>VLOOKUP(Data!$N592,'Helpful Tables'!A:D,4,FALSE)</f>
        <v>Washington, DC</v>
      </c>
      <c r="AO592" s="29">
        <f>COUNTIF(AN:AN,Data!$AN592)/COUNTA(AN:AN)</f>
        <v>0.62424242424242427</v>
      </c>
      <c r="AP592" s="29">
        <v>38.949649000000001</v>
      </c>
      <c r="AQ592" s="29">
        <v>-77.080878999999996</v>
      </c>
      <c r="AR592" s="29">
        <f>COUNTIF(Data!$P$2:$P$825,Data!$P592)</f>
        <v>4</v>
      </c>
      <c r="AS592" s="29" cm="1">
        <f t="array" ref="AS592">_xlfn.IFS(Data!$E592&lt;12,((Data!$E592/Data!$D592)*60)*1,AND(Data!$E592&gt;=12,Data!$E592&lt;=15),((Data!$E592/Data!$D592)*60)*1.2,AND(Data!$E592&gt;=16,Data!$E592&lt;=19),((Data!$E592/Data!$D592)*60)*1.5,Data!$E592&gt;=20,((Data!$E592/Data!$D592)*60)*1.8)</f>
        <v>25.932203389830509</v>
      </c>
      <c r="AT592" s="29" cm="1">
        <f t="array" ref="AT592">_xlfn.IFS(Data!$F592&lt;600,((Data!$F592/Data!$D592)*60)*1,AND(Data!$F592&gt;=600,Data!$F592&lt;=625),((Data!$F592/Data!$D592)*60)*1.2,AND(Data!$F592&gt;=626,Data!$F592&lt;=650),((Data!$F592/Data!$D592)*60)*1.5,Data!$F592&gt;=651,((Data!$F592/Data!$D592)*60)*1.8)</f>
        <v>600</v>
      </c>
      <c r="AU592" s="29">
        <f>(Data!$I592*-1.2)+(Data!$J592*-1.1)+(Data!$K592*1.2)+(Data!$L592*1.3)+(Data!$M592*1.5)</f>
        <v>-7.7999999999999972</v>
      </c>
      <c r="AV592" s="29">
        <f>(Data!$AS592*0.4)+(Data!$AT592*0.4)+(Data!$AU592*0.2)</f>
        <v>248.81288135593221</v>
      </c>
      <c r="AW592" s="34">
        <f>PERCENTRANK(AV:AV,Data!$AV592)*100</f>
        <v>16.600000000000001</v>
      </c>
      <c r="AX592" s="29" t="str">
        <f>_xlfn.CONCAT(TEXT(C592,"mmm"),"-",Data!$AE592)</f>
        <v>Feb-2024</v>
      </c>
    </row>
    <row r="593" spans="1:50" ht="17" thickTop="1" thickBot="1" x14ac:dyDescent="0.25">
      <c r="A593" s="22">
        <v>592</v>
      </c>
      <c r="B593" s="23">
        <f t="shared" si="74"/>
        <v>13</v>
      </c>
      <c r="C593" s="41">
        <v>45331</v>
      </c>
      <c r="D593" s="24">
        <f>SUM(Data!$I593:$M593)</f>
        <v>57</v>
      </c>
      <c r="E593" s="23">
        <v>13</v>
      </c>
      <c r="F593" s="23">
        <v>671</v>
      </c>
      <c r="G593" s="23">
        <v>167</v>
      </c>
      <c r="H593" s="23">
        <v>130</v>
      </c>
      <c r="I593" s="23">
        <v>9</v>
      </c>
      <c r="J593" s="23">
        <v>12</v>
      </c>
      <c r="K593" s="23">
        <v>23</v>
      </c>
      <c r="L593" s="23">
        <v>12</v>
      </c>
      <c r="M593" s="23">
        <v>1</v>
      </c>
      <c r="N593" s="23" t="s">
        <v>91</v>
      </c>
      <c r="O593" s="23" t="s">
        <v>205</v>
      </c>
      <c r="P593" s="23" t="s">
        <v>168</v>
      </c>
      <c r="Q593" s="23">
        <f t="shared" si="80"/>
        <v>2</v>
      </c>
      <c r="R593" s="23" t="str">
        <f t="shared" si="75"/>
        <v>2-2024</v>
      </c>
      <c r="S593" s="23" t="s">
        <v>104</v>
      </c>
      <c r="T593" s="23" t="str">
        <f t="shared" si="76"/>
        <v>Friday</v>
      </c>
      <c r="U593" s="23">
        <f t="shared" si="77"/>
        <v>1</v>
      </c>
      <c r="V593" s="25">
        <f>IFERROR(Data!$I593/Data!$D593,"")</f>
        <v>0.15789473684210525</v>
      </c>
      <c r="W593" s="25">
        <f>IFERROR(Data!$J593/Data!$D593,"")</f>
        <v>0.21052631578947367</v>
      </c>
      <c r="X593" s="25">
        <f>IFERROR(Data!$K593/Data!$D593,"")</f>
        <v>0.40350877192982454</v>
      </c>
      <c r="Y593" s="25">
        <f>IFERROR(Data!$L593/Data!$D593,"")</f>
        <v>0.21052631578947367</v>
      </c>
      <c r="Z593" s="25">
        <f>IFERROR(Data!$M593/Data!$D593,"")</f>
        <v>1.7543859649122806E-2</v>
      </c>
      <c r="AA593" s="26">
        <v>232.14</v>
      </c>
      <c r="AB593" s="26">
        <f t="shared" si="81"/>
        <v>17.856923076923074</v>
      </c>
      <c r="AC593" s="23">
        <f t="shared" si="78"/>
        <v>643.07692307692309</v>
      </c>
      <c r="AD593" s="23">
        <f t="shared" si="79"/>
        <v>14.692307692307692</v>
      </c>
      <c r="AE593" s="23">
        <f>YEAR(Data!$C593)</f>
        <v>2024</v>
      </c>
      <c r="AF593" s="23"/>
      <c r="AG593" s="23">
        <v>12</v>
      </c>
      <c r="AH593" s="27">
        <f>Data!$F593/Data!$D593</f>
        <v>11.771929824561404</v>
      </c>
      <c r="AI593" s="17" t="str">
        <f>RIGHT(Data!$O593,2)</f>
        <v>AM</v>
      </c>
      <c r="AJ593" s="23" t="str">
        <f>Data!$R593&amp;"-"&amp;WEEKNUM(Data!$C593,1)-WEEKNUM(DATE(YEAR(Data!$C593),MONTH(Data!$C593),1),1)+1</f>
        <v>2-2024-2</v>
      </c>
      <c r="AK593" s="23">
        <f>MONTH(Data!$C593)</f>
        <v>2</v>
      </c>
      <c r="AL593" s="23">
        <f>IFERROR(Data!$F593/Data!$E593,0)</f>
        <v>51.615384615384613</v>
      </c>
      <c r="AM593" s="23">
        <f>COUNTIF(Data!$N$2:$N$825,Data!$N593)</f>
        <v>218</v>
      </c>
      <c r="AN593" s="23" t="str">
        <f>VLOOKUP(Data!$N593,'Helpful Tables'!A:D,4,FALSE)</f>
        <v>Washington, DC</v>
      </c>
      <c r="AO593" s="23">
        <f>COUNTIF(AN:AN,Data!$AN593)/COUNTA(AN:AN)</f>
        <v>0.62424242424242427</v>
      </c>
      <c r="AP593" s="23">
        <v>38.934710000000003</v>
      </c>
      <c r="AQ593" s="23">
        <v>-77.058222999999998</v>
      </c>
      <c r="AR593" s="23">
        <f>COUNTIF(Data!$P$2:$P$825,Data!$P593)</f>
        <v>12</v>
      </c>
      <c r="AS593" s="23" cm="1">
        <f t="array" ref="AS593">_xlfn.IFS(Data!$E593&lt;12,((Data!$E593/Data!$D593)*60)*1,AND(Data!$E593&gt;=12,Data!$E593&lt;=15),((Data!$E593/Data!$D593)*60)*1.2,AND(Data!$E593&gt;=16,Data!$E593&lt;=19),((Data!$E593/Data!$D593)*60)*1.5,Data!$E593&gt;=20,((Data!$E593/Data!$D593)*60)*1.8)</f>
        <v>16.421052631578945</v>
      </c>
      <c r="AT593" s="23" cm="1">
        <f t="array" ref="AT593">_xlfn.IFS(Data!$F593&lt;600,((Data!$F593/Data!$D593)*60)*1,AND(Data!$F593&gt;=600,Data!$F593&lt;=625),((Data!$F593/Data!$D593)*60)*1.2,AND(Data!$F593&gt;=626,Data!$F593&lt;=650),((Data!$F593/Data!$D593)*60)*1.5,Data!$F593&gt;=651,((Data!$F593/Data!$D593)*60)*1.8)</f>
        <v>1271.3684210526317</v>
      </c>
      <c r="AU593" s="23">
        <f>(Data!$I593*-1.2)+(Data!$J593*-1.1)+(Data!$K593*1.2)+(Data!$L593*1.3)+(Data!$M593*1.5)</f>
        <v>20.7</v>
      </c>
      <c r="AV593" s="23">
        <f>(Data!$AS593*0.4)+(Data!$AT593*0.4)+(Data!$AU593*0.2)</f>
        <v>519.25578947368422</v>
      </c>
      <c r="AW593" s="35">
        <f>PERCENTRANK(AV:AV,Data!$AV593)*100</f>
        <v>88.8</v>
      </c>
      <c r="AX593" s="23" t="str">
        <f>_xlfn.CONCAT(TEXT(C593,"mmm"),"-",Data!$AE593)</f>
        <v>Feb-2024</v>
      </c>
    </row>
    <row r="594" spans="1:50" ht="17" thickTop="1" thickBot="1" x14ac:dyDescent="0.25">
      <c r="A594" s="28">
        <v>593</v>
      </c>
      <c r="B594" s="29">
        <f t="shared" si="74"/>
        <v>13</v>
      </c>
      <c r="C594" s="41">
        <v>45333</v>
      </c>
      <c r="D594" s="30">
        <f>SUM(Data!$I594:$M594)</f>
        <v>57</v>
      </c>
      <c r="E594" s="29">
        <v>13</v>
      </c>
      <c r="F594" s="29">
        <v>626</v>
      </c>
      <c r="G594" s="29">
        <v>170</v>
      </c>
      <c r="H594" s="29">
        <v>126</v>
      </c>
      <c r="I594" s="29">
        <v>13</v>
      </c>
      <c r="J594" s="29">
        <v>13</v>
      </c>
      <c r="K594" s="29">
        <v>18</v>
      </c>
      <c r="L594" s="29">
        <v>10</v>
      </c>
      <c r="M594" s="29">
        <v>3</v>
      </c>
      <c r="N594" s="29" t="s">
        <v>101</v>
      </c>
      <c r="O594" s="29" t="s">
        <v>180</v>
      </c>
      <c r="P594" s="29" t="s">
        <v>202</v>
      </c>
      <c r="Q594" s="29">
        <f t="shared" si="80"/>
        <v>2</v>
      </c>
      <c r="R594" s="29" t="str">
        <f t="shared" si="75"/>
        <v>2-2024</v>
      </c>
      <c r="S594" s="29" t="s">
        <v>117</v>
      </c>
      <c r="T594" s="29" t="str">
        <f t="shared" si="76"/>
        <v>Sunday</v>
      </c>
      <c r="U594" s="29">
        <f t="shared" si="77"/>
        <v>1</v>
      </c>
      <c r="V594" s="31">
        <f>IFERROR(Data!$I594/Data!$D594,"")</f>
        <v>0.22807017543859648</v>
      </c>
      <c r="W594" s="31">
        <f>IFERROR(Data!$J594/Data!$D594,"")</f>
        <v>0.22807017543859648</v>
      </c>
      <c r="X594" s="31">
        <f>IFERROR(Data!$K594/Data!$D594,"")</f>
        <v>0.31578947368421051</v>
      </c>
      <c r="Y594" s="31">
        <f>IFERROR(Data!$L594/Data!$D594,"")</f>
        <v>0.17543859649122806</v>
      </c>
      <c r="Z594" s="31">
        <f>IFERROR(Data!$M594/Data!$D594,"")</f>
        <v>5.2631578947368418E-2</v>
      </c>
      <c r="AA594" s="32">
        <v>232.14</v>
      </c>
      <c r="AB594" s="32">
        <f t="shared" si="81"/>
        <v>17.856923076923074</v>
      </c>
      <c r="AC594" s="29">
        <f t="shared" si="78"/>
        <v>643.07692307692309</v>
      </c>
      <c r="AD594" s="29">
        <f t="shared" si="79"/>
        <v>14.692307692307692</v>
      </c>
      <c r="AE594" s="29">
        <f>YEAR(Data!$C594)</f>
        <v>2024</v>
      </c>
      <c r="AF594" s="29"/>
      <c r="AG594" s="29">
        <v>12</v>
      </c>
      <c r="AH594" s="33">
        <f>Data!$F594/Data!$D594</f>
        <v>10.982456140350877</v>
      </c>
      <c r="AI594" s="17" t="str">
        <f>RIGHT(Data!$O594,2)</f>
        <v>AM</v>
      </c>
      <c r="AJ594" s="29" t="str">
        <f>Data!$R594&amp;"-"&amp;WEEKNUM(Data!$C594,1)-WEEKNUM(DATE(YEAR(Data!$C594),MONTH(Data!$C594),1),1)+1</f>
        <v>2-2024-3</v>
      </c>
      <c r="AK594" s="29">
        <f>MONTH(Data!$C594)</f>
        <v>2</v>
      </c>
      <c r="AL594" s="29">
        <f>IFERROR(Data!$F594/Data!$E594,0)</f>
        <v>48.153846153846153</v>
      </c>
      <c r="AM594" s="29">
        <f>COUNTIF(Data!$N$2:$N$825,Data!$N594)</f>
        <v>191</v>
      </c>
      <c r="AN594" s="29" t="str">
        <f>VLOOKUP(Data!$N594,'Helpful Tables'!A:D,4,FALSE)</f>
        <v>Washington, DC</v>
      </c>
      <c r="AO594" s="29">
        <f>COUNTIF(AN:AN,Data!$AN594)/COUNTA(AN:AN)</f>
        <v>0.62424242424242427</v>
      </c>
      <c r="AP594" s="29">
        <v>38.949649000000001</v>
      </c>
      <c r="AQ594" s="29">
        <v>-77.080878999999996</v>
      </c>
      <c r="AR594" s="29">
        <f>COUNTIF(Data!$P$2:$P$825,Data!$P594)</f>
        <v>4</v>
      </c>
      <c r="AS594" s="29" cm="1">
        <f t="array" ref="AS594">_xlfn.IFS(Data!$E594&lt;12,((Data!$E594/Data!$D594)*60)*1,AND(Data!$E594&gt;=12,Data!$E594&lt;=15),((Data!$E594/Data!$D594)*60)*1.2,AND(Data!$E594&gt;=16,Data!$E594&lt;=19),((Data!$E594/Data!$D594)*60)*1.5,Data!$E594&gt;=20,((Data!$E594/Data!$D594)*60)*1.8)</f>
        <v>16.421052631578945</v>
      </c>
      <c r="AT594" s="29" cm="1">
        <f t="array" ref="AT594">_xlfn.IFS(Data!$F594&lt;600,((Data!$F594/Data!$D594)*60)*1,AND(Data!$F594&gt;=600,Data!$F594&lt;=625),((Data!$F594/Data!$D594)*60)*1.2,AND(Data!$F594&gt;=626,Data!$F594&lt;=650),((Data!$F594/Data!$D594)*60)*1.5,Data!$F594&gt;=651,((Data!$F594/Data!$D594)*60)*1.8)</f>
        <v>988.42105263157896</v>
      </c>
      <c r="AU594" s="29">
        <f>(Data!$I594*-1.2)+(Data!$J594*-1.1)+(Data!$K594*1.2)+(Data!$L594*1.3)+(Data!$M594*1.5)</f>
        <v>9.1999999999999993</v>
      </c>
      <c r="AV594" s="29">
        <f>(Data!$AS594*0.4)+(Data!$AT594*0.4)+(Data!$AU594*0.2)</f>
        <v>403.77684210526314</v>
      </c>
      <c r="AW594" s="34">
        <f>PERCENTRANK(AV:AV,Data!$AV594)*100</f>
        <v>54.6</v>
      </c>
      <c r="AX594" s="29" t="str">
        <f>_xlfn.CONCAT(TEXT(C594,"mmm"),"-",Data!$AE594)</f>
        <v>Feb-2024</v>
      </c>
    </row>
    <row r="595" spans="1:50" ht="17" thickTop="1" thickBot="1" x14ac:dyDescent="0.25">
      <c r="A595" s="22">
        <v>594</v>
      </c>
      <c r="B595" s="23">
        <f t="shared" si="74"/>
        <v>13</v>
      </c>
      <c r="C595" s="41">
        <v>45335</v>
      </c>
      <c r="D595" s="24">
        <f>SUM(Data!$I595:$M595)</f>
        <v>58</v>
      </c>
      <c r="E595" s="23">
        <v>18</v>
      </c>
      <c r="F595" s="23">
        <v>683</v>
      </c>
      <c r="G595" s="23">
        <v>166</v>
      </c>
      <c r="H595" s="23">
        <v>132</v>
      </c>
      <c r="I595" s="23">
        <v>7</v>
      </c>
      <c r="J595" s="23">
        <v>16</v>
      </c>
      <c r="K595" s="23">
        <v>17</v>
      </c>
      <c r="L595" s="23">
        <v>16</v>
      </c>
      <c r="M595" s="23">
        <v>2</v>
      </c>
      <c r="N595" s="23" t="s">
        <v>101</v>
      </c>
      <c r="O595" s="23" t="s">
        <v>173</v>
      </c>
      <c r="P595" s="23" t="s">
        <v>202</v>
      </c>
      <c r="Q595" s="23">
        <f t="shared" si="80"/>
        <v>2</v>
      </c>
      <c r="R595" s="23" t="str">
        <f t="shared" si="75"/>
        <v>2-2024</v>
      </c>
      <c r="S595" s="23" t="s">
        <v>104</v>
      </c>
      <c r="T595" s="23" t="str">
        <f t="shared" si="76"/>
        <v>Tuesday</v>
      </c>
      <c r="U595" s="23">
        <f t="shared" si="77"/>
        <v>1</v>
      </c>
      <c r="V595" s="25">
        <f>IFERROR(Data!$I595/Data!$D595,"")</f>
        <v>0.1206896551724138</v>
      </c>
      <c r="W595" s="25">
        <f>IFERROR(Data!$J595/Data!$D595,"")</f>
        <v>0.27586206896551724</v>
      </c>
      <c r="X595" s="25">
        <f>IFERROR(Data!$K595/Data!$D595,"")</f>
        <v>0.29310344827586204</v>
      </c>
      <c r="Y595" s="25">
        <f>IFERROR(Data!$L595/Data!$D595,"")</f>
        <v>0.27586206896551724</v>
      </c>
      <c r="Z595" s="25">
        <f>IFERROR(Data!$M595/Data!$D595,"")</f>
        <v>3.4482758620689655E-2</v>
      </c>
      <c r="AA595" s="26">
        <v>232.14</v>
      </c>
      <c r="AB595" s="26">
        <f t="shared" si="81"/>
        <v>17.856923076923074</v>
      </c>
      <c r="AC595" s="23">
        <f t="shared" si="78"/>
        <v>643.07692307692309</v>
      </c>
      <c r="AD595" s="23">
        <f t="shared" si="79"/>
        <v>14.692307692307692</v>
      </c>
      <c r="AE595" s="23">
        <f>YEAR(Data!$C595)</f>
        <v>2024</v>
      </c>
      <c r="AF595" s="23"/>
      <c r="AG595" s="23">
        <v>12</v>
      </c>
      <c r="AH595" s="27">
        <f>Data!$F595/Data!$D595</f>
        <v>11.775862068965518</v>
      </c>
      <c r="AI595" s="17" t="str">
        <f>RIGHT(Data!$O595,2)</f>
        <v>PM</v>
      </c>
      <c r="AJ595" s="23" t="str">
        <f>Data!$R595&amp;"-"&amp;WEEKNUM(Data!$C595,1)-WEEKNUM(DATE(YEAR(Data!$C595),MONTH(Data!$C595),1),1)+1</f>
        <v>2-2024-3</v>
      </c>
      <c r="AK595" s="23">
        <f>MONTH(Data!$C595)</f>
        <v>2</v>
      </c>
      <c r="AL595" s="23">
        <f>IFERROR(Data!$F595/Data!$E595,0)</f>
        <v>37.944444444444443</v>
      </c>
      <c r="AM595" s="23">
        <f>COUNTIF(Data!$N$2:$N$825,Data!$N595)</f>
        <v>191</v>
      </c>
      <c r="AN595" s="23" t="str">
        <f>VLOOKUP(Data!$N595,'Helpful Tables'!A:D,4,FALSE)</f>
        <v>Washington, DC</v>
      </c>
      <c r="AO595" s="23">
        <f>COUNTIF(AN:AN,Data!$AN595)/COUNTA(AN:AN)</f>
        <v>0.62424242424242427</v>
      </c>
      <c r="AP595" s="23">
        <v>38.949649000000001</v>
      </c>
      <c r="AQ595" s="23">
        <v>-77.080878999999996</v>
      </c>
      <c r="AR595" s="23">
        <f>COUNTIF(Data!$P$2:$P$825,Data!$P595)</f>
        <v>4</v>
      </c>
      <c r="AS595" s="23" cm="1">
        <f t="array" ref="AS595">_xlfn.IFS(Data!$E595&lt;12,((Data!$E595/Data!$D595)*60)*1,AND(Data!$E595&gt;=12,Data!$E595&lt;=15),((Data!$E595/Data!$D595)*60)*1.2,AND(Data!$E595&gt;=16,Data!$E595&lt;=19),((Data!$E595/Data!$D595)*60)*1.5,Data!$E595&gt;=20,((Data!$E595/Data!$D595)*60)*1.8)</f>
        <v>27.931034482758619</v>
      </c>
      <c r="AT595" s="23" cm="1">
        <f t="array" ref="AT595">_xlfn.IFS(Data!$F595&lt;600,((Data!$F595/Data!$D595)*60)*1,AND(Data!$F595&gt;=600,Data!$F595&lt;=625),((Data!$F595/Data!$D595)*60)*1.2,AND(Data!$F595&gt;=626,Data!$F595&lt;=650),((Data!$F595/Data!$D595)*60)*1.5,Data!$F595&gt;=651,((Data!$F595/Data!$D595)*60)*1.8)</f>
        <v>1271.7931034482758</v>
      </c>
      <c r="AU595" s="23">
        <f>(Data!$I595*-1.2)+(Data!$J595*-1.1)+(Data!$K595*1.2)+(Data!$L595*1.3)+(Data!$M595*1.5)</f>
        <v>18.2</v>
      </c>
      <c r="AV595" s="23">
        <f>(Data!$AS595*0.4)+(Data!$AT595*0.4)+(Data!$AU595*0.2)</f>
        <v>523.52965517241375</v>
      </c>
      <c r="AW595" s="35">
        <f>PERCENTRANK(AV:AV,Data!$AV595)*100</f>
        <v>91.100000000000009</v>
      </c>
      <c r="AX595" s="23" t="str">
        <f>_xlfn.CONCAT(TEXT(C595,"mmm"),"-",Data!$AE595)</f>
        <v>Feb-2024</v>
      </c>
    </row>
    <row r="596" spans="1:50" ht="17" thickTop="1" thickBot="1" x14ac:dyDescent="0.25">
      <c r="A596" s="28">
        <v>595</v>
      </c>
      <c r="B596" s="29">
        <f t="shared" si="74"/>
        <v>13</v>
      </c>
      <c r="C596" s="41">
        <v>45336</v>
      </c>
      <c r="D596" s="30">
        <f>SUM(Data!$I596:$M596)</f>
        <v>57</v>
      </c>
      <c r="E596" s="29">
        <v>15</v>
      </c>
      <c r="F596" s="29">
        <v>662</v>
      </c>
      <c r="G596" s="29">
        <v>166</v>
      </c>
      <c r="H596" s="29">
        <v>131</v>
      </c>
      <c r="I596" s="29">
        <v>8</v>
      </c>
      <c r="J596" s="29">
        <v>14</v>
      </c>
      <c r="K596" s="29">
        <v>20</v>
      </c>
      <c r="L596" s="29">
        <v>13</v>
      </c>
      <c r="M596" s="29">
        <v>2</v>
      </c>
      <c r="N596" s="29" t="s">
        <v>91</v>
      </c>
      <c r="O596" s="29" t="s">
        <v>57</v>
      </c>
      <c r="P596" s="29" t="s">
        <v>96</v>
      </c>
      <c r="Q596" s="29">
        <f t="shared" si="80"/>
        <v>1</v>
      </c>
      <c r="R596" s="29" t="str">
        <f t="shared" si="75"/>
        <v>2-2024</v>
      </c>
      <c r="S596" s="29" t="s">
        <v>104</v>
      </c>
      <c r="T596" s="29" t="str">
        <f t="shared" si="76"/>
        <v>Wednesday</v>
      </c>
      <c r="U596" s="29">
        <f t="shared" si="77"/>
        <v>1</v>
      </c>
      <c r="V596" s="31">
        <f>IFERROR(Data!$I596/Data!$D596,"")</f>
        <v>0.14035087719298245</v>
      </c>
      <c r="W596" s="31">
        <f>IFERROR(Data!$J596/Data!$D596,"")</f>
        <v>0.24561403508771928</v>
      </c>
      <c r="X596" s="31">
        <f>IFERROR(Data!$K596/Data!$D596,"")</f>
        <v>0.35087719298245612</v>
      </c>
      <c r="Y596" s="31">
        <f>IFERROR(Data!$L596/Data!$D596,"")</f>
        <v>0.22807017543859648</v>
      </c>
      <c r="Z596" s="31">
        <f>IFERROR(Data!$M596/Data!$D596,"")</f>
        <v>3.5087719298245612E-2</v>
      </c>
      <c r="AA596" s="32">
        <v>232.14</v>
      </c>
      <c r="AB596" s="32">
        <f t="shared" si="81"/>
        <v>17.856923076923074</v>
      </c>
      <c r="AC596" s="29">
        <f t="shared" si="78"/>
        <v>643.07692307692309</v>
      </c>
      <c r="AD596" s="29">
        <f t="shared" si="79"/>
        <v>14.692307692307692</v>
      </c>
      <c r="AE596" s="29">
        <f>YEAR(Data!$C596)</f>
        <v>2024</v>
      </c>
      <c r="AF596" s="29"/>
      <c r="AG596" s="29">
        <v>12</v>
      </c>
      <c r="AH596" s="33">
        <f>Data!$F596/Data!$D596</f>
        <v>11.614035087719298</v>
      </c>
      <c r="AI596" s="17" t="str">
        <f>RIGHT(Data!$O596,2)</f>
        <v>PM</v>
      </c>
      <c r="AJ596" s="29" t="str">
        <f>Data!$R596&amp;"-"&amp;WEEKNUM(Data!$C596,1)-WEEKNUM(DATE(YEAR(Data!$C596),MONTH(Data!$C596),1),1)+1</f>
        <v>2-2024-3</v>
      </c>
      <c r="AK596" s="29">
        <f>MONTH(Data!$C596)</f>
        <v>2</v>
      </c>
      <c r="AL596" s="29">
        <f>IFERROR(Data!$F596/Data!$E596,0)</f>
        <v>44.133333333333333</v>
      </c>
      <c r="AM596" s="29">
        <f>COUNTIF(Data!$N$2:$N$825,Data!$N596)</f>
        <v>218</v>
      </c>
      <c r="AN596" s="29" t="str">
        <f>VLOOKUP(Data!$N596,'Helpful Tables'!A:D,4,FALSE)</f>
        <v>Washington, DC</v>
      </c>
      <c r="AO596" s="29">
        <f>COUNTIF(AN:AN,Data!$AN596)/COUNTA(AN:AN)</f>
        <v>0.62424242424242427</v>
      </c>
      <c r="AP596" s="29">
        <v>38.934710000000003</v>
      </c>
      <c r="AQ596" s="29">
        <v>-77.058222999999998</v>
      </c>
      <c r="AR596" s="29">
        <f>COUNTIF(Data!$P$2:$P$825,Data!$P596)</f>
        <v>71</v>
      </c>
      <c r="AS596" s="29" cm="1">
        <f t="array" ref="AS596">_xlfn.IFS(Data!$E596&lt;12,((Data!$E596/Data!$D596)*60)*1,AND(Data!$E596&gt;=12,Data!$E596&lt;=15),((Data!$E596/Data!$D596)*60)*1.2,AND(Data!$E596&gt;=16,Data!$E596&lt;=19),((Data!$E596/Data!$D596)*60)*1.5,Data!$E596&gt;=20,((Data!$E596/Data!$D596)*60)*1.8)</f>
        <v>18.94736842105263</v>
      </c>
      <c r="AT596" s="29" cm="1">
        <f t="array" ref="AT596">_xlfn.IFS(Data!$F596&lt;600,((Data!$F596/Data!$D596)*60)*1,AND(Data!$F596&gt;=600,Data!$F596&lt;=625),((Data!$F596/Data!$D596)*60)*1.2,AND(Data!$F596&gt;=626,Data!$F596&lt;=650),((Data!$F596/Data!$D596)*60)*1.5,Data!$F596&gt;=651,((Data!$F596/Data!$D596)*60)*1.8)</f>
        <v>1254.3157894736844</v>
      </c>
      <c r="AU596" s="29">
        <f>(Data!$I596*-1.2)+(Data!$J596*-1.1)+(Data!$K596*1.2)+(Data!$L596*1.3)+(Data!$M596*1.5)</f>
        <v>18.900000000000002</v>
      </c>
      <c r="AV596" s="29">
        <f>(Data!$AS596*0.4)+(Data!$AT596*0.4)+(Data!$AU596*0.2)</f>
        <v>513.08526315789481</v>
      </c>
      <c r="AW596" s="34">
        <f>PERCENTRANK(AV:AV,Data!$AV596)*100</f>
        <v>86.3</v>
      </c>
      <c r="AX596" s="29" t="str">
        <f>_xlfn.CONCAT(TEXT(C596,"mmm"),"-",Data!$AE596)</f>
        <v>Feb-2024</v>
      </c>
    </row>
    <row r="597" spans="1:50" ht="17" thickTop="1" thickBot="1" x14ac:dyDescent="0.25">
      <c r="A597" s="22">
        <v>596</v>
      </c>
      <c r="B597" s="23">
        <f t="shared" si="74"/>
        <v>13</v>
      </c>
      <c r="C597" s="41">
        <v>45341</v>
      </c>
      <c r="D597" s="24">
        <f>SUM(Data!$I597:$M597)</f>
        <v>59</v>
      </c>
      <c r="E597" s="23">
        <v>14</v>
      </c>
      <c r="F597" s="23">
        <v>602</v>
      </c>
      <c r="G597" s="23">
        <v>166</v>
      </c>
      <c r="H597" s="23">
        <v>121</v>
      </c>
      <c r="I597" s="23">
        <v>22</v>
      </c>
      <c r="J597" s="23">
        <v>10</v>
      </c>
      <c r="K597" s="23">
        <v>13</v>
      </c>
      <c r="L597" s="23">
        <v>12</v>
      </c>
      <c r="M597" s="23">
        <v>2</v>
      </c>
      <c r="N597" s="23" t="s">
        <v>125</v>
      </c>
      <c r="O597" s="23" t="s">
        <v>83</v>
      </c>
      <c r="P597" s="23" t="s">
        <v>206</v>
      </c>
      <c r="Q597" s="23">
        <f t="shared" si="80"/>
        <v>5</v>
      </c>
      <c r="R597" s="23" t="str">
        <f t="shared" si="75"/>
        <v>2-2024</v>
      </c>
      <c r="S597" s="23" t="s">
        <v>104</v>
      </c>
      <c r="T597" s="23" t="str">
        <f t="shared" si="76"/>
        <v>Monday</v>
      </c>
      <c r="U597" s="23">
        <f t="shared" si="77"/>
        <v>1</v>
      </c>
      <c r="V597" s="25">
        <f>IFERROR(Data!$I597/Data!$D597,"")</f>
        <v>0.3728813559322034</v>
      </c>
      <c r="W597" s="25">
        <f>IFERROR(Data!$J597/Data!$D597,"")</f>
        <v>0.16949152542372881</v>
      </c>
      <c r="X597" s="25">
        <f>IFERROR(Data!$K597/Data!$D597,"")</f>
        <v>0.22033898305084745</v>
      </c>
      <c r="Y597" s="25">
        <f>IFERROR(Data!$L597/Data!$D597,"")</f>
        <v>0.20338983050847459</v>
      </c>
      <c r="Z597" s="25">
        <f>IFERROR(Data!$M597/Data!$D597,"")</f>
        <v>3.3898305084745763E-2</v>
      </c>
      <c r="AA597" s="26">
        <v>232.14</v>
      </c>
      <c r="AB597" s="26">
        <f t="shared" si="81"/>
        <v>17.856923076923074</v>
      </c>
      <c r="AC597" s="23">
        <f t="shared" si="78"/>
        <v>643.07692307692309</v>
      </c>
      <c r="AD597" s="23">
        <f t="shared" si="79"/>
        <v>14.692307692307692</v>
      </c>
      <c r="AE597" s="23">
        <f>YEAR(Data!$C597)</f>
        <v>2024</v>
      </c>
      <c r="AF597" s="23"/>
      <c r="AG597" s="23">
        <v>12</v>
      </c>
      <c r="AH597" s="27">
        <f>Data!$F597/Data!$D597</f>
        <v>10.203389830508474</v>
      </c>
      <c r="AI597" s="17" t="str">
        <f>RIGHT(Data!$O597,2)</f>
        <v>PM</v>
      </c>
      <c r="AJ597" s="23" t="str">
        <f>Data!$R597&amp;"-"&amp;WEEKNUM(Data!$C597,1)-WEEKNUM(DATE(YEAR(Data!$C597),MONTH(Data!$C597),1),1)+1</f>
        <v>2-2024-4</v>
      </c>
      <c r="AK597" s="23">
        <f>MONTH(Data!$C597)</f>
        <v>2</v>
      </c>
      <c r="AL597" s="23">
        <f>IFERROR(Data!$F597/Data!$E597,0)</f>
        <v>43</v>
      </c>
      <c r="AM597" s="23">
        <f>COUNTIF(Data!$N$2:$N$825,Data!$N597)</f>
        <v>182</v>
      </c>
      <c r="AN597" s="23" t="str">
        <f>VLOOKUP(Data!$N597,'Helpful Tables'!A:D,4,FALSE)</f>
        <v>Oregon</v>
      </c>
      <c r="AO597" s="23">
        <f>COUNTIF(AN:AN,Data!$AN597)/COUNTA(AN:AN)</f>
        <v>0.27393939393939393</v>
      </c>
      <c r="AP597" s="23">
        <v>45.534162000000002</v>
      </c>
      <c r="AQ597" s="23">
        <v>-122.69670000000001</v>
      </c>
      <c r="AR597" s="23">
        <f>COUNTIF(Data!$P$2:$P$825,Data!$P597)</f>
        <v>1</v>
      </c>
      <c r="AS597" s="23" cm="1">
        <f t="array" ref="AS597">_xlfn.IFS(Data!$E597&lt;12,((Data!$E597/Data!$D597)*60)*1,AND(Data!$E597&gt;=12,Data!$E597&lt;=15),((Data!$E597/Data!$D597)*60)*1.2,AND(Data!$E597&gt;=16,Data!$E597&lt;=19),((Data!$E597/Data!$D597)*60)*1.5,Data!$E597&gt;=20,((Data!$E597/Data!$D597)*60)*1.8)</f>
        <v>17.084745762711865</v>
      </c>
      <c r="AT597" s="23" cm="1">
        <f t="array" ref="AT597">_xlfn.IFS(Data!$F597&lt;600,((Data!$F597/Data!$D597)*60)*1,AND(Data!$F597&gt;=600,Data!$F597&lt;=625),((Data!$F597/Data!$D597)*60)*1.2,AND(Data!$F597&gt;=626,Data!$F597&lt;=650),((Data!$F597/Data!$D597)*60)*1.5,Data!$F597&gt;=651,((Data!$F597/Data!$D597)*60)*1.8)</f>
        <v>734.6440677966101</v>
      </c>
      <c r="AU597" s="23">
        <f>(Data!$I597*-1.2)+(Data!$J597*-1.1)+(Data!$K597*1.2)+(Data!$L597*1.3)+(Data!$M597*1.5)</f>
        <v>-3.1999999999999957</v>
      </c>
      <c r="AV597" s="23">
        <f>(Data!$AS597*0.4)+(Data!$AT597*0.4)+(Data!$AU597*0.2)</f>
        <v>300.05152542372883</v>
      </c>
      <c r="AW597" s="35">
        <f>PERCENTRANK(AV:AV,Data!$AV597)*100</f>
        <v>26.200000000000003</v>
      </c>
      <c r="AX597" s="23" t="str">
        <f>_xlfn.CONCAT(TEXT(C597,"mmm"),"-",Data!$AE597)</f>
        <v>Feb-2024</v>
      </c>
    </row>
    <row r="598" spans="1:50" ht="17" thickTop="1" thickBot="1" x14ac:dyDescent="0.25">
      <c r="A598" s="28">
        <v>597</v>
      </c>
      <c r="B598" s="29">
        <f t="shared" si="74"/>
        <v>13</v>
      </c>
      <c r="C598" s="41">
        <v>45343</v>
      </c>
      <c r="D598" s="30">
        <f>SUM(Data!$I598:$M598)</f>
        <v>58</v>
      </c>
      <c r="E598" s="29">
        <v>15</v>
      </c>
      <c r="F598" s="29">
        <v>672</v>
      </c>
      <c r="G598" s="29">
        <v>170</v>
      </c>
      <c r="H598" s="29">
        <v>131</v>
      </c>
      <c r="I598" s="29">
        <v>5</v>
      </c>
      <c r="J598" s="29">
        <v>16</v>
      </c>
      <c r="K598" s="29">
        <v>22</v>
      </c>
      <c r="L598" s="29">
        <v>11</v>
      </c>
      <c r="M598" s="29">
        <v>4</v>
      </c>
      <c r="N598" s="29" t="s">
        <v>125</v>
      </c>
      <c r="O598" s="29" t="s">
        <v>183</v>
      </c>
      <c r="P598" s="29" t="s">
        <v>207</v>
      </c>
      <c r="Q598" s="29">
        <f t="shared" si="80"/>
        <v>2</v>
      </c>
      <c r="R598" s="29" t="str">
        <f t="shared" si="75"/>
        <v>2-2024</v>
      </c>
      <c r="S598" s="29" t="s">
        <v>104</v>
      </c>
      <c r="T598" s="29" t="str">
        <f t="shared" si="76"/>
        <v>Wednesday</v>
      </c>
      <c r="U598" s="29">
        <f t="shared" si="77"/>
        <v>1</v>
      </c>
      <c r="V598" s="31">
        <f>IFERROR(Data!$I598/Data!$D598,"")</f>
        <v>8.6206896551724144E-2</v>
      </c>
      <c r="W598" s="31">
        <f>IFERROR(Data!$J598/Data!$D598,"")</f>
        <v>0.27586206896551724</v>
      </c>
      <c r="X598" s="31">
        <f>IFERROR(Data!$K598/Data!$D598,"")</f>
        <v>0.37931034482758619</v>
      </c>
      <c r="Y598" s="31">
        <f>IFERROR(Data!$L598/Data!$D598,"")</f>
        <v>0.18965517241379309</v>
      </c>
      <c r="Z598" s="31">
        <f>IFERROR(Data!$M598/Data!$D598,"")</f>
        <v>6.8965517241379309E-2</v>
      </c>
      <c r="AA598" s="32">
        <v>232.14</v>
      </c>
      <c r="AB598" s="32">
        <f t="shared" si="81"/>
        <v>17.856923076923074</v>
      </c>
      <c r="AC598" s="29">
        <f t="shared" si="78"/>
        <v>643.07692307692309</v>
      </c>
      <c r="AD598" s="29">
        <f t="shared" si="79"/>
        <v>14.692307692307692</v>
      </c>
      <c r="AE598" s="29">
        <f>YEAR(Data!$C598)</f>
        <v>2024</v>
      </c>
      <c r="AF598" s="29"/>
      <c r="AG598" s="29">
        <v>12</v>
      </c>
      <c r="AH598" s="33">
        <f>Data!$F598/Data!$D598</f>
        <v>11.586206896551724</v>
      </c>
      <c r="AI598" s="17" t="str">
        <f>RIGHT(Data!$O598,2)</f>
        <v>AM</v>
      </c>
      <c r="AJ598" s="29" t="str">
        <f>Data!$R598&amp;"-"&amp;WEEKNUM(Data!$C598,1)-WEEKNUM(DATE(YEAR(Data!$C598),MONTH(Data!$C598),1),1)+1</f>
        <v>2-2024-4</v>
      </c>
      <c r="AK598" s="29">
        <f>MONTH(Data!$C598)</f>
        <v>2</v>
      </c>
      <c r="AL598" s="29">
        <f>IFERROR(Data!$F598/Data!$E598,0)</f>
        <v>44.8</v>
      </c>
      <c r="AM598" s="29">
        <f>COUNTIF(Data!$N$2:$N$825,Data!$N598)</f>
        <v>182</v>
      </c>
      <c r="AN598" s="29" t="str">
        <f>VLOOKUP(Data!$N598,'Helpful Tables'!A:D,4,FALSE)</f>
        <v>Oregon</v>
      </c>
      <c r="AO598" s="29">
        <f>COUNTIF(AN:AN,Data!$AN598)/COUNTA(AN:AN)</f>
        <v>0.27393939393939393</v>
      </c>
      <c r="AP598" s="29">
        <v>45.534162000000002</v>
      </c>
      <c r="AQ598" s="29">
        <v>-122.69670000000001</v>
      </c>
      <c r="AR598" s="29">
        <f>COUNTIF(Data!$P$2:$P$825,Data!$P598)</f>
        <v>10</v>
      </c>
      <c r="AS598" s="29" cm="1">
        <f t="array" ref="AS598">_xlfn.IFS(Data!$E598&lt;12,((Data!$E598/Data!$D598)*60)*1,AND(Data!$E598&gt;=12,Data!$E598&lt;=15),((Data!$E598/Data!$D598)*60)*1.2,AND(Data!$E598&gt;=16,Data!$E598&lt;=19),((Data!$E598/Data!$D598)*60)*1.5,Data!$E598&gt;=20,((Data!$E598/Data!$D598)*60)*1.8)</f>
        <v>18.620689655172413</v>
      </c>
      <c r="AT598" s="29" cm="1">
        <f t="array" ref="AT598">_xlfn.IFS(Data!$F598&lt;600,((Data!$F598/Data!$D598)*60)*1,AND(Data!$F598&gt;=600,Data!$F598&lt;=625),((Data!$F598/Data!$D598)*60)*1.2,AND(Data!$F598&gt;=626,Data!$F598&lt;=650),((Data!$F598/Data!$D598)*60)*1.5,Data!$F598&gt;=651,((Data!$F598/Data!$D598)*60)*1.8)</f>
        <v>1251.3103448275863</v>
      </c>
      <c r="AU598" s="29">
        <f>(Data!$I598*-1.2)+(Data!$J598*-1.1)+(Data!$K598*1.2)+(Data!$L598*1.3)+(Data!$M598*1.5)</f>
        <v>23.099999999999998</v>
      </c>
      <c r="AV598" s="29">
        <f>(Data!$AS598*0.4)+(Data!$AT598*0.4)+(Data!$AU598*0.2)</f>
        <v>512.59241379310345</v>
      </c>
      <c r="AW598" s="34">
        <f>PERCENTRANK(AV:AV,Data!$AV598)*100</f>
        <v>86</v>
      </c>
      <c r="AX598" s="29" t="str">
        <f>_xlfn.CONCAT(TEXT(C598,"mmm"),"-",Data!$AE598)</f>
        <v>Feb-2024</v>
      </c>
    </row>
    <row r="599" spans="1:50" ht="17" thickTop="1" thickBot="1" x14ac:dyDescent="0.25">
      <c r="A599" s="22">
        <v>598</v>
      </c>
      <c r="B599" s="23">
        <f t="shared" si="74"/>
        <v>13</v>
      </c>
      <c r="C599" s="41">
        <v>45344</v>
      </c>
      <c r="D599" s="24">
        <f>SUM(Data!$I599:$M599)</f>
        <v>57</v>
      </c>
      <c r="E599" s="23">
        <v>16</v>
      </c>
      <c r="F599" s="23">
        <v>657</v>
      </c>
      <c r="G599" s="23">
        <v>165</v>
      </c>
      <c r="H599" s="23">
        <v>128</v>
      </c>
      <c r="I599" s="23">
        <v>8</v>
      </c>
      <c r="J599" s="23">
        <v>19</v>
      </c>
      <c r="K599" s="23">
        <v>14</v>
      </c>
      <c r="L599" s="23">
        <v>15</v>
      </c>
      <c r="M599" s="23">
        <v>1</v>
      </c>
      <c r="N599" s="23" t="s">
        <v>125</v>
      </c>
      <c r="O599" s="23" t="s">
        <v>127</v>
      </c>
      <c r="P599" s="23" t="s">
        <v>207</v>
      </c>
      <c r="Q599" s="23">
        <f t="shared" si="80"/>
        <v>1</v>
      </c>
      <c r="R599" s="23" t="str">
        <f t="shared" si="75"/>
        <v>2-2024</v>
      </c>
      <c r="S599" s="23" t="s">
        <v>104</v>
      </c>
      <c r="T599" s="23" t="str">
        <f t="shared" si="76"/>
        <v>Thursday</v>
      </c>
      <c r="U599" s="23">
        <f t="shared" si="77"/>
        <v>1</v>
      </c>
      <c r="V599" s="25">
        <f>IFERROR(Data!$I599/Data!$D599,"")</f>
        <v>0.14035087719298245</v>
      </c>
      <c r="W599" s="25">
        <f>IFERROR(Data!$J599/Data!$D599,"")</f>
        <v>0.33333333333333331</v>
      </c>
      <c r="X599" s="25">
        <f>IFERROR(Data!$K599/Data!$D599,"")</f>
        <v>0.24561403508771928</v>
      </c>
      <c r="Y599" s="25">
        <f>IFERROR(Data!$L599/Data!$D599,"")</f>
        <v>0.26315789473684209</v>
      </c>
      <c r="Z599" s="25">
        <f>IFERROR(Data!$M599/Data!$D599,"")</f>
        <v>1.7543859649122806E-2</v>
      </c>
      <c r="AA599" s="26">
        <v>232.14</v>
      </c>
      <c r="AB599" s="26">
        <f t="shared" si="81"/>
        <v>17.856923076923074</v>
      </c>
      <c r="AC599" s="23">
        <f t="shared" si="78"/>
        <v>643.07692307692309</v>
      </c>
      <c r="AD599" s="23">
        <f t="shared" si="79"/>
        <v>14.692307692307692</v>
      </c>
      <c r="AE599" s="23">
        <f>YEAR(Data!$C599)</f>
        <v>2024</v>
      </c>
      <c r="AF599" s="23"/>
      <c r="AG599" s="23">
        <v>12</v>
      </c>
      <c r="AH599" s="27">
        <f>Data!$F599/Data!$D599</f>
        <v>11.526315789473685</v>
      </c>
      <c r="AI599" s="17" t="str">
        <f>RIGHT(Data!$O599,2)</f>
        <v>PM</v>
      </c>
      <c r="AJ599" s="23" t="str">
        <f>Data!$R599&amp;"-"&amp;WEEKNUM(Data!$C599,1)-WEEKNUM(DATE(YEAR(Data!$C599),MONTH(Data!$C599),1),1)+1</f>
        <v>2-2024-4</v>
      </c>
      <c r="AK599" s="23">
        <f>MONTH(Data!$C599)</f>
        <v>2</v>
      </c>
      <c r="AL599" s="23">
        <f>IFERROR(Data!$F599/Data!$E599,0)</f>
        <v>41.0625</v>
      </c>
      <c r="AM599" s="23">
        <f>COUNTIF(Data!$N$2:$N$825,Data!$N599)</f>
        <v>182</v>
      </c>
      <c r="AN599" s="23" t="str">
        <f>VLOOKUP(Data!$N599,'Helpful Tables'!A:D,4,FALSE)</f>
        <v>Oregon</v>
      </c>
      <c r="AO599" s="23">
        <f>COUNTIF(AN:AN,Data!$AN599)/COUNTA(AN:AN)</f>
        <v>0.27393939393939393</v>
      </c>
      <c r="AP599" s="23">
        <v>45.534162000000002</v>
      </c>
      <c r="AQ599" s="23">
        <v>-122.69670000000001</v>
      </c>
      <c r="AR599" s="23">
        <f>COUNTIF(Data!$P$2:$P$825,Data!$P599)</f>
        <v>10</v>
      </c>
      <c r="AS599" s="23" cm="1">
        <f t="array" ref="AS599">_xlfn.IFS(Data!$E599&lt;12,((Data!$E599/Data!$D599)*60)*1,AND(Data!$E599&gt;=12,Data!$E599&lt;=15),((Data!$E599/Data!$D599)*60)*1.2,AND(Data!$E599&gt;=16,Data!$E599&lt;=19),((Data!$E599/Data!$D599)*60)*1.5,Data!$E599&gt;=20,((Data!$E599/Data!$D599)*60)*1.8)</f>
        <v>25.263157894736842</v>
      </c>
      <c r="AT599" s="23" cm="1">
        <f t="array" ref="AT599">_xlfn.IFS(Data!$F599&lt;600,((Data!$F599/Data!$D599)*60)*1,AND(Data!$F599&gt;=600,Data!$F599&lt;=625),((Data!$F599/Data!$D599)*60)*1.2,AND(Data!$F599&gt;=626,Data!$F599&lt;=650),((Data!$F599/Data!$D599)*60)*1.5,Data!$F599&gt;=651,((Data!$F599/Data!$D599)*60)*1.8)</f>
        <v>1244.8421052631579</v>
      </c>
      <c r="AU599" s="23">
        <f>(Data!$I599*-1.2)+(Data!$J599*-1.1)+(Data!$K599*1.2)+(Data!$L599*1.3)+(Data!$M599*1.5)</f>
        <v>7.3000000000000007</v>
      </c>
      <c r="AV599" s="23">
        <f>(Data!$AS599*0.4)+(Data!$AT599*0.4)+(Data!$AU599*0.2)</f>
        <v>509.50210526315789</v>
      </c>
      <c r="AW599" s="35">
        <f>PERCENTRANK(AV:AV,Data!$AV599)*100</f>
        <v>84.2</v>
      </c>
      <c r="AX599" s="23" t="str">
        <f>_xlfn.CONCAT(TEXT(C599,"mmm"),"-",Data!$AE599)</f>
        <v>Feb-2024</v>
      </c>
    </row>
    <row r="600" spans="1:50" ht="17" thickTop="1" thickBot="1" x14ac:dyDescent="0.25">
      <c r="A600" s="28">
        <v>599</v>
      </c>
      <c r="B600" s="29">
        <f t="shared" si="74"/>
        <v>13</v>
      </c>
      <c r="C600" s="41">
        <v>45347</v>
      </c>
      <c r="D600" s="30">
        <f>SUM(Data!$I600:$M600)</f>
        <v>60</v>
      </c>
      <c r="E600" s="29">
        <v>16</v>
      </c>
      <c r="F600" s="29">
        <v>642</v>
      </c>
      <c r="G600" s="29">
        <v>166</v>
      </c>
      <c r="H600" s="29">
        <v>124</v>
      </c>
      <c r="I600" s="29">
        <v>18</v>
      </c>
      <c r="J600" s="29">
        <v>15</v>
      </c>
      <c r="K600" s="29">
        <v>11</v>
      </c>
      <c r="L600" s="29">
        <v>15</v>
      </c>
      <c r="M600" s="29">
        <v>1</v>
      </c>
      <c r="N600" s="29" t="s">
        <v>208</v>
      </c>
      <c r="O600" s="29" t="s">
        <v>183</v>
      </c>
      <c r="P600" s="29" t="s">
        <v>209</v>
      </c>
      <c r="Q600" s="29">
        <f t="shared" si="80"/>
        <v>3</v>
      </c>
      <c r="R600" s="29" t="str">
        <f t="shared" si="75"/>
        <v>2-2024</v>
      </c>
      <c r="S600" s="29" t="s">
        <v>104</v>
      </c>
      <c r="T600" s="29" t="str">
        <f t="shared" si="76"/>
        <v>Sunday</v>
      </c>
      <c r="U600" s="29">
        <f t="shared" si="77"/>
        <v>1</v>
      </c>
      <c r="V600" s="31">
        <f>IFERROR(Data!$I600/Data!$D600,"")</f>
        <v>0.3</v>
      </c>
      <c r="W600" s="31">
        <f>IFERROR(Data!$J600/Data!$D600,"")</f>
        <v>0.25</v>
      </c>
      <c r="X600" s="31">
        <f>IFERROR(Data!$K600/Data!$D600,"")</f>
        <v>0.18333333333333332</v>
      </c>
      <c r="Y600" s="31">
        <f>IFERROR(Data!$L600/Data!$D600,"")</f>
        <v>0.25</v>
      </c>
      <c r="Z600" s="31">
        <f>IFERROR(Data!$M600/Data!$D600,"")</f>
        <v>1.6666666666666666E-2</v>
      </c>
      <c r="AA600" s="32">
        <v>232.14</v>
      </c>
      <c r="AB600" s="32">
        <f t="shared" si="81"/>
        <v>17.856923076923074</v>
      </c>
      <c r="AC600" s="29">
        <f t="shared" si="78"/>
        <v>643.07692307692309</v>
      </c>
      <c r="AD600" s="29">
        <f t="shared" si="79"/>
        <v>14.692307692307692</v>
      </c>
      <c r="AE600" s="29">
        <f>YEAR(Data!$C600)</f>
        <v>2024</v>
      </c>
      <c r="AF600" s="29"/>
      <c r="AG600" s="29">
        <v>12</v>
      </c>
      <c r="AH600" s="33">
        <f>Data!$F600/Data!$D600</f>
        <v>10.7</v>
      </c>
      <c r="AI600" s="17" t="str">
        <f>RIGHT(Data!$O600,2)</f>
        <v>AM</v>
      </c>
      <c r="AJ600" s="29" t="str">
        <f>Data!$R600&amp;"-"&amp;WEEKNUM(Data!$C600,1)-WEEKNUM(DATE(YEAR(Data!$C600),MONTH(Data!$C600),1),1)+1</f>
        <v>2-2024-5</v>
      </c>
      <c r="AK600" s="29">
        <f>MONTH(Data!$C600)</f>
        <v>2</v>
      </c>
      <c r="AL600" s="29">
        <f>IFERROR(Data!$F600/Data!$E600,0)</f>
        <v>40.125</v>
      </c>
      <c r="AM600" s="29">
        <f>COUNTIF(Data!$N$2:$N$825,Data!$N600)</f>
        <v>42</v>
      </c>
      <c r="AN600" s="29" t="str">
        <f>VLOOKUP(Data!$N600,'Helpful Tables'!A:D,4,FALSE)</f>
        <v>Oregon</v>
      </c>
      <c r="AO600" s="29">
        <f>COUNTIF(AN:AN,Data!$AN600)/COUNTA(AN:AN)</f>
        <v>0.27393939393939393</v>
      </c>
      <c r="AP600" s="29">
        <v>45.525092999999998</v>
      </c>
      <c r="AQ600" s="29">
        <v>-122.681383</v>
      </c>
      <c r="AR600" s="29">
        <f>COUNTIF(Data!$P$2:$P$825,Data!$P600)</f>
        <v>18</v>
      </c>
      <c r="AS600" s="29" cm="1">
        <f t="array" ref="AS600">_xlfn.IFS(Data!$E600&lt;12,((Data!$E600/Data!$D600)*60)*1,AND(Data!$E600&gt;=12,Data!$E600&lt;=15),((Data!$E600/Data!$D600)*60)*1.2,AND(Data!$E600&gt;=16,Data!$E600&lt;=19),((Data!$E600/Data!$D600)*60)*1.5,Data!$E600&gt;=20,((Data!$E600/Data!$D600)*60)*1.8)</f>
        <v>24</v>
      </c>
      <c r="AT600" s="29" cm="1">
        <f t="array" ref="AT600">_xlfn.IFS(Data!$F600&lt;600,((Data!$F600/Data!$D600)*60)*1,AND(Data!$F600&gt;=600,Data!$F600&lt;=625),((Data!$F600/Data!$D600)*60)*1.2,AND(Data!$F600&gt;=626,Data!$F600&lt;=650),((Data!$F600/Data!$D600)*60)*1.5,Data!$F600&gt;=651,((Data!$F600/Data!$D600)*60)*1.8)</f>
        <v>963</v>
      </c>
      <c r="AU600" s="29">
        <f>(Data!$I600*-1.2)+(Data!$J600*-1.1)+(Data!$K600*1.2)+(Data!$L600*1.3)+(Data!$M600*1.5)</f>
        <v>-3.899999999999995</v>
      </c>
      <c r="AV600" s="29">
        <f>(Data!$AS600*0.4)+(Data!$AT600*0.4)+(Data!$AU600*0.2)</f>
        <v>394.0200000000001</v>
      </c>
      <c r="AW600" s="34">
        <f>PERCENTRANK(AV:AV,Data!$AV600)*100</f>
        <v>48.8</v>
      </c>
      <c r="AX600" s="29" t="str">
        <f>_xlfn.CONCAT(TEXT(C600,"mmm"),"-",Data!$AE600)</f>
        <v>Feb-2024</v>
      </c>
    </row>
    <row r="601" spans="1:50" ht="17" thickTop="1" thickBot="1" x14ac:dyDescent="0.25">
      <c r="A601" s="22">
        <v>600</v>
      </c>
      <c r="B601" s="23">
        <f t="shared" si="74"/>
        <v>13</v>
      </c>
      <c r="C601" s="41">
        <v>45349</v>
      </c>
      <c r="D601" s="24">
        <f>SUM(Data!$I601:$M601)</f>
        <v>57</v>
      </c>
      <c r="E601" s="23">
        <v>9</v>
      </c>
      <c r="F601" s="23">
        <v>595</v>
      </c>
      <c r="G601" s="23">
        <v>166</v>
      </c>
      <c r="H601" s="23">
        <v>122</v>
      </c>
      <c r="I601" s="23">
        <v>16</v>
      </c>
      <c r="J601" s="23">
        <v>18</v>
      </c>
      <c r="K601" s="23">
        <v>14</v>
      </c>
      <c r="L601" s="23">
        <v>8</v>
      </c>
      <c r="M601" s="23">
        <v>1</v>
      </c>
      <c r="N601" s="23" t="s">
        <v>125</v>
      </c>
      <c r="O601" s="23" t="s">
        <v>127</v>
      </c>
      <c r="P601" s="23" t="s">
        <v>126</v>
      </c>
      <c r="Q601" s="23">
        <f t="shared" si="80"/>
        <v>2</v>
      </c>
      <c r="R601" s="23" t="str">
        <f t="shared" si="75"/>
        <v>2-2024</v>
      </c>
      <c r="S601" s="23" t="s">
        <v>104</v>
      </c>
      <c r="T601" s="23" t="str">
        <f t="shared" si="76"/>
        <v>Tuesday</v>
      </c>
      <c r="U601" s="23">
        <f t="shared" si="77"/>
        <v>0</v>
      </c>
      <c r="V601" s="25">
        <f>IFERROR(Data!$I601/Data!$D601,"")</f>
        <v>0.2807017543859649</v>
      </c>
      <c r="W601" s="25">
        <f>IFERROR(Data!$J601/Data!$D601,"")</f>
        <v>0.31578947368421051</v>
      </c>
      <c r="X601" s="25">
        <f>IFERROR(Data!$K601/Data!$D601,"")</f>
        <v>0.24561403508771928</v>
      </c>
      <c r="Y601" s="25">
        <f>IFERROR(Data!$L601/Data!$D601,"")</f>
        <v>0.14035087719298245</v>
      </c>
      <c r="Z601" s="25">
        <f>IFERROR(Data!$M601/Data!$D601,"")</f>
        <v>1.7543859649122806E-2</v>
      </c>
      <c r="AA601" s="26">
        <v>232.14</v>
      </c>
      <c r="AB601" s="26">
        <f t="shared" si="81"/>
        <v>17.856923076923074</v>
      </c>
      <c r="AC601" s="23">
        <f t="shared" si="78"/>
        <v>643.07692307692309</v>
      </c>
      <c r="AD601" s="23">
        <f t="shared" si="79"/>
        <v>14.692307692307692</v>
      </c>
      <c r="AE601" s="23">
        <f>YEAR(Data!$C601)</f>
        <v>2024</v>
      </c>
      <c r="AF601" s="23"/>
      <c r="AG601" s="23">
        <v>12</v>
      </c>
      <c r="AH601" s="27">
        <f>Data!$F601/Data!$D601</f>
        <v>10.43859649122807</v>
      </c>
      <c r="AI601" s="17" t="str">
        <f>RIGHT(Data!$O601,2)</f>
        <v>PM</v>
      </c>
      <c r="AJ601" s="23" t="str">
        <f>Data!$R601&amp;"-"&amp;WEEKNUM(Data!$C601,1)-WEEKNUM(DATE(YEAR(Data!$C601),MONTH(Data!$C601),1),1)+1</f>
        <v>2-2024-5</v>
      </c>
      <c r="AK601" s="23">
        <f>MONTH(Data!$C601)</f>
        <v>2</v>
      </c>
      <c r="AL601" s="23">
        <f>IFERROR(Data!$F601/Data!$E601,0)</f>
        <v>66.111111111111114</v>
      </c>
      <c r="AM601" s="23">
        <f>COUNTIF(Data!$N$2:$N$825,Data!$N601)</f>
        <v>182</v>
      </c>
      <c r="AN601" s="23" t="str">
        <f>VLOOKUP(Data!$N601,'Helpful Tables'!A:D,4,FALSE)</f>
        <v>Oregon</v>
      </c>
      <c r="AO601" s="23">
        <f>COUNTIF(AN:AN,Data!$AN601)/COUNTA(AN:AN)</f>
        <v>0.27393939393939393</v>
      </c>
      <c r="AP601" s="23">
        <v>45.534162000000002</v>
      </c>
      <c r="AQ601" s="23">
        <v>-122.69670000000001</v>
      </c>
      <c r="AR601" s="23">
        <f>COUNTIF(Data!$P$2:$P$825,Data!$P601)</f>
        <v>10</v>
      </c>
      <c r="AS601" s="23" cm="1">
        <f t="array" ref="AS601">_xlfn.IFS(Data!$E601&lt;12,((Data!$E601/Data!$D601)*60)*1,AND(Data!$E601&gt;=12,Data!$E601&lt;=15),((Data!$E601/Data!$D601)*60)*1.2,AND(Data!$E601&gt;=16,Data!$E601&lt;=19),((Data!$E601/Data!$D601)*60)*1.5,Data!$E601&gt;=20,((Data!$E601/Data!$D601)*60)*1.8)</f>
        <v>9.473684210526315</v>
      </c>
      <c r="AT601" s="23" cm="1">
        <f t="array" ref="AT601">_xlfn.IFS(Data!$F601&lt;600,((Data!$F601/Data!$D601)*60)*1,AND(Data!$F601&gt;=600,Data!$F601&lt;=625),((Data!$F601/Data!$D601)*60)*1.2,AND(Data!$F601&gt;=626,Data!$F601&lt;=650),((Data!$F601/Data!$D601)*60)*1.5,Data!$F601&gt;=651,((Data!$F601/Data!$D601)*60)*1.8)</f>
        <v>626.31578947368416</v>
      </c>
      <c r="AU601" s="23">
        <f>(Data!$I601*-1.2)+(Data!$J601*-1.1)+(Data!$K601*1.2)+(Data!$L601*1.3)+(Data!$M601*1.5)</f>
        <v>-10.299999999999999</v>
      </c>
      <c r="AV601" s="23">
        <f>(Data!$AS601*0.4)+(Data!$AT601*0.4)+(Data!$AU601*0.2)</f>
        <v>252.25578947368419</v>
      </c>
      <c r="AW601" s="35">
        <f>PERCENTRANK(AV:AV,Data!$AV601)*100</f>
        <v>17.8</v>
      </c>
      <c r="AX601" s="23" t="str">
        <f>_xlfn.CONCAT(TEXT(C601,"mmm"),"-",Data!$AE601)</f>
        <v>Feb-2024</v>
      </c>
    </row>
    <row r="602" spans="1:50" ht="17" thickTop="1" thickBot="1" x14ac:dyDescent="0.25">
      <c r="A602" s="28">
        <v>601</v>
      </c>
      <c r="B602" s="29">
        <f t="shared" si="74"/>
        <v>13</v>
      </c>
      <c r="C602" s="41">
        <v>45351</v>
      </c>
      <c r="D602" s="30">
        <f>SUM(Data!$I602:$M602)</f>
        <v>57</v>
      </c>
      <c r="E602" s="29">
        <v>13</v>
      </c>
      <c r="F602" s="29">
        <v>670</v>
      </c>
      <c r="G602" s="29">
        <v>166</v>
      </c>
      <c r="H602" s="29">
        <v>131</v>
      </c>
      <c r="I602" s="29">
        <v>4</v>
      </c>
      <c r="J602" s="29">
        <v>17</v>
      </c>
      <c r="K602" s="29">
        <v>23</v>
      </c>
      <c r="L602" s="29">
        <v>11</v>
      </c>
      <c r="M602" s="29">
        <v>2</v>
      </c>
      <c r="N602" s="29" t="s">
        <v>125</v>
      </c>
      <c r="O602" s="29" t="s">
        <v>127</v>
      </c>
      <c r="P602" s="29" t="s">
        <v>207</v>
      </c>
      <c r="Q602" s="29">
        <f t="shared" si="80"/>
        <v>2</v>
      </c>
      <c r="R602" s="29" t="str">
        <f t="shared" si="75"/>
        <v>2-2024</v>
      </c>
      <c r="S602" s="29" t="s">
        <v>104</v>
      </c>
      <c r="T602" s="29" t="str">
        <f t="shared" si="76"/>
        <v>Thursday</v>
      </c>
      <c r="U602" s="29">
        <f t="shared" si="77"/>
        <v>1</v>
      </c>
      <c r="V602" s="31">
        <f>IFERROR(Data!$I602/Data!$D602,"")</f>
        <v>7.0175438596491224E-2</v>
      </c>
      <c r="W602" s="31">
        <f>IFERROR(Data!$J602/Data!$D602,"")</f>
        <v>0.2982456140350877</v>
      </c>
      <c r="X602" s="31">
        <f>IFERROR(Data!$K602/Data!$D602,"")</f>
        <v>0.40350877192982454</v>
      </c>
      <c r="Y602" s="31">
        <f>IFERROR(Data!$L602/Data!$D602,"")</f>
        <v>0.19298245614035087</v>
      </c>
      <c r="Z602" s="31">
        <f>IFERROR(Data!$M602/Data!$D602,"")</f>
        <v>3.5087719298245612E-2</v>
      </c>
      <c r="AA602" s="32">
        <v>232.14</v>
      </c>
      <c r="AB602" s="32">
        <f t="shared" si="81"/>
        <v>17.856923076923074</v>
      </c>
      <c r="AC602" s="29">
        <f t="shared" si="78"/>
        <v>643.07692307692309</v>
      </c>
      <c r="AD602" s="29">
        <f t="shared" si="79"/>
        <v>14.692307692307692</v>
      </c>
      <c r="AE602" s="29">
        <f>YEAR(Data!$C602)</f>
        <v>2024</v>
      </c>
      <c r="AF602" s="29"/>
      <c r="AG602" s="29">
        <v>12</v>
      </c>
      <c r="AH602" s="33">
        <f>Data!$F602/Data!$D602</f>
        <v>11.754385964912281</v>
      </c>
      <c r="AI602" s="17" t="str">
        <f>RIGHT(Data!$O602,2)</f>
        <v>PM</v>
      </c>
      <c r="AJ602" s="29" t="str">
        <f>Data!$R602&amp;"-"&amp;WEEKNUM(Data!$C602,1)-WEEKNUM(DATE(YEAR(Data!$C602),MONTH(Data!$C602),1),1)+1</f>
        <v>2-2024-5</v>
      </c>
      <c r="AK602" s="29">
        <f>MONTH(Data!$C602)</f>
        <v>2</v>
      </c>
      <c r="AL602" s="29">
        <f>IFERROR(Data!$F602/Data!$E602,0)</f>
        <v>51.53846153846154</v>
      </c>
      <c r="AM602" s="29">
        <f>COUNTIF(Data!$N$2:$N$825,Data!$N602)</f>
        <v>182</v>
      </c>
      <c r="AN602" s="29" t="str">
        <f>VLOOKUP(Data!$N602,'Helpful Tables'!A:D,4,FALSE)</f>
        <v>Oregon</v>
      </c>
      <c r="AO602" s="29">
        <f>COUNTIF(AN:AN,Data!$AN602)/COUNTA(AN:AN)</f>
        <v>0.27393939393939393</v>
      </c>
      <c r="AP602" s="29">
        <v>45.534162000000002</v>
      </c>
      <c r="AQ602" s="29">
        <v>-122.69670000000001</v>
      </c>
      <c r="AR602" s="29">
        <f>COUNTIF(Data!$P$2:$P$825,Data!$P602)</f>
        <v>10</v>
      </c>
      <c r="AS602" s="29" cm="1">
        <f t="array" ref="AS602">_xlfn.IFS(Data!$E602&lt;12,((Data!$E602/Data!$D602)*60)*1,AND(Data!$E602&gt;=12,Data!$E602&lt;=15),((Data!$E602/Data!$D602)*60)*1.2,AND(Data!$E602&gt;=16,Data!$E602&lt;=19),((Data!$E602/Data!$D602)*60)*1.5,Data!$E602&gt;=20,((Data!$E602/Data!$D602)*60)*1.8)</f>
        <v>16.421052631578945</v>
      </c>
      <c r="AT602" s="29" cm="1">
        <f t="array" ref="AT602">_xlfn.IFS(Data!$F602&lt;600,((Data!$F602/Data!$D602)*60)*1,AND(Data!$F602&gt;=600,Data!$F602&lt;=625),((Data!$F602/Data!$D602)*60)*1.2,AND(Data!$F602&gt;=626,Data!$F602&lt;=650),((Data!$F602/Data!$D602)*60)*1.5,Data!$F602&gt;=651,((Data!$F602/Data!$D602)*60)*1.8)</f>
        <v>1269.4736842105265</v>
      </c>
      <c r="AU602" s="29">
        <f>(Data!$I602*-1.2)+(Data!$J602*-1.1)+(Data!$K602*1.2)+(Data!$L602*1.3)+(Data!$M602*1.5)</f>
        <v>21.399999999999995</v>
      </c>
      <c r="AV602" s="29">
        <f>(Data!$AS602*0.4)+(Data!$AT602*0.4)+(Data!$AU602*0.2)</f>
        <v>518.63789473684221</v>
      </c>
      <c r="AW602" s="34">
        <f>PERCENTRANK(AV:AV,Data!$AV602)*100</f>
        <v>88.7</v>
      </c>
      <c r="AX602" s="29" t="str">
        <f>_xlfn.CONCAT(TEXT(C602,"mmm"),"-",Data!$AE602)</f>
        <v>Feb-2024</v>
      </c>
    </row>
    <row r="603" spans="1:50" ht="17" thickTop="1" thickBot="1" x14ac:dyDescent="0.25">
      <c r="A603" s="22">
        <v>602</v>
      </c>
      <c r="B603" s="23">
        <f t="shared" si="74"/>
        <v>13</v>
      </c>
      <c r="C603" s="41">
        <v>45353</v>
      </c>
      <c r="D603" s="24">
        <f>SUM(Data!$I603:$M603)</f>
        <v>59</v>
      </c>
      <c r="E603" s="23">
        <v>14</v>
      </c>
      <c r="F603" s="23">
        <v>672</v>
      </c>
      <c r="G603" s="23">
        <v>170</v>
      </c>
      <c r="H603" s="23">
        <v>130</v>
      </c>
      <c r="I603" s="23">
        <v>9</v>
      </c>
      <c r="J603" s="23">
        <v>13</v>
      </c>
      <c r="K603" s="23">
        <v>23</v>
      </c>
      <c r="L603" s="23">
        <v>11</v>
      </c>
      <c r="M603" s="23">
        <v>3</v>
      </c>
      <c r="N603" s="23" t="s">
        <v>125</v>
      </c>
      <c r="O603" s="23" t="s">
        <v>32</v>
      </c>
      <c r="P603" s="23" t="s">
        <v>210</v>
      </c>
      <c r="Q603" s="23">
        <f t="shared" si="80"/>
        <v>2</v>
      </c>
      <c r="R603" s="23" t="str">
        <f t="shared" si="75"/>
        <v>3-2024</v>
      </c>
      <c r="S603" s="23" t="s">
        <v>117</v>
      </c>
      <c r="T603" s="23" t="str">
        <f t="shared" si="76"/>
        <v>Saturday</v>
      </c>
      <c r="U603" s="23">
        <f t="shared" si="77"/>
        <v>1</v>
      </c>
      <c r="V603" s="25">
        <f>IFERROR(Data!$I603/Data!$D603,"")</f>
        <v>0.15254237288135594</v>
      </c>
      <c r="W603" s="25">
        <f>IFERROR(Data!$J603/Data!$D603,"")</f>
        <v>0.22033898305084745</v>
      </c>
      <c r="X603" s="25">
        <f>IFERROR(Data!$K603/Data!$D603,"")</f>
        <v>0.38983050847457629</v>
      </c>
      <c r="Y603" s="25">
        <f>IFERROR(Data!$L603/Data!$D603,"")</f>
        <v>0.1864406779661017</v>
      </c>
      <c r="Z603" s="25">
        <f>IFERROR(Data!$M603/Data!$D603,"")</f>
        <v>5.0847457627118647E-2</v>
      </c>
      <c r="AA603" s="26">
        <v>232.14</v>
      </c>
      <c r="AB603" s="26">
        <f t="shared" si="81"/>
        <v>17.856923076923074</v>
      </c>
      <c r="AC603" s="23">
        <f t="shared" si="78"/>
        <v>629.30769230769226</v>
      </c>
      <c r="AD603" s="23">
        <f t="shared" si="79"/>
        <v>13</v>
      </c>
      <c r="AE603" s="23">
        <f>YEAR(Data!$C603)</f>
        <v>2024</v>
      </c>
      <c r="AF603" s="23"/>
      <c r="AG603" s="23">
        <v>12</v>
      </c>
      <c r="AH603" s="27">
        <f>Data!$F603/Data!$D603</f>
        <v>11.389830508474576</v>
      </c>
      <c r="AI603" s="17" t="str">
        <f>RIGHT(Data!$O603,2)</f>
        <v>AM</v>
      </c>
      <c r="AJ603" s="23" t="str">
        <f>Data!$R603&amp;"-"&amp;WEEKNUM(Data!$C603,1)-WEEKNUM(DATE(YEAR(Data!$C603),MONTH(Data!$C603),1),1)+1</f>
        <v>3-2024-1</v>
      </c>
      <c r="AK603" s="23">
        <f>MONTH(Data!$C603)</f>
        <v>3</v>
      </c>
      <c r="AL603" s="23">
        <f>IFERROR(Data!$F603/Data!$E603,0)</f>
        <v>48</v>
      </c>
      <c r="AM603" s="23">
        <f>COUNTIF(Data!$N$2:$N$825,Data!$N603)</f>
        <v>182</v>
      </c>
      <c r="AN603" s="23" t="str">
        <f>VLOOKUP(Data!$N603,'Helpful Tables'!A:D,4,FALSE)</f>
        <v>Oregon</v>
      </c>
      <c r="AO603" s="23">
        <f>COUNTIF(AN:AN,Data!$AN603)/COUNTA(AN:AN)</f>
        <v>0.27393939393939393</v>
      </c>
      <c r="AP603" s="23">
        <v>45.534162000000002</v>
      </c>
      <c r="AQ603" s="23">
        <v>-122.69670000000001</v>
      </c>
      <c r="AR603" s="23">
        <f>COUNTIF(Data!$P$2:$P$825,Data!$P603)</f>
        <v>10</v>
      </c>
      <c r="AS603" s="23" cm="1">
        <f t="array" ref="AS603">_xlfn.IFS(Data!$E603&lt;12,((Data!$E603/Data!$D603)*60)*1,AND(Data!$E603&gt;=12,Data!$E603&lt;=15),((Data!$E603/Data!$D603)*60)*1.2,AND(Data!$E603&gt;=16,Data!$E603&lt;=19),((Data!$E603/Data!$D603)*60)*1.5,Data!$E603&gt;=20,((Data!$E603/Data!$D603)*60)*1.8)</f>
        <v>17.084745762711865</v>
      </c>
      <c r="AT603" s="23" cm="1">
        <f t="array" ref="AT603">_xlfn.IFS(Data!$F603&lt;600,((Data!$F603/Data!$D603)*60)*1,AND(Data!$F603&gt;=600,Data!$F603&lt;=625),((Data!$F603/Data!$D603)*60)*1.2,AND(Data!$F603&gt;=626,Data!$F603&lt;=650),((Data!$F603/Data!$D603)*60)*1.5,Data!$F603&gt;=651,((Data!$F603/Data!$D603)*60)*1.8)</f>
        <v>1230.1016949152543</v>
      </c>
      <c r="AU603" s="23">
        <f>(Data!$I603*-1.2)+(Data!$J603*-1.1)+(Data!$K603*1.2)+(Data!$L603*1.3)+(Data!$M603*1.5)</f>
        <v>21.299999999999997</v>
      </c>
      <c r="AV603" s="23">
        <f>(Data!$AS603*0.4)+(Data!$AT603*0.4)+(Data!$AU603*0.2)</f>
        <v>503.13457627118646</v>
      </c>
      <c r="AW603" s="35">
        <f>PERCENTRANK(AV:AV,Data!$AV603)*100</f>
        <v>79.800000000000011</v>
      </c>
      <c r="AX603" s="23" t="str">
        <f>_xlfn.CONCAT(TEXT(C603,"mmm"),"-",Data!$AE603)</f>
        <v>Mar-2024</v>
      </c>
    </row>
    <row r="604" spans="1:50" ht="17" thickTop="1" thickBot="1" x14ac:dyDescent="0.25">
      <c r="A604" s="28">
        <v>603</v>
      </c>
      <c r="B604" s="29">
        <f t="shared" si="74"/>
        <v>13</v>
      </c>
      <c r="C604" s="41">
        <v>45354</v>
      </c>
      <c r="D604" s="30">
        <f>SUM(Data!$I604:$M604)</f>
        <v>58</v>
      </c>
      <c r="E604" s="29">
        <v>13</v>
      </c>
      <c r="F604" s="29">
        <v>556</v>
      </c>
      <c r="G604" s="29">
        <v>167</v>
      </c>
      <c r="H604" s="29">
        <v>118</v>
      </c>
      <c r="I604" s="29">
        <v>22</v>
      </c>
      <c r="J604" s="29">
        <v>13</v>
      </c>
      <c r="K604" s="29">
        <v>10</v>
      </c>
      <c r="L604" s="29">
        <v>11</v>
      </c>
      <c r="M604" s="29">
        <v>2</v>
      </c>
      <c r="N604" s="29" t="s">
        <v>125</v>
      </c>
      <c r="O604" s="29" t="s">
        <v>79</v>
      </c>
      <c r="P604" s="29" t="s">
        <v>211</v>
      </c>
      <c r="Q604" s="29">
        <f t="shared" si="80"/>
        <v>1</v>
      </c>
      <c r="R604" s="29" t="str">
        <f t="shared" si="75"/>
        <v>3-2024</v>
      </c>
      <c r="S604" s="29" t="s">
        <v>117</v>
      </c>
      <c r="T604" s="29" t="str">
        <f t="shared" si="76"/>
        <v>Sunday</v>
      </c>
      <c r="U604" s="29">
        <f t="shared" si="77"/>
        <v>1</v>
      </c>
      <c r="V604" s="31">
        <f>IFERROR(Data!$I604/Data!$D604,"")</f>
        <v>0.37931034482758619</v>
      </c>
      <c r="W604" s="31">
        <f>IFERROR(Data!$J604/Data!$D604,"")</f>
        <v>0.22413793103448276</v>
      </c>
      <c r="X604" s="31">
        <f>IFERROR(Data!$K604/Data!$D604,"")</f>
        <v>0.17241379310344829</v>
      </c>
      <c r="Y604" s="31">
        <f>IFERROR(Data!$L604/Data!$D604,"")</f>
        <v>0.18965517241379309</v>
      </c>
      <c r="Z604" s="31">
        <f>IFERROR(Data!$M604/Data!$D604,"")</f>
        <v>3.4482758620689655E-2</v>
      </c>
      <c r="AA604" s="32">
        <v>232.14</v>
      </c>
      <c r="AB604" s="32">
        <f t="shared" si="81"/>
        <v>17.856923076923074</v>
      </c>
      <c r="AC604" s="29">
        <f t="shared" si="78"/>
        <v>629.30769230769226</v>
      </c>
      <c r="AD604" s="29">
        <f t="shared" si="79"/>
        <v>13</v>
      </c>
      <c r="AE604" s="29">
        <f>YEAR(Data!$C604)</f>
        <v>2024</v>
      </c>
      <c r="AF604" s="29"/>
      <c r="AG604" s="29">
        <v>12</v>
      </c>
      <c r="AH604" s="33">
        <f>Data!$F604/Data!$D604</f>
        <v>9.5862068965517242</v>
      </c>
      <c r="AI604" s="17" t="str">
        <f>RIGHT(Data!$O604,2)</f>
        <v>AM</v>
      </c>
      <c r="AJ604" s="29" t="str">
        <f>Data!$R604&amp;"-"&amp;WEEKNUM(Data!$C604,1)-WEEKNUM(DATE(YEAR(Data!$C604),MONTH(Data!$C604),1),1)+1</f>
        <v>3-2024-2</v>
      </c>
      <c r="AK604" s="29">
        <f>MONTH(Data!$C604)</f>
        <v>3</v>
      </c>
      <c r="AL604" s="29">
        <f>IFERROR(Data!$F604/Data!$E604,0)</f>
        <v>42.769230769230766</v>
      </c>
      <c r="AM604" s="29">
        <f>COUNTIF(Data!$N$2:$N$825,Data!$N604)</f>
        <v>182</v>
      </c>
      <c r="AN604" s="29" t="str">
        <f>VLOOKUP(Data!$N604,'Helpful Tables'!A:D,4,FALSE)</f>
        <v>Oregon</v>
      </c>
      <c r="AO604" s="29">
        <f>COUNTIF(AN:AN,Data!$AN604)/COUNTA(AN:AN)</f>
        <v>0.27393939393939393</v>
      </c>
      <c r="AP604" s="29">
        <v>45.534162000000002</v>
      </c>
      <c r="AQ604" s="29">
        <v>-122.69670000000001</v>
      </c>
      <c r="AR604" s="29">
        <f>COUNTIF(Data!$P$2:$P$825,Data!$P604)</f>
        <v>3</v>
      </c>
      <c r="AS604" s="29" cm="1">
        <f t="array" ref="AS604">_xlfn.IFS(Data!$E604&lt;12,((Data!$E604/Data!$D604)*60)*1,AND(Data!$E604&gt;=12,Data!$E604&lt;=15),((Data!$E604/Data!$D604)*60)*1.2,AND(Data!$E604&gt;=16,Data!$E604&lt;=19),((Data!$E604/Data!$D604)*60)*1.5,Data!$E604&gt;=20,((Data!$E604/Data!$D604)*60)*1.8)</f>
        <v>16.137931034482758</v>
      </c>
      <c r="AT604" s="29" cm="1">
        <f t="array" ref="AT604">_xlfn.IFS(Data!$F604&lt;600,((Data!$F604/Data!$D604)*60)*1,AND(Data!$F604&gt;=600,Data!$F604&lt;=625),((Data!$F604/Data!$D604)*60)*1.2,AND(Data!$F604&gt;=626,Data!$F604&lt;=650),((Data!$F604/Data!$D604)*60)*1.5,Data!$F604&gt;=651,((Data!$F604/Data!$D604)*60)*1.8)</f>
        <v>575.17241379310349</v>
      </c>
      <c r="AU604" s="29">
        <f>(Data!$I604*-1.2)+(Data!$J604*-1.1)+(Data!$K604*1.2)+(Data!$L604*1.3)+(Data!$M604*1.5)</f>
        <v>-11.400000000000002</v>
      </c>
      <c r="AV604" s="29">
        <f>(Data!$AS604*0.4)+(Data!$AT604*0.4)+(Data!$AU604*0.2)</f>
        <v>234.24413793103449</v>
      </c>
      <c r="AW604" s="34">
        <f>PERCENTRANK(AV:AV,Data!$AV604)*100</f>
        <v>9.1999999999999993</v>
      </c>
      <c r="AX604" s="29" t="str">
        <f>_xlfn.CONCAT(TEXT(C604,"mmm"),"-",Data!$AE604)</f>
        <v>Mar-2024</v>
      </c>
    </row>
    <row r="605" spans="1:50" ht="17" thickTop="1" thickBot="1" x14ac:dyDescent="0.25">
      <c r="A605" s="22">
        <v>604</v>
      </c>
      <c r="B605" s="23">
        <f t="shared" si="74"/>
        <v>13</v>
      </c>
      <c r="C605" s="41">
        <v>45360</v>
      </c>
      <c r="D605" s="24">
        <f>SUM(Data!$I605:$M605)</f>
        <v>60</v>
      </c>
      <c r="E605" s="23">
        <v>12</v>
      </c>
      <c r="F605" s="23">
        <v>650</v>
      </c>
      <c r="G605" s="23">
        <v>173</v>
      </c>
      <c r="H605" s="23">
        <v>125</v>
      </c>
      <c r="I605" s="23">
        <v>12</v>
      </c>
      <c r="J605" s="23">
        <v>20</v>
      </c>
      <c r="K605" s="23">
        <v>16</v>
      </c>
      <c r="L605" s="23">
        <v>11</v>
      </c>
      <c r="M605" s="23">
        <v>1</v>
      </c>
      <c r="N605" s="23" t="s">
        <v>138</v>
      </c>
      <c r="O605" s="23" t="s">
        <v>76</v>
      </c>
      <c r="P605" s="23" t="s">
        <v>140</v>
      </c>
      <c r="Q605" s="23">
        <f t="shared" si="80"/>
        <v>6</v>
      </c>
      <c r="R605" s="23" t="str">
        <f t="shared" si="75"/>
        <v>3-2024</v>
      </c>
      <c r="S605" s="23" t="s">
        <v>117</v>
      </c>
      <c r="T605" s="23" t="str">
        <f t="shared" si="76"/>
        <v>Saturday</v>
      </c>
      <c r="U605" s="23">
        <f t="shared" si="77"/>
        <v>1</v>
      </c>
      <c r="V605" s="25">
        <f>IFERROR(Data!$I605/Data!$D605,"")</f>
        <v>0.2</v>
      </c>
      <c r="W605" s="25">
        <f>IFERROR(Data!$J605/Data!$D605,"")</f>
        <v>0.33333333333333331</v>
      </c>
      <c r="X605" s="25">
        <f>IFERROR(Data!$K605/Data!$D605,"")</f>
        <v>0.26666666666666666</v>
      </c>
      <c r="Y605" s="25">
        <f>IFERROR(Data!$L605/Data!$D605,"")</f>
        <v>0.18333333333333332</v>
      </c>
      <c r="Z605" s="25">
        <f>IFERROR(Data!$M605/Data!$D605,"")</f>
        <v>1.6666666666666666E-2</v>
      </c>
      <c r="AA605" s="26">
        <v>232.14</v>
      </c>
      <c r="AB605" s="26">
        <f t="shared" si="81"/>
        <v>17.856923076923074</v>
      </c>
      <c r="AC605" s="23">
        <f t="shared" si="78"/>
        <v>629.30769230769226</v>
      </c>
      <c r="AD605" s="23">
        <f t="shared" si="79"/>
        <v>13</v>
      </c>
      <c r="AE605" s="23">
        <f>YEAR(Data!$C605)</f>
        <v>2024</v>
      </c>
      <c r="AF605" s="23"/>
      <c r="AG605" s="23">
        <v>12</v>
      </c>
      <c r="AH605" s="27">
        <f>Data!$F605/Data!$D605</f>
        <v>10.833333333333334</v>
      </c>
      <c r="AI605" s="17" t="str">
        <f>RIGHT(Data!$O605,2)</f>
        <v>AM</v>
      </c>
      <c r="AJ605" s="23" t="str">
        <f>Data!$R605&amp;"-"&amp;WEEKNUM(Data!$C605,1)-WEEKNUM(DATE(YEAR(Data!$C605),MONTH(Data!$C605),1),1)+1</f>
        <v>3-2024-2</v>
      </c>
      <c r="AK605" s="23">
        <f>MONTH(Data!$C605)</f>
        <v>3</v>
      </c>
      <c r="AL605" s="23">
        <f>IFERROR(Data!$F605/Data!$E605,0)</f>
        <v>54.166666666666664</v>
      </c>
      <c r="AM605" s="23">
        <f>COUNTIF(Data!$N$2:$N$825,Data!$N605)</f>
        <v>11</v>
      </c>
      <c r="AN605" s="23" t="str">
        <f>VLOOKUP(Data!$N605,'Helpful Tables'!A:D,4,FALSE)</f>
        <v>Massachusetts</v>
      </c>
      <c r="AO605" s="23">
        <f>COUNTIF(AN:AN,Data!$AN605)/COUNTA(AN:AN)</f>
        <v>1.9393939393939394E-2</v>
      </c>
      <c r="AP605" s="23">
        <v>42.350487000000001</v>
      </c>
      <c r="AQ605" s="23">
        <v>-71.152720000000002</v>
      </c>
      <c r="AR605" s="23">
        <f>COUNTIF(Data!$P$2:$P$825,Data!$P605)</f>
        <v>4</v>
      </c>
      <c r="AS605" s="23" cm="1">
        <f t="array" ref="AS605">_xlfn.IFS(Data!$E605&lt;12,((Data!$E605/Data!$D605)*60)*1,AND(Data!$E605&gt;=12,Data!$E605&lt;=15),((Data!$E605/Data!$D605)*60)*1.2,AND(Data!$E605&gt;=16,Data!$E605&lt;=19),((Data!$E605/Data!$D605)*60)*1.5,Data!$E605&gt;=20,((Data!$E605/Data!$D605)*60)*1.8)</f>
        <v>14.399999999999999</v>
      </c>
      <c r="AT605" s="23" cm="1">
        <f t="array" ref="AT605">_xlfn.IFS(Data!$F605&lt;600,((Data!$F605/Data!$D605)*60)*1,AND(Data!$F605&gt;=600,Data!$F605&lt;=625),((Data!$F605/Data!$D605)*60)*1.2,AND(Data!$F605&gt;=626,Data!$F605&lt;=650),((Data!$F605/Data!$D605)*60)*1.5,Data!$F605&gt;=651,((Data!$F605/Data!$D605)*60)*1.8)</f>
        <v>975</v>
      </c>
      <c r="AU605" s="23">
        <f>(Data!$I605*-1.2)+(Data!$J605*-1.1)+(Data!$K605*1.2)+(Data!$L605*1.3)+(Data!$M605*1.5)</f>
        <v>-1.3999999999999986</v>
      </c>
      <c r="AV605" s="23">
        <f>(Data!$AS605*0.4)+(Data!$AT605*0.4)+(Data!$AU605*0.2)</f>
        <v>395.48</v>
      </c>
      <c r="AW605" s="35">
        <f>PERCENTRANK(AV:AV,Data!$AV605)*100</f>
        <v>49.8</v>
      </c>
      <c r="AX605" s="23" t="str">
        <f>_xlfn.CONCAT(TEXT(C605,"mmm"),"-",Data!$AE605)</f>
        <v>Mar-2024</v>
      </c>
    </row>
    <row r="606" spans="1:50" ht="17" thickTop="1" thickBot="1" x14ac:dyDescent="0.25">
      <c r="A606" s="28">
        <v>605</v>
      </c>
      <c r="B606" s="29">
        <f t="shared" si="74"/>
        <v>13</v>
      </c>
      <c r="C606" s="41">
        <v>45363</v>
      </c>
      <c r="D606" s="30">
        <f>SUM(Data!$I606:$M606)</f>
        <v>55</v>
      </c>
      <c r="E606" s="29">
        <v>12</v>
      </c>
      <c r="F606" s="29">
        <v>602</v>
      </c>
      <c r="G606" s="29">
        <v>166</v>
      </c>
      <c r="H606" s="29">
        <v>125</v>
      </c>
      <c r="I606" s="29">
        <v>11</v>
      </c>
      <c r="J606" s="29">
        <v>18</v>
      </c>
      <c r="K606" s="29">
        <v>14</v>
      </c>
      <c r="L606" s="29">
        <v>11</v>
      </c>
      <c r="M606" s="29">
        <v>1</v>
      </c>
      <c r="N606" s="29" t="s">
        <v>125</v>
      </c>
      <c r="O606" s="29" t="s">
        <v>127</v>
      </c>
      <c r="P606" s="29" t="s">
        <v>126</v>
      </c>
      <c r="Q606" s="29">
        <f t="shared" si="80"/>
        <v>3</v>
      </c>
      <c r="R606" s="29" t="str">
        <f t="shared" si="75"/>
        <v>3-2024</v>
      </c>
      <c r="S606" s="29" t="s">
        <v>117</v>
      </c>
      <c r="T606" s="29" t="str">
        <f t="shared" si="76"/>
        <v>Tuesday</v>
      </c>
      <c r="U606" s="29">
        <f t="shared" si="77"/>
        <v>1</v>
      </c>
      <c r="V606" s="31">
        <f>IFERROR(Data!$I606/Data!$D606,"")</f>
        <v>0.2</v>
      </c>
      <c r="W606" s="31">
        <f>IFERROR(Data!$J606/Data!$D606,"")</f>
        <v>0.32727272727272727</v>
      </c>
      <c r="X606" s="31">
        <f>IFERROR(Data!$K606/Data!$D606,"")</f>
        <v>0.25454545454545452</v>
      </c>
      <c r="Y606" s="31">
        <f>IFERROR(Data!$L606/Data!$D606,"")</f>
        <v>0.2</v>
      </c>
      <c r="Z606" s="31">
        <f>IFERROR(Data!$M606/Data!$D606,"")</f>
        <v>1.8181818181818181E-2</v>
      </c>
      <c r="AA606" s="32">
        <v>232.14</v>
      </c>
      <c r="AB606" s="32">
        <f t="shared" si="81"/>
        <v>17.856923076923074</v>
      </c>
      <c r="AC606" s="29">
        <f t="shared" si="78"/>
        <v>629.30769230769226</v>
      </c>
      <c r="AD606" s="29">
        <f t="shared" si="79"/>
        <v>13</v>
      </c>
      <c r="AE606" s="29">
        <f>YEAR(Data!$C606)</f>
        <v>2024</v>
      </c>
      <c r="AF606" s="29"/>
      <c r="AG606" s="29">
        <v>12</v>
      </c>
      <c r="AH606" s="33">
        <f>Data!$F606/Data!$D606</f>
        <v>10.945454545454545</v>
      </c>
      <c r="AI606" s="17" t="str">
        <f>RIGHT(Data!$O606,2)</f>
        <v>PM</v>
      </c>
      <c r="AJ606" s="29" t="str">
        <f>Data!$R606&amp;"-"&amp;WEEKNUM(Data!$C606,1)-WEEKNUM(DATE(YEAR(Data!$C606),MONTH(Data!$C606),1),1)+1</f>
        <v>3-2024-3</v>
      </c>
      <c r="AK606" s="29">
        <f>MONTH(Data!$C606)</f>
        <v>3</v>
      </c>
      <c r="AL606" s="29">
        <f>IFERROR(Data!$F606/Data!$E606,0)</f>
        <v>50.166666666666664</v>
      </c>
      <c r="AM606" s="29">
        <f>COUNTIF(Data!$N$2:$N$825,Data!$N606)</f>
        <v>182</v>
      </c>
      <c r="AN606" s="29" t="str">
        <f>VLOOKUP(Data!$N606,'Helpful Tables'!A:D,4,FALSE)</f>
        <v>Oregon</v>
      </c>
      <c r="AO606" s="29">
        <f>COUNTIF(AN:AN,Data!$AN606)/COUNTA(AN:AN)</f>
        <v>0.27393939393939393</v>
      </c>
      <c r="AP606" s="29">
        <v>45.534162000000002</v>
      </c>
      <c r="AQ606" s="29">
        <v>-122.69670000000001</v>
      </c>
      <c r="AR606" s="29">
        <f>COUNTIF(Data!$P$2:$P$825,Data!$P606)</f>
        <v>10</v>
      </c>
      <c r="AS606" s="29" cm="1">
        <f t="array" ref="AS606">_xlfn.IFS(Data!$E606&lt;12,((Data!$E606/Data!$D606)*60)*1,AND(Data!$E606&gt;=12,Data!$E606&lt;=15),((Data!$E606/Data!$D606)*60)*1.2,AND(Data!$E606&gt;=16,Data!$E606&lt;=19),((Data!$E606/Data!$D606)*60)*1.5,Data!$E606&gt;=20,((Data!$E606/Data!$D606)*60)*1.8)</f>
        <v>15.709090909090907</v>
      </c>
      <c r="AT606" s="29" cm="1">
        <f t="array" ref="AT606">_xlfn.IFS(Data!$F606&lt;600,((Data!$F606/Data!$D606)*60)*1,AND(Data!$F606&gt;=600,Data!$F606&lt;=625),((Data!$F606/Data!$D606)*60)*1.2,AND(Data!$F606&gt;=626,Data!$F606&lt;=650),((Data!$F606/Data!$D606)*60)*1.5,Data!$F606&gt;=651,((Data!$F606/Data!$D606)*60)*1.8)</f>
        <v>788.07272727272732</v>
      </c>
      <c r="AU606" s="29">
        <f>(Data!$I606*-1.2)+(Data!$J606*-1.1)+(Data!$K606*1.2)+(Data!$L606*1.3)+(Data!$M606*1.5)</f>
        <v>-0.39999999999999858</v>
      </c>
      <c r="AV606" s="29">
        <f>(Data!$AS606*0.4)+(Data!$AT606*0.4)+(Data!$AU606*0.2)</f>
        <v>321.43272727272733</v>
      </c>
      <c r="AW606" s="34">
        <f>PERCENTRANK(AV:AV,Data!$AV606)*100</f>
        <v>38.1</v>
      </c>
      <c r="AX606" s="29" t="str">
        <f>_xlfn.CONCAT(TEXT(C606,"mmm"),"-",Data!$AE606)</f>
        <v>Mar-2024</v>
      </c>
    </row>
    <row r="607" spans="1:50" ht="17" thickTop="1" thickBot="1" x14ac:dyDescent="0.25">
      <c r="A607" s="22">
        <v>606</v>
      </c>
      <c r="B607" s="23">
        <f t="shared" si="74"/>
        <v>13</v>
      </c>
      <c r="C607" s="41">
        <v>45365</v>
      </c>
      <c r="D607" s="24">
        <f>SUM(Data!$I607:$M607)</f>
        <v>57</v>
      </c>
      <c r="E607" s="23">
        <v>12</v>
      </c>
      <c r="F607" s="23">
        <v>617</v>
      </c>
      <c r="G607" s="23">
        <v>164</v>
      </c>
      <c r="H607" s="23">
        <v>125</v>
      </c>
      <c r="I607" s="23">
        <v>12</v>
      </c>
      <c r="J607" s="23">
        <v>19</v>
      </c>
      <c r="K607" s="23">
        <v>14</v>
      </c>
      <c r="L607" s="23">
        <v>11</v>
      </c>
      <c r="M607" s="23">
        <v>1</v>
      </c>
      <c r="N607" s="23" t="s">
        <v>125</v>
      </c>
      <c r="O607" s="23" t="s">
        <v>127</v>
      </c>
      <c r="P607" s="23" t="s">
        <v>207</v>
      </c>
      <c r="Q607" s="23">
        <f t="shared" si="80"/>
        <v>2</v>
      </c>
      <c r="R607" s="23" t="str">
        <f t="shared" si="75"/>
        <v>3-2024</v>
      </c>
      <c r="S607" s="23" t="s">
        <v>104</v>
      </c>
      <c r="T607" s="23" t="str">
        <f t="shared" si="76"/>
        <v>Thursday</v>
      </c>
      <c r="U607" s="23">
        <f t="shared" si="77"/>
        <v>1</v>
      </c>
      <c r="V607" s="25">
        <f>IFERROR(Data!$I607/Data!$D607,"")</f>
        <v>0.21052631578947367</v>
      </c>
      <c r="W607" s="25">
        <f>IFERROR(Data!$J607/Data!$D607,"")</f>
        <v>0.33333333333333331</v>
      </c>
      <c r="X607" s="25">
        <f>IFERROR(Data!$K607/Data!$D607,"")</f>
        <v>0.24561403508771928</v>
      </c>
      <c r="Y607" s="25">
        <f>IFERROR(Data!$L607/Data!$D607,"")</f>
        <v>0.19298245614035087</v>
      </c>
      <c r="Z607" s="25">
        <f>IFERROR(Data!$M607/Data!$D607,"")</f>
        <v>1.7543859649122806E-2</v>
      </c>
      <c r="AA607" s="26">
        <v>232.14</v>
      </c>
      <c r="AB607" s="26">
        <f t="shared" si="81"/>
        <v>17.856923076923074</v>
      </c>
      <c r="AC607" s="23">
        <f t="shared" si="78"/>
        <v>629.30769230769226</v>
      </c>
      <c r="AD607" s="23">
        <f t="shared" si="79"/>
        <v>13</v>
      </c>
      <c r="AE607" s="23">
        <f>YEAR(Data!$C607)</f>
        <v>2024</v>
      </c>
      <c r="AF607" s="23"/>
      <c r="AG607" s="23">
        <v>12</v>
      </c>
      <c r="AH607" s="27">
        <f>Data!$F607/Data!$D607</f>
        <v>10.824561403508772</v>
      </c>
      <c r="AI607" s="17" t="str">
        <f>RIGHT(Data!$O607,2)</f>
        <v>PM</v>
      </c>
      <c r="AJ607" s="23" t="str">
        <f>Data!$R607&amp;"-"&amp;WEEKNUM(Data!$C607,1)-WEEKNUM(DATE(YEAR(Data!$C607),MONTH(Data!$C607),1),1)+1</f>
        <v>3-2024-3</v>
      </c>
      <c r="AK607" s="23">
        <f>MONTH(Data!$C607)</f>
        <v>3</v>
      </c>
      <c r="AL607" s="23">
        <f>IFERROR(Data!$F607/Data!$E607,0)</f>
        <v>51.416666666666664</v>
      </c>
      <c r="AM607" s="23">
        <f>COUNTIF(Data!$N$2:$N$825,Data!$N607)</f>
        <v>182</v>
      </c>
      <c r="AN607" s="23" t="str">
        <f>VLOOKUP(Data!$N607,'Helpful Tables'!A:D,4,FALSE)</f>
        <v>Oregon</v>
      </c>
      <c r="AO607" s="23">
        <f>COUNTIF(AN:AN,Data!$AN607)/COUNTA(AN:AN)</f>
        <v>0.27393939393939393</v>
      </c>
      <c r="AP607" s="23">
        <v>45.534162000000002</v>
      </c>
      <c r="AQ607" s="23">
        <v>-122.69670000000001</v>
      </c>
      <c r="AR607" s="23">
        <f>COUNTIF(Data!$P$2:$P$825,Data!$P607)</f>
        <v>10</v>
      </c>
      <c r="AS607" s="23" cm="1">
        <f t="array" ref="AS607">_xlfn.IFS(Data!$E607&lt;12,((Data!$E607/Data!$D607)*60)*1,AND(Data!$E607&gt;=12,Data!$E607&lt;=15),((Data!$E607/Data!$D607)*60)*1.2,AND(Data!$E607&gt;=16,Data!$E607&lt;=19),((Data!$E607/Data!$D607)*60)*1.5,Data!$E607&gt;=20,((Data!$E607/Data!$D607)*60)*1.8)</f>
        <v>15.157894736842104</v>
      </c>
      <c r="AT607" s="23" cm="1">
        <f t="array" ref="AT607">_xlfn.IFS(Data!$F607&lt;600,((Data!$F607/Data!$D607)*60)*1,AND(Data!$F607&gt;=600,Data!$F607&lt;=625),((Data!$F607/Data!$D607)*60)*1.2,AND(Data!$F607&gt;=626,Data!$F607&lt;=650),((Data!$F607/Data!$D607)*60)*1.5,Data!$F607&gt;=651,((Data!$F607/Data!$D607)*60)*1.8)</f>
        <v>779.36842105263156</v>
      </c>
      <c r="AU607" s="23">
        <f>(Data!$I607*-1.2)+(Data!$J607*-1.1)+(Data!$K607*1.2)+(Data!$L607*1.3)+(Data!$M607*1.5)</f>
        <v>-2.6999999999999957</v>
      </c>
      <c r="AV607" s="23">
        <f>(Data!$AS607*0.4)+(Data!$AT607*0.4)+(Data!$AU607*0.2)</f>
        <v>317.27052631578948</v>
      </c>
      <c r="AW607" s="35">
        <f>PERCENTRANK(AV:AV,Data!$AV607)*100</f>
        <v>35.5</v>
      </c>
      <c r="AX607" s="23" t="str">
        <f>_xlfn.CONCAT(TEXT(C607,"mmm"),"-",Data!$AE607)</f>
        <v>Mar-2024</v>
      </c>
    </row>
    <row r="608" spans="1:50" ht="17" thickTop="1" thickBot="1" x14ac:dyDescent="0.25">
      <c r="A608" s="28">
        <v>607</v>
      </c>
      <c r="B608" s="29">
        <f t="shared" si="74"/>
        <v>13</v>
      </c>
      <c r="C608" s="41">
        <v>45367</v>
      </c>
      <c r="D608" s="30">
        <f>SUM(Data!$I608:$M608)</f>
        <v>59</v>
      </c>
      <c r="E608" s="29">
        <v>10</v>
      </c>
      <c r="F608" s="29">
        <v>603</v>
      </c>
      <c r="G608" s="29">
        <v>168</v>
      </c>
      <c r="H608" s="29">
        <v>121</v>
      </c>
      <c r="I608" s="29">
        <v>14</v>
      </c>
      <c r="J608" s="29">
        <v>25</v>
      </c>
      <c r="K608" s="29">
        <v>10</v>
      </c>
      <c r="L608" s="29">
        <v>8</v>
      </c>
      <c r="M608" s="29">
        <v>2</v>
      </c>
      <c r="N608" s="29" t="s">
        <v>125</v>
      </c>
      <c r="O608" s="29" t="s">
        <v>159</v>
      </c>
      <c r="P608" s="29" t="s">
        <v>210</v>
      </c>
      <c r="Q608" s="29">
        <f t="shared" si="80"/>
        <v>2</v>
      </c>
      <c r="R608" s="29" t="str">
        <f t="shared" si="75"/>
        <v>3-2024</v>
      </c>
      <c r="S608" s="29" t="s">
        <v>117</v>
      </c>
      <c r="T608" s="29" t="str">
        <f t="shared" si="76"/>
        <v>Saturday</v>
      </c>
      <c r="U608" s="29">
        <f t="shared" si="77"/>
        <v>0</v>
      </c>
      <c r="V608" s="31">
        <f>IFERROR(Data!$I608/Data!$D608,"")</f>
        <v>0.23728813559322035</v>
      </c>
      <c r="W608" s="31">
        <f>IFERROR(Data!$J608/Data!$D608,"")</f>
        <v>0.42372881355932202</v>
      </c>
      <c r="X608" s="31">
        <f>IFERROR(Data!$K608/Data!$D608,"")</f>
        <v>0.16949152542372881</v>
      </c>
      <c r="Y608" s="31">
        <f>IFERROR(Data!$L608/Data!$D608,"")</f>
        <v>0.13559322033898305</v>
      </c>
      <c r="Z608" s="31">
        <f>IFERROR(Data!$M608/Data!$D608,"")</f>
        <v>3.3898305084745763E-2</v>
      </c>
      <c r="AA608" s="32">
        <v>232.14</v>
      </c>
      <c r="AB608" s="32">
        <f t="shared" si="81"/>
        <v>17.856923076923074</v>
      </c>
      <c r="AC608" s="29">
        <f t="shared" si="78"/>
        <v>629.30769230769226</v>
      </c>
      <c r="AD608" s="29">
        <f t="shared" si="79"/>
        <v>13</v>
      </c>
      <c r="AE608" s="29">
        <f>YEAR(Data!$C608)</f>
        <v>2024</v>
      </c>
      <c r="AF608" s="29"/>
      <c r="AG608" s="29">
        <v>12</v>
      </c>
      <c r="AH608" s="33">
        <f>Data!$F608/Data!$D608</f>
        <v>10.220338983050848</v>
      </c>
      <c r="AI608" s="17" t="str">
        <f>RIGHT(Data!$O608,2)</f>
        <v>AM</v>
      </c>
      <c r="AJ608" s="29" t="str">
        <f>Data!$R608&amp;"-"&amp;WEEKNUM(Data!$C608,1)-WEEKNUM(DATE(YEAR(Data!$C608),MONTH(Data!$C608),1),1)+1</f>
        <v>3-2024-3</v>
      </c>
      <c r="AK608" s="29">
        <f>MONTH(Data!$C608)</f>
        <v>3</v>
      </c>
      <c r="AL608" s="29">
        <f>IFERROR(Data!$F608/Data!$E608,0)</f>
        <v>60.3</v>
      </c>
      <c r="AM608" s="29">
        <f>COUNTIF(Data!$N$2:$N$825,Data!$N608)</f>
        <v>182</v>
      </c>
      <c r="AN608" s="29" t="str">
        <f>VLOOKUP(Data!$N608,'Helpful Tables'!A:D,4,FALSE)</f>
        <v>Oregon</v>
      </c>
      <c r="AO608" s="29">
        <f>COUNTIF(AN:AN,Data!$AN608)/COUNTA(AN:AN)</f>
        <v>0.27393939393939393</v>
      </c>
      <c r="AP608" s="29">
        <v>45.534162000000002</v>
      </c>
      <c r="AQ608" s="29">
        <v>-122.69670000000001</v>
      </c>
      <c r="AR608" s="29">
        <f>COUNTIF(Data!$P$2:$P$825,Data!$P608)</f>
        <v>10</v>
      </c>
      <c r="AS608" s="29" cm="1">
        <f t="array" ref="AS608">_xlfn.IFS(Data!$E608&lt;12,((Data!$E608/Data!$D608)*60)*1,AND(Data!$E608&gt;=12,Data!$E608&lt;=15),((Data!$E608/Data!$D608)*60)*1.2,AND(Data!$E608&gt;=16,Data!$E608&lt;=19),((Data!$E608/Data!$D608)*60)*1.5,Data!$E608&gt;=20,((Data!$E608/Data!$D608)*60)*1.8)</f>
        <v>10.169491525423728</v>
      </c>
      <c r="AT608" s="29" cm="1">
        <f t="array" ref="AT608">_xlfn.IFS(Data!$F608&lt;600,((Data!$F608/Data!$D608)*60)*1,AND(Data!$F608&gt;=600,Data!$F608&lt;=625),((Data!$F608/Data!$D608)*60)*1.2,AND(Data!$F608&gt;=626,Data!$F608&lt;=650),((Data!$F608/Data!$D608)*60)*1.5,Data!$F608&gt;=651,((Data!$F608/Data!$D608)*60)*1.8)</f>
        <v>735.86440677966095</v>
      </c>
      <c r="AU608" s="29">
        <f>(Data!$I608*-1.2)+(Data!$J608*-1.1)+(Data!$K608*1.2)+(Data!$L608*1.3)+(Data!$M608*1.5)</f>
        <v>-18.900000000000006</v>
      </c>
      <c r="AV608" s="29">
        <f>(Data!$AS608*0.4)+(Data!$AT608*0.4)+(Data!$AU608*0.2)</f>
        <v>294.63355932203388</v>
      </c>
      <c r="AW608" s="34">
        <f>PERCENTRANK(AV:AV,Data!$AV608)*100</f>
        <v>24.6</v>
      </c>
      <c r="AX608" s="29" t="str">
        <f>_xlfn.CONCAT(TEXT(C608,"mmm"),"-",Data!$AE608)</f>
        <v>Mar-2024</v>
      </c>
    </row>
    <row r="609" spans="1:50" ht="17" thickTop="1" thickBot="1" x14ac:dyDescent="0.25">
      <c r="A609" s="22">
        <v>608</v>
      </c>
      <c r="B609" s="23">
        <f t="shared" si="74"/>
        <v>13</v>
      </c>
      <c r="C609" s="41">
        <v>45369</v>
      </c>
      <c r="D609" s="24">
        <f>SUM(Data!$I609:$M609)</f>
        <v>57</v>
      </c>
      <c r="E609" s="23">
        <v>13</v>
      </c>
      <c r="F609" s="23">
        <v>549</v>
      </c>
      <c r="G609" s="23">
        <v>169</v>
      </c>
      <c r="H609" s="23">
        <v>117</v>
      </c>
      <c r="I609" s="23">
        <v>24</v>
      </c>
      <c r="J609" s="23">
        <v>11</v>
      </c>
      <c r="K609" s="23">
        <v>9</v>
      </c>
      <c r="L609" s="23">
        <v>10</v>
      </c>
      <c r="M609" s="23">
        <v>3</v>
      </c>
      <c r="N609" s="23" t="s">
        <v>125</v>
      </c>
      <c r="O609" s="23" t="s">
        <v>127</v>
      </c>
      <c r="P609" s="23" t="s">
        <v>211</v>
      </c>
      <c r="Q609" s="23">
        <f t="shared" si="80"/>
        <v>2</v>
      </c>
      <c r="R609" s="23" t="str">
        <f t="shared" si="75"/>
        <v>3-2024</v>
      </c>
      <c r="S609" s="23" t="s">
        <v>117</v>
      </c>
      <c r="T609" s="23" t="str">
        <f t="shared" si="76"/>
        <v>Monday</v>
      </c>
      <c r="U609" s="23">
        <f t="shared" si="77"/>
        <v>1</v>
      </c>
      <c r="V609" s="25">
        <f>IFERROR(Data!$I609/Data!$D609,"")</f>
        <v>0.42105263157894735</v>
      </c>
      <c r="W609" s="25">
        <f>IFERROR(Data!$J609/Data!$D609,"")</f>
        <v>0.19298245614035087</v>
      </c>
      <c r="X609" s="25">
        <f>IFERROR(Data!$K609/Data!$D609,"")</f>
        <v>0.15789473684210525</v>
      </c>
      <c r="Y609" s="25">
        <f>IFERROR(Data!$L609/Data!$D609,"")</f>
        <v>0.17543859649122806</v>
      </c>
      <c r="Z609" s="25">
        <f>IFERROR(Data!$M609/Data!$D609,"")</f>
        <v>5.2631578947368418E-2</v>
      </c>
      <c r="AA609" s="26">
        <v>232.14</v>
      </c>
      <c r="AB609" s="26">
        <f t="shared" si="81"/>
        <v>17.856923076923074</v>
      </c>
      <c r="AC609" s="23">
        <f t="shared" si="78"/>
        <v>629.30769230769226</v>
      </c>
      <c r="AD609" s="23">
        <f t="shared" si="79"/>
        <v>13</v>
      </c>
      <c r="AE609" s="23">
        <f>YEAR(Data!$C609)</f>
        <v>2024</v>
      </c>
      <c r="AF609" s="23"/>
      <c r="AG609" s="23">
        <v>12</v>
      </c>
      <c r="AH609" s="27">
        <f>Data!$F609/Data!$D609</f>
        <v>9.6315789473684212</v>
      </c>
      <c r="AI609" s="17" t="str">
        <f>RIGHT(Data!$O609,2)</f>
        <v>PM</v>
      </c>
      <c r="AJ609" s="23" t="str">
        <f>Data!$R609&amp;"-"&amp;WEEKNUM(Data!$C609,1)-WEEKNUM(DATE(YEAR(Data!$C609),MONTH(Data!$C609),1),1)+1</f>
        <v>3-2024-4</v>
      </c>
      <c r="AK609" s="23">
        <f>MONTH(Data!$C609)</f>
        <v>3</v>
      </c>
      <c r="AL609" s="23">
        <f>IFERROR(Data!$F609/Data!$E609,0)</f>
        <v>42.230769230769234</v>
      </c>
      <c r="AM609" s="23">
        <f>COUNTIF(Data!$N$2:$N$825,Data!$N609)</f>
        <v>182</v>
      </c>
      <c r="AN609" s="23" t="str">
        <f>VLOOKUP(Data!$N609,'Helpful Tables'!A:D,4,FALSE)</f>
        <v>Oregon</v>
      </c>
      <c r="AO609" s="23">
        <f>COUNTIF(AN:AN,Data!$AN609)/COUNTA(AN:AN)</f>
        <v>0.27393939393939393</v>
      </c>
      <c r="AP609" s="23">
        <v>45.534162000000002</v>
      </c>
      <c r="AQ609" s="23">
        <v>-122.69670000000001</v>
      </c>
      <c r="AR609" s="23">
        <f>COUNTIF(Data!$P$2:$P$825,Data!$P609)</f>
        <v>3</v>
      </c>
      <c r="AS609" s="23" cm="1">
        <f t="array" ref="AS609">_xlfn.IFS(Data!$E609&lt;12,((Data!$E609/Data!$D609)*60)*1,AND(Data!$E609&gt;=12,Data!$E609&lt;=15),((Data!$E609/Data!$D609)*60)*1.2,AND(Data!$E609&gt;=16,Data!$E609&lt;=19),((Data!$E609/Data!$D609)*60)*1.5,Data!$E609&gt;=20,((Data!$E609/Data!$D609)*60)*1.8)</f>
        <v>16.421052631578945</v>
      </c>
      <c r="AT609" s="23" cm="1">
        <f t="array" ref="AT609">_xlfn.IFS(Data!$F609&lt;600,((Data!$F609/Data!$D609)*60)*1,AND(Data!$F609&gt;=600,Data!$F609&lt;=625),((Data!$F609/Data!$D609)*60)*1.2,AND(Data!$F609&gt;=626,Data!$F609&lt;=650),((Data!$F609/Data!$D609)*60)*1.5,Data!$F609&gt;=651,((Data!$F609/Data!$D609)*60)*1.8)</f>
        <v>577.89473684210532</v>
      </c>
      <c r="AU609" s="23">
        <f>(Data!$I609*-1.2)+(Data!$J609*-1.1)+(Data!$K609*1.2)+(Data!$L609*1.3)+(Data!$M609*1.5)</f>
        <v>-12.600000000000001</v>
      </c>
      <c r="AV609" s="23">
        <f>(Data!$AS609*0.4)+(Data!$AT609*0.4)+(Data!$AU609*0.2)</f>
        <v>235.20631578947371</v>
      </c>
      <c r="AW609" s="35">
        <f>PERCENTRANK(AV:AV,Data!$AV609)*100</f>
        <v>10.100000000000001</v>
      </c>
      <c r="AX609" s="23" t="str">
        <f>_xlfn.CONCAT(TEXT(C609,"mmm"),"-",Data!$AE609)</f>
        <v>Mar-2024</v>
      </c>
    </row>
    <row r="610" spans="1:50" ht="17" thickTop="1" thickBot="1" x14ac:dyDescent="0.25">
      <c r="A610" s="28">
        <v>609</v>
      </c>
      <c r="B610" s="29">
        <f t="shared" si="74"/>
        <v>13</v>
      </c>
      <c r="C610" s="41">
        <v>45371</v>
      </c>
      <c r="D610" s="30">
        <f>SUM(Data!$I610:$M610)</f>
        <v>59</v>
      </c>
      <c r="E610" s="29">
        <v>15</v>
      </c>
      <c r="F610" s="29">
        <v>665</v>
      </c>
      <c r="G610" s="29">
        <v>166</v>
      </c>
      <c r="H610" s="29">
        <v>129</v>
      </c>
      <c r="I610" s="29">
        <v>11</v>
      </c>
      <c r="J610" s="29">
        <v>14</v>
      </c>
      <c r="K610" s="29">
        <v>19</v>
      </c>
      <c r="L610" s="29">
        <v>14</v>
      </c>
      <c r="M610" s="29">
        <v>1</v>
      </c>
      <c r="N610" s="29" t="s">
        <v>125</v>
      </c>
      <c r="O610" s="29" t="s">
        <v>127</v>
      </c>
      <c r="P610" s="29" t="s">
        <v>210</v>
      </c>
      <c r="Q610" s="29">
        <f t="shared" si="80"/>
        <v>2</v>
      </c>
      <c r="R610" s="29" t="str">
        <f t="shared" si="75"/>
        <v>3-2024</v>
      </c>
      <c r="S610" s="29" t="s">
        <v>117</v>
      </c>
      <c r="T610" s="29" t="str">
        <f t="shared" si="76"/>
        <v>Wednesday</v>
      </c>
      <c r="U610" s="29">
        <f t="shared" si="77"/>
        <v>1</v>
      </c>
      <c r="V610" s="31">
        <f>IFERROR(Data!$I610/Data!$D610,"")</f>
        <v>0.1864406779661017</v>
      </c>
      <c r="W610" s="31">
        <f>IFERROR(Data!$J610/Data!$D610,"")</f>
        <v>0.23728813559322035</v>
      </c>
      <c r="X610" s="31">
        <f>IFERROR(Data!$K610/Data!$D610,"")</f>
        <v>0.32203389830508472</v>
      </c>
      <c r="Y610" s="31">
        <f>IFERROR(Data!$L610/Data!$D610,"")</f>
        <v>0.23728813559322035</v>
      </c>
      <c r="Z610" s="31">
        <f>IFERROR(Data!$M610/Data!$D610,"")</f>
        <v>1.6949152542372881E-2</v>
      </c>
      <c r="AA610" s="32">
        <v>232.14</v>
      </c>
      <c r="AB610" s="32">
        <f t="shared" si="81"/>
        <v>17.856923076923074</v>
      </c>
      <c r="AC610" s="29">
        <f t="shared" si="78"/>
        <v>629.30769230769226</v>
      </c>
      <c r="AD610" s="29">
        <f t="shared" si="79"/>
        <v>13</v>
      </c>
      <c r="AE610" s="29">
        <f>YEAR(Data!$C610)</f>
        <v>2024</v>
      </c>
      <c r="AF610" s="29"/>
      <c r="AG610" s="29">
        <v>12</v>
      </c>
      <c r="AH610" s="33">
        <f>Data!$F610/Data!$D610</f>
        <v>11.271186440677965</v>
      </c>
      <c r="AI610" s="17" t="str">
        <f>RIGHT(Data!$O610,2)</f>
        <v>PM</v>
      </c>
      <c r="AJ610" s="29" t="str">
        <f>Data!$R610&amp;"-"&amp;WEEKNUM(Data!$C610,1)-WEEKNUM(DATE(YEAR(Data!$C610),MONTH(Data!$C610),1),1)+1</f>
        <v>3-2024-4</v>
      </c>
      <c r="AK610" s="29">
        <f>MONTH(Data!$C610)</f>
        <v>3</v>
      </c>
      <c r="AL610" s="29">
        <f>IFERROR(Data!$F610/Data!$E610,0)</f>
        <v>44.333333333333336</v>
      </c>
      <c r="AM610" s="29">
        <f>COUNTIF(Data!$N$2:$N$825,Data!$N610)</f>
        <v>182</v>
      </c>
      <c r="AN610" s="29" t="str">
        <f>VLOOKUP(Data!$N610,'Helpful Tables'!A:D,4,FALSE)</f>
        <v>Oregon</v>
      </c>
      <c r="AO610" s="29">
        <f>COUNTIF(AN:AN,Data!$AN610)/COUNTA(AN:AN)</f>
        <v>0.27393939393939393</v>
      </c>
      <c r="AP610" s="29">
        <v>45.534162000000002</v>
      </c>
      <c r="AQ610" s="29">
        <v>-122.69670000000001</v>
      </c>
      <c r="AR610" s="29">
        <f>COUNTIF(Data!$P$2:$P$825,Data!$P610)</f>
        <v>10</v>
      </c>
      <c r="AS610" s="29" cm="1">
        <f t="array" ref="AS610">_xlfn.IFS(Data!$E610&lt;12,((Data!$E610/Data!$D610)*60)*1,AND(Data!$E610&gt;=12,Data!$E610&lt;=15),((Data!$E610/Data!$D610)*60)*1.2,AND(Data!$E610&gt;=16,Data!$E610&lt;=19),((Data!$E610/Data!$D610)*60)*1.5,Data!$E610&gt;=20,((Data!$E610/Data!$D610)*60)*1.8)</f>
        <v>18.305084745762709</v>
      </c>
      <c r="AT610" s="29" cm="1">
        <f t="array" ref="AT610">_xlfn.IFS(Data!$F610&lt;600,((Data!$F610/Data!$D610)*60)*1,AND(Data!$F610&gt;=600,Data!$F610&lt;=625),((Data!$F610/Data!$D610)*60)*1.2,AND(Data!$F610&gt;=626,Data!$F610&lt;=650),((Data!$F610/Data!$D610)*60)*1.5,Data!$F610&gt;=651,((Data!$F610/Data!$D610)*60)*1.8)</f>
        <v>1217.2881355932202</v>
      </c>
      <c r="AU610" s="29">
        <f>(Data!$I610*-1.2)+(Data!$J610*-1.1)+(Data!$K610*1.2)+(Data!$L610*1.3)+(Data!$M610*1.5)</f>
        <v>13.899999999999999</v>
      </c>
      <c r="AV610" s="29">
        <f>(Data!$AS610*0.4)+(Data!$AT610*0.4)+(Data!$AU610*0.2)</f>
        <v>497.01728813559316</v>
      </c>
      <c r="AW610" s="34">
        <f>PERCENTRANK(AV:AV,Data!$AV610)*100</f>
        <v>75.7</v>
      </c>
      <c r="AX610" s="29" t="str">
        <f>_xlfn.CONCAT(TEXT(C610,"mmm"),"-",Data!$AE610)</f>
        <v>Mar-2024</v>
      </c>
    </row>
    <row r="611" spans="1:50" ht="17" thickTop="1" thickBot="1" x14ac:dyDescent="0.25">
      <c r="A611" s="22">
        <v>610</v>
      </c>
      <c r="B611" s="23">
        <f t="shared" si="74"/>
        <v>13</v>
      </c>
      <c r="C611" s="41">
        <v>45373</v>
      </c>
      <c r="D611" s="24">
        <f>SUM(Data!$I611:$M611)</f>
        <v>64</v>
      </c>
      <c r="E611" s="23">
        <v>14</v>
      </c>
      <c r="F611" s="23">
        <v>666</v>
      </c>
      <c r="G611" s="23">
        <v>161</v>
      </c>
      <c r="H611" s="23">
        <v>122</v>
      </c>
      <c r="I611" s="23">
        <v>20</v>
      </c>
      <c r="J611" s="23">
        <v>16</v>
      </c>
      <c r="K611" s="23">
        <v>14</v>
      </c>
      <c r="L611" s="23">
        <v>14</v>
      </c>
      <c r="M611" s="23">
        <v>0</v>
      </c>
      <c r="N611" s="23" t="s">
        <v>125</v>
      </c>
      <c r="O611" s="23" t="s">
        <v>127</v>
      </c>
      <c r="P611" s="23" t="s">
        <v>212</v>
      </c>
      <c r="Q611" s="23">
        <f t="shared" si="80"/>
        <v>2</v>
      </c>
      <c r="R611" s="23" t="str">
        <f t="shared" si="75"/>
        <v>3-2024</v>
      </c>
      <c r="S611" s="23" t="s">
        <v>104</v>
      </c>
      <c r="T611" s="23" t="str">
        <f t="shared" si="76"/>
        <v>Friday</v>
      </c>
      <c r="U611" s="23">
        <f t="shared" si="77"/>
        <v>1</v>
      </c>
      <c r="V611" s="25">
        <f>IFERROR(Data!$I611/Data!$D611,"")</f>
        <v>0.3125</v>
      </c>
      <c r="W611" s="25">
        <f>IFERROR(Data!$J611/Data!$D611,"")</f>
        <v>0.25</v>
      </c>
      <c r="X611" s="25">
        <f>IFERROR(Data!$K611/Data!$D611,"")</f>
        <v>0.21875</v>
      </c>
      <c r="Y611" s="25">
        <f>IFERROR(Data!$L611/Data!$D611,"")</f>
        <v>0.21875</v>
      </c>
      <c r="Z611" s="25">
        <f>IFERROR(Data!$M611/Data!$D611,"")</f>
        <v>0</v>
      </c>
      <c r="AA611" s="26">
        <v>232.14</v>
      </c>
      <c r="AB611" s="26">
        <f t="shared" si="81"/>
        <v>17.856923076923074</v>
      </c>
      <c r="AC611" s="23">
        <f t="shared" si="78"/>
        <v>629.30769230769226</v>
      </c>
      <c r="AD611" s="23">
        <f t="shared" si="79"/>
        <v>13</v>
      </c>
      <c r="AE611" s="23">
        <f>YEAR(Data!$C611)</f>
        <v>2024</v>
      </c>
      <c r="AF611" s="23"/>
      <c r="AG611" s="23">
        <v>12</v>
      </c>
      <c r="AH611" s="27">
        <f>Data!$F611/Data!$D611</f>
        <v>10.40625</v>
      </c>
      <c r="AI611" s="17" t="str">
        <f>RIGHT(Data!$O611,2)</f>
        <v>PM</v>
      </c>
      <c r="AJ611" s="23" t="str">
        <f>Data!$R611&amp;"-"&amp;WEEKNUM(Data!$C611,1)-WEEKNUM(DATE(YEAR(Data!$C611),MONTH(Data!$C611),1),1)+1</f>
        <v>3-2024-4</v>
      </c>
      <c r="AK611" s="23">
        <f>MONTH(Data!$C611)</f>
        <v>3</v>
      </c>
      <c r="AL611" s="23">
        <f>IFERROR(Data!$F611/Data!$E611,0)</f>
        <v>47.571428571428569</v>
      </c>
      <c r="AM611" s="23">
        <f>COUNTIF(Data!$N$2:$N$825,Data!$N611)</f>
        <v>182</v>
      </c>
      <c r="AN611" s="23" t="str">
        <f>VLOOKUP(Data!$N611,'Helpful Tables'!A:D,4,FALSE)</f>
        <v>Oregon</v>
      </c>
      <c r="AO611" s="23">
        <f>COUNTIF(AN:AN,Data!$AN611)/COUNTA(AN:AN)</f>
        <v>0.27393939393939393</v>
      </c>
      <c r="AP611" s="23">
        <v>45.534162000000002</v>
      </c>
      <c r="AQ611" s="23">
        <v>-122.69670000000001</v>
      </c>
      <c r="AR611" s="23">
        <f>COUNTIF(Data!$P$2:$P$825,Data!$P611)</f>
        <v>2</v>
      </c>
      <c r="AS611" s="23" cm="1">
        <f t="array" ref="AS611">_xlfn.IFS(Data!$E611&lt;12,((Data!$E611/Data!$D611)*60)*1,AND(Data!$E611&gt;=12,Data!$E611&lt;=15),((Data!$E611/Data!$D611)*60)*1.2,AND(Data!$E611&gt;=16,Data!$E611&lt;=19),((Data!$E611/Data!$D611)*60)*1.5,Data!$E611&gt;=20,((Data!$E611/Data!$D611)*60)*1.8)</f>
        <v>15.75</v>
      </c>
      <c r="AT611" s="23" cm="1">
        <f t="array" ref="AT611">_xlfn.IFS(Data!$F611&lt;600,((Data!$F611/Data!$D611)*60)*1,AND(Data!$F611&gt;=600,Data!$F611&lt;=625),((Data!$F611/Data!$D611)*60)*1.2,AND(Data!$F611&gt;=626,Data!$F611&lt;=650),((Data!$F611/Data!$D611)*60)*1.5,Data!$F611&gt;=651,((Data!$F611/Data!$D611)*60)*1.8)</f>
        <v>1123.875</v>
      </c>
      <c r="AU611" s="23">
        <f>(Data!$I611*-1.2)+(Data!$J611*-1.1)+(Data!$K611*1.2)+(Data!$L611*1.3)+(Data!$M611*1.5)</f>
        <v>-6.6000000000000014</v>
      </c>
      <c r="AV611" s="23">
        <f>(Data!$AS611*0.4)+(Data!$AT611*0.4)+(Data!$AU611*0.2)</f>
        <v>454.53000000000003</v>
      </c>
      <c r="AW611" s="35">
        <f>PERCENTRANK(AV:AV,Data!$AV611)*100</f>
        <v>65.600000000000009</v>
      </c>
      <c r="AX611" s="23" t="str">
        <f>_xlfn.CONCAT(TEXT(C611,"mmm"),"-",Data!$AE611)</f>
        <v>Mar-2024</v>
      </c>
    </row>
    <row r="612" spans="1:50" ht="17" thickTop="1" thickBot="1" x14ac:dyDescent="0.25">
      <c r="A612" s="28">
        <v>611</v>
      </c>
      <c r="B612" s="29">
        <f t="shared" si="74"/>
        <v>13</v>
      </c>
      <c r="C612" s="41">
        <v>45375</v>
      </c>
      <c r="D612" s="30">
        <f>SUM(Data!$I612:$M612)</f>
        <v>63</v>
      </c>
      <c r="E612" s="29">
        <v>16</v>
      </c>
      <c r="F612" s="29">
        <v>663</v>
      </c>
      <c r="G612" s="29">
        <v>166</v>
      </c>
      <c r="H612" s="29">
        <v>124</v>
      </c>
      <c r="I612" s="29">
        <v>18</v>
      </c>
      <c r="J612" s="29">
        <v>17</v>
      </c>
      <c r="K612" s="29">
        <v>12</v>
      </c>
      <c r="L612" s="29">
        <v>15</v>
      </c>
      <c r="M612" s="29">
        <v>1</v>
      </c>
      <c r="N612" s="29" t="s">
        <v>125</v>
      </c>
      <c r="O612" s="29" t="s">
        <v>159</v>
      </c>
      <c r="P612" s="29" t="s">
        <v>211</v>
      </c>
      <c r="Q612" s="29">
        <f t="shared" si="80"/>
        <v>2</v>
      </c>
      <c r="R612" s="29" t="str">
        <f t="shared" si="75"/>
        <v>3-2024</v>
      </c>
      <c r="S612" s="29" t="s">
        <v>117</v>
      </c>
      <c r="T612" s="29" t="str">
        <f t="shared" si="76"/>
        <v>Sunday</v>
      </c>
      <c r="U612" s="29">
        <f t="shared" si="77"/>
        <v>1</v>
      </c>
      <c r="V612" s="31">
        <f>IFERROR(Data!$I612/Data!$D612,"")</f>
        <v>0.2857142857142857</v>
      </c>
      <c r="W612" s="31">
        <f>IFERROR(Data!$J612/Data!$D612,"")</f>
        <v>0.26984126984126983</v>
      </c>
      <c r="X612" s="31">
        <f>IFERROR(Data!$K612/Data!$D612,"")</f>
        <v>0.19047619047619047</v>
      </c>
      <c r="Y612" s="31">
        <f>IFERROR(Data!$L612/Data!$D612,"")</f>
        <v>0.23809523809523808</v>
      </c>
      <c r="Z612" s="31">
        <f>IFERROR(Data!$M612/Data!$D612,"")</f>
        <v>1.5873015873015872E-2</v>
      </c>
      <c r="AA612" s="32">
        <v>232.14</v>
      </c>
      <c r="AB612" s="32">
        <f t="shared" si="81"/>
        <v>17.856923076923074</v>
      </c>
      <c r="AC612" s="29">
        <f t="shared" si="78"/>
        <v>629.30769230769226</v>
      </c>
      <c r="AD612" s="29">
        <f t="shared" si="79"/>
        <v>13</v>
      </c>
      <c r="AE612" s="29">
        <f>YEAR(Data!$C612)</f>
        <v>2024</v>
      </c>
      <c r="AF612" s="29"/>
      <c r="AG612" s="29">
        <v>12</v>
      </c>
      <c r="AH612" s="33">
        <f>Data!$F612/Data!$D612</f>
        <v>10.523809523809524</v>
      </c>
      <c r="AI612" s="17" t="str">
        <f>RIGHT(Data!$O612,2)</f>
        <v>AM</v>
      </c>
      <c r="AJ612" s="29" t="str">
        <f>Data!$R612&amp;"-"&amp;WEEKNUM(Data!$C612,1)-WEEKNUM(DATE(YEAR(Data!$C612),MONTH(Data!$C612),1),1)+1</f>
        <v>3-2024-5</v>
      </c>
      <c r="AK612" s="29">
        <f>MONTH(Data!$C612)</f>
        <v>3</v>
      </c>
      <c r="AL612" s="29">
        <f>IFERROR(Data!$F612/Data!$E612,0)</f>
        <v>41.4375</v>
      </c>
      <c r="AM612" s="29">
        <f>COUNTIF(Data!$N$2:$N$825,Data!$N612)</f>
        <v>182</v>
      </c>
      <c r="AN612" s="29" t="str">
        <f>VLOOKUP(Data!$N612,'Helpful Tables'!A:D,4,FALSE)</f>
        <v>Oregon</v>
      </c>
      <c r="AO612" s="29">
        <f>COUNTIF(AN:AN,Data!$AN612)/COUNTA(AN:AN)</f>
        <v>0.27393939393939393</v>
      </c>
      <c r="AP612" s="29">
        <v>45.534162000000002</v>
      </c>
      <c r="AQ612" s="29">
        <v>-122.69670000000001</v>
      </c>
      <c r="AR612" s="29">
        <f>COUNTIF(Data!$P$2:$P$825,Data!$P612)</f>
        <v>3</v>
      </c>
      <c r="AS612" s="29" cm="1">
        <f t="array" ref="AS612">_xlfn.IFS(Data!$E612&lt;12,((Data!$E612/Data!$D612)*60)*1,AND(Data!$E612&gt;=12,Data!$E612&lt;=15),((Data!$E612/Data!$D612)*60)*1.2,AND(Data!$E612&gt;=16,Data!$E612&lt;=19),((Data!$E612/Data!$D612)*60)*1.5,Data!$E612&gt;=20,((Data!$E612/Data!$D612)*60)*1.8)</f>
        <v>22.857142857142854</v>
      </c>
      <c r="AT612" s="29" cm="1">
        <f t="array" ref="AT612">_xlfn.IFS(Data!$F612&lt;600,((Data!$F612/Data!$D612)*60)*1,AND(Data!$F612&gt;=600,Data!$F612&lt;=625),((Data!$F612/Data!$D612)*60)*1.2,AND(Data!$F612&gt;=626,Data!$F612&lt;=650),((Data!$F612/Data!$D612)*60)*1.5,Data!$F612&gt;=651,((Data!$F612/Data!$D612)*60)*1.8)</f>
        <v>1136.5714285714287</v>
      </c>
      <c r="AU612" s="29">
        <f>(Data!$I612*-1.2)+(Data!$J612*-1.1)+(Data!$K612*1.2)+(Data!$L612*1.3)+(Data!$M612*1.5)</f>
        <v>-4.8999999999999986</v>
      </c>
      <c r="AV612" s="29">
        <f>(Data!$AS612*0.4)+(Data!$AT612*0.4)+(Data!$AU612*0.2)</f>
        <v>462.79142857142864</v>
      </c>
      <c r="AW612" s="34">
        <f>PERCENTRANK(AV:AV,Data!$AV612)*100</f>
        <v>66</v>
      </c>
      <c r="AX612" s="29" t="str">
        <f>_xlfn.CONCAT(TEXT(C612,"mmm"),"-",Data!$AE612)</f>
        <v>Mar-2024</v>
      </c>
    </row>
    <row r="613" spans="1:50" ht="17" thickTop="1" thickBot="1" x14ac:dyDescent="0.25">
      <c r="A613" s="22">
        <v>612</v>
      </c>
      <c r="B613" s="23">
        <f t="shared" si="74"/>
        <v>13</v>
      </c>
      <c r="C613" s="41">
        <v>45377</v>
      </c>
      <c r="D613" s="24">
        <f>SUM(Data!$I613:$M613)</f>
        <v>56</v>
      </c>
      <c r="E613" s="23">
        <v>10</v>
      </c>
      <c r="F613" s="23">
        <v>565</v>
      </c>
      <c r="G613" s="23">
        <v>155</v>
      </c>
      <c r="H613" s="23">
        <v>120</v>
      </c>
      <c r="I613" s="23">
        <v>17</v>
      </c>
      <c r="J613" s="23">
        <v>18</v>
      </c>
      <c r="K613" s="23">
        <v>11</v>
      </c>
      <c r="L613" s="23">
        <v>10</v>
      </c>
      <c r="M613" s="23">
        <v>0</v>
      </c>
      <c r="N613" s="23" t="s">
        <v>125</v>
      </c>
      <c r="O613" s="23" t="s">
        <v>127</v>
      </c>
      <c r="P613" s="23" t="s">
        <v>126</v>
      </c>
      <c r="Q613" s="23">
        <f t="shared" si="80"/>
        <v>2</v>
      </c>
      <c r="R613" s="23" t="str">
        <f t="shared" si="75"/>
        <v>3-2024</v>
      </c>
      <c r="S613" s="23" t="s">
        <v>104</v>
      </c>
      <c r="T613" s="23" t="str">
        <f t="shared" si="76"/>
        <v>Tuesday</v>
      </c>
      <c r="U613" s="23">
        <f t="shared" si="77"/>
        <v>0</v>
      </c>
      <c r="V613" s="25">
        <f>IFERROR(Data!$I613/Data!$D613,"")</f>
        <v>0.30357142857142855</v>
      </c>
      <c r="W613" s="25">
        <f>IFERROR(Data!$J613/Data!$D613,"")</f>
        <v>0.32142857142857145</v>
      </c>
      <c r="X613" s="25">
        <f>IFERROR(Data!$K613/Data!$D613,"")</f>
        <v>0.19642857142857142</v>
      </c>
      <c r="Y613" s="25">
        <f>IFERROR(Data!$L613/Data!$D613,"")</f>
        <v>0.17857142857142858</v>
      </c>
      <c r="Z613" s="25">
        <f>IFERROR(Data!$M613/Data!$D613,"")</f>
        <v>0</v>
      </c>
      <c r="AA613" s="26">
        <v>232.14</v>
      </c>
      <c r="AB613" s="26">
        <f t="shared" si="81"/>
        <v>17.856923076923074</v>
      </c>
      <c r="AC613" s="23">
        <f t="shared" si="78"/>
        <v>629.30769230769226</v>
      </c>
      <c r="AD613" s="23">
        <f t="shared" si="79"/>
        <v>13</v>
      </c>
      <c r="AE613" s="23">
        <f>YEAR(Data!$C613)</f>
        <v>2024</v>
      </c>
      <c r="AF613" s="23"/>
      <c r="AG613" s="23">
        <v>12</v>
      </c>
      <c r="AH613" s="27">
        <f>Data!$F613/Data!$D613</f>
        <v>10.089285714285714</v>
      </c>
      <c r="AI613" s="17" t="str">
        <f>RIGHT(Data!$O613,2)</f>
        <v>PM</v>
      </c>
      <c r="AJ613" s="23" t="str">
        <f>Data!$R613&amp;"-"&amp;WEEKNUM(Data!$C613,1)-WEEKNUM(DATE(YEAR(Data!$C613),MONTH(Data!$C613),1),1)+1</f>
        <v>3-2024-5</v>
      </c>
      <c r="AK613" s="23">
        <f>MONTH(Data!$C613)</f>
        <v>3</v>
      </c>
      <c r="AL613" s="23">
        <f>IFERROR(Data!$F613/Data!$E613,0)</f>
        <v>56.5</v>
      </c>
      <c r="AM613" s="23">
        <f>COUNTIF(Data!$N$2:$N$825,Data!$N613)</f>
        <v>182</v>
      </c>
      <c r="AN613" s="23" t="str">
        <f>VLOOKUP(Data!$N613,'Helpful Tables'!A:D,4,FALSE)</f>
        <v>Oregon</v>
      </c>
      <c r="AO613" s="23">
        <f>COUNTIF(AN:AN,Data!$AN613)/COUNTA(AN:AN)</f>
        <v>0.27393939393939393</v>
      </c>
      <c r="AP613" s="23">
        <v>45.534162000000002</v>
      </c>
      <c r="AQ613" s="23">
        <v>-122.69670000000001</v>
      </c>
      <c r="AR613" s="23">
        <f>COUNTIF(Data!$P$2:$P$825,Data!$P613)</f>
        <v>10</v>
      </c>
      <c r="AS613" s="23" cm="1">
        <f t="array" ref="AS613">_xlfn.IFS(Data!$E613&lt;12,((Data!$E613/Data!$D613)*60)*1,AND(Data!$E613&gt;=12,Data!$E613&lt;=15),((Data!$E613/Data!$D613)*60)*1.2,AND(Data!$E613&gt;=16,Data!$E613&lt;=19),((Data!$E613/Data!$D613)*60)*1.5,Data!$E613&gt;=20,((Data!$E613/Data!$D613)*60)*1.8)</f>
        <v>10.714285714285715</v>
      </c>
      <c r="AT613" s="23" cm="1">
        <f t="array" ref="AT613">_xlfn.IFS(Data!$F613&lt;600,((Data!$F613/Data!$D613)*60)*1,AND(Data!$F613&gt;=600,Data!$F613&lt;=625),((Data!$F613/Data!$D613)*60)*1.2,AND(Data!$F613&gt;=626,Data!$F613&lt;=650),((Data!$F613/Data!$D613)*60)*1.5,Data!$F613&gt;=651,((Data!$F613/Data!$D613)*60)*1.8)</f>
        <v>605.35714285714278</v>
      </c>
      <c r="AU613" s="23">
        <f>(Data!$I613*-1.2)+(Data!$J613*-1.1)+(Data!$K613*1.2)+(Data!$L613*1.3)+(Data!$M613*1.5)</f>
        <v>-14.000000000000004</v>
      </c>
      <c r="AV613" s="23">
        <f>(Data!$AS613*0.4)+(Data!$AT613*0.4)+(Data!$AU613*0.2)</f>
        <v>243.62857142857138</v>
      </c>
      <c r="AW613" s="35">
        <f>PERCENTRANK(AV:AV,Data!$AV613)*100</f>
        <v>14.000000000000002</v>
      </c>
      <c r="AX613" s="23" t="str">
        <f>_xlfn.CONCAT(TEXT(C613,"mmm"),"-",Data!$AE613)</f>
        <v>Mar-2024</v>
      </c>
    </row>
    <row r="614" spans="1:50" ht="17" thickTop="1" thickBot="1" x14ac:dyDescent="0.25">
      <c r="A614" s="28">
        <v>613</v>
      </c>
      <c r="B614" s="29">
        <f t="shared" si="74"/>
        <v>13</v>
      </c>
      <c r="C614" s="41">
        <v>45379</v>
      </c>
      <c r="D614" s="30">
        <f>SUM(Data!$I614:$M614)</f>
        <v>62</v>
      </c>
      <c r="E614" s="29">
        <v>15</v>
      </c>
      <c r="F614" s="29">
        <v>705</v>
      </c>
      <c r="G614" s="29">
        <v>166</v>
      </c>
      <c r="H614" s="29">
        <v>129</v>
      </c>
      <c r="I614" s="29">
        <v>10</v>
      </c>
      <c r="J614" s="29">
        <v>15</v>
      </c>
      <c r="K614" s="29">
        <v>22</v>
      </c>
      <c r="L614" s="29">
        <v>14</v>
      </c>
      <c r="M614" s="29">
        <v>1</v>
      </c>
      <c r="N614" s="29" t="s">
        <v>125</v>
      </c>
      <c r="O614" s="29" t="s">
        <v>127</v>
      </c>
      <c r="P614" s="29" t="s">
        <v>207</v>
      </c>
      <c r="Q614" s="29">
        <f t="shared" si="80"/>
        <v>2</v>
      </c>
      <c r="R614" s="29" t="str">
        <f t="shared" si="75"/>
        <v>3-2024</v>
      </c>
      <c r="S614" s="29" t="s">
        <v>104</v>
      </c>
      <c r="T614" s="29" t="str">
        <f t="shared" si="76"/>
        <v>Thursday</v>
      </c>
      <c r="U614" s="29">
        <f t="shared" si="77"/>
        <v>1</v>
      </c>
      <c r="V614" s="31">
        <f>IFERROR(Data!$I614/Data!$D614,"")</f>
        <v>0.16129032258064516</v>
      </c>
      <c r="W614" s="31">
        <f>IFERROR(Data!$J614/Data!$D614,"")</f>
        <v>0.24193548387096775</v>
      </c>
      <c r="X614" s="31">
        <f>IFERROR(Data!$K614/Data!$D614,"")</f>
        <v>0.35483870967741937</v>
      </c>
      <c r="Y614" s="31">
        <f>IFERROR(Data!$L614/Data!$D614,"")</f>
        <v>0.22580645161290322</v>
      </c>
      <c r="Z614" s="31">
        <f>IFERROR(Data!$M614/Data!$D614,"")</f>
        <v>1.6129032258064516E-2</v>
      </c>
      <c r="AA614" s="32">
        <v>232.14</v>
      </c>
      <c r="AB614" s="32">
        <f t="shared" si="81"/>
        <v>17.856923076923074</v>
      </c>
      <c r="AC614" s="29">
        <f t="shared" si="78"/>
        <v>629.30769230769226</v>
      </c>
      <c r="AD614" s="29">
        <f t="shared" si="79"/>
        <v>13</v>
      </c>
      <c r="AE614" s="29">
        <f>YEAR(Data!$C614)</f>
        <v>2024</v>
      </c>
      <c r="AF614" s="29"/>
      <c r="AG614" s="29">
        <v>12</v>
      </c>
      <c r="AH614" s="33">
        <f>Data!$F614/Data!$D614</f>
        <v>11.370967741935484</v>
      </c>
      <c r="AI614" s="17" t="str">
        <f>RIGHT(Data!$O614,2)</f>
        <v>PM</v>
      </c>
      <c r="AJ614" s="29" t="str">
        <f>Data!$R614&amp;"-"&amp;WEEKNUM(Data!$C614,1)-WEEKNUM(DATE(YEAR(Data!$C614),MONTH(Data!$C614),1),1)+1</f>
        <v>3-2024-5</v>
      </c>
      <c r="AK614" s="29">
        <f>MONTH(Data!$C614)</f>
        <v>3</v>
      </c>
      <c r="AL614" s="29">
        <f>IFERROR(Data!$F614/Data!$E614,0)</f>
        <v>47</v>
      </c>
      <c r="AM614" s="29">
        <f>COUNTIF(Data!$N$2:$N$825,Data!$N614)</f>
        <v>182</v>
      </c>
      <c r="AN614" s="29" t="str">
        <f>VLOOKUP(Data!$N614,'Helpful Tables'!A:D,4,FALSE)</f>
        <v>Oregon</v>
      </c>
      <c r="AO614" s="29">
        <f>COUNTIF(AN:AN,Data!$AN614)/COUNTA(AN:AN)</f>
        <v>0.27393939393939393</v>
      </c>
      <c r="AP614" s="29">
        <v>45.534162000000002</v>
      </c>
      <c r="AQ614" s="29">
        <v>-122.69670000000001</v>
      </c>
      <c r="AR614" s="29">
        <f>COUNTIF(Data!$P$2:$P$825,Data!$P614)</f>
        <v>10</v>
      </c>
      <c r="AS614" s="29" cm="1">
        <f t="array" ref="AS614">_xlfn.IFS(Data!$E614&lt;12,((Data!$E614/Data!$D614)*60)*1,AND(Data!$E614&gt;=12,Data!$E614&lt;=15),((Data!$E614/Data!$D614)*60)*1.2,AND(Data!$E614&gt;=16,Data!$E614&lt;=19),((Data!$E614/Data!$D614)*60)*1.5,Data!$E614&gt;=20,((Data!$E614/Data!$D614)*60)*1.8)</f>
        <v>17.419354838709676</v>
      </c>
      <c r="AT614" s="29" cm="1">
        <f t="array" ref="AT614">_xlfn.IFS(Data!$F614&lt;600,((Data!$F614/Data!$D614)*60)*1,AND(Data!$F614&gt;=600,Data!$F614&lt;=625),((Data!$F614/Data!$D614)*60)*1.2,AND(Data!$F614&gt;=626,Data!$F614&lt;=650),((Data!$F614/Data!$D614)*60)*1.5,Data!$F614&gt;=651,((Data!$F614/Data!$D614)*60)*1.8)</f>
        <v>1228.0645161290322</v>
      </c>
      <c r="AU614" s="29">
        <f>(Data!$I614*-1.2)+(Data!$J614*-1.1)+(Data!$K614*1.2)+(Data!$L614*1.3)+(Data!$M614*1.5)</f>
        <v>17.599999999999998</v>
      </c>
      <c r="AV614" s="29">
        <f>(Data!$AS614*0.4)+(Data!$AT614*0.4)+(Data!$AU614*0.2)</f>
        <v>501.71354838709675</v>
      </c>
      <c r="AW614" s="34">
        <f>PERCENTRANK(AV:AV,Data!$AV614)*100</f>
        <v>78.7</v>
      </c>
      <c r="AX614" s="29" t="str">
        <f>_xlfn.CONCAT(TEXT(C614,"mmm"),"-",Data!$AE614)</f>
        <v>Mar-2024</v>
      </c>
    </row>
    <row r="615" spans="1:50" ht="17" thickTop="1" thickBot="1" x14ac:dyDescent="0.25">
      <c r="A615" s="22">
        <v>614</v>
      </c>
      <c r="B615" s="23">
        <f t="shared" si="74"/>
        <v>13</v>
      </c>
      <c r="C615" s="41">
        <v>45380</v>
      </c>
      <c r="D615" s="24">
        <f>SUM(Data!$I615:$M615)</f>
        <v>58</v>
      </c>
      <c r="E615" s="23">
        <v>13</v>
      </c>
      <c r="F615" s="23">
        <v>668</v>
      </c>
      <c r="G615" s="23">
        <v>167</v>
      </c>
      <c r="H615" s="23">
        <v>130</v>
      </c>
      <c r="I615" s="23">
        <v>12</v>
      </c>
      <c r="J615" s="23">
        <v>11</v>
      </c>
      <c r="K615" s="23">
        <v>22</v>
      </c>
      <c r="L615" s="23">
        <v>11</v>
      </c>
      <c r="M615" s="23">
        <v>2</v>
      </c>
      <c r="N615" s="23" t="s">
        <v>208</v>
      </c>
      <c r="O615" s="23" t="s">
        <v>53</v>
      </c>
      <c r="P615" s="23" t="s">
        <v>209</v>
      </c>
      <c r="Q615" s="23">
        <f t="shared" si="80"/>
        <v>1</v>
      </c>
      <c r="R615" s="23" t="str">
        <f t="shared" si="75"/>
        <v>3-2024</v>
      </c>
      <c r="S615" s="23" t="s">
        <v>104</v>
      </c>
      <c r="T615" s="23" t="str">
        <f t="shared" si="76"/>
        <v>Friday</v>
      </c>
      <c r="U615" s="23">
        <f t="shared" si="77"/>
        <v>1</v>
      </c>
      <c r="V615" s="25">
        <f>IFERROR(Data!$I615/Data!$D615,"")</f>
        <v>0.20689655172413793</v>
      </c>
      <c r="W615" s="25">
        <f>IFERROR(Data!$J615/Data!$D615,"")</f>
        <v>0.18965517241379309</v>
      </c>
      <c r="X615" s="25">
        <f>IFERROR(Data!$K615/Data!$D615,"")</f>
        <v>0.37931034482758619</v>
      </c>
      <c r="Y615" s="25">
        <f>IFERROR(Data!$L615/Data!$D615,"")</f>
        <v>0.18965517241379309</v>
      </c>
      <c r="Z615" s="25">
        <f>IFERROR(Data!$M615/Data!$D615,"")</f>
        <v>3.4482758620689655E-2</v>
      </c>
      <c r="AA615" s="26">
        <v>232.14</v>
      </c>
      <c r="AB615" s="26">
        <f t="shared" si="81"/>
        <v>17.856923076923074</v>
      </c>
      <c r="AC615" s="23">
        <f t="shared" si="78"/>
        <v>629.30769230769226</v>
      </c>
      <c r="AD615" s="23">
        <f t="shared" si="79"/>
        <v>13</v>
      </c>
      <c r="AE615" s="23">
        <f>YEAR(Data!$C615)</f>
        <v>2024</v>
      </c>
      <c r="AF615" s="23"/>
      <c r="AG615" s="23">
        <v>12</v>
      </c>
      <c r="AH615" s="27">
        <f>Data!$F615/Data!$D615</f>
        <v>11.517241379310345</v>
      </c>
      <c r="AI615" s="17" t="str">
        <f>RIGHT(Data!$O615,2)</f>
        <v>PM</v>
      </c>
      <c r="AJ615" s="23" t="str">
        <f>Data!$R615&amp;"-"&amp;WEEKNUM(Data!$C615,1)-WEEKNUM(DATE(YEAR(Data!$C615),MONTH(Data!$C615),1),1)+1</f>
        <v>3-2024-5</v>
      </c>
      <c r="AK615" s="23">
        <f>MONTH(Data!$C615)</f>
        <v>3</v>
      </c>
      <c r="AL615" s="23">
        <f>IFERROR(Data!$F615/Data!$E615,0)</f>
        <v>51.384615384615387</v>
      </c>
      <c r="AM615" s="23">
        <f>COUNTIF(Data!$N$2:$N$825,Data!$N615)</f>
        <v>42</v>
      </c>
      <c r="AN615" s="23" t="str">
        <f>VLOOKUP(Data!$N615,'Helpful Tables'!A:D,4,FALSE)</f>
        <v>Oregon</v>
      </c>
      <c r="AO615" s="23">
        <f>COUNTIF(AN:AN,Data!$AN615)/COUNTA(AN:AN)</f>
        <v>0.27393939393939393</v>
      </c>
      <c r="AP615" s="23">
        <v>45.525092999999998</v>
      </c>
      <c r="AQ615" s="23">
        <v>-122.681383</v>
      </c>
      <c r="AR615" s="23">
        <f>COUNTIF(Data!$P$2:$P$825,Data!$P615)</f>
        <v>18</v>
      </c>
      <c r="AS615" s="23" cm="1">
        <f t="array" ref="AS615">_xlfn.IFS(Data!$E615&lt;12,((Data!$E615/Data!$D615)*60)*1,AND(Data!$E615&gt;=12,Data!$E615&lt;=15),((Data!$E615/Data!$D615)*60)*1.2,AND(Data!$E615&gt;=16,Data!$E615&lt;=19),((Data!$E615/Data!$D615)*60)*1.5,Data!$E615&gt;=20,((Data!$E615/Data!$D615)*60)*1.8)</f>
        <v>16.137931034482758</v>
      </c>
      <c r="AT615" s="23" cm="1">
        <f t="array" ref="AT615">_xlfn.IFS(Data!$F615&lt;600,((Data!$F615/Data!$D615)*60)*1,AND(Data!$F615&gt;=600,Data!$F615&lt;=625),((Data!$F615/Data!$D615)*60)*1.2,AND(Data!$F615&gt;=626,Data!$F615&lt;=650),((Data!$F615/Data!$D615)*60)*1.5,Data!$F615&gt;=651,((Data!$F615/Data!$D615)*60)*1.8)</f>
        <v>1243.8620689655172</v>
      </c>
      <c r="AU615" s="23">
        <f>(Data!$I615*-1.2)+(Data!$J615*-1.1)+(Data!$K615*1.2)+(Data!$L615*1.3)+(Data!$M615*1.5)</f>
        <v>17.2</v>
      </c>
      <c r="AV615" s="23">
        <f>(Data!$AS615*0.4)+(Data!$AT615*0.4)+(Data!$AU615*0.2)</f>
        <v>507.44</v>
      </c>
      <c r="AW615" s="35">
        <f>PERCENTRANK(AV:AV,Data!$AV615)*100</f>
        <v>82.699999999999989</v>
      </c>
      <c r="AX615" s="23" t="str">
        <f>_xlfn.CONCAT(TEXT(C615,"mmm"),"-",Data!$AE615)</f>
        <v>Mar-2024</v>
      </c>
    </row>
    <row r="616" spans="1:50" ht="17" thickTop="1" thickBot="1" x14ac:dyDescent="0.25">
      <c r="A616" s="28">
        <v>615</v>
      </c>
      <c r="B616" s="29">
        <f t="shared" si="74"/>
        <v>13</v>
      </c>
      <c r="C616" s="41">
        <v>45384</v>
      </c>
      <c r="D616" s="30">
        <f>SUM(Data!$I616:$M616)</f>
        <v>54</v>
      </c>
      <c r="E616" s="29">
        <v>5</v>
      </c>
      <c r="F616" s="29">
        <v>528</v>
      </c>
      <c r="G616" s="29">
        <v>160</v>
      </c>
      <c r="H616" s="29">
        <v>117</v>
      </c>
      <c r="I616" s="29">
        <v>17</v>
      </c>
      <c r="J616" s="29">
        <v>18</v>
      </c>
      <c r="K616" s="29">
        <v>14</v>
      </c>
      <c r="L616" s="29">
        <v>5</v>
      </c>
      <c r="M616" s="29">
        <v>0</v>
      </c>
      <c r="N616" s="29" t="s">
        <v>125</v>
      </c>
      <c r="O616" s="29" t="s">
        <v>127</v>
      </c>
      <c r="P616" s="29" t="s">
        <v>126</v>
      </c>
      <c r="Q616" s="29">
        <f t="shared" si="80"/>
        <v>4</v>
      </c>
      <c r="R616" s="29" t="str">
        <f t="shared" si="75"/>
        <v>4-2024</v>
      </c>
      <c r="S616" s="29" t="s">
        <v>117</v>
      </c>
      <c r="T616" s="29" t="str">
        <f t="shared" si="76"/>
        <v>Tuesday</v>
      </c>
      <c r="U616" s="29">
        <f t="shared" si="77"/>
        <v>0</v>
      </c>
      <c r="V616" s="31">
        <f>IFERROR(Data!$I616/Data!$D616,"")</f>
        <v>0.31481481481481483</v>
      </c>
      <c r="W616" s="31">
        <f>IFERROR(Data!$J616/Data!$D616,"")</f>
        <v>0.33333333333333331</v>
      </c>
      <c r="X616" s="31">
        <f>IFERROR(Data!$K616/Data!$D616,"")</f>
        <v>0.25925925925925924</v>
      </c>
      <c r="Y616" s="31">
        <f>IFERROR(Data!$L616/Data!$D616,"")</f>
        <v>9.2592592592592587E-2</v>
      </c>
      <c r="Z616" s="31">
        <f>IFERROR(Data!$M616/Data!$D616,"")</f>
        <v>0</v>
      </c>
      <c r="AA616" s="32">
        <v>100</v>
      </c>
      <c r="AB616" s="32">
        <f t="shared" si="81"/>
        <v>7.6923076923076925</v>
      </c>
      <c r="AC616" s="29">
        <f t="shared" si="78"/>
        <v>608.07692307692309</v>
      </c>
      <c r="AD616" s="29">
        <f t="shared" si="79"/>
        <v>13.461538461538462</v>
      </c>
      <c r="AE616" s="29">
        <f>YEAR(Data!$C616)</f>
        <v>2024</v>
      </c>
      <c r="AF616" s="29"/>
      <c r="AG616" s="29">
        <v>12</v>
      </c>
      <c r="AH616" s="33">
        <f>Data!$F616/Data!$D616</f>
        <v>9.7777777777777786</v>
      </c>
      <c r="AI616" s="17" t="str">
        <f>RIGHT(Data!$O616,2)</f>
        <v>PM</v>
      </c>
      <c r="AJ616" s="29" t="str">
        <f>Data!$R616&amp;"-"&amp;WEEKNUM(Data!$C616,1)-WEEKNUM(DATE(YEAR(Data!$C616),MONTH(Data!$C616),1),1)+1</f>
        <v>4-2024-1</v>
      </c>
      <c r="AK616" s="29">
        <f>MONTH(Data!$C616)</f>
        <v>4</v>
      </c>
      <c r="AL616" s="29">
        <f>IFERROR(Data!$F616/Data!$E616,0)</f>
        <v>105.6</v>
      </c>
      <c r="AM616" s="29">
        <f>COUNTIF(Data!$N$2:$N$825,Data!$N616)</f>
        <v>182</v>
      </c>
      <c r="AN616" s="29" t="str">
        <f>VLOOKUP(Data!$N616,'Helpful Tables'!A:D,4,FALSE)</f>
        <v>Oregon</v>
      </c>
      <c r="AO616" s="29">
        <f>COUNTIF(AN:AN,Data!$AN616)/COUNTA(AN:AN)</f>
        <v>0.27393939393939393</v>
      </c>
      <c r="AP616" s="29">
        <v>45.534162000000002</v>
      </c>
      <c r="AQ616" s="29">
        <v>-122.69670000000001</v>
      </c>
      <c r="AR616" s="29">
        <f>COUNTIF(Data!$P$2:$P$825,Data!$P616)</f>
        <v>10</v>
      </c>
      <c r="AS616" s="29" cm="1">
        <f t="array" ref="AS616">_xlfn.IFS(Data!$E616&lt;12,((Data!$E616/Data!$D616)*60)*1,AND(Data!$E616&gt;=12,Data!$E616&lt;=15),((Data!$E616/Data!$D616)*60)*1.2,AND(Data!$E616&gt;=16,Data!$E616&lt;=19),((Data!$E616/Data!$D616)*60)*1.5,Data!$E616&gt;=20,((Data!$E616/Data!$D616)*60)*1.8)</f>
        <v>5.5555555555555554</v>
      </c>
      <c r="AT616" s="29" cm="1">
        <f t="array" ref="AT616">_xlfn.IFS(Data!$F616&lt;600,((Data!$F616/Data!$D616)*60)*1,AND(Data!$F616&gt;=600,Data!$F616&lt;=625),((Data!$F616/Data!$D616)*60)*1.2,AND(Data!$F616&gt;=626,Data!$F616&lt;=650),((Data!$F616/Data!$D616)*60)*1.5,Data!$F616&gt;=651,((Data!$F616/Data!$D616)*60)*1.8)</f>
        <v>586.66666666666674</v>
      </c>
      <c r="AU616" s="29">
        <f>(Data!$I616*-1.2)+(Data!$J616*-1.1)+(Data!$K616*1.2)+(Data!$L616*1.3)+(Data!$M616*1.5)</f>
        <v>-16.900000000000002</v>
      </c>
      <c r="AV616" s="29">
        <f>(Data!$AS616*0.4)+(Data!$AT616*0.4)+(Data!$AU616*0.2)</f>
        <v>233.50888888888895</v>
      </c>
      <c r="AW616" s="34">
        <f>PERCENTRANK(AV:AV,Data!$AV616)*100</f>
        <v>8.7999999999999989</v>
      </c>
      <c r="AX616" s="29" t="str">
        <f>_xlfn.CONCAT(TEXT(C616,"mmm"),"-",Data!$AE616)</f>
        <v>Apr-2024</v>
      </c>
    </row>
    <row r="617" spans="1:50" ht="17" thickTop="1" thickBot="1" x14ac:dyDescent="0.25">
      <c r="A617" s="22">
        <v>616</v>
      </c>
      <c r="B617" s="23">
        <f t="shared" si="74"/>
        <v>13</v>
      </c>
      <c r="C617" s="41">
        <v>45386</v>
      </c>
      <c r="D617" s="24">
        <f>SUM(Data!$I617:$M617)</f>
        <v>56</v>
      </c>
      <c r="E617" s="23">
        <v>10</v>
      </c>
      <c r="F617" s="23">
        <v>566</v>
      </c>
      <c r="G617" s="23">
        <v>168</v>
      </c>
      <c r="H617" s="23">
        <v>120</v>
      </c>
      <c r="I617" s="23">
        <v>21</v>
      </c>
      <c r="J617" s="23">
        <v>10</v>
      </c>
      <c r="K617" s="23">
        <v>15</v>
      </c>
      <c r="L617" s="23">
        <v>9</v>
      </c>
      <c r="M617" s="23">
        <v>1</v>
      </c>
      <c r="N617" s="23" t="s">
        <v>125</v>
      </c>
      <c r="O617" s="23" t="s">
        <v>127</v>
      </c>
      <c r="P617" s="23" t="s">
        <v>207</v>
      </c>
      <c r="Q617" s="23">
        <f t="shared" si="80"/>
        <v>2</v>
      </c>
      <c r="R617" s="23" t="str">
        <f t="shared" si="75"/>
        <v>4-2024</v>
      </c>
      <c r="S617" s="23" t="s">
        <v>104</v>
      </c>
      <c r="T617" s="23" t="str">
        <f t="shared" si="76"/>
        <v>Thursday</v>
      </c>
      <c r="U617" s="23">
        <f t="shared" si="77"/>
        <v>0</v>
      </c>
      <c r="V617" s="25">
        <f>IFERROR(Data!$I617/Data!$D617,"")</f>
        <v>0.375</v>
      </c>
      <c r="W617" s="25">
        <f>IFERROR(Data!$J617/Data!$D617,"")</f>
        <v>0.17857142857142858</v>
      </c>
      <c r="X617" s="25">
        <f>IFERROR(Data!$K617/Data!$D617,"")</f>
        <v>0.26785714285714285</v>
      </c>
      <c r="Y617" s="25">
        <f>IFERROR(Data!$L617/Data!$D617,"")</f>
        <v>0.16071428571428573</v>
      </c>
      <c r="Z617" s="25">
        <f>IFERROR(Data!$M617/Data!$D617,"")</f>
        <v>1.7857142857142856E-2</v>
      </c>
      <c r="AA617" s="26">
        <v>100</v>
      </c>
      <c r="AB617" s="26">
        <f t="shared" si="81"/>
        <v>7.6923076923076925</v>
      </c>
      <c r="AC617" s="23">
        <f t="shared" si="78"/>
        <v>608.07692307692309</v>
      </c>
      <c r="AD617" s="23">
        <f t="shared" si="79"/>
        <v>13.461538461538462</v>
      </c>
      <c r="AE617" s="23">
        <f>YEAR(Data!$C617)</f>
        <v>2024</v>
      </c>
      <c r="AF617" s="23"/>
      <c r="AG617" s="23">
        <v>12</v>
      </c>
      <c r="AH617" s="27">
        <f>Data!$F617/Data!$D617</f>
        <v>10.107142857142858</v>
      </c>
      <c r="AI617" s="17" t="str">
        <f>RIGHT(Data!$O617,2)</f>
        <v>PM</v>
      </c>
      <c r="AJ617" s="23" t="str">
        <f>Data!$R617&amp;"-"&amp;WEEKNUM(Data!$C617,1)-WEEKNUM(DATE(YEAR(Data!$C617),MONTH(Data!$C617),1),1)+1</f>
        <v>4-2024-1</v>
      </c>
      <c r="AK617" s="23">
        <f>MONTH(Data!$C617)</f>
        <v>4</v>
      </c>
      <c r="AL617" s="23">
        <f>IFERROR(Data!$F617/Data!$E617,0)</f>
        <v>56.6</v>
      </c>
      <c r="AM617" s="23">
        <f>COUNTIF(Data!$N$2:$N$825,Data!$N617)</f>
        <v>182</v>
      </c>
      <c r="AN617" s="23" t="str">
        <f>VLOOKUP(Data!$N617,'Helpful Tables'!A:D,4,FALSE)</f>
        <v>Oregon</v>
      </c>
      <c r="AO617" s="23">
        <f>COUNTIF(AN:AN,Data!$AN617)/COUNTA(AN:AN)</f>
        <v>0.27393939393939393</v>
      </c>
      <c r="AP617" s="23">
        <v>45.534162000000002</v>
      </c>
      <c r="AQ617" s="23">
        <v>-122.69670000000001</v>
      </c>
      <c r="AR617" s="23">
        <f>COUNTIF(Data!$P$2:$P$825,Data!$P617)</f>
        <v>10</v>
      </c>
      <c r="AS617" s="23" cm="1">
        <f t="array" ref="AS617">_xlfn.IFS(Data!$E617&lt;12,((Data!$E617/Data!$D617)*60)*1,AND(Data!$E617&gt;=12,Data!$E617&lt;=15),((Data!$E617/Data!$D617)*60)*1.2,AND(Data!$E617&gt;=16,Data!$E617&lt;=19),((Data!$E617/Data!$D617)*60)*1.5,Data!$E617&gt;=20,((Data!$E617/Data!$D617)*60)*1.8)</f>
        <v>10.714285714285715</v>
      </c>
      <c r="AT617" s="23" cm="1">
        <f t="array" ref="AT617">_xlfn.IFS(Data!$F617&lt;600,((Data!$F617/Data!$D617)*60)*1,AND(Data!$F617&gt;=600,Data!$F617&lt;=625),((Data!$F617/Data!$D617)*60)*1.2,AND(Data!$F617&gt;=626,Data!$F617&lt;=650),((Data!$F617/Data!$D617)*60)*1.5,Data!$F617&gt;=651,((Data!$F617/Data!$D617)*60)*1.8)</f>
        <v>606.42857142857144</v>
      </c>
      <c r="AU617" s="23">
        <f>(Data!$I617*-1.2)+(Data!$J617*-1.1)+(Data!$K617*1.2)+(Data!$L617*1.3)+(Data!$M617*1.5)</f>
        <v>-5.0000000000000018</v>
      </c>
      <c r="AV617" s="23">
        <f>(Data!$AS617*0.4)+(Data!$AT617*0.4)+(Data!$AU617*0.2)</f>
        <v>245.85714285714286</v>
      </c>
      <c r="AW617" s="35">
        <f>PERCENTRANK(AV:AV,Data!$AV617)*100</f>
        <v>15.5</v>
      </c>
      <c r="AX617" s="23" t="str">
        <f>_xlfn.CONCAT(TEXT(C617,"mmm"),"-",Data!$AE617)</f>
        <v>Apr-2024</v>
      </c>
    </row>
    <row r="618" spans="1:50" ht="17" thickTop="1" thickBot="1" x14ac:dyDescent="0.25">
      <c r="A618" s="28">
        <v>617</v>
      </c>
      <c r="B618" s="29">
        <f t="shared" si="74"/>
        <v>13</v>
      </c>
      <c r="C618" s="41">
        <v>45388</v>
      </c>
      <c r="D618" s="30">
        <f>SUM(Data!$I618:$M618)</f>
        <v>59</v>
      </c>
      <c r="E618" s="29">
        <v>14</v>
      </c>
      <c r="F618" s="29">
        <v>615</v>
      </c>
      <c r="G618" s="29">
        <v>169</v>
      </c>
      <c r="H618" s="29">
        <v>122</v>
      </c>
      <c r="I618" s="29">
        <v>20</v>
      </c>
      <c r="J618" s="29">
        <v>16</v>
      </c>
      <c r="K618" s="29">
        <v>9</v>
      </c>
      <c r="L618" s="29">
        <v>11</v>
      </c>
      <c r="M618" s="29">
        <v>3</v>
      </c>
      <c r="N618" s="29" t="s">
        <v>125</v>
      </c>
      <c r="O618" s="29" t="s">
        <v>79</v>
      </c>
      <c r="P618" s="29" t="s">
        <v>210</v>
      </c>
      <c r="Q618" s="29">
        <f t="shared" si="80"/>
        <v>2</v>
      </c>
      <c r="R618" s="29" t="str">
        <f t="shared" si="75"/>
        <v>4-2024</v>
      </c>
      <c r="S618" s="29" t="s">
        <v>117</v>
      </c>
      <c r="T618" s="29" t="str">
        <f t="shared" si="76"/>
        <v>Saturday</v>
      </c>
      <c r="U618" s="29">
        <f t="shared" si="77"/>
        <v>1</v>
      </c>
      <c r="V618" s="31">
        <f>IFERROR(Data!$I618/Data!$D618,"")</f>
        <v>0.33898305084745761</v>
      </c>
      <c r="W618" s="31">
        <f>IFERROR(Data!$J618/Data!$D618,"")</f>
        <v>0.2711864406779661</v>
      </c>
      <c r="X618" s="31">
        <f>IFERROR(Data!$K618/Data!$D618,"")</f>
        <v>0.15254237288135594</v>
      </c>
      <c r="Y618" s="31">
        <f>IFERROR(Data!$L618/Data!$D618,"")</f>
        <v>0.1864406779661017</v>
      </c>
      <c r="Z618" s="31">
        <f>IFERROR(Data!$M618/Data!$D618,"")</f>
        <v>5.0847457627118647E-2</v>
      </c>
      <c r="AA618" s="32">
        <v>100</v>
      </c>
      <c r="AB618" s="32">
        <f t="shared" si="81"/>
        <v>7.6923076923076925</v>
      </c>
      <c r="AC618" s="29">
        <f t="shared" si="78"/>
        <v>608.07692307692309</v>
      </c>
      <c r="AD618" s="29">
        <f t="shared" si="79"/>
        <v>13.461538461538462</v>
      </c>
      <c r="AE618" s="29">
        <f>YEAR(Data!$C618)</f>
        <v>2024</v>
      </c>
      <c r="AF618" s="29"/>
      <c r="AG618" s="29">
        <v>12</v>
      </c>
      <c r="AH618" s="33">
        <f>Data!$F618/Data!$D618</f>
        <v>10.423728813559322</v>
      </c>
      <c r="AI618" s="17" t="str">
        <f>RIGHT(Data!$O618,2)</f>
        <v>AM</v>
      </c>
      <c r="AJ618" s="29" t="str">
        <f>Data!$R618&amp;"-"&amp;WEEKNUM(Data!$C618,1)-WEEKNUM(DATE(YEAR(Data!$C618),MONTH(Data!$C618),1),1)+1</f>
        <v>4-2024-1</v>
      </c>
      <c r="AK618" s="29">
        <f>MONTH(Data!$C618)</f>
        <v>4</v>
      </c>
      <c r="AL618" s="29">
        <f>IFERROR(Data!$F618/Data!$E618,0)</f>
        <v>43.928571428571431</v>
      </c>
      <c r="AM618" s="29">
        <f>COUNTIF(Data!$N$2:$N$825,Data!$N618)</f>
        <v>182</v>
      </c>
      <c r="AN618" s="29" t="str">
        <f>VLOOKUP(Data!$N618,'Helpful Tables'!A:D,4,FALSE)</f>
        <v>Oregon</v>
      </c>
      <c r="AO618" s="29">
        <f>COUNTIF(AN:AN,Data!$AN618)/COUNTA(AN:AN)</f>
        <v>0.27393939393939393</v>
      </c>
      <c r="AP618" s="29">
        <v>45.534162000000002</v>
      </c>
      <c r="AQ618" s="29">
        <v>-122.69670000000001</v>
      </c>
      <c r="AR618" s="29">
        <f>COUNTIF(Data!$P$2:$P$825,Data!$P618)</f>
        <v>10</v>
      </c>
      <c r="AS618" s="29" cm="1">
        <f t="array" ref="AS618">_xlfn.IFS(Data!$E618&lt;12,((Data!$E618/Data!$D618)*60)*1,AND(Data!$E618&gt;=12,Data!$E618&lt;=15),((Data!$E618/Data!$D618)*60)*1.2,AND(Data!$E618&gt;=16,Data!$E618&lt;=19),((Data!$E618/Data!$D618)*60)*1.5,Data!$E618&gt;=20,((Data!$E618/Data!$D618)*60)*1.8)</f>
        <v>17.084745762711865</v>
      </c>
      <c r="AT618" s="29" cm="1">
        <f t="array" ref="AT618">_xlfn.IFS(Data!$F618&lt;600,((Data!$F618/Data!$D618)*60)*1,AND(Data!$F618&gt;=600,Data!$F618&lt;=625),((Data!$F618/Data!$D618)*60)*1.2,AND(Data!$F618&gt;=626,Data!$F618&lt;=650),((Data!$F618/Data!$D618)*60)*1.5,Data!$F618&gt;=651,((Data!$F618/Data!$D618)*60)*1.8)</f>
        <v>750.50847457627117</v>
      </c>
      <c r="AU618" s="29">
        <f>(Data!$I618*-1.2)+(Data!$J618*-1.1)+(Data!$K618*1.2)+(Data!$L618*1.3)+(Data!$M618*1.5)</f>
        <v>-12.000000000000004</v>
      </c>
      <c r="AV618" s="29">
        <f>(Data!$AS618*0.4)+(Data!$AT618*0.4)+(Data!$AU618*0.2)</f>
        <v>304.63728813559322</v>
      </c>
      <c r="AW618" s="34">
        <f>PERCENTRANK(AV:AV,Data!$AV618)*100</f>
        <v>28.599999999999998</v>
      </c>
      <c r="AX618" s="29" t="str">
        <f>_xlfn.CONCAT(TEXT(C618,"mmm"),"-",Data!$AE618)</f>
        <v>Apr-2024</v>
      </c>
    </row>
    <row r="619" spans="1:50" ht="17" thickTop="1" thickBot="1" x14ac:dyDescent="0.25">
      <c r="A619" s="22">
        <v>618</v>
      </c>
      <c r="B619" s="23">
        <f t="shared" si="74"/>
        <v>13</v>
      </c>
      <c r="C619" s="41">
        <v>45391</v>
      </c>
      <c r="D619" s="24">
        <f>SUM(Data!$I619:$M619)</f>
        <v>59</v>
      </c>
      <c r="E619" s="23">
        <v>13</v>
      </c>
      <c r="F619" s="23">
        <v>629</v>
      </c>
      <c r="G619" s="23">
        <v>165</v>
      </c>
      <c r="H619" s="23">
        <v>124</v>
      </c>
      <c r="I619" s="23">
        <v>17</v>
      </c>
      <c r="J619" s="23">
        <v>13</v>
      </c>
      <c r="K619" s="23">
        <v>16</v>
      </c>
      <c r="L619" s="23">
        <v>11</v>
      </c>
      <c r="M619" s="23">
        <v>2</v>
      </c>
      <c r="N619" s="23" t="s">
        <v>208</v>
      </c>
      <c r="O619" s="23" t="s">
        <v>53</v>
      </c>
      <c r="P619" s="23" t="s">
        <v>213</v>
      </c>
      <c r="Q619" s="23">
        <f t="shared" si="80"/>
        <v>3</v>
      </c>
      <c r="R619" s="23" t="str">
        <f t="shared" si="75"/>
        <v>4-2024</v>
      </c>
      <c r="S619" s="23" t="s">
        <v>104</v>
      </c>
      <c r="T619" s="23" t="str">
        <f t="shared" si="76"/>
        <v>Tuesday</v>
      </c>
      <c r="U619" s="23">
        <f t="shared" si="77"/>
        <v>1</v>
      </c>
      <c r="V619" s="25">
        <f>IFERROR(Data!$I619/Data!$D619,"")</f>
        <v>0.28813559322033899</v>
      </c>
      <c r="W619" s="25">
        <f>IFERROR(Data!$J619/Data!$D619,"")</f>
        <v>0.22033898305084745</v>
      </c>
      <c r="X619" s="25">
        <f>IFERROR(Data!$K619/Data!$D619,"")</f>
        <v>0.2711864406779661</v>
      </c>
      <c r="Y619" s="25">
        <f>IFERROR(Data!$L619/Data!$D619,"")</f>
        <v>0.1864406779661017</v>
      </c>
      <c r="Z619" s="25">
        <f>IFERROR(Data!$M619/Data!$D619,"")</f>
        <v>3.3898305084745763E-2</v>
      </c>
      <c r="AA619" s="26">
        <v>100</v>
      </c>
      <c r="AB619" s="26">
        <f t="shared" si="81"/>
        <v>7.6923076923076925</v>
      </c>
      <c r="AC619" s="23">
        <f t="shared" si="78"/>
        <v>608.07692307692309</v>
      </c>
      <c r="AD619" s="23">
        <f t="shared" si="79"/>
        <v>13.461538461538462</v>
      </c>
      <c r="AE619" s="23">
        <f>YEAR(Data!$C619)</f>
        <v>2024</v>
      </c>
      <c r="AF619" s="23"/>
      <c r="AG619" s="23">
        <v>12</v>
      </c>
      <c r="AH619" s="27">
        <f>Data!$F619/Data!$D619</f>
        <v>10.661016949152541</v>
      </c>
      <c r="AI619" s="17" t="str">
        <f>RIGHT(Data!$O619,2)</f>
        <v>PM</v>
      </c>
      <c r="AJ619" s="23" t="str">
        <f>Data!$R619&amp;"-"&amp;WEEKNUM(Data!$C619,1)-WEEKNUM(DATE(YEAR(Data!$C619),MONTH(Data!$C619),1),1)+1</f>
        <v>4-2024-2</v>
      </c>
      <c r="AK619" s="23">
        <f>MONTH(Data!$C619)</f>
        <v>4</v>
      </c>
      <c r="AL619" s="23">
        <f>IFERROR(Data!$F619/Data!$E619,0)</f>
        <v>48.384615384615387</v>
      </c>
      <c r="AM619" s="23">
        <f>COUNTIF(Data!$N$2:$N$825,Data!$N619)</f>
        <v>42</v>
      </c>
      <c r="AN619" s="23" t="str">
        <f>VLOOKUP(Data!$N619,'Helpful Tables'!A:D,4,FALSE)</f>
        <v>Oregon</v>
      </c>
      <c r="AO619" s="23">
        <f>COUNTIF(AN:AN,Data!$AN619)/COUNTA(AN:AN)</f>
        <v>0.27393939393939393</v>
      </c>
      <c r="AP619" s="23">
        <v>45.525092999999998</v>
      </c>
      <c r="AQ619" s="23">
        <v>-122.681383</v>
      </c>
      <c r="AR619" s="23">
        <f>COUNTIF(Data!$P$2:$P$825,Data!$P619)</f>
        <v>20</v>
      </c>
      <c r="AS619" s="23" cm="1">
        <f t="array" ref="AS619">_xlfn.IFS(Data!$E619&lt;12,((Data!$E619/Data!$D619)*60)*1,AND(Data!$E619&gt;=12,Data!$E619&lt;=15),((Data!$E619/Data!$D619)*60)*1.2,AND(Data!$E619&gt;=16,Data!$E619&lt;=19),((Data!$E619/Data!$D619)*60)*1.5,Data!$E619&gt;=20,((Data!$E619/Data!$D619)*60)*1.8)</f>
        <v>15.864406779661017</v>
      </c>
      <c r="AT619" s="23" cm="1">
        <f t="array" ref="AT619">_xlfn.IFS(Data!$F619&lt;600,((Data!$F619/Data!$D619)*60)*1,AND(Data!$F619&gt;=600,Data!$F619&lt;=625),((Data!$F619/Data!$D619)*60)*1.2,AND(Data!$F619&gt;=626,Data!$F619&lt;=650),((Data!$F619/Data!$D619)*60)*1.5,Data!$F619&gt;=651,((Data!$F619/Data!$D619)*60)*1.8)</f>
        <v>959.49152542372872</v>
      </c>
      <c r="AU619" s="23">
        <f>(Data!$I619*-1.2)+(Data!$J619*-1.1)+(Data!$K619*1.2)+(Data!$L619*1.3)+(Data!$M619*1.5)</f>
        <v>1.7999999999999972</v>
      </c>
      <c r="AV619" s="23">
        <f>(Data!$AS619*0.4)+(Data!$AT619*0.4)+(Data!$AU619*0.2)</f>
        <v>390.50237288135588</v>
      </c>
      <c r="AW619" s="35">
        <f>PERCENTRANK(AV:AV,Data!$AV619)*100</f>
        <v>47.699999999999996</v>
      </c>
      <c r="AX619" s="23" t="str">
        <f>_xlfn.CONCAT(TEXT(C619,"mmm"),"-",Data!$AE619)</f>
        <v>Apr-2024</v>
      </c>
    </row>
    <row r="620" spans="1:50" ht="17" thickTop="1" thickBot="1" x14ac:dyDescent="0.25">
      <c r="A620" s="28">
        <v>619</v>
      </c>
      <c r="B620" s="29">
        <f t="shared" si="74"/>
        <v>13</v>
      </c>
      <c r="C620" s="41">
        <v>45394</v>
      </c>
      <c r="D620" s="30">
        <f>SUM(Data!$I620:$M620)</f>
        <v>61</v>
      </c>
      <c r="E620" s="29">
        <v>21</v>
      </c>
      <c r="F620" s="29">
        <v>696</v>
      </c>
      <c r="G620" s="29">
        <v>168</v>
      </c>
      <c r="H620" s="29">
        <v>129</v>
      </c>
      <c r="I620" s="29">
        <v>10</v>
      </c>
      <c r="J620" s="29">
        <v>19</v>
      </c>
      <c r="K620" s="29">
        <v>11</v>
      </c>
      <c r="L620" s="29">
        <v>20</v>
      </c>
      <c r="M620" s="29">
        <v>1</v>
      </c>
      <c r="N620" s="29" t="s">
        <v>125</v>
      </c>
      <c r="O620" s="29" t="s">
        <v>127</v>
      </c>
      <c r="P620" s="29" t="s">
        <v>212</v>
      </c>
      <c r="Q620" s="29">
        <f t="shared" si="80"/>
        <v>3</v>
      </c>
      <c r="R620" s="29" t="str">
        <f t="shared" si="75"/>
        <v>4-2024</v>
      </c>
      <c r="S620" s="29" t="s">
        <v>104</v>
      </c>
      <c r="T620" s="29" t="str">
        <f t="shared" si="76"/>
        <v>Friday</v>
      </c>
      <c r="U620" s="29">
        <f t="shared" si="77"/>
        <v>1</v>
      </c>
      <c r="V620" s="31">
        <f>IFERROR(Data!$I620/Data!$D620,"")</f>
        <v>0.16393442622950818</v>
      </c>
      <c r="W620" s="31">
        <f>IFERROR(Data!$J620/Data!$D620,"")</f>
        <v>0.31147540983606559</v>
      </c>
      <c r="X620" s="31">
        <f>IFERROR(Data!$K620/Data!$D620,"")</f>
        <v>0.18032786885245902</v>
      </c>
      <c r="Y620" s="31">
        <f>IFERROR(Data!$L620/Data!$D620,"")</f>
        <v>0.32786885245901637</v>
      </c>
      <c r="Z620" s="31">
        <f>IFERROR(Data!$M620/Data!$D620,"")</f>
        <v>1.6393442622950821E-2</v>
      </c>
      <c r="AA620" s="32">
        <v>100</v>
      </c>
      <c r="AB620" s="32">
        <f t="shared" si="81"/>
        <v>7.6923076923076925</v>
      </c>
      <c r="AC620" s="29">
        <f t="shared" si="78"/>
        <v>608.07692307692309</v>
      </c>
      <c r="AD620" s="29">
        <f t="shared" si="79"/>
        <v>13.461538461538462</v>
      </c>
      <c r="AE620" s="29">
        <f>YEAR(Data!$C620)</f>
        <v>2024</v>
      </c>
      <c r="AF620" s="29"/>
      <c r="AG620" s="29">
        <v>12</v>
      </c>
      <c r="AH620" s="33">
        <f>Data!$F620/Data!$D620</f>
        <v>11.409836065573771</v>
      </c>
      <c r="AI620" s="17" t="str">
        <f>RIGHT(Data!$O620,2)</f>
        <v>PM</v>
      </c>
      <c r="AJ620" s="29" t="str">
        <f>Data!$R620&amp;"-"&amp;WEEKNUM(Data!$C620,1)-WEEKNUM(DATE(YEAR(Data!$C620),MONTH(Data!$C620),1),1)+1</f>
        <v>4-2024-2</v>
      </c>
      <c r="AK620" s="29">
        <f>MONTH(Data!$C620)</f>
        <v>4</v>
      </c>
      <c r="AL620" s="29">
        <f>IFERROR(Data!$F620/Data!$E620,0)</f>
        <v>33.142857142857146</v>
      </c>
      <c r="AM620" s="29">
        <f>COUNTIF(Data!$N$2:$N$825,Data!$N620)</f>
        <v>182</v>
      </c>
      <c r="AN620" s="29" t="str">
        <f>VLOOKUP(Data!$N620,'Helpful Tables'!A:D,4,FALSE)</f>
        <v>Oregon</v>
      </c>
      <c r="AO620" s="29">
        <f>COUNTIF(AN:AN,Data!$AN620)/COUNTA(AN:AN)</f>
        <v>0.27393939393939393</v>
      </c>
      <c r="AP620" s="29">
        <v>45.534162000000002</v>
      </c>
      <c r="AQ620" s="29">
        <v>-122.69670000000001</v>
      </c>
      <c r="AR620" s="29">
        <f>COUNTIF(Data!$P$2:$P$825,Data!$P620)</f>
        <v>2</v>
      </c>
      <c r="AS620" s="29" cm="1">
        <f t="array" ref="AS620">_xlfn.IFS(Data!$E620&lt;12,((Data!$E620/Data!$D620)*60)*1,AND(Data!$E620&gt;=12,Data!$E620&lt;=15),((Data!$E620/Data!$D620)*60)*1.2,AND(Data!$E620&gt;=16,Data!$E620&lt;=19),((Data!$E620/Data!$D620)*60)*1.5,Data!$E620&gt;=20,((Data!$E620/Data!$D620)*60)*1.8)</f>
        <v>37.180327868852459</v>
      </c>
      <c r="AT620" s="29" cm="1">
        <f t="array" ref="AT620">_xlfn.IFS(Data!$F620&lt;600,((Data!$F620/Data!$D620)*60)*1,AND(Data!$F620&gt;=600,Data!$F620&lt;=625),((Data!$F620/Data!$D620)*60)*1.2,AND(Data!$F620&gt;=626,Data!$F620&lt;=650),((Data!$F620/Data!$D620)*60)*1.5,Data!$F620&gt;=651,((Data!$F620/Data!$D620)*60)*1.8)</f>
        <v>1232.2622950819673</v>
      </c>
      <c r="AU620" s="29">
        <f>(Data!$I620*-1.2)+(Data!$J620*-1.1)+(Data!$K620*1.2)+(Data!$L620*1.3)+(Data!$M620*1.5)</f>
        <v>7.7999999999999936</v>
      </c>
      <c r="AV620" s="29">
        <f>(Data!$AS620*0.4)+(Data!$AT620*0.4)+(Data!$AU620*0.2)</f>
        <v>509.33704918032794</v>
      </c>
      <c r="AW620" s="34">
        <f>PERCENTRANK(AV:AV,Data!$AV620)*100</f>
        <v>83.7</v>
      </c>
      <c r="AX620" s="29" t="str">
        <f>_xlfn.CONCAT(TEXT(C620,"mmm"),"-",Data!$AE620)</f>
        <v>Apr-2024</v>
      </c>
    </row>
    <row r="621" spans="1:50" ht="17" thickTop="1" thickBot="1" x14ac:dyDescent="0.25">
      <c r="A621" s="22">
        <v>620</v>
      </c>
      <c r="B621" s="23">
        <f t="shared" si="74"/>
        <v>13</v>
      </c>
      <c r="C621" s="41">
        <v>45397</v>
      </c>
      <c r="D621" s="24">
        <f>SUM(Data!$I621:$M621)</f>
        <v>60</v>
      </c>
      <c r="E621" s="23">
        <v>7</v>
      </c>
      <c r="F621" s="23">
        <v>592</v>
      </c>
      <c r="G621" s="23">
        <v>165</v>
      </c>
      <c r="H621" s="23">
        <v>119</v>
      </c>
      <c r="I621" s="23">
        <v>22</v>
      </c>
      <c r="J621" s="23">
        <v>12</v>
      </c>
      <c r="K621" s="23">
        <v>19</v>
      </c>
      <c r="L621" s="23">
        <v>6</v>
      </c>
      <c r="M621" s="23">
        <v>1</v>
      </c>
      <c r="N621" s="23" t="s">
        <v>125</v>
      </c>
      <c r="O621" s="23" t="s">
        <v>215</v>
      </c>
      <c r="P621" s="23" t="s">
        <v>214</v>
      </c>
      <c r="Q621" s="23">
        <f t="shared" si="80"/>
        <v>3</v>
      </c>
      <c r="R621" s="23" t="str">
        <f t="shared" si="75"/>
        <v>4-2024</v>
      </c>
      <c r="S621" s="23" t="s">
        <v>117</v>
      </c>
      <c r="T621" s="23" t="str">
        <f t="shared" si="76"/>
        <v>Monday</v>
      </c>
      <c r="U621" s="23">
        <f t="shared" si="77"/>
        <v>0</v>
      </c>
      <c r="V621" s="25">
        <f>IFERROR(Data!$I621/Data!$D621,"")</f>
        <v>0.36666666666666664</v>
      </c>
      <c r="W621" s="25">
        <f>IFERROR(Data!$J621/Data!$D621,"")</f>
        <v>0.2</v>
      </c>
      <c r="X621" s="25">
        <f>IFERROR(Data!$K621/Data!$D621,"")</f>
        <v>0.31666666666666665</v>
      </c>
      <c r="Y621" s="25">
        <f>IFERROR(Data!$L621/Data!$D621,"")</f>
        <v>0.1</v>
      </c>
      <c r="Z621" s="25">
        <f>IFERROR(Data!$M621/Data!$D621,"")</f>
        <v>1.6666666666666666E-2</v>
      </c>
      <c r="AA621" s="26">
        <v>100</v>
      </c>
      <c r="AB621" s="26">
        <f t="shared" si="81"/>
        <v>7.6923076923076925</v>
      </c>
      <c r="AC621" s="23">
        <f t="shared" si="78"/>
        <v>608.07692307692309</v>
      </c>
      <c r="AD621" s="23">
        <f t="shared" si="79"/>
        <v>13.461538461538462</v>
      </c>
      <c r="AE621" s="23">
        <f>YEAR(Data!$C621)</f>
        <v>2024</v>
      </c>
      <c r="AF621" s="23"/>
      <c r="AG621" s="23">
        <v>12</v>
      </c>
      <c r="AH621" s="27">
        <f>Data!$F621/Data!$D621</f>
        <v>9.8666666666666671</v>
      </c>
      <c r="AI621" s="17" t="str">
        <f>RIGHT(Data!$O621,2)</f>
        <v>PM</v>
      </c>
      <c r="AJ621" s="23" t="str">
        <f>Data!$R621&amp;"-"&amp;WEEKNUM(Data!$C621,1)-WEEKNUM(DATE(YEAR(Data!$C621),MONTH(Data!$C621),1),1)+1</f>
        <v>4-2024-3</v>
      </c>
      <c r="AK621" s="23">
        <f>MONTH(Data!$C621)</f>
        <v>4</v>
      </c>
      <c r="AL621" s="23">
        <f>IFERROR(Data!$F621/Data!$E621,0)</f>
        <v>84.571428571428569</v>
      </c>
      <c r="AM621" s="23">
        <f>COUNTIF(Data!$N$2:$N$825,Data!$N621)</f>
        <v>182</v>
      </c>
      <c r="AN621" s="23" t="str">
        <f>VLOOKUP(Data!$N621,'Helpful Tables'!A:D,4,FALSE)</f>
        <v>Oregon</v>
      </c>
      <c r="AO621" s="23">
        <f>COUNTIF(AN:AN,Data!$AN621)/COUNTA(AN:AN)</f>
        <v>0.27393939393939393</v>
      </c>
      <c r="AP621" s="23">
        <v>45.534162000000002</v>
      </c>
      <c r="AQ621" s="23">
        <v>-122.69670000000001</v>
      </c>
      <c r="AR621" s="23">
        <f>COUNTIF(Data!$P$2:$P$825,Data!$P621)</f>
        <v>9</v>
      </c>
      <c r="AS621" s="23" cm="1">
        <f t="array" ref="AS621">_xlfn.IFS(Data!$E621&lt;12,((Data!$E621/Data!$D621)*60)*1,AND(Data!$E621&gt;=12,Data!$E621&lt;=15),((Data!$E621/Data!$D621)*60)*1.2,AND(Data!$E621&gt;=16,Data!$E621&lt;=19),((Data!$E621/Data!$D621)*60)*1.5,Data!$E621&gt;=20,((Data!$E621/Data!$D621)*60)*1.8)</f>
        <v>7</v>
      </c>
      <c r="AT621" s="23" cm="1">
        <f t="array" ref="AT621">_xlfn.IFS(Data!$F621&lt;600,((Data!$F621/Data!$D621)*60)*1,AND(Data!$F621&gt;=600,Data!$F621&lt;=625),((Data!$F621/Data!$D621)*60)*1.2,AND(Data!$F621&gt;=626,Data!$F621&lt;=650),((Data!$F621/Data!$D621)*60)*1.5,Data!$F621&gt;=651,((Data!$F621/Data!$D621)*60)*1.8)</f>
        <v>592</v>
      </c>
      <c r="AU621" s="23">
        <f>(Data!$I621*-1.2)+(Data!$J621*-1.1)+(Data!$K621*1.2)+(Data!$L621*1.3)+(Data!$M621*1.5)</f>
        <v>-7.5</v>
      </c>
      <c r="AV621" s="23">
        <f>(Data!$AS621*0.4)+(Data!$AT621*0.4)+(Data!$AU621*0.2)</f>
        <v>238.10000000000002</v>
      </c>
      <c r="AW621" s="35">
        <f>PERCENTRANK(AV:AV,Data!$AV621)*100</f>
        <v>10.8</v>
      </c>
      <c r="AX621" s="23" t="str">
        <f>_xlfn.CONCAT(TEXT(C621,"mmm"),"-",Data!$AE621)</f>
        <v>Apr-2024</v>
      </c>
    </row>
    <row r="622" spans="1:50" ht="17" thickTop="1" thickBot="1" x14ac:dyDescent="0.25">
      <c r="A622" s="28">
        <v>621</v>
      </c>
      <c r="B622" s="29">
        <f t="shared" si="74"/>
        <v>13</v>
      </c>
      <c r="C622" s="41">
        <v>45398</v>
      </c>
      <c r="D622" s="30">
        <f>SUM(Data!$I622:$M622)</f>
        <v>59</v>
      </c>
      <c r="E622" s="29">
        <v>13</v>
      </c>
      <c r="F622" s="29">
        <v>638</v>
      </c>
      <c r="G622" s="29">
        <v>161</v>
      </c>
      <c r="H622" s="29">
        <v>125</v>
      </c>
      <c r="I622" s="29">
        <v>13</v>
      </c>
      <c r="J622" s="29">
        <v>19</v>
      </c>
      <c r="K622" s="29">
        <v>14</v>
      </c>
      <c r="L622" s="29">
        <v>13</v>
      </c>
      <c r="M622" s="29">
        <v>0</v>
      </c>
      <c r="N622" s="29" t="s">
        <v>125</v>
      </c>
      <c r="O622" s="29" t="s">
        <v>127</v>
      </c>
      <c r="P622" s="29" t="s">
        <v>216</v>
      </c>
      <c r="Q622" s="29">
        <f t="shared" si="80"/>
        <v>1</v>
      </c>
      <c r="R622" s="29" t="str">
        <f t="shared" si="75"/>
        <v>4-2024</v>
      </c>
      <c r="S622" s="29" t="s">
        <v>104</v>
      </c>
      <c r="T622" s="29" t="str">
        <f t="shared" si="76"/>
        <v>Tuesday</v>
      </c>
      <c r="U622" s="29">
        <f t="shared" si="77"/>
        <v>1</v>
      </c>
      <c r="V622" s="31">
        <f>IFERROR(Data!$I622/Data!$D622,"")</f>
        <v>0.22033898305084745</v>
      </c>
      <c r="W622" s="31">
        <f>IFERROR(Data!$J622/Data!$D622,"")</f>
        <v>0.32203389830508472</v>
      </c>
      <c r="X622" s="31">
        <f>IFERROR(Data!$K622/Data!$D622,"")</f>
        <v>0.23728813559322035</v>
      </c>
      <c r="Y622" s="31">
        <f>IFERROR(Data!$L622/Data!$D622,"")</f>
        <v>0.22033898305084745</v>
      </c>
      <c r="Z622" s="31">
        <f>IFERROR(Data!$M622/Data!$D622,"")</f>
        <v>0</v>
      </c>
      <c r="AA622" s="32">
        <v>100</v>
      </c>
      <c r="AB622" s="32">
        <f t="shared" si="81"/>
        <v>7.6923076923076925</v>
      </c>
      <c r="AC622" s="29">
        <f t="shared" si="78"/>
        <v>608.07692307692309</v>
      </c>
      <c r="AD622" s="29">
        <f t="shared" si="79"/>
        <v>13.461538461538462</v>
      </c>
      <c r="AE622" s="29">
        <f>YEAR(Data!$C622)</f>
        <v>2024</v>
      </c>
      <c r="AF622" s="29"/>
      <c r="AG622" s="29">
        <v>12</v>
      </c>
      <c r="AH622" s="33">
        <f>Data!$F622/Data!$D622</f>
        <v>10.813559322033898</v>
      </c>
      <c r="AI622" s="17" t="str">
        <f>RIGHT(Data!$O622,2)</f>
        <v>PM</v>
      </c>
      <c r="AJ622" s="29" t="str">
        <f>Data!$R622&amp;"-"&amp;WEEKNUM(Data!$C622,1)-WEEKNUM(DATE(YEAR(Data!$C622),MONTH(Data!$C622),1),1)+1</f>
        <v>4-2024-3</v>
      </c>
      <c r="AK622" s="29">
        <f>MONTH(Data!$C622)</f>
        <v>4</v>
      </c>
      <c r="AL622" s="29">
        <f>IFERROR(Data!$F622/Data!$E622,0)</f>
        <v>49.07692307692308</v>
      </c>
      <c r="AM622" s="29">
        <f>COUNTIF(Data!$N$2:$N$825,Data!$N622)</f>
        <v>182</v>
      </c>
      <c r="AN622" s="29" t="str">
        <f>VLOOKUP(Data!$N622,'Helpful Tables'!A:D,4,FALSE)</f>
        <v>Oregon</v>
      </c>
      <c r="AO622" s="29">
        <f>COUNTIF(AN:AN,Data!$AN622)/COUNTA(AN:AN)</f>
        <v>0.27393939393939393</v>
      </c>
      <c r="AP622" s="29">
        <v>45.534162000000002</v>
      </c>
      <c r="AQ622" s="29">
        <v>-122.69670000000001</v>
      </c>
      <c r="AR622" s="29">
        <f>COUNTIF(Data!$P$2:$P$825,Data!$P622)</f>
        <v>25</v>
      </c>
      <c r="AS622" s="29" cm="1">
        <f t="array" ref="AS622">_xlfn.IFS(Data!$E622&lt;12,((Data!$E622/Data!$D622)*60)*1,AND(Data!$E622&gt;=12,Data!$E622&lt;=15),((Data!$E622/Data!$D622)*60)*1.2,AND(Data!$E622&gt;=16,Data!$E622&lt;=19),((Data!$E622/Data!$D622)*60)*1.5,Data!$E622&gt;=20,((Data!$E622/Data!$D622)*60)*1.8)</f>
        <v>15.864406779661017</v>
      </c>
      <c r="AT622" s="29" cm="1">
        <f t="array" ref="AT622">_xlfn.IFS(Data!$F622&lt;600,((Data!$F622/Data!$D622)*60)*1,AND(Data!$F622&gt;=600,Data!$F622&lt;=625),((Data!$F622/Data!$D622)*60)*1.2,AND(Data!$F622&gt;=626,Data!$F622&lt;=650),((Data!$F622/Data!$D622)*60)*1.5,Data!$F622&gt;=651,((Data!$F622/Data!$D622)*60)*1.8)</f>
        <v>973.22033898305074</v>
      </c>
      <c r="AU622" s="29">
        <f>(Data!$I622*-1.2)+(Data!$J622*-1.1)+(Data!$K622*1.2)+(Data!$L622*1.3)+(Data!$M622*1.5)</f>
        <v>-2.7999999999999972</v>
      </c>
      <c r="AV622" s="29">
        <f>(Data!$AS622*0.4)+(Data!$AT622*0.4)+(Data!$AU622*0.2)</f>
        <v>395.0738983050847</v>
      </c>
      <c r="AW622" s="34">
        <f>PERCENTRANK(AV:AV,Data!$AV622)*100</f>
        <v>49.5</v>
      </c>
      <c r="AX622" s="29" t="str">
        <f>_xlfn.CONCAT(TEXT(C622,"mmm"),"-",Data!$AE622)</f>
        <v>Apr-2024</v>
      </c>
    </row>
    <row r="623" spans="1:50" ht="17" thickTop="1" thickBot="1" x14ac:dyDescent="0.25">
      <c r="A623" s="22">
        <v>622</v>
      </c>
      <c r="B623" s="23">
        <f t="shared" si="74"/>
        <v>13</v>
      </c>
      <c r="C623" s="41">
        <v>45400</v>
      </c>
      <c r="D623" s="24">
        <f>SUM(Data!$I623:$M623)</f>
        <v>55</v>
      </c>
      <c r="E623" s="23">
        <v>17</v>
      </c>
      <c r="F623" s="23">
        <v>657</v>
      </c>
      <c r="G623" s="23">
        <v>167</v>
      </c>
      <c r="H623" s="23">
        <v>129</v>
      </c>
      <c r="I623" s="23">
        <v>10</v>
      </c>
      <c r="J623" s="23">
        <v>14</v>
      </c>
      <c r="K623" s="23">
        <v>15</v>
      </c>
      <c r="L623" s="23">
        <v>14</v>
      </c>
      <c r="M623" s="23">
        <v>2</v>
      </c>
      <c r="N623" s="23" t="s">
        <v>125</v>
      </c>
      <c r="O623" s="23" t="s">
        <v>127</v>
      </c>
      <c r="P623" s="23" t="s">
        <v>207</v>
      </c>
      <c r="Q623" s="23">
        <f t="shared" si="80"/>
        <v>2</v>
      </c>
      <c r="R623" s="23" t="str">
        <f t="shared" si="75"/>
        <v>4-2024</v>
      </c>
      <c r="S623" s="23" t="s">
        <v>104</v>
      </c>
      <c r="T623" s="23" t="str">
        <f t="shared" si="76"/>
        <v>Thursday</v>
      </c>
      <c r="U623" s="23">
        <f t="shared" si="77"/>
        <v>1</v>
      </c>
      <c r="V623" s="25">
        <f>IFERROR(Data!$I623/Data!$D623,"")</f>
        <v>0.18181818181818182</v>
      </c>
      <c r="W623" s="25">
        <f>IFERROR(Data!$J623/Data!$D623,"")</f>
        <v>0.25454545454545452</v>
      </c>
      <c r="X623" s="25">
        <f>IFERROR(Data!$K623/Data!$D623,"")</f>
        <v>0.27272727272727271</v>
      </c>
      <c r="Y623" s="25">
        <f>IFERROR(Data!$L623/Data!$D623,"")</f>
        <v>0.25454545454545452</v>
      </c>
      <c r="Z623" s="25">
        <f>IFERROR(Data!$M623/Data!$D623,"")</f>
        <v>3.6363636363636362E-2</v>
      </c>
      <c r="AA623" s="26">
        <v>100</v>
      </c>
      <c r="AB623" s="26">
        <f t="shared" si="81"/>
        <v>7.6923076923076925</v>
      </c>
      <c r="AC623" s="23">
        <f t="shared" si="78"/>
        <v>608.07692307692309</v>
      </c>
      <c r="AD623" s="23">
        <f t="shared" si="79"/>
        <v>13.461538461538462</v>
      </c>
      <c r="AE623" s="23">
        <f>YEAR(Data!$C623)</f>
        <v>2024</v>
      </c>
      <c r="AF623" s="23"/>
      <c r="AG623" s="23">
        <v>12</v>
      </c>
      <c r="AH623" s="27">
        <f>Data!$F623/Data!$D623</f>
        <v>11.945454545454545</v>
      </c>
      <c r="AI623" s="17" t="str">
        <f>RIGHT(Data!$O623,2)</f>
        <v>PM</v>
      </c>
      <c r="AJ623" s="23" t="str">
        <f>Data!$R623&amp;"-"&amp;WEEKNUM(Data!$C623,1)-WEEKNUM(DATE(YEAR(Data!$C623),MONTH(Data!$C623),1),1)+1</f>
        <v>4-2024-3</v>
      </c>
      <c r="AK623" s="23">
        <f>MONTH(Data!$C623)</f>
        <v>4</v>
      </c>
      <c r="AL623" s="23">
        <f>IFERROR(Data!$F623/Data!$E623,0)</f>
        <v>38.647058823529413</v>
      </c>
      <c r="AM623" s="23">
        <f>COUNTIF(Data!$N$2:$N$825,Data!$N623)</f>
        <v>182</v>
      </c>
      <c r="AN623" s="23" t="str">
        <f>VLOOKUP(Data!$N623,'Helpful Tables'!A:D,4,FALSE)</f>
        <v>Oregon</v>
      </c>
      <c r="AO623" s="23">
        <f>COUNTIF(AN:AN,Data!$AN623)/COUNTA(AN:AN)</f>
        <v>0.27393939393939393</v>
      </c>
      <c r="AP623" s="23">
        <v>45.534162000000002</v>
      </c>
      <c r="AQ623" s="23">
        <v>-122.69670000000001</v>
      </c>
      <c r="AR623" s="23">
        <f>COUNTIF(Data!$P$2:$P$825,Data!$P623)</f>
        <v>10</v>
      </c>
      <c r="AS623" s="23" cm="1">
        <f t="array" ref="AS623">_xlfn.IFS(Data!$E623&lt;12,((Data!$E623/Data!$D623)*60)*1,AND(Data!$E623&gt;=12,Data!$E623&lt;=15),((Data!$E623/Data!$D623)*60)*1.2,AND(Data!$E623&gt;=16,Data!$E623&lt;=19),((Data!$E623/Data!$D623)*60)*1.5,Data!$E623&gt;=20,((Data!$E623/Data!$D623)*60)*1.8)</f>
        <v>27.81818181818182</v>
      </c>
      <c r="AT623" s="23" cm="1">
        <f t="array" ref="AT623">_xlfn.IFS(Data!$F623&lt;600,((Data!$F623/Data!$D623)*60)*1,AND(Data!$F623&gt;=600,Data!$F623&lt;=625),((Data!$F623/Data!$D623)*60)*1.2,AND(Data!$F623&gt;=626,Data!$F623&lt;=650),((Data!$F623/Data!$D623)*60)*1.5,Data!$F623&gt;=651,((Data!$F623/Data!$D623)*60)*1.8)</f>
        <v>1290.109090909091</v>
      </c>
      <c r="AU623" s="23">
        <f>(Data!$I623*-1.2)+(Data!$J623*-1.1)+(Data!$K623*1.2)+(Data!$L623*1.3)+(Data!$M623*1.5)</f>
        <v>11.799999999999997</v>
      </c>
      <c r="AV623" s="23">
        <f>(Data!$AS623*0.4)+(Data!$AT623*0.4)+(Data!$AU623*0.2)</f>
        <v>529.53090909090918</v>
      </c>
      <c r="AW623" s="35">
        <f>PERCENTRANK(AV:AV,Data!$AV623)*100</f>
        <v>93</v>
      </c>
      <c r="AX623" s="23" t="str">
        <f>_xlfn.CONCAT(TEXT(C623,"mmm"),"-",Data!$AE623)</f>
        <v>Apr-2024</v>
      </c>
    </row>
    <row r="624" spans="1:50" ht="17" thickTop="1" thickBot="1" x14ac:dyDescent="0.25">
      <c r="A624" s="28">
        <v>623</v>
      </c>
      <c r="B624" s="29">
        <f t="shared" si="74"/>
        <v>13</v>
      </c>
      <c r="C624" s="41">
        <v>45402</v>
      </c>
      <c r="D624" s="30">
        <f>SUM(Data!$I624:$M624)</f>
        <v>58</v>
      </c>
      <c r="E624" s="29">
        <v>16</v>
      </c>
      <c r="F624" s="29">
        <v>621</v>
      </c>
      <c r="G624" s="29">
        <v>168</v>
      </c>
      <c r="H624" s="29">
        <v>125</v>
      </c>
      <c r="I624" s="29">
        <v>18</v>
      </c>
      <c r="J624" s="29">
        <v>14</v>
      </c>
      <c r="K624" s="29">
        <v>10</v>
      </c>
      <c r="L624" s="29">
        <v>13</v>
      </c>
      <c r="M624" s="29">
        <v>3</v>
      </c>
      <c r="N624" s="29" t="s">
        <v>125</v>
      </c>
      <c r="O624" s="29" t="s">
        <v>159</v>
      </c>
      <c r="P624" s="29" t="s">
        <v>210</v>
      </c>
      <c r="Q624" s="29">
        <f t="shared" si="80"/>
        <v>2</v>
      </c>
      <c r="R624" s="29" t="str">
        <f t="shared" si="75"/>
        <v>4-2024</v>
      </c>
      <c r="S624" s="29" t="s">
        <v>117</v>
      </c>
      <c r="T624" s="29" t="str">
        <f t="shared" si="76"/>
        <v>Saturday</v>
      </c>
      <c r="U624" s="29">
        <f t="shared" si="77"/>
        <v>1</v>
      </c>
      <c r="V624" s="31">
        <f>IFERROR(Data!$I624/Data!$D624,"")</f>
        <v>0.31034482758620691</v>
      </c>
      <c r="W624" s="31">
        <f>IFERROR(Data!$J624/Data!$D624,"")</f>
        <v>0.2413793103448276</v>
      </c>
      <c r="X624" s="31">
        <f>IFERROR(Data!$K624/Data!$D624,"")</f>
        <v>0.17241379310344829</v>
      </c>
      <c r="Y624" s="31">
        <f>IFERROR(Data!$L624/Data!$D624,"")</f>
        <v>0.22413793103448276</v>
      </c>
      <c r="Z624" s="31">
        <f>IFERROR(Data!$M624/Data!$D624,"")</f>
        <v>5.1724137931034482E-2</v>
      </c>
      <c r="AA624" s="32">
        <v>100</v>
      </c>
      <c r="AB624" s="32">
        <f t="shared" si="81"/>
        <v>7.6923076923076925</v>
      </c>
      <c r="AC624" s="29">
        <f t="shared" si="78"/>
        <v>608.07692307692309</v>
      </c>
      <c r="AD624" s="29">
        <f t="shared" si="79"/>
        <v>13.461538461538462</v>
      </c>
      <c r="AE624" s="29">
        <f>YEAR(Data!$C624)</f>
        <v>2024</v>
      </c>
      <c r="AF624" s="29"/>
      <c r="AG624" s="29">
        <v>12</v>
      </c>
      <c r="AH624" s="33">
        <f>Data!$F624/Data!$D624</f>
        <v>10.706896551724139</v>
      </c>
      <c r="AI624" s="17" t="str">
        <f>RIGHT(Data!$O624,2)</f>
        <v>AM</v>
      </c>
      <c r="AJ624" s="29" t="str">
        <f>Data!$R624&amp;"-"&amp;WEEKNUM(Data!$C624,1)-WEEKNUM(DATE(YEAR(Data!$C624),MONTH(Data!$C624),1),1)+1</f>
        <v>4-2024-3</v>
      </c>
      <c r="AK624" s="29">
        <f>MONTH(Data!$C624)</f>
        <v>4</v>
      </c>
      <c r="AL624" s="29">
        <f>IFERROR(Data!$F624/Data!$E624,0)</f>
        <v>38.8125</v>
      </c>
      <c r="AM624" s="29">
        <f>COUNTIF(Data!$N$2:$N$825,Data!$N624)</f>
        <v>182</v>
      </c>
      <c r="AN624" s="29" t="str">
        <f>VLOOKUP(Data!$N624,'Helpful Tables'!A:D,4,FALSE)</f>
        <v>Oregon</v>
      </c>
      <c r="AO624" s="29">
        <f>COUNTIF(AN:AN,Data!$AN624)/COUNTA(AN:AN)</f>
        <v>0.27393939393939393</v>
      </c>
      <c r="AP624" s="29">
        <v>45.534162000000002</v>
      </c>
      <c r="AQ624" s="29">
        <v>-122.69670000000001</v>
      </c>
      <c r="AR624" s="29">
        <f>COUNTIF(Data!$P$2:$P$825,Data!$P624)</f>
        <v>10</v>
      </c>
      <c r="AS624" s="29" cm="1">
        <f t="array" ref="AS624">_xlfn.IFS(Data!$E624&lt;12,((Data!$E624/Data!$D624)*60)*1,AND(Data!$E624&gt;=12,Data!$E624&lt;=15),((Data!$E624/Data!$D624)*60)*1.2,AND(Data!$E624&gt;=16,Data!$E624&lt;=19),((Data!$E624/Data!$D624)*60)*1.5,Data!$E624&gt;=20,((Data!$E624/Data!$D624)*60)*1.8)</f>
        <v>24.827586206896555</v>
      </c>
      <c r="AT624" s="29" cm="1">
        <f t="array" ref="AT624">_xlfn.IFS(Data!$F624&lt;600,((Data!$F624/Data!$D624)*60)*1,AND(Data!$F624&gt;=600,Data!$F624&lt;=625),((Data!$F624/Data!$D624)*60)*1.2,AND(Data!$F624&gt;=626,Data!$F624&lt;=650),((Data!$F624/Data!$D624)*60)*1.5,Data!$F624&gt;=651,((Data!$F624/Data!$D624)*60)*1.8)</f>
        <v>770.89655172413802</v>
      </c>
      <c r="AU624" s="29">
        <f>(Data!$I624*-1.2)+(Data!$J624*-1.1)+(Data!$K624*1.2)+(Data!$L624*1.3)+(Data!$M624*1.5)</f>
        <v>-3.5999999999999979</v>
      </c>
      <c r="AV624" s="29">
        <f>(Data!$AS624*0.4)+(Data!$AT624*0.4)+(Data!$AU624*0.2)</f>
        <v>317.56965517241383</v>
      </c>
      <c r="AW624" s="34">
        <f>PERCENTRANK(AV:AV,Data!$AV624)*100</f>
        <v>35.799999999999997</v>
      </c>
      <c r="AX624" s="29" t="str">
        <f>_xlfn.CONCAT(TEXT(C624,"mmm"),"-",Data!$AE624)</f>
        <v>Apr-2024</v>
      </c>
    </row>
    <row r="625" spans="1:50" ht="17" thickTop="1" thickBot="1" x14ac:dyDescent="0.25">
      <c r="A625" s="22">
        <v>624</v>
      </c>
      <c r="B625" s="23">
        <f t="shared" si="74"/>
        <v>13</v>
      </c>
      <c r="C625" s="41">
        <v>45404</v>
      </c>
      <c r="D625" s="24">
        <f>SUM(Data!$I625:$M625)</f>
        <v>56</v>
      </c>
      <c r="E625" s="23">
        <v>12</v>
      </c>
      <c r="F625" s="23">
        <v>549</v>
      </c>
      <c r="G625" s="23">
        <v>165</v>
      </c>
      <c r="H625" s="23">
        <v>118</v>
      </c>
      <c r="I625" s="23">
        <v>22</v>
      </c>
      <c r="J625" s="23">
        <v>14</v>
      </c>
      <c r="K625" s="23">
        <v>8</v>
      </c>
      <c r="L625" s="23">
        <v>11</v>
      </c>
      <c r="M625" s="23">
        <v>1</v>
      </c>
      <c r="N625" s="23" t="s">
        <v>125</v>
      </c>
      <c r="O625" s="23" t="s">
        <v>127</v>
      </c>
      <c r="P625" s="23" t="s">
        <v>217</v>
      </c>
      <c r="Q625" s="23">
        <f t="shared" si="80"/>
        <v>2</v>
      </c>
      <c r="R625" s="23" t="str">
        <f t="shared" si="75"/>
        <v>4-2024</v>
      </c>
      <c r="S625" s="23" t="s">
        <v>104</v>
      </c>
      <c r="T625" s="23" t="str">
        <f t="shared" si="76"/>
        <v>Monday</v>
      </c>
      <c r="U625" s="23">
        <f t="shared" si="77"/>
        <v>1</v>
      </c>
      <c r="V625" s="25">
        <f>IFERROR(Data!$I625/Data!$D625,"")</f>
        <v>0.39285714285714285</v>
      </c>
      <c r="W625" s="25">
        <f>IFERROR(Data!$J625/Data!$D625,"")</f>
        <v>0.25</v>
      </c>
      <c r="X625" s="25">
        <f>IFERROR(Data!$K625/Data!$D625,"")</f>
        <v>0.14285714285714285</v>
      </c>
      <c r="Y625" s="25">
        <f>IFERROR(Data!$L625/Data!$D625,"")</f>
        <v>0.19642857142857142</v>
      </c>
      <c r="Z625" s="25">
        <f>IFERROR(Data!$M625/Data!$D625,"")</f>
        <v>1.7857142857142856E-2</v>
      </c>
      <c r="AA625" s="26">
        <v>100</v>
      </c>
      <c r="AB625" s="26">
        <f t="shared" si="81"/>
        <v>7.6923076923076925</v>
      </c>
      <c r="AC625" s="23">
        <f t="shared" si="78"/>
        <v>608.07692307692309</v>
      </c>
      <c r="AD625" s="23">
        <f t="shared" si="79"/>
        <v>13.461538461538462</v>
      </c>
      <c r="AE625" s="23">
        <f>YEAR(Data!$C625)</f>
        <v>2024</v>
      </c>
      <c r="AF625" s="23"/>
      <c r="AG625" s="23">
        <v>12</v>
      </c>
      <c r="AH625" s="27">
        <f>Data!$F625/Data!$D625</f>
        <v>9.8035714285714288</v>
      </c>
      <c r="AI625" s="17" t="str">
        <f>RIGHT(Data!$O625,2)</f>
        <v>PM</v>
      </c>
      <c r="AJ625" s="23" t="str">
        <f>Data!$R625&amp;"-"&amp;WEEKNUM(Data!$C625,1)-WEEKNUM(DATE(YEAR(Data!$C625),MONTH(Data!$C625),1),1)+1</f>
        <v>4-2024-4</v>
      </c>
      <c r="AK625" s="23">
        <f>MONTH(Data!$C625)</f>
        <v>4</v>
      </c>
      <c r="AL625" s="23">
        <f>IFERROR(Data!$F625/Data!$E625,0)</f>
        <v>45.75</v>
      </c>
      <c r="AM625" s="23">
        <f>COUNTIF(Data!$N$2:$N$825,Data!$N625)</f>
        <v>182</v>
      </c>
      <c r="AN625" s="23" t="str">
        <f>VLOOKUP(Data!$N625,'Helpful Tables'!A:D,4,FALSE)</f>
        <v>Oregon</v>
      </c>
      <c r="AO625" s="23">
        <f>COUNTIF(AN:AN,Data!$AN625)/COUNTA(AN:AN)</f>
        <v>0.27393939393939393</v>
      </c>
      <c r="AP625" s="23">
        <v>45.534162000000002</v>
      </c>
      <c r="AQ625" s="23">
        <v>-122.69670000000001</v>
      </c>
      <c r="AR625" s="23">
        <f>COUNTIF(Data!$P$2:$P$825,Data!$P625)</f>
        <v>7</v>
      </c>
      <c r="AS625" s="23" cm="1">
        <f t="array" ref="AS625">_xlfn.IFS(Data!$E625&lt;12,((Data!$E625/Data!$D625)*60)*1,AND(Data!$E625&gt;=12,Data!$E625&lt;=15),((Data!$E625/Data!$D625)*60)*1.2,AND(Data!$E625&gt;=16,Data!$E625&lt;=19),((Data!$E625/Data!$D625)*60)*1.5,Data!$E625&gt;=20,((Data!$E625/Data!$D625)*60)*1.8)</f>
        <v>15.428571428571427</v>
      </c>
      <c r="AT625" s="23" cm="1">
        <f t="array" ref="AT625">_xlfn.IFS(Data!$F625&lt;600,((Data!$F625/Data!$D625)*60)*1,AND(Data!$F625&gt;=600,Data!$F625&lt;=625),((Data!$F625/Data!$D625)*60)*1.2,AND(Data!$F625&gt;=626,Data!$F625&lt;=650),((Data!$F625/Data!$D625)*60)*1.5,Data!$F625&gt;=651,((Data!$F625/Data!$D625)*60)*1.8)</f>
        <v>588.21428571428578</v>
      </c>
      <c r="AU625" s="23">
        <f>(Data!$I625*-1.2)+(Data!$J625*-1.1)+(Data!$K625*1.2)+(Data!$L625*1.3)+(Data!$M625*1.5)</f>
        <v>-16.399999999999995</v>
      </c>
      <c r="AV625" s="23">
        <f>(Data!$AS625*0.4)+(Data!$AT625*0.4)+(Data!$AU625*0.2)</f>
        <v>238.17714285714291</v>
      </c>
      <c r="AW625" s="35">
        <f>PERCENTRANK(AV:AV,Data!$AV625)*100</f>
        <v>11</v>
      </c>
      <c r="AX625" s="23" t="str">
        <f>_xlfn.CONCAT(TEXT(C625,"mmm"),"-",Data!$AE625)</f>
        <v>Apr-2024</v>
      </c>
    </row>
    <row r="626" spans="1:50" ht="17" thickTop="1" thickBot="1" x14ac:dyDescent="0.25">
      <c r="A626" s="28">
        <v>625</v>
      </c>
      <c r="B626" s="29">
        <f t="shared" si="74"/>
        <v>13</v>
      </c>
      <c r="C626" s="41">
        <v>45408</v>
      </c>
      <c r="D626" s="30">
        <f>SUM(Data!$I626:$M626)</f>
        <v>58</v>
      </c>
      <c r="E626" s="29">
        <v>17</v>
      </c>
      <c r="F626" s="29">
        <v>640</v>
      </c>
      <c r="G626" s="29">
        <v>160</v>
      </c>
      <c r="H626" s="29">
        <v>126</v>
      </c>
      <c r="I626" s="29">
        <v>12</v>
      </c>
      <c r="J626" s="29">
        <v>19</v>
      </c>
      <c r="K626" s="29">
        <v>10</v>
      </c>
      <c r="L626" s="29">
        <v>17</v>
      </c>
      <c r="M626" s="29">
        <v>0</v>
      </c>
      <c r="N626" s="29" t="s">
        <v>208</v>
      </c>
      <c r="O626" s="29" t="s">
        <v>39</v>
      </c>
      <c r="P626" s="29" t="s">
        <v>209</v>
      </c>
      <c r="Q626" s="29">
        <f t="shared" si="80"/>
        <v>4</v>
      </c>
      <c r="R626" s="29" t="str">
        <f t="shared" si="75"/>
        <v>4-2024</v>
      </c>
      <c r="S626" s="29" t="s">
        <v>104</v>
      </c>
      <c r="T626" s="29" t="str">
        <f t="shared" si="76"/>
        <v>Friday</v>
      </c>
      <c r="U626" s="29">
        <f t="shared" si="77"/>
        <v>1</v>
      </c>
      <c r="V626" s="31">
        <f>IFERROR(Data!$I626/Data!$D626,"")</f>
        <v>0.20689655172413793</v>
      </c>
      <c r="W626" s="31">
        <f>IFERROR(Data!$J626/Data!$D626,"")</f>
        <v>0.32758620689655171</v>
      </c>
      <c r="X626" s="31">
        <f>IFERROR(Data!$K626/Data!$D626,"")</f>
        <v>0.17241379310344829</v>
      </c>
      <c r="Y626" s="31">
        <f>IFERROR(Data!$L626/Data!$D626,"")</f>
        <v>0.29310344827586204</v>
      </c>
      <c r="Z626" s="31">
        <f>IFERROR(Data!$M626/Data!$D626,"")</f>
        <v>0</v>
      </c>
      <c r="AA626" s="32">
        <v>100</v>
      </c>
      <c r="AB626" s="32">
        <f t="shared" si="81"/>
        <v>7.6923076923076925</v>
      </c>
      <c r="AC626" s="29">
        <f t="shared" si="78"/>
        <v>608.07692307692309</v>
      </c>
      <c r="AD626" s="29">
        <f t="shared" si="79"/>
        <v>13.461538461538462</v>
      </c>
      <c r="AE626" s="29">
        <f>YEAR(Data!$C626)</f>
        <v>2024</v>
      </c>
      <c r="AF626" s="29"/>
      <c r="AG626" s="29">
        <v>12</v>
      </c>
      <c r="AH626" s="33">
        <f>Data!$F626/Data!$D626</f>
        <v>11.03448275862069</v>
      </c>
      <c r="AI626" s="17" t="str">
        <f>RIGHT(Data!$O626,2)</f>
        <v>PM</v>
      </c>
      <c r="AJ626" s="29" t="str">
        <f>Data!$R626&amp;"-"&amp;WEEKNUM(Data!$C626,1)-WEEKNUM(DATE(YEAR(Data!$C626),MONTH(Data!$C626),1),1)+1</f>
        <v>4-2024-4</v>
      </c>
      <c r="AK626" s="29">
        <f>MONTH(Data!$C626)</f>
        <v>4</v>
      </c>
      <c r="AL626" s="29">
        <f>IFERROR(Data!$F626/Data!$E626,0)</f>
        <v>37.647058823529413</v>
      </c>
      <c r="AM626" s="29">
        <f>COUNTIF(Data!$N$2:$N$825,Data!$N626)</f>
        <v>42</v>
      </c>
      <c r="AN626" s="29" t="str">
        <f>VLOOKUP(Data!$N626,'Helpful Tables'!A:D,4,FALSE)</f>
        <v>Oregon</v>
      </c>
      <c r="AO626" s="29">
        <f>COUNTIF(AN:AN,Data!$AN626)/COUNTA(AN:AN)</f>
        <v>0.27393939393939393</v>
      </c>
      <c r="AP626" s="29">
        <v>45.525092999999998</v>
      </c>
      <c r="AQ626" s="29">
        <v>-122.681383</v>
      </c>
      <c r="AR626" s="29">
        <f>COUNTIF(Data!$P$2:$P$825,Data!$P626)</f>
        <v>18</v>
      </c>
      <c r="AS626" s="29" cm="1">
        <f t="array" ref="AS626">_xlfn.IFS(Data!$E626&lt;12,((Data!$E626/Data!$D626)*60)*1,AND(Data!$E626&gt;=12,Data!$E626&lt;=15),((Data!$E626/Data!$D626)*60)*1.2,AND(Data!$E626&gt;=16,Data!$E626&lt;=19),((Data!$E626/Data!$D626)*60)*1.5,Data!$E626&gt;=20,((Data!$E626/Data!$D626)*60)*1.8)</f>
        <v>26.379310344827584</v>
      </c>
      <c r="AT626" s="29" cm="1">
        <f t="array" ref="AT626">_xlfn.IFS(Data!$F626&lt;600,((Data!$F626/Data!$D626)*60)*1,AND(Data!$F626&gt;=600,Data!$F626&lt;=625),((Data!$F626/Data!$D626)*60)*1.2,AND(Data!$F626&gt;=626,Data!$F626&lt;=650),((Data!$F626/Data!$D626)*60)*1.5,Data!$F626&gt;=651,((Data!$F626/Data!$D626)*60)*1.8)</f>
        <v>993.10344827586209</v>
      </c>
      <c r="AU626" s="29">
        <f>(Data!$I626*-1.2)+(Data!$J626*-1.1)+(Data!$K626*1.2)+(Data!$L626*1.3)+(Data!$M626*1.5)</f>
        <v>-1.1999999999999957</v>
      </c>
      <c r="AV626" s="29">
        <f>(Data!$AS626*0.4)+(Data!$AT626*0.4)+(Data!$AU626*0.2)</f>
        <v>407.55310344827592</v>
      </c>
      <c r="AW626" s="34">
        <f>PERCENTRANK(AV:AV,Data!$AV626)*100</f>
        <v>56.2</v>
      </c>
      <c r="AX626" s="29" t="str">
        <f>_xlfn.CONCAT(TEXT(C626,"mmm"),"-",Data!$AE626)</f>
        <v>Apr-2024</v>
      </c>
    </row>
    <row r="627" spans="1:50" ht="17" thickTop="1" thickBot="1" x14ac:dyDescent="0.25">
      <c r="A627" s="22">
        <v>626</v>
      </c>
      <c r="B627" s="23">
        <f t="shared" si="74"/>
        <v>13</v>
      </c>
      <c r="C627" s="41">
        <v>45410</v>
      </c>
      <c r="D627" s="24">
        <f>SUM(Data!$I627:$M627)</f>
        <v>54</v>
      </c>
      <c r="E627" s="23">
        <v>12</v>
      </c>
      <c r="F627" s="23">
        <v>511</v>
      </c>
      <c r="G627" s="23">
        <v>168</v>
      </c>
      <c r="H627" s="23">
        <v>115</v>
      </c>
      <c r="I627" s="23">
        <v>27</v>
      </c>
      <c r="J627" s="23">
        <v>11</v>
      </c>
      <c r="K627" s="23">
        <v>4</v>
      </c>
      <c r="L627" s="23">
        <v>10</v>
      </c>
      <c r="M627" s="23">
        <v>2</v>
      </c>
      <c r="N627" s="23" t="s">
        <v>125</v>
      </c>
      <c r="O627" s="23" t="s">
        <v>159</v>
      </c>
      <c r="P627" s="23" t="s">
        <v>210</v>
      </c>
      <c r="Q627" s="23">
        <f t="shared" si="80"/>
        <v>2</v>
      </c>
      <c r="R627" s="23" t="str">
        <f t="shared" si="75"/>
        <v>4-2024</v>
      </c>
      <c r="S627" s="23" t="s">
        <v>117</v>
      </c>
      <c r="T627" s="23" t="str">
        <f t="shared" si="76"/>
        <v>Sunday</v>
      </c>
      <c r="U627" s="23">
        <f t="shared" si="77"/>
        <v>1</v>
      </c>
      <c r="V627" s="25">
        <f>IFERROR(Data!$I627/Data!$D627,"")</f>
        <v>0.5</v>
      </c>
      <c r="W627" s="25">
        <f>IFERROR(Data!$J627/Data!$D627,"")</f>
        <v>0.20370370370370369</v>
      </c>
      <c r="X627" s="25">
        <f>IFERROR(Data!$K627/Data!$D627,"")</f>
        <v>7.407407407407407E-2</v>
      </c>
      <c r="Y627" s="25">
        <f>IFERROR(Data!$L627/Data!$D627,"")</f>
        <v>0.18518518518518517</v>
      </c>
      <c r="Z627" s="25">
        <f>IFERROR(Data!$M627/Data!$D627,"")</f>
        <v>3.7037037037037035E-2</v>
      </c>
      <c r="AA627" s="26">
        <v>100</v>
      </c>
      <c r="AB627" s="26">
        <f t="shared" si="81"/>
        <v>7.6923076923076925</v>
      </c>
      <c r="AC627" s="23">
        <f t="shared" si="78"/>
        <v>608.07692307692309</v>
      </c>
      <c r="AD627" s="23">
        <f t="shared" si="79"/>
        <v>13.461538461538462</v>
      </c>
      <c r="AE627" s="23">
        <f>YEAR(Data!$C627)</f>
        <v>2024</v>
      </c>
      <c r="AF627" s="23"/>
      <c r="AG627" s="23">
        <v>12</v>
      </c>
      <c r="AH627" s="27">
        <f>Data!$F627/Data!$D627</f>
        <v>9.4629629629629637</v>
      </c>
      <c r="AI627" s="17" t="str">
        <f>RIGHT(Data!$O627,2)</f>
        <v>AM</v>
      </c>
      <c r="AJ627" s="23" t="str">
        <f>Data!$R627&amp;"-"&amp;WEEKNUM(Data!$C627,1)-WEEKNUM(DATE(YEAR(Data!$C627),MONTH(Data!$C627),1),1)+1</f>
        <v>4-2024-5</v>
      </c>
      <c r="AK627" s="23">
        <f>MONTH(Data!$C627)</f>
        <v>4</v>
      </c>
      <c r="AL627" s="23">
        <f>IFERROR(Data!$F627/Data!$E627,0)</f>
        <v>42.583333333333336</v>
      </c>
      <c r="AM627" s="23">
        <f>COUNTIF(Data!$N$2:$N$825,Data!$N627)</f>
        <v>182</v>
      </c>
      <c r="AN627" s="23" t="str">
        <f>VLOOKUP(Data!$N627,'Helpful Tables'!A:D,4,FALSE)</f>
        <v>Oregon</v>
      </c>
      <c r="AO627" s="23">
        <f>COUNTIF(AN:AN,Data!$AN627)/COUNTA(AN:AN)</f>
        <v>0.27393939393939393</v>
      </c>
      <c r="AP627" s="23">
        <v>45.534162000000002</v>
      </c>
      <c r="AQ627" s="23">
        <v>-122.69670000000001</v>
      </c>
      <c r="AR627" s="23">
        <f>COUNTIF(Data!$P$2:$P$825,Data!$P627)</f>
        <v>10</v>
      </c>
      <c r="AS627" s="23" cm="1">
        <f t="array" ref="AS627">_xlfn.IFS(Data!$E627&lt;12,((Data!$E627/Data!$D627)*60)*1,AND(Data!$E627&gt;=12,Data!$E627&lt;=15),((Data!$E627/Data!$D627)*60)*1.2,AND(Data!$E627&gt;=16,Data!$E627&lt;=19),((Data!$E627/Data!$D627)*60)*1.5,Data!$E627&gt;=20,((Data!$E627/Data!$D627)*60)*1.8)</f>
        <v>15.999999999999998</v>
      </c>
      <c r="AT627" s="23" cm="1">
        <f t="array" ref="AT627">_xlfn.IFS(Data!$F627&lt;600,((Data!$F627/Data!$D627)*60)*1,AND(Data!$F627&gt;=600,Data!$F627&lt;=625),((Data!$F627/Data!$D627)*60)*1.2,AND(Data!$F627&gt;=626,Data!$F627&lt;=650),((Data!$F627/Data!$D627)*60)*1.5,Data!$F627&gt;=651,((Data!$F627/Data!$D627)*60)*1.8)</f>
        <v>567.77777777777783</v>
      </c>
      <c r="AU627" s="23">
        <f>(Data!$I627*-1.2)+(Data!$J627*-1.1)+(Data!$K627*1.2)+(Data!$L627*1.3)+(Data!$M627*1.5)</f>
        <v>-23.700000000000003</v>
      </c>
      <c r="AV627" s="23">
        <f>(Data!$AS627*0.4)+(Data!$AT627*0.4)+(Data!$AU627*0.2)</f>
        <v>228.77111111111114</v>
      </c>
      <c r="AW627" s="35">
        <f>PERCENTRANK(AV:AV,Data!$AV627)*100</f>
        <v>6.3</v>
      </c>
      <c r="AX627" s="23" t="str">
        <f>_xlfn.CONCAT(TEXT(C627,"mmm"),"-",Data!$AE627)</f>
        <v>Apr-2024</v>
      </c>
    </row>
    <row r="628" spans="1:50" ht="17" thickTop="1" thickBot="1" x14ac:dyDescent="0.25">
      <c r="A628" s="28">
        <v>627</v>
      </c>
      <c r="B628" s="29">
        <f t="shared" si="74"/>
        <v>13</v>
      </c>
      <c r="C628" s="41">
        <v>45412</v>
      </c>
      <c r="D628" s="30">
        <f>SUM(Data!$I628:$M628)</f>
        <v>59</v>
      </c>
      <c r="E628" s="29">
        <v>18</v>
      </c>
      <c r="F628" s="29">
        <v>663</v>
      </c>
      <c r="G628" s="29">
        <v>168</v>
      </c>
      <c r="H628" s="29">
        <v>128</v>
      </c>
      <c r="I628" s="29">
        <v>15</v>
      </c>
      <c r="J628" s="29">
        <v>15</v>
      </c>
      <c r="K628" s="29">
        <v>11</v>
      </c>
      <c r="L628" s="29">
        <v>13</v>
      </c>
      <c r="M628" s="29">
        <v>5</v>
      </c>
      <c r="N628" s="29" t="s">
        <v>125</v>
      </c>
      <c r="O628" s="29" t="s">
        <v>127</v>
      </c>
      <c r="P628" s="29" t="s">
        <v>216</v>
      </c>
      <c r="Q628" s="29">
        <f t="shared" si="80"/>
        <v>2</v>
      </c>
      <c r="R628" s="29" t="str">
        <f t="shared" si="75"/>
        <v>4-2024</v>
      </c>
      <c r="S628" s="29" t="s">
        <v>104</v>
      </c>
      <c r="T628" s="29" t="str">
        <f t="shared" si="76"/>
        <v>Tuesday</v>
      </c>
      <c r="U628" s="29">
        <f t="shared" si="77"/>
        <v>1</v>
      </c>
      <c r="V628" s="31">
        <f>IFERROR(Data!$I628/Data!$D628,"")</f>
        <v>0.25423728813559321</v>
      </c>
      <c r="W628" s="31">
        <f>IFERROR(Data!$J628/Data!$D628,"")</f>
        <v>0.25423728813559321</v>
      </c>
      <c r="X628" s="31">
        <f>IFERROR(Data!$K628/Data!$D628,"")</f>
        <v>0.1864406779661017</v>
      </c>
      <c r="Y628" s="31">
        <f>IFERROR(Data!$L628/Data!$D628,"")</f>
        <v>0.22033898305084745</v>
      </c>
      <c r="Z628" s="31">
        <f>IFERROR(Data!$M628/Data!$D628,"")</f>
        <v>8.4745762711864403E-2</v>
      </c>
      <c r="AA628" s="32">
        <v>100</v>
      </c>
      <c r="AB628" s="32">
        <f t="shared" si="81"/>
        <v>7.6923076923076925</v>
      </c>
      <c r="AC628" s="29">
        <f t="shared" si="78"/>
        <v>608.07692307692309</v>
      </c>
      <c r="AD628" s="29">
        <f t="shared" si="79"/>
        <v>13.461538461538462</v>
      </c>
      <c r="AE628" s="29">
        <f>YEAR(Data!$C628)</f>
        <v>2024</v>
      </c>
      <c r="AF628" s="29"/>
      <c r="AG628" s="29">
        <v>12</v>
      </c>
      <c r="AH628" s="33">
        <f>Data!$F628/Data!$D628</f>
        <v>11.23728813559322</v>
      </c>
      <c r="AI628" s="17" t="str">
        <f>RIGHT(Data!$O628,2)</f>
        <v>PM</v>
      </c>
      <c r="AJ628" s="29" t="str">
        <f>Data!$R628&amp;"-"&amp;WEEKNUM(Data!$C628,1)-WEEKNUM(DATE(YEAR(Data!$C628),MONTH(Data!$C628),1),1)+1</f>
        <v>4-2024-5</v>
      </c>
      <c r="AK628" s="29">
        <f>MONTH(Data!$C628)</f>
        <v>4</v>
      </c>
      <c r="AL628" s="29">
        <f>IFERROR(Data!$F628/Data!$E628,0)</f>
        <v>36.833333333333336</v>
      </c>
      <c r="AM628" s="29">
        <f>COUNTIF(Data!$N$2:$N$825,Data!$N628)</f>
        <v>182</v>
      </c>
      <c r="AN628" s="29" t="str">
        <f>VLOOKUP(Data!$N628,'Helpful Tables'!A:D,4,FALSE)</f>
        <v>Oregon</v>
      </c>
      <c r="AO628" s="29">
        <f>COUNTIF(AN:AN,Data!$AN628)/COUNTA(AN:AN)</f>
        <v>0.27393939393939393</v>
      </c>
      <c r="AP628" s="29">
        <v>45.534162000000002</v>
      </c>
      <c r="AQ628" s="29">
        <v>-122.69670000000001</v>
      </c>
      <c r="AR628" s="29">
        <f>COUNTIF(Data!$P$2:$P$825,Data!$P628)</f>
        <v>25</v>
      </c>
      <c r="AS628" s="29" cm="1">
        <f t="array" ref="AS628">_xlfn.IFS(Data!$E628&lt;12,((Data!$E628/Data!$D628)*60)*1,AND(Data!$E628&gt;=12,Data!$E628&lt;=15),((Data!$E628/Data!$D628)*60)*1.2,AND(Data!$E628&gt;=16,Data!$E628&lt;=19),((Data!$E628/Data!$D628)*60)*1.5,Data!$E628&gt;=20,((Data!$E628/Data!$D628)*60)*1.8)</f>
        <v>27.457627118644069</v>
      </c>
      <c r="AT628" s="29" cm="1">
        <f t="array" ref="AT628">_xlfn.IFS(Data!$F628&lt;600,((Data!$F628/Data!$D628)*60)*1,AND(Data!$F628&gt;=600,Data!$F628&lt;=625),((Data!$F628/Data!$D628)*60)*1.2,AND(Data!$F628&gt;=626,Data!$F628&lt;=650),((Data!$F628/Data!$D628)*60)*1.5,Data!$F628&gt;=651,((Data!$F628/Data!$D628)*60)*1.8)</f>
        <v>1213.6271186440679</v>
      </c>
      <c r="AU628" s="29">
        <f>(Data!$I628*-1.2)+(Data!$J628*-1.1)+(Data!$K628*1.2)+(Data!$L628*1.3)+(Data!$M628*1.5)</f>
        <v>3.1000000000000014</v>
      </c>
      <c r="AV628" s="29">
        <f>(Data!$AS628*0.4)+(Data!$AT628*0.4)+(Data!$AU628*0.2)</f>
        <v>497.05389830508477</v>
      </c>
      <c r="AW628" s="34">
        <f>PERCENTRANK(AV:AV,Data!$AV628)*100</f>
        <v>75.900000000000006</v>
      </c>
      <c r="AX628" s="29" t="str">
        <f>_xlfn.CONCAT(TEXT(C628,"mmm"),"-",Data!$AE628)</f>
        <v>Apr-2024</v>
      </c>
    </row>
    <row r="629" spans="1:50" ht="17" thickTop="1" thickBot="1" x14ac:dyDescent="0.25">
      <c r="A629" s="22">
        <v>628</v>
      </c>
      <c r="B629" s="23">
        <f t="shared" si="74"/>
        <v>14</v>
      </c>
      <c r="C629" s="41">
        <v>45414</v>
      </c>
      <c r="D629" s="24">
        <f>SUM(Data!$I629:$M629)</f>
        <v>53</v>
      </c>
      <c r="E629" s="23">
        <v>17</v>
      </c>
      <c r="F629" s="23">
        <v>621</v>
      </c>
      <c r="G629" s="23">
        <v>165</v>
      </c>
      <c r="H629" s="23">
        <v>129</v>
      </c>
      <c r="I629" s="23">
        <v>8</v>
      </c>
      <c r="J629" s="23">
        <v>15</v>
      </c>
      <c r="K629" s="23">
        <v>13</v>
      </c>
      <c r="L629" s="23">
        <v>15</v>
      </c>
      <c r="M629" s="23">
        <v>2</v>
      </c>
      <c r="N629" s="23" t="s">
        <v>125</v>
      </c>
      <c r="O629" s="23" t="s">
        <v>127</v>
      </c>
      <c r="P629" s="23" t="s">
        <v>207</v>
      </c>
      <c r="Q629" s="23">
        <f t="shared" si="80"/>
        <v>2</v>
      </c>
      <c r="R629" s="23" t="str">
        <f t="shared" si="75"/>
        <v>5-2024</v>
      </c>
      <c r="S629" s="23" t="s">
        <v>104</v>
      </c>
      <c r="T629" s="23" t="str">
        <f t="shared" si="76"/>
        <v>Thursday</v>
      </c>
      <c r="U629" s="23">
        <f t="shared" si="77"/>
        <v>1</v>
      </c>
      <c r="V629" s="25">
        <f>IFERROR(Data!$I629/Data!$D629,"")</f>
        <v>0.15094339622641509</v>
      </c>
      <c r="W629" s="25">
        <f>IFERROR(Data!$J629/Data!$D629,"")</f>
        <v>0.28301886792452829</v>
      </c>
      <c r="X629" s="25">
        <f>IFERROR(Data!$K629/Data!$D629,"")</f>
        <v>0.24528301886792453</v>
      </c>
      <c r="Y629" s="25">
        <f>IFERROR(Data!$L629/Data!$D629,"")</f>
        <v>0.28301886792452829</v>
      </c>
      <c r="Z629" s="25">
        <f>IFERROR(Data!$M629/Data!$D629,"")</f>
        <v>3.7735849056603772E-2</v>
      </c>
      <c r="AA629" s="26">
        <v>169</v>
      </c>
      <c r="AB629" s="26">
        <f t="shared" si="81"/>
        <v>12.071428571428571</v>
      </c>
      <c r="AC629" s="23">
        <f t="shared" si="78"/>
        <v>615.85714285714289</v>
      </c>
      <c r="AD629" s="23">
        <f t="shared" si="79"/>
        <v>13.5</v>
      </c>
      <c r="AE629" s="23">
        <f>YEAR(Data!$C629)</f>
        <v>2024</v>
      </c>
      <c r="AF629" s="23"/>
      <c r="AG629" s="23">
        <v>12</v>
      </c>
      <c r="AH629" s="27">
        <f>Data!$F629/Data!$D629</f>
        <v>11.716981132075471</v>
      </c>
      <c r="AI629" s="17" t="str">
        <f>RIGHT(Data!$O629,2)</f>
        <v>PM</v>
      </c>
      <c r="AJ629" s="23" t="str">
        <f>Data!$R629&amp;"-"&amp;WEEKNUM(Data!$C629,1)-WEEKNUM(DATE(YEAR(Data!$C629),MONTH(Data!$C629),1),1)+1</f>
        <v>5-2024-1</v>
      </c>
      <c r="AK629" s="23">
        <f>MONTH(Data!$C629)</f>
        <v>5</v>
      </c>
      <c r="AL629" s="23">
        <f>IFERROR(Data!$F629/Data!$E629,0)</f>
        <v>36.529411764705884</v>
      </c>
      <c r="AM629" s="23">
        <f>COUNTIF(Data!$N$2:$N$825,Data!$N629)</f>
        <v>182</v>
      </c>
      <c r="AN629" s="23" t="str">
        <f>VLOOKUP(Data!$N629,'Helpful Tables'!A:D,4,FALSE)</f>
        <v>Oregon</v>
      </c>
      <c r="AO629" s="23">
        <f>COUNTIF(AN:AN,Data!$AN629)/COUNTA(AN:AN)</f>
        <v>0.27393939393939393</v>
      </c>
      <c r="AP629" s="23">
        <v>45.534162000000002</v>
      </c>
      <c r="AQ629" s="23">
        <v>-122.69670000000001</v>
      </c>
      <c r="AR629" s="23">
        <f>COUNTIF(Data!$P$2:$P$825,Data!$P629)</f>
        <v>10</v>
      </c>
      <c r="AS629" s="23" cm="1">
        <f t="array" ref="AS629">_xlfn.IFS(Data!$E629&lt;12,((Data!$E629/Data!$D629)*60)*1,AND(Data!$E629&gt;=12,Data!$E629&lt;=15),((Data!$E629/Data!$D629)*60)*1.2,AND(Data!$E629&gt;=16,Data!$E629&lt;=19),((Data!$E629/Data!$D629)*60)*1.5,Data!$E629&gt;=20,((Data!$E629/Data!$D629)*60)*1.8)</f>
        <v>28.867924528301884</v>
      </c>
      <c r="AT629" s="23" cm="1">
        <f t="array" ref="AT629">_xlfn.IFS(Data!$F629&lt;600,((Data!$F629/Data!$D629)*60)*1,AND(Data!$F629&gt;=600,Data!$F629&lt;=625),((Data!$F629/Data!$D629)*60)*1.2,AND(Data!$F629&gt;=626,Data!$F629&lt;=650),((Data!$F629/Data!$D629)*60)*1.5,Data!$F629&gt;=651,((Data!$F629/Data!$D629)*60)*1.8)</f>
        <v>843.62264150943395</v>
      </c>
      <c r="AU629" s="23">
        <f>(Data!$I629*-1.2)+(Data!$J629*-1.1)+(Data!$K629*1.2)+(Data!$L629*1.3)+(Data!$M629*1.5)</f>
        <v>11.999999999999998</v>
      </c>
      <c r="AV629" s="23">
        <f>(Data!$AS629*0.4)+(Data!$AT629*0.4)+(Data!$AU629*0.2)</f>
        <v>351.39622641509436</v>
      </c>
      <c r="AW629" s="35">
        <f>PERCENTRANK(AV:AV,Data!$AV629)*100</f>
        <v>43.8</v>
      </c>
      <c r="AX629" s="23" t="str">
        <f>_xlfn.CONCAT(TEXT(C629,"mmm"),"-",Data!$AE629)</f>
        <v>May-2024</v>
      </c>
    </row>
    <row r="630" spans="1:50" ht="17" thickTop="1" thickBot="1" x14ac:dyDescent="0.25">
      <c r="A630" s="28">
        <v>629</v>
      </c>
      <c r="B630" s="29">
        <f t="shared" si="74"/>
        <v>14</v>
      </c>
      <c r="C630" s="41">
        <v>45417</v>
      </c>
      <c r="D630" s="30">
        <f>SUM(Data!$I630:$M630)</f>
        <v>56</v>
      </c>
      <c r="E630" s="29">
        <v>14</v>
      </c>
      <c r="F630" s="29">
        <v>610</v>
      </c>
      <c r="G630" s="29">
        <v>168</v>
      </c>
      <c r="H630" s="29">
        <v>126</v>
      </c>
      <c r="I630" s="29">
        <v>15</v>
      </c>
      <c r="J630" s="29">
        <v>13</v>
      </c>
      <c r="K630" s="29">
        <v>14</v>
      </c>
      <c r="L630" s="29">
        <v>12</v>
      </c>
      <c r="M630" s="29">
        <v>2</v>
      </c>
      <c r="N630" s="29" t="s">
        <v>125</v>
      </c>
      <c r="O630" s="29" t="s">
        <v>159</v>
      </c>
      <c r="P630" s="29" t="s">
        <v>126</v>
      </c>
      <c r="Q630" s="29">
        <f t="shared" si="80"/>
        <v>3</v>
      </c>
      <c r="R630" s="29" t="str">
        <f t="shared" si="75"/>
        <v>5-2024</v>
      </c>
      <c r="S630" s="29" t="s">
        <v>117</v>
      </c>
      <c r="T630" s="29" t="str">
        <f t="shared" si="76"/>
        <v>Sunday</v>
      </c>
      <c r="U630" s="29">
        <f t="shared" si="77"/>
        <v>1</v>
      </c>
      <c r="V630" s="31">
        <f>IFERROR(Data!$I630/Data!$D630,"")</f>
        <v>0.26785714285714285</v>
      </c>
      <c r="W630" s="31">
        <f>IFERROR(Data!$J630/Data!$D630,"")</f>
        <v>0.23214285714285715</v>
      </c>
      <c r="X630" s="31">
        <f>IFERROR(Data!$K630/Data!$D630,"")</f>
        <v>0.25</v>
      </c>
      <c r="Y630" s="31">
        <f>IFERROR(Data!$L630/Data!$D630,"")</f>
        <v>0.21428571428571427</v>
      </c>
      <c r="Z630" s="31">
        <f>IFERROR(Data!$M630/Data!$D630,"")</f>
        <v>3.5714285714285712E-2</v>
      </c>
      <c r="AA630" s="32">
        <v>169</v>
      </c>
      <c r="AB630" s="32">
        <f t="shared" si="81"/>
        <v>12.071428571428571</v>
      </c>
      <c r="AC630" s="29">
        <f t="shared" si="78"/>
        <v>615.85714285714289</v>
      </c>
      <c r="AD630" s="29">
        <f t="shared" si="79"/>
        <v>13.5</v>
      </c>
      <c r="AE630" s="29">
        <f>YEAR(Data!$C630)</f>
        <v>2024</v>
      </c>
      <c r="AF630" s="29"/>
      <c r="AG630" s="29">
        <v>12</v>
      </c>
      <c r="AH630" s="33">
        <f>Data!$F630/Data!$D630</f>
        <v>10.892857142857142</v>
      </c>
      <c r="AI630" s="17" t="str">
        <f>RIGHT(Data!$O630,2)</f>
        <v>AM</v>
      </c>
      <c r="AJ630" s="29" t="str">
        <f>Data!$R630&amp;"-"&amp;WEEKNUM(Data!$C630,1)-WEEKNUM(DATE(YEAR(Data!$C630),MONTH(Data!$C630),1),1)+1</f>
        <v>5-2024-2</v>
      </c>
      <c r="AK630" s="29">
        <f>MONTH(Data!$C630)</f>
        <v>5</v>
      </c>
      <c r="AL630" s="29">
        <f>IFERROR(Data!$F630/Data!$E630,0)</f>
        <v>43.571428571428569</v>
      </c>
      <c r="AM630" s="29">
        <f>COUNTIF(Data!$N$2:$N$825,Data!$N630)</f>
        <v>182</v>
      </c>
      <c r="AN630" s="29" t="str">
        <f>VLOOKUP(Data!$N630,'Helpful Tables'!A:D,4,FALSE)</f>
        <v>Oregon</v>
      </c>
      <c r="AO630" s="29">
        <f>COUNTIF(AN:AN,Data!$AN630)/COUNTA(AN:AN)</f>
        <v>0.27393939393939393</v>
      </c>
      <c r="AP630" s="29">
        <v>45.534162000000002</v>
      </c>
      <c r="AQ630" s="29">
        <v>-122.69670000000001</v>
      </c>
      <c r="AR630" s="29">
        <f>COUNTIF(Data!$P$2:$P$825,Data!$P630)</f>
        <v>10</v>
      </c>
      <c r="AS630" s="29" cm="1">
        <f t="array" ref="AS630">_xlfn.IFS(Data!$E630&lt;12,((Data!$E630/Data!$D630)*60)*1,AND(Data!$E630&gt;=12,Data!$E630&lt;=15),((Data!$E630/Data!$D630)*60)*1.2,AND(Data!$E630&gt;=16,Data!$E630&lt;=19),((Data!$E630/Data!$D630)*60)*1.5,Data!$E630&gt;=20,((Data!$E630/Data!$D630)*60)*1.8)</f>
        <v>18</v>
      </c>
      <c r="AT630" s="29" cm="1">
        <f t="array" ref="AT630">_xlfn.IFS(Data!$F630&lt;600,((Data!$F630/Data!$D630)*60)*1,AND(Data!$F630&gt;=600,Data!$F630&lt;=625),((Data!$F630/Data!$D630)*60)*1.2,AND(Data!$F630&gt;=626,Data!$F630&lt;=650),((Data!$F630/Data!$D630)*60)*1.5,Data!$F630&gt;=651,((Data!$F630/Data!$D630)*60)*1.8)</f>
        <v>784.28571428571422</v>
      </c>
      <c r="AU630" s="29">
        <f>(Data!$I630*-1.2)+(Data!$J630*-1.1)+(Data!$K630*1.2)+(Data!$L630*1.3)+(Data!$M630*1.5)</f>
        <v>3.100000000000005</v>
      </c>
      <c r="AV630" s="29">
        <f>(Data!$AS630*0.4)+(Data!$AT630*0.4)+(Data!$AU630*0.2)</f>
        <v>321.53428571428572</v>
      </c>
      <c r="AW630" s="34">
        <f>PERCENTRANK(AV:AV,Data!$AV630)*100</f>
        <v>38.200000000000003</v>
      </c>
      <c r="AX630" s="29" t="str">
        <f>_xlfn.CONCAT(TEXT(C630,"mmm"),"-",Data!$AE630)</f>
        <v>May-2024</v>
      </c>
    </row>
    <row r="631" spans="1:50" ht="17" thickTop="1" thickBot="1" x14ac:dyDescent="0.25">
      <c r="A631" s="22">
        <v>630</v>
      </c>
      <c r="B631" s="23">
        <f t="shared" si="74"/>
        <v>14</v>
      </c>
      <c r="C631" s="41">
        <v>45419</v>
      </c>
      <c r="D631" s="24">
        <f>SUM(Data!$I631:$M631)</f>
        <v>60</v>
      </c>
      <c r="E631" s="23">
        <v>14</v>
      </c>
      <c r="F631" s="23">
        <v>688</v>
      </c>
      <c r="G631" s="23">
        <v>168</v>
      </c>
      <c r="H631" s="23">
        <v>129</v>
      </c>
      <c r="I631" s="23">
        <v>8</v>
      </c>
      <c r="J631" s="23">
        <v>14</v>
      </c>
      <c r="K631" s="23">
        <v>24</v>
      </c>
      <c r="L631" s="23">
        <v>11</v>
      </c>
      <c r="M631" s="23">
        <v>3</v>
      </c>
      <c r="N631" s="23" t="s">
        <v>125</v>
      </c>
      <c r="O631" s="23" t="s">
        <v>127</v>
      </c>
      <c r="P631" s="23" t="s">
        <v>216</v>
      </c>
      <c r="Q631" s="23">
        <f t="shared" si="80"/>
        <v>2</v>
      </c>
      <c r="R631" s="23" t="str">
        <f t="shared" si="75"/>
        <v>5-2024</v>
      </c>
      <c r="S631" s="23" t="s">
        <v>117</v>
      </c>
      <c r="T631" s="23" t="str">
        <f t="shared" si="76"/>
        <v>Tuesday</v>
      </c>
      <c r="U631" s="23">
        <f t="shared" si="77"/>
        <v>1</v>
      </c>
      <c r="V631" s="25">
        <f>IFERROR(Data!$I631/Data!$D631,"")</f>
        <v>0.13333333333333333</v>
      </c>
      <c r="W631" s="25">
        <f>IFERROR(Data!$J631/Data!$D631,"")</f>
        <v>0.23333333333333334</v>
      </c>
      <c r="X631" s="25">
        <f>IFERROR(Data!$K631/Data!$D631,"")</f>
        <v>0.4</v>
      </c>
      <c r="Y631" s="25">
        <f>IFERROR(Data!$L631/Data!$D631,"")</f>
        <v>0.18333333333333332</v>
      </c>
      <c r="Z631" s="25">
        <f>IFERROR(Data!$M631/Data!$D631,"")</f>
        <v>0.05</v>
      </c>
      <c r="AA631" s="26">
        <v>169</v>
      </c>
      <c r="AB631" s="26">
        <f t="shared" si="81"/>
        <v>12.071428571428571</v>
      </c>
      <c r="AC631" s="23">
        <f t="shared" si="78"/>
        <v>615.85714285714289</v>
      </c>
      <c r="AD631" s="23">
        <f t="shared" si="79"/>
        <v>13.5</v>
      </c>
      <c r="AE631" s="23">
        <f>YEAR(Data!$C631)</f>
        <v>2024</v>
      </c>
      <c r="AF631" s="23"/>
      <c r="AG631" s="23">
        <v>12</v>
      </c>
      <c r="AH631" s="27">
        <f>Data!$F631/Data!$D631</f>
        <v>11.466666666666667</v>
      </c>
      <c r="AI631" s="17" t="str">
        <f>RIGHT(Data!$O631,2)</f>
        <v>PM</v>
      </c>
      <c r="AJ631" s="23" t="str">
        <f>Data!$R631&amp;"-"&amp;WEEKNUM(Data!$C631,1)-WEEKNUM(DATE(YEAR(Data!$C631),MONTH(Data!$C631),1),1)+1</f>
        <v>5-2024-2</v>
      </c>
      <c r="AK631" s="23">
        <f>MONTH(Data!$C631)</f>
        <v>5</v>
      </c>
      <c r="AL631" s="23">
        <f>IFERROR(Data!$F631/Data!$E631,0)</f>
        <v>49.142857142857146</v>
      </c>
      <c r="AM631" s="23">
        <f>COUNTIF(Data!$N$2:$N$825,Data!$N631)</f>
        <v>182</v>
      </c>
      <c r="AN631" s="23" t="str">
        <f>VLOOKUP(Data!$N631,'Helpful Tables'!A:D,4,FALSE)</f>
        <v>Oregon</v>
      </c>
      <c r="AO631" s="23">
        <f>COUNTIF(AN:AN,Data!$AN631)/COUNTA(AN:AN)</f>
        <v>0.27393939393939393</v>
      </c>
      <c r="AP631" s="23">
        <v>45.534162000000002</v>
      </c>
      <c r="AQ631" s="23">
        <v>-122.69670000000001</v>
      </c>
      <c r="AR631" s="23">
        <f>COUNTIF(Data!$P$2:$P$825,Data!$P631)</f>
        <v>25</v>
      </c>
      <c r="AS631" s="23" cm="1">
        <f t="array" ref="AS631">_xlfn.IFS(Data!$E631&lt;12,((Data!$E631/Data!$D631)*60)*1,AND(Data!$E631&gt;=12,Data!$E631&lt;=15),((Data!$E631/Data!$D631)*60)*1.2,AND(Data!$E631&gt;=16,Data!$E631&lt;=19),((Data!$E631/Data!$D631)*60)*1.5,Data!$E631&gt;=20,((Data!$E631/Data!$D631)*60)*1.8)</f>
        <v>16.8</v>
      </c>
      <c r="AT631" s="23" cm="1">
        <f t="array" ref="AT631">_xlfn.IFS(Data!$F631&lt;600,((Data!$F631/Data!$D631)*60)*1,AND(Data!$F631&gt;=600,Data!$F631&lt;=625),((Data!$F631/Data!$D631)*60)*1.2,AND(Data!$F631&gt;=626,Data!$F631&lt;=650),((Data!$F631/Data!$D631)*60)*1.5,Data!$F631&gt;=651,((Data!$F631/Data!$D631)*60)*1.8)</f>
        <v>1238.4000000000001</v>
      </c>
      <c r="AU631" s="23">
        <f>(Data!$I631*-1.2)+(Data!$J631*-1.1)+(Data!$K631*1.2)+(Data!$L631*1.3)+(Data!$M631*1.5)</f>
        <v>22.599999999999998</v>
      </c>
      <c r="AV631" s="23">
        <f>(Data!$AS631*0.4)+(Data!$AT631*0.4)+(Data!$AU631*0.2)</f>
        <v>506.60000000000008</v>
      </c>
      <c r="AW631" s="35">
        <f>PERCENTRANK(AV:AV,Data!$AV631)*100</f>
        <v>82.1</v>
      </c>
      <c r="AX631" s="23" t="str">
        <f>_xlfn.CONCAT(TEXT(C631,"mmm"),"-",Data!$AE631)</f>
        <v>May-2024</v>
      </c>
    </row>
    <row r="632" spans="1:50" ht="17" thickTop="1" thickBot="1" x14ac:dyDescent="0.25">
      <c r="A632" s="28">
        <v>631</v>
      </c>
      <c r="B632" s="29">
        <f t="shared" si="74"/>
        <v>14</v>
      </c>
      <c r="C632" s="41">
        <v>45420</v>
      </c>
      <c r="D632" s="30">
        <f>SUM(Data!$I632:$M632)</f>
        <v>56</v>
      </c>
      <c r="E632" s="29">
        <v>8</v>
      </c>
      <c r="F632" s="29">
        <v>568</v>
      </c>
      <c r="G632" s="29">
        <v>174</v>
      </c>
      <c r="H632" s="29">
        <v>119</v>
      </c>
      <c r="I632" s="29">
        <v>23</v>
      </c>
      <c r="J632" s="29">
        <v>13</v>
      </c>
      <c r="K632" s="29">
        <v>12</v>
      </c>
      <c r="L632" s="29">
        <v>5</v>
      </c>
      <c r="M632" s="29">
        <v>3</v>
      </c>
      <c r="N632" s="29" t="s">
        <v>125</v>
      </c>
      <c r="O632" s="29" t="s">
        <v>127</v>
      </c>
      <c r="P632" s="29" t="s">
        <v>210</v>
      </c>
      <c r="Q632" s="29">
        <f t="shared" si="80"/>
        <v>1</v>
      </c>
      <c r="R632" s="29" t="str">
        <f t="shared" si="75"/>
        <v>5-2024</v>
      </c>
      <c r="S632" s="29" t="s">
        <v>104</v>
      </c>
      <c r="T632" s="29" t="str">
        <f t="shared" si="76"/>
        <v>Wednesday</v>
      </c>
      <c r="U632" s="29">
        <f t="shared" si="77"/>
        <v>0</v>
      </c>
      <c r="V632" s="31">
        <f>IFERROR(Data!$I632/Data!$D632,"")</f>
        <v>0.4107142857142857</v>
      </c>
      <c r="W632" s="31">
        <f>IFERROR(Data!$J632/Data!$D632,"")</f>
        <v>0.23214285714285715</v>
      </c>
      <c r="X632" s="31">
        <f>IFERROR(Data!$K632/Data!$D632,"")</f>
        <v>0.21428571428571427</v>
      </c>
      <c r="Y632" s="31">
        <f>IFERROR(Data!$L632/Data!$D632,"")</f>
        <v>8.9285714285714288E-2</v>
      </c>
      <c r="Z632" s="31">
        <f>IFERROR(Data!$M632/Data!$D632,"")</f>
        <v>5.3571428571428568E-2</v>
      </c>
      <c r="AA632" s="32">
        <v>169</v>
      </c>
      <c r="AB632" s="32">
        <f t="shared" si="81"/>
        <v>12.071428571428571</v>
      </c>
      <c r="AC632" s="29">
        <f t="shared" si="78"/>
        <v>615.85714285714289</v>
      </c>
      <c r="AD632" s="29">
        <f t="shared" si="79"/>
        <v>13.5</v>
      </c>
      <c r="AE632" s="29">
        <f>YEAR(Data!$C632)</f>
        <v>2024</v>
      </c>
      <c r="AF632" s="29"/>
      <c r="AG632" s="29">
        <v>12</v>
      </c>
      <c r="AH632" s="33">
        <f>Data!$F632/Data!$D632</f>
        <v>10.142857142857142</v>
      </c>
      <c r="AI632" s="17" t="str">
        <f>RIGHT(Data!$O632,2)</f>
        <v>PM</v>
      </c>
      <c r="AJ632" s="29" t="str">
        <f>Data!$R632&amp;"-"&amp;WEEKNUM(Data!$C632,1)-WEEKNUM(DATE(YEAR(Data!$C632),MONTH(Data!$C632),1),1)+1</f>
        <v>5-2024-2</v>
      </c>
      <c r="AK632" s="29">
        <f>MONTH(Data!$C632)</f>
        <v>5</v>
      </c>
      <c r="AL632" s="29">
        <f>IFERROR(Data!$F632/Data!$E632,0)</f>
        <v>71</v>
      </c>
      <c r="AM632" s="29">
        <f>COUNTIF(Data!$N$2:$N$825,Data!$N632)</f>
        <v>182</v>
      </c>
      <c r="AN632" s="29" t="str">
        <f>VLOOKUP(Data!$N632,'Helpful Tables'!A:D,4,FALSE)</f>
        <v>Oregon</v>
      </c>
      <c r="AO632" s="29">
        <f>COUNTIF(AN:AN,Data!$AN632)/COUNTA(AN:AN)</f>
        <v>0.27393939393939393</v>
      </c>
      <c r="AP632" s="29">
        <v>45.534162000000002</v>
      </c>
      <c r="AQ632" s="29">
        <v>-122.69670000000001</v>
      </c>
      <c r="AR632" s="29">
        <f>COUNTIF(Data!$P$2:$P$825,Data!$P632)</f>
        <v>10</v>
      </c>
      <c r="AS632" s="29" cm="1">
        <f t="array" ref="AS632">_xlfn.IFS(Data!$E632&lt;12,((Data!$E632/Data!$D632)*60)*1,AND(Data!$E632&gt;=12,Data!$E632&lt;=15),((Data!$E632/Data!$D632)*60)*1.2,AND(Data!$E632&gt;=16,Data!$E632&lt;=19),((Data!$E632/Data!$D632)*60)*1.5,Data!$E632&gt;=20,((Data!$E632/Data!$D632)*60)*1.8)</f>
        <v>8.5714285714285712</v>
      </c>
      <c r="AT632" s="29" cm="1">
        <f t="array" ref="AT632">_xlfn.IFS(Data!$F632&lt;600,((Data!$F632/Data!$D632)*60)*1,AND(Data!$F632&gt;=600,Data!$F632&lt;=625),((Data!$F632/Data!$D632)*60)*1.2,AND(Data!$F632&gt;=626,Data!$F632&lt;=650),((Data!$F632/Data!$D632)*60)*1.5,Data!$F632&gt;=651,((Data!$F632/Data!$D632)*60)*1.8)</f>
        <v>608.57142857142856</v>
      </c>
      <c r="AU632" s="29">
        <f>(Data!$I632*-1.2)+(Data!$J632*-1.1)+(Data!$K632*1.2)+(Data!$L632*1.3)+(Data!$M632*1.5)</f>
        <v>-16.5</v>
      </c>
      <c r="AV632" s="29">
        <f>(Data!$AS632*0.4)+(Data!$AT632*0.4)+(Data!$AU632*0.2)</f>
        <v>243.55714285714285</v>
      </c>
      <c r="AW632" s="34">
        <f>PERCENTRANK(AV:AV,Data!$AV632)*100</f>
        <v>13.900000000000002</v>
      </c>
      <c r="AX632" s="29" t="str">
        <f>_xlfn.CONCAT(TEXT(C632,"mmm"),"-",Data!$AE632)</f>
        <v>May-2024</v>
      </c>
    </row>
    <row r="633" spans="1:50" ht="17" thickTop="1" thickBot="1" x14ac:dyDescent="0.25">
      <c r="A633" s="22">
        <v>632</v>
      </c>
      <c r="B633" s="23">
        <f t="shared" si="74"/>
        <v>14</v>
      </c>
      <c r="C633" s="41">
        <v>45425</v>
      </c>
      <c r="D633" s="24">
        <f>SUM(Data!$I633:$M633)</f>
        <v>62</v>
      </c>
      <c r="E633" s="23">
        <v>15</v>
      </c>
      <c r="F633" s="23">
        <v>652</v>
      </c>
      <c r="G633" s="23">
        <v>168</v>
      </c>
      <c r="H633" s="23">
        <v>123</v>
      </c>
      <c r="I633" s="23">
        <v>18</v>
      </c>
      <c r="J633" s="23">
        <v>18</v>
      </c>
      <c r="K633" s="23">
        <v>11</v>
      </c>
      <c r="L633" s="23">
        <v>14</v>
      </c>
      <c r="M633" s="23">
        <v>1</v>
      </c>
      <c r="N633" s="23" t="s">
        <v>125</v>
      </c>
      <c r="O633" s="23" t="s">
        <v>127</v>
      </c>
      <c r="P633" s="23" t="s">
        <v>216</v>
      </c>
      <c r="Q633" s="23">
        <f t="shared" si="80"/>
        <v>5</v>
      </c>
      <c r="R633" s="23" t="str">
        <f t="shared" si="75"/>
        <v>5-2024</v>
      </c>
      <c r="S633" s="23" t="s">
        <v>104</v>
      </c>
      <c r="T633" s="23" t="str">
        <f t="shared" si="76"/>
        <v>Monday</v>
      </c>
      <c r="U633" s="23">
        <f t="shared" si="77"/>
        <v>1</v>
      </c>
      <c r="V633" s="25">
        <f>IFERROR(Data!$I633/Data!$D633,"")</f>
        <v>0.29032258064516131</v>
      </c>
      <c r="W633" s="25">
        <f>IFERROR(Data!$J633/Data!$D633,"")</f>
        <v>0.29032258064516131</v>
      </c>
      <c r="X633" s="25">
        <f>IFERROR(Data!$K633/Data!$D633,"")</f>
        <v>0.17741935483870969</v>
      </c>
      <c r="Y633" s="25">
        <f>IFERROR(Data!$L633/Data!$D633,"")</f>
        <v>0.22580645161290322</v>
      </c>
      <c r="Z633" s="25">
        <f>IFERROR(Data!$M633/Data!$D633,"")</f>
        <v>1.6129032258064516E-2</v>
      </c>
      <c r="AA633" s="26">
        <v>169</v>
      </c>
      <c r="AB633" s="26">
        <f t="shared" si="81"/>
        <v>12.071428571428571</v>
      </c>
      <c r="AC633" s="23">
        <f t="shared" si="78"/>
        <v>615.85714285714289</v>
      </c>
      <c r="AD633" s="23">
        <f t="shared" si="79"/>
        <v>13.5</v>
      </c>
      <c r="AE633" s="23">
        <f>YEAR(Data!$C633)</f>
        <v>2024</v>
      </c>
      <c r="AF633" s="23"/>
      <c r="AG633" s="23">
        <v>12</v>
      </c>
      <c r="AH633" s="27">
        <f>Data!$F633/Data!$D633</f>
        <v>10.516129032258064</v>
      </c>
      <c r="AI633" s="17" t="str">
        <f>RIGHT(Data!$O633,2)</f>
        <v>PM</v>
      </c>
      <c r="AJ633" s="23" t="str">
        <f>Data!$R633&amp;"-"&amp;WEEKNUM(Data!$C633,1)-WEEKNUM(DATE(YEAR(Data!$C633),MONTH(Data!$C633),1),1)+1</f>
        <v>5-2024-3</v>
      </c>
      <c r="AK633" s="23">
        <f>MONTH(Data!$C633)</f>
        <v>5</v>
      </c>
      <c r="AL633" s="23">
        <f>IFERROR(Data!$F633/Data!$E633,0)</f>
        <v>43.466666666666669</v>
      </c>
      <c r="AM633" s="23">
        <f>COUNTIF(Data!$N$2:$N$825,Data!$N633)</f>
        <v>182</v>
      </c>
      <c r="AN633" s="23" t="str">
        <f>VLOOKUP(Data!$N633,'Helpful Tables'!A:D,4,FALSE)</f>
        <v>Oregon</v>
      </c>
      <c r="AO633" s="23">
        <f>COUNTIF(AN:AN,Data!$AN633)/COUNTA(AN:AN)</f>
        <v>0.27393939393939393</v>
      </c>
      <c r="AP633" s="23">
        <v>45.534162000000002</v>
      </c>
      <c r="AQ633" s="23">
        <v>-122.69670000000001</v>
      </c>
      <c r="AR633" s="23">
        <f>COUNTIF(Data!$P$2:$P$825,Data!$P633)</f>
        <v>25</v>
      </c>
      <c r="AS633" s="23" cm="1">
        <f t="array" ref="AS633">_xlfn.IFS(Data!$E633&lt;12,((Data!$E633/Data!$D633)*60)*1,AND(Data!$E633&gt;=12,Data!$E633&lt;=15),((Data!$E633/Data!$D633)*60)*1.2,AND(Data!$E633&gt;=16,Data!$E633&lt;=19),((Data!$E633/Data!$D633)*60)*1.5,Data!$E633&gt;=20,((Data!$E633/Data!$D633)*60)*1.8)</f>
        <v>17.419354838709676</v>
      </c>
      <c r="AT633" s="23" cm="1">
        <f t="array" ref="AT633">_xlfn.IFS(Data!$F633&lt;600,((Data!$F633/Data!$D633)*60)*1,AND(Data!$F633&gt;=600,Data!$F633&lt;=625),((Data!$F633/Data!$D633)*60)*1.2,AND(Data!$F633&gt;=626,Data!$F633&lt;=650),((Data!$F633/Data!$D633)*60)*1.5,Data!$F633&gt;=651,((Data!$F633/Data!$D633)*60)*1.8)</f>
        <v>1135.741935483871</v>
      </c>
      <c r="AU633" s="23">
        <f>(Data!$I633*-1.2)+(Data!$J633*-1.1)+(Data!$K633*1.2)+(Data!$L633*1.3)+(Data!$M633*1.5)</f>
        <v>-8.5</v>
      </c>
      <c r="AV633" s="23">
        <f>(Data!$AS633*0.4)+(Data!$AT633*0.4)+(Data!$AU633*0.2)</f>
        <v>459.56451612903226</v>
      </c>
      <c r="AW633" s="35">
        <f>PERCENTRANK(AV:AV,Data!$AV633)*100</f>
        <v>65.7</v>
      </c>
      <c r="AX633" s="23" t="str">
        <f>_xlfn.CONCAT(TEXT(C633,"mmm"),"-",Data!$AE633)</f>
        <v>May-2024</v>
      </c>
    </row>
    <row r="634" spans="1:50" ht="17" thickTop="1" thickBot="1" x14ac:dyDescent="0.25">
      <c r="A634" s="28">
        <v>633</v>
      </c>
      <c r="B634" s="29">
        <f t="shared" si="74"/>
        <v>14</v>
      </c>
      <c r="C634" s="41">
        <v>45426</v>
      </c>
      <c r="D634" s="30">
        <f>SUM(Data!$I634:$M634)</f>
        <v>61</v>
      </c>
      <c r="E634" s="29">
        <v>5</v>
      </c>
      <c r="F634" s="29">
        <v>507</v>
      </c>
      <c r="G634" s="29">
        <v>156</v>
      </c>
      <c r="H634" s="29">
        <v>109</v>
      </c>
      <c r="I634" s="29">
        <v>35</v>
      </c>
      <c r="J634" s="29">
        <v>7</v>
      </c>
      <c r="K634" s="29">
        <v>14</v>
      </c>
      <c r="L634" s="29">
        <v>5</v>
      </c>
      <c r="M634" s="29">
        <v>0</v>
      </c>
      <c r="N634" s="29" t="s">
        <v>125</v>
      </c>
      <c r="O634" s="29" t="s">
        <v>127</v>
      </c>
      <c r="P634" s="29" t="s">
        <v>216</v>
      </c>
      <c r="Q634" s="29">
        <f t="shared" si="80"/>
        <v>1</v>
      </c>
      <c r="R634" s="29" t="str">
        <f t="shared" si="75"/>
        <v>5-2024</v>
      </c>
      <c r="S634" s="29" t="s">
        <v>104</v>
      </c>
      <c r="T634" s="29" t="str">
        <f t="shared" si="76"/>
        <v>Tuesday</v>
      </c>
      <c r="U634" s="29">
        <f t="shared" si="77"/>
        <v>0</v>
      </c>
      <c r="V634" s="31">
        <f>IFERROR(Data!$I634/Data!$D634,"")</f>
        <v>0.57377049180327866</v>
      </c>
      <c r="W634" s="31">
        <f>IFERROR(Data!$J634/Data!$D634,"")</f>
        <v>0.11475409836065574</v>
      </c>
      <c r="X634" s="31">
        <f>IFERROR(Data!$K634/Data!$D634,"")</f>
        <v>0.22950819672131148</v>
      </c>
      <c r="Y634" s="31">
        <f>IFERROR(Data!$L634/Data!$D634,"")</f>
        <v>8.1967213114754092E-2</v>
      </c>
      <c r="Z634" s="31">
        <f>IFERROR(Data!$M634/Data!$D634,"")</f>
        <v>0</v>
      </c>
      <c r="AA634" s="32">
        <v>169</v>
      </c>
      <c r="AB634" s="32">
        <f t="shared" si="81"/>
        <v>12.071428571428571</v>
      </c>
      <c r="AC634" s="29">
        <f t="shared" si="78"/>
        <v>615.85714285714289</v>
      </c>
      <c r="AD634" s="29">
        <f t="shared" si="79"/>
        <v>13.5</v>
      </c>
      <c r="AE634" s="29">
        <f>YEAR(Data!$C634)</f>
        <v>2024</v>
      </c>
      <c r="AF634" s="29"/>
      <c r="AG634" s="29">
        <v>12</v>
      </c>
      <c r="AH634" s="33">
        <f>Data!$F634/Data!$D634</f>
        <v>8.3114754098360653</v>
      </c>
      <c r="AI634" s="17" t="str">
        <f>RIGHT(Data!$O634,2)</f>
        <v>PM</v>
      </c>
      <c r="AJ634" s="29" t="str">
        <f>Data!$R634&amp;"-"&amp;WEEKNUM(Data!$C634,1)-WEEKNUM(DATE(YEAR(Data!$C634),MONTH(Data!$C634),1),1)+1</f>
        <v>5-2024-3</v>
      </c>
      <c r="AK634" s="29">
        <f>MONTH(Data!$C634)</f>
        <v>5</v>
      </c>
      <c r="AL634" s="29">
        <f>IFERROR(Data!$F634/Data!$E634,0)</f>
        <v>101.4</v>
      </c>
      <c r="AM634" s="29">
        <f>COUNTIF(Data!$N$2:$N$825,Data!$N634)</f>
        <v>182</v>
      </c>
      <c r="AN634" s="29" t="str">
        <f>VLOOKUP(Data!$N634,'Helpful Tables'!A:D,4,FALSE)</f>
        <v>Oregon</v>
      </c>
      <c r="AO634" s="29">
        <f>COUNTIF(AN:AN,Data!$AN634)/COUNTA(AN:AN)</f>
        <v>0.27393939393939393</v>
      </c>
      <c r="AP634" s="29">
        <v>45.534162000000002</v>
      </c>
      <c r="AQ634" s="29">
        <v>-122.69670000000001</v>
      </c>
      <c r="AR634" s="29">
        <f>COUNTIF(Data!$P$2:$P$825,Data!$P634)</f>
        <v>25</v>
      </c>
      <c r="AS634" s="29" cm="1">
        <f t="array" ref="AS634">_xlfn.IFS(Data!$E634&lt;12,((Data!$E634/Data!$D634)*60)*1,AND(Data!$E634&gt;=12,Data!$E634&lt;=15),((Data!$E634/Data!$D634)*60)*1.2,AND(Data!$E634&gt;=16,Data!$E634&lt;=19),((Data!$E634/Data!$D634)*60)*1.5,Data!$E634&gt;=20,((Data!$E634/Data!$D634)*60)*1.8)</f>
        <v>4.9180327868852451</v>
      </c>
      <c r="AT634" s="29" cm="1">
        <f t="array" ref="AT634">_xlfn.IFS(Data!$F634&lt;600,((Data!$F634/Data!$D634)*60)*1,AND(Data!$F634&gt;=600,Data!$F634&lt;=625),((Data!$F634/Data!$D634)*60)*1.2,AND(Data!$F634&gt;=626,Data!$F634&lt;=650),((Data!$F634/Data!$D634)*60)*1.5,Data!$F634&gt;=651,((Data!$F634/Data!$D634)*60)*1.8)</f>
        <v>498.68852459016392</v>
      </c>
      <c r="AU634" s="29">
        <f>(Data!$I634*-1.2)+(Data!$J634*-1.1)+(Data!$K634*1.2)+(Data!$L634*1.3)+(Data!$M634*1.5)</f>
        <v>-26.400000000000006</v>
      </c>
      <c r="AV634" s="29">
        <f>(Data!$AS634*0.4)+(Data!$AT634*0.4)+(Data!$AU634*0.2)</f>
        <v>196.16262295081967</v>
      </c>
      <c r="AW634" s="34">
        <f>PERCENTRANK(AV:AV,Data!$AV634)*100</f>
        <v>0.3</v>
      </c>
      <c r="AX634" s="29" t="str">
        <f>_xlfn.CONCAT(TEXT(C634,"mmm"),"-",Data!$AE634)</f>
        <v>May-2024</v>
      </c>
    </row>
    <row r="635" spans="1:50" ht="17" thickTop="1" thickBot="1" x14ac:dyDescent="0.25">
      <c r="A635" s="22">
        <v>634</v>
      </c>
      <c r="B635" s="23">
        <f t="shared" si="74"/>
        <v>14</v>
      </c>
      <c r="C635" s="41">
        <v>45428</v>
      </c>
      <c r="D635" s="24">
        <f>SUM(Data!$I635:$M635)</f>
        <v>60</v>
      </c>
      <c r="E635" s="23">
        <v>22</v>
      </c>
      <c r="F635" s="23">
        <v>625</v>
      </c>
      <c r="G635" s="23">
        <v>174</v>
      </c>
      <c r="H635" s="23">
        <v>122</v>
      </c>
      <c r="I635" s="23">
        <v>27</v>
      </c>
      <c r="J635" s="23">
        <v>8</v>
      </c>
      <c r="K635" s="23">
        <v>3</v>
      </c>
      <c r="L635" s="23">
        <v>14</v>
      </c>
      <c r="M635" s="23">
        <v>8</v>
      </c>
      <c r="N635" s="23" t="s">
        <v>125</v>
      </c>
      <c r="O635" s="23" t="s">
        <v>127</v>
      </c>
      <c r="P635" s="23" t="s">
        <v>207</v>
      </c>
      <c r="Q635" s="23">
        <f t="shared" si="80"/>
        <v>2</v>
      </c>
      <c r="R635" s="23" t="str">
        <f t="shared" si="75"/>
        <v>5-2024</v>
      </c>
      <c r="S635" s="23" t="s">
        <v>104</v>
      </c>
      <c r="T635" s="23" t="str">
        <f t="shared" si="76"/>
        <v>Thursday</v>
      </c>
      <c r="U635" s="23">
        <f t="shared" si="77"/>
        <v>1</v>
      </c>
      <c r="V635" s="25">
        <f>IFERROR(Data!$I635/Data!$D635,"")</f>
        <v>0.45</v>
      </c>
      <c r="W635" s="25">
        <f>IFERROR(Data!$J635/Data!$D635,"")</f>
        <v>0.13333333333333333</v>
      </c>
      <c r="X635" s="25">
        <f>IFERROR(Data!$K635/Data!$D635,"")</f>
        <v>0.05</v>
      </c>
      <c r="Y635" s="25">
        <f>IFERROR(Data!$L635/Data!$D635,"")</f>
        <v>0.23333333333333334</v>
      </c>
      <c r="Z635" s="25">
        <f>IFERROR(Data!$M635/Data!$D635,"")</f>
        <v>0.13333333333333333</v>
      </c>
      <c r="AA635" s="26">
        <v>169</v>
      </c>
      <c r="AB635" s="26">
        <f t="shared" si="81"/>
        <v>12.071428571428571</v>
      </c>
      <c r="AC635" s="23">
        <f t="shared" si="78"/>
        <v>615.85714285714289</v>
      </c>
      <c r="AD635" s="23">
        <f t="shared" si="79"/>
        <v>13.5</v>
      </c>
      <c r="AE635" s="23">
        <f>YEAR(Data!$C635)</f>
        <v>2024</v>
      </c>
      <c r="AF635" s="23"/>
      <c r="AG635" s="23">
        <v>12</v>
      </c>
      <c r="AH635" s="27">
        <f>Data!$F635/Data!$D635</f>
        <v>10.416666666666666</v>
      </c>
      <c r="AI635" s="17" t="str">
        <f>RIGHT(Data!$O635,2)</f>
        <v>PM</v>
      </c>
      <c r="AJ635" s="23" t="str">
        <f>Data!$R635&amp;"-"&amp;WEEKNUM(Data!$C635,1)-WEEKNUM(DATE(YEAR(Data!$C635),MONTH(Data!$C635),1),1)+1</f>
        <v>5-2024-3</v>
      </c>
      <c r="AK635" s="23">
        <f>MONTH(Data!$C635)</f>
        <v>5</v>
      </c>
      <c r="AL635" s="23">
        <f>IFERROR(Data!$F635/Data!$E635,0)</f>
        <v>28.40909090909091</v>
      </c>
      <c r="AM635" s="23">
        <f>COUNTIF(Data!$N$2:$N$825,Data!$N635)</f>
        <v>182</v>
      </c>
      <c r="AN635" s="23" t="str">
        <f>VLOOKUP(Data!$N635,'Helpful Tables'!A:D,4,FALSE)</f>
        <v>Oregon</v>
      </c>
      <c r="AO635" s="23">
        <f>COUNTIF(AN:AN,Data!$AN635)/COUNTA(AN:AN)</f>
        <v>0.27393939393939393</v>
      </c>
      <c r="AP635" s="23">
        <v>45.534162000000002</v>
      </c>
      <c r="AQ635" s="23">
        <v>-122.69670000000001</v>
      </c>
      <c r="AR635" s="23">
        <f>COUNTIF(Data!$P$2:$P$825,Data!$P635)</f>
        <v>10</v>
      </c>
      <c r="AS635" s="23" cm="1">
        <f t="array" ref="AS635">_xlfn.IFS(Data!$E635&lt;12,((Data!$E635/Data!$D635)*60)*1,AND(Data!$E635&gt;=12,Data!$E635&lt;=15),((Data!$E635/Data!$D635)*60)*1.2,AND(Data!$E635&gt;=16,Data!$E635&lt;=19),((Data!$E635/Data!$D635)*60)*1.5,Data!$E635&gt;=20,((Data!$E635/Data!$D635)*60)*1.8)</f>
        <v>39.6</v>
      </c>
      <c r="AT635" s="23" cm="1">
        <f t="array" ref="AT635">_xlfn.IFS(Data!$F635&lt;600,((Data!$F635/Data!$D635)*60)*1,AND(Data!$F635&gt;=600,Data!$F635&lt;=625),((Data!$F635/Data!$D635)*60)*1.2,AND(Data!$F635&gt;=626,Data!$F635&lt;=650),((Data!$F635/Data!$D635)*60)*1.5,Data!$F635&gt;=651,((Data!$F635/Data!$D635)*60)*1.8)</f>
        <v>750</v>
      </c>
      <c r="AU635" s="23">
        <f>(Data!$I635*-1.2)+(Data!$J635*-1.1)+(Data!$K635*1.2)+(Data!$L635*1.3)+(Data!$M635*1.5)</f>
        <v>-7.4000000000000021</v>
      </c>
      <c r="AV635" s="23">
        <f>(Data!$AS635*0.4)+(Data!$AT635*0.4)+(Data!$AU635*0.2)</f>
        <v>314.35999999999996</v>
      </c>
      <c r="AW635" s="35">
        <f>PERCENTRANK(AV:AV,Data!$AV635)*100</f>
        <v>33.200000000000003</v>
      </c>
      <c r="AX635" s="23" t="str">
        <f>_xlfn.CONCAT(TEXT(C635,"mmm"),"-",Data!$AE635)</f>
        <v>May-2024</v>
      </c>
    </row>
    <row r="636" spans="1:50" ht="17" thickTop="1" thickBot="1" x14ac:dyDescent="0.25">
      <c r="A636" s="28">
        <v>635</v>
      </c>
      <c r="B636" s="29">
        <f t="shared" si="74"/>
        <v>14</v>
      </c>
      <c r="C636" s="41">
        <v>45431</v>
      </c>
      <c r="D636" s="30">
        <f>SUM(Data!$I636:$M636)</f>
        <v>59</v>
      </c>
      <c r="E636" s="29">
        <v>16</v>
      </c>
      <c r="F636" s="29">
        <v>673</v>
      </c>
      <c r="G636" s="29">
        <v>166</v>
      </c>
      <c r="H636" s="29">
        <v>127</v>
      </c>
      <c r="I636" s="29">
        <v>16</v>
      </c>
      <c r="J636" s="29">
        <v>12</v>
      </c>
      <c r="K636" s="29">
        <v>15</v>
      </c>
      <c r="L636" s="29">
        <v>13</v>
      </c>
      <c r="M636" s="29">
        <v>3</v>
      </c>
      <c r="N636" s="29" t="s">
        <v>125</v>
      </c>
      <c r="O636" s="29" t="s">
        <v>159</v>
      </c>
      <c r="P636" s="29" t="s">
        <v>217</v>
      </c>
      <c r="Q636" s="29">
        <f t="shared" si="80"/>
        <v>3</v>
      </c>
      <c r="R636" s="29" t="str">
        <f t="shared" si="75"/>
        <v>5-2024</v>
      </c>
      <c r="S636" s="29" t="s">
        <v>104</v>
      </c>
      <c r="T636" s="29" t="str">
        <f t="shared" si="76"/>
        <v>Sunday</v>
      </c>
      <c r="U636" s="29">
        <f t="shared" si="77"/>
        <v>1</v>
      </c>
      <c r="V636" s="31">
        <f>IFERROR(Data!$I636/Data!$D636,"")</f>
        <v>0.2711864406779661</v>
      </c>
      <c r="W636" s="31">
        <f>IFERROR(Data!$J636/Data!$D636,"")</f>
        <v>0.20338983050847459</v>
      </c>
      <c r="X636" s="31">
        <f>IFERROR(Data!$K636/Data!$D636,"")</f>
        <v>0.25423728813559321</v>
      </c>
      <c r="Y636" s="31">
        <f>IFERROR(Data!$L636/Data!$D636,"")</f>
        <v>0.22033898305084745</v>
      </c>
      <c r="Z636" s="31">
        <f>IFERROR(Data!$M636/Data!$D636,"")</f>
        <v>5.0847457627118647E-2</v>
      </c>
      <c r="AA636" s="32">
        <v>169</v>
      </c>
      <c r="AB636" s="32">
        <f t="shared" si="81"/>
        <v>12.071428571428571</v>
      </c>
      <c r="AC636" s="29">
        <f t="shared" si="78"/>
        <v>615.85714285714289</v>
      </c>
      <c r="AD636" s="29">
        <f t="shared" si="79"/>
        <v>13.5</v>
      </c>
      <c r="AE636" s="29">
        <f>YEAR(Data!$C636)</f>
        <v>2024</v>
      </c>
      <c r="AF636" s="29"/>
      <c r="AG636" s="29">
        <v>12</v>
      </c>
      <c r="AH636" s="33">
        <f>Data!$F636/Data!$D636</f>
        <v>11.40677966101695</v>
      </c>
      <c r="AI636" s="17" t="str">
        <f>RIGHT(Data!$O636,2)</f>
        <v>AM</v>
      </c>
      <c r="AJ636" s="29" t="str">
        <f>Data!$R636&amp;"-"&amp;WEEKNUM(Data!$C636,1)-WEEKNUM(DATE(YEAR(Data!$C636),MONTH(Data!$C636),1),1)+1</f>
        <v>5-2024-4</v>
      </c>
      <c r="AK636" s="29">
        <f>MONTH(Data!$C636)</f>
        <v>5</v>
      </c>
      <c r="AL636" s="29">
        <f>IFERROR(Data!$F636/Data!$E636,0)</f>
        <v>42.0625</v>
      </c>
      <c r="AM636" s="29">
        <f>COUNTIF(Data!$N$2:$N$825,Data!$N636)</f>
        <v>182</v>
      </c>
      <c r="AN636" s="29" t="str">
        <f>VLOOKUP(Data!$N636,'Helpful Tables'!A:D,4,FALSE)</f>
        <v>Oregon</v>
      </c>
      <c r="AO636" s="29">
        <f>COUNTIF(AN:AN,Data!$AN636)/COUNTA(AN:AN)</f>
        <v>0.27393939393939393</v>
      </c>
      <c r="AP636" s="29">
        <v>45.534162000000002</v>
      </c>
      <c r="AQ636" s="29">
        <v>-122.69670000000001</v>
      </c>
      <c r="AR636" s="29">
        <f>COUNTIF(Data!$P$2:$P$825,Data!$P636)</f>
        <v>7</v>
      </c>
      <c r="AS636" s="29" cm="1">
        <f t="array" ref="AS636">_xlfn.IFS(Data!$E636&lt;12,((Data!$E636/Data!$D636)*60)*1,AND(Data!$E636&gt;=12,Data!$E636&lt;=15),((Data!$E636/Data!$D636)*60)*1.2,AND(Data!$E636&gt;=16,Data!$E636&lt;=19),((Data!$E636/Data!$D636)*60)*1.5,Data!$E636&gt;=20,((Data!$E636/Data!$D636)*60)*1.8)</f>
        <v>24.406779661016948</v>
      </c>
      <c r="AT636" s="29" cm="1">
        <f t="array" ref="AT636">_xlfn.IFS(Data!$F636&lt;600,((Data!$F636/Data!$D636)*60)*1,AND(Data!$F636&gt;=600,Data!$F636&lt;=625),((Data!$F636/Data!$D636)*60)*1.2,AND(Data!$F636&gt;=626,Data!$F636&lt;=650),((Data!$F636/Data!$D636)*60)*1.5,Data!$F636&gt;=651,((Data!$F636/Data!$D636)*60)*1.8)</f>
        <v>1231.9322033898306</v>
      </c>
      <c r="AU636" s="29">
        <f>(Data!$I636*-1.2)+(Data!$J636*-1.1)+(Data!$K636*1.2)+(Data!$L636*1.3)+(Data!$M636*1.5)</f>
        <v>7.0000000000000036</v>
      </c>
      <c r="AV636" s="29">
        <f>(Data!$AS636*0.4)+(Data!$AT636*0.4)+(Data!$AU636*0.2)</f>
        <v>503.935593220339</v>
      </c>
      <c r="AW636" s="34">
        <f>PERCENTRANK(AV:AV,Data!$AV636)*100</f>
        <v>80.100000000000009</v>
      </c>
      <c r="AX636" s="29" t="str">
        <f>_xlfn.CONCAT(TEXT(C636,"mmm"),"-",Data!$AE636)</f>
        <v>May-2024</v>
      </c>
    </row>
    <row r="637" spans="1:50" ht="17" thickTop="1" thickBot="1" x14ac:dyDescent="0.25">
      <c r="A637" s="22">
        <v>636</v>
      </c>
      <c r="B637" s="23">
        <f t="shared" si="74"/>
        <v>14</v>
      </c>
      <c r="C637" s="41">
        <v>45433</v>
      </c>
      <c r="D637" s="24">
        <f>SUM(Data!$I637:$M637)</f>
        <v>56</v>
      </c>
      <c r="E637" s="23">
        <v>7</v>
      </c>
      <c r="F637" s="23">
        <v>554</v>
      </c>
      <c r="G637" s="23">
        <v>156</v>
      </c>
      <c r="H637" s="23">
        <v>117</v>
      </c>
      <c r="I637" s="23">
        <v>18</v>
      </c>
      <c r="J637" s="23">
        <v>13</v>
      </c>
      <c r="K637" s="23">
        <v>18</v>
      </c>
      <c r="L637" s="23">
        <v>7</v>
      </c>
      <c r="M637" s="23">
        <v>0</v>
      </c>
      <c r="N637" s="23" t="s">
        <v>208</v>
      </c>
      <c r="O637" s="23" t="s">
        <v>53</v>
      </c>
      <c r="P637" s="23" t="s">
        <v>213</v>
      </c>
      <c r="Q637" s="23">
        <f t="shared" si="80"/>
        <v>2</v>
      </c>
      <c r="R637" s="23" t="str">
        <f t="shared" si="75"/>
        <v>5-2024</v>
      </c>
      <c r="S637" s="23" t="s">
        <v>104</v>
      </c>
      <c r="T637" s="23" t="str">
        <f t="shared" si="76"/>
        <v>Tuesday</v>
      </c>
      <c r="U637" s="23">
        <f t="shared" si="77"/>
        <v>0</v>
      </c>
      <c r="V637" s="25">
        <f>IFERROR(Data!$I637/Data!$D637,"")</f>
        <v>0.32142857142857145</v>
      </c>
      <c r="W637" s="25">
        <f>IFERROR(Data!$J637/Data!$D637,"")</f>
        <v>0.23214285714285715</v>
      </c>
      <c r="X637" s="25">
        <f>IFERROR(Data!$K637/Data!$D637,"")</f>
        <v>0.32142857142857145</v>
      </c>
      <c r="Y637" s="25">
        <f>IFERROR(Data!$L637/Data!$D637,"")</f>
        <v>0.125</v>
      </c>
      <c r="Z637" s="25">
        <f>IFERROR(Data!$M637/Data!$D637,"")</f>
        <v>0</v>
      </c>
      <c r="AA637" s="26">
        <v>169</v>
      </c>
      <c r="AB637" s="26">
        <f t="shared" si="81"/>
        <v>12.071428571428571</v>
      </c>
      <c r="AC637" s="23">
        <f t="shared" si="78"/>
        <v>615.85714285714289</v>
      </c>
      <c r="AD637" s="23">
        <f t="shared" si="79"/>
        <v>13.5</v>
      </c>
      <c r="AE637" s="23">
        <f>YEAR(Data!$C637)</f>
        <v>2024</v>
      </c>
      <c r="AF637" s="23"/>
      <c r="AG637" s="23">
        <v>12</v>
      </c>
      <c r="AH637" s="27">
        <f>Data!$F637/Data!$D637</f>
        <v>9.8928571428571423</v>
      </c>
      <c r="AI637" s="17" t="str">
        <f>RIGHT(Data!$O637,2)</f>
        <v>PM</v>
      </c>
      <c r="AJ637" s="23" t="str">
        <f>Data!$R637&amp;"-"&amp;WEEKNUM(Data!$C637,1)-WEEKNUM(DATE(YEAR(Data!$C637),MONTH(Data!$C637),1),1)+1</f>
        <v>5-2024-4</v>
      </c>
      <c r="AK637" s="23">
        <f>MONTH(Data!$C637)</f>
        <v>5</v>
      </c>
      <c r="AL637" s="23">
        <f>IFERROR(Data!$F637/Data!$E637,0)</f>
        <v>79.142857142857139</v>
      </c>
      <c r="AM637" s="23">
        <f>COUNTIF(Data!$N$2:$N$825,Data!$N637)</f>
        <v>42</v>
      </c>
      <c r="AN637" s="23" t="str">
        <f>VLOOKUP(Data!$N637,'Helpful Tables'!A:D,4,FALSE)</f>
        <v>Oregon</v>
      </c>
      <c r="AO637" s="23">
        <f>COUNTIF(AN:AN,Data!$AN637)/COUNTA(AN:AN)</f>
        <v>0.27393939393939393</v>
      </c>
      <c r="AP637" s="23">
        <v>45.525092999999998</v>
      </c>
      <c r="AQ637" s="23">
        <v>-122.681383</v>
      </c>
      <c r="AR637" s="23">
        <f>COUNTIF(Data!$P$2:$P$825,Data!$P637)</f>
        <v>20</v>
      </c>
      <c r="AS637" s="23" cm="1">
        <f t="array" ref="AS637">_xlfn.IFS(Data!$E637&lt;12,((Data!$E637/Data!$D637)*60)*1,AND(Data!$E637&gt;=12,Data!$E637&lt;=15),((Data!$E637/Data!$D637)*60)*1.2,AND(Data!$E637&gt;=16,Data!$E637&lt;=19),((Data!$E637/Data!$D637)*60)*1.5,Data!$E637&gt;=20,((Data!$E637/Data!$D637)*60)*1.8)</f>
        <v>7.5</v>
      </c>
      <c r="AT637" s="23" cm="1">
        <f t="array" ref="AT637">_xlfn.IFS(Data!$F637&lt;600,((Data!$F637/Data!$D637)*60)*1,AND(Data!$F637&gt;=600,Data!$F637&lt;=625),((Data!$F637/Data!$D637)*60)*1.2,AND(Data!$F637&gt;=626,Data!$F637&lt;=650),((Data!$F637/Data!$D637)*60)*1.5,Data!$F637&gt;=651,((Data!$F637/Data!$D637)*60)*1.8)</f>
        <v>593.57142857142856</v>
      </c>
      <c r="AU637" s="23">
        <f>(Data!$I637*-1.2)+(Data!$J637*-1.1)+(Data!$K637*1.2)+(Data!$L637*1.3)+(Data!$M637*1.5)</f>
        <v>-5.2000000000000011</v>
      </c>
      <c r="AV637" s="23">
        <f>(Data!$AS637*0.4)+(Data!$AT637*0.4)+(Data!$AU637*0.2)</f>
        <v>239.38857142857145</v>
      </c>
      <c r="AW637" s="35">
        <f>PERCENTRANK(AV:AV,Data!$AV637)*100</f>
        <v>11.899999999999999</v>
      </c>
      <c r="AX637" s="23" t="str">
        <f>_xlfn.CONCAT(TEXT(C637,"mmm"),"-",Data!$AE637)</f>
        <v>May-2024</v>
      </c>
    </row>
    <row r="638" spans="1:50" ht="17" thickTop="1" thickBot="1" x14ac:dyDescent="0.25">
      <c r="A638" s="28">
        <v>637</v>
      </c>
      <c r="B638" s="29">
        <f t="shared" si="74"/>
        <v>14</v>
      </c>
      <c r="C638" s="41">
        <v>45435</v>
      </c>
      <c r="D638" s="30">
        <f>SUM(Data!$I638:$M638)</f>
        <v>57</v>
      </c>
      <c r="E638" s="29">
        <v>13</v>
      </c>
      <c r="F638" s="29">
        <v>638</v>
      </c>
      <c r="G638" s="29">
        <v>165</v>
      </c>
      <c r="H638" s="29">
        <v>126</v>
      </c>
      <c r="I638" s="29">
        <v>13</v>
      </c>
      <c r="J638" s="29">
        <v>14</v>
      </c>
      <c r="K638" s="29">
        <v>17</v>
      </c>
      <c r="L638" s="29">
        <v>12</v>
      </c>
      <c r="M638" s="29">
        <v>1</v>
      </c>
      <c r="N638" s="29" t="s">
        <v>125</v>
      </c>
      <c r="O638" s="29" t="s">
        <v>127</v>
      </c>
      <c r="P638" s="29" t="s">
        <v>207</v>
      </c>
      <c r="Q638" s="29">
        <f t="shared" si="80"/>
        <v>2</v>
      </c>
      <c r="R638" s="29" t="str">
        <f t="shared" si="75"/>
        <v>5-2024</v>
      </c>
      <c r="S638" s="29" t="s">
        <v>104</v>
      </c>
      <c r="T638" s="29" t="str">
        <f t="shared" si="76"/>
        <v>Thursday</v>
      </c>
      <c r="U638" s="29">
        <f t="shared" si="77"/>
        <v>1</v>
      </c>
      <c r="V638" s="31">
        <f>IFERROR(Data!$I638/Data!$D638,"")</f>
        <v>0.22807017543859648</v>
      </c>
      <c r="W638" s="31">
        <f>IFERROR(Data!$J638/Data!$D638,"")</f>
        <v>0.24561403508771928</v>
      </c>
      <c r="X638" s="31">
        <f>IFERROR(Data!$K638/Data!$D638,"")</f>
        <v>0.2982456140350877</v>
      </c>
      <c r="Y638" s="31">
        <f>IFERROR(Data!$L638/Data!$D638,"")</f>
        <v>0.21052631578947367</v>
      </c>
      <c r="Z638" s="31">
        <f>IFERROR(Data!$M638/Data!$D638,"")</f>
        <v>1.7543859649122806E-2</v>
      </c>
      <c r="AA638" s="32">
        <v>169</v>
      </c>
      <c r="AB638" s="32">
        <f t="shared" si="81"/>
        <v>12.071428571428571</v>
      </c>
      <c r="AC638" s="29">
        <f t="shared" si="78"/>
        <v>615.85714285714289</v>
      </c>
      <c r="AD638" s="29">
        <f t="shared" si="79"/>
        <v>13.5</v>
      </c>
      <c r="AE638" s="29">
        <f>YEAR(Data!$C638)</f>
        <v>2024</v>
      </c>
      <c r="AF638" s="29"/>
      <c r="AG638" s="29">
        <v>12</v>
      </c>
      <c r="AH638" s="33">
        <f>Data!$F638/Data!$D638</f>
        <v>11.192982456140351</v>
      </c>
      <c r="AI638" s="17" t="str">
        <f>RIGHT(Data!$O638,2)</f>
        <v>PM</v>
      </c>
      <c r="AJ638" s="29" t="str">
        <f>Data!$R638&amp;"-"&amp;WEEKNUM(Data!$C638,1)-WEEKNUM(DATE(YEAR(Data!$C638),MONTH(Data!$C638),1),1)+1</f>
        <v>5-2024-4</v>
      </c>
      <c r="AK638" s="29">
        <f>MONTH(Data!$C638)</f>
        <v>5</v>
      </c>
      <c r="AL638" s="29">
        <f>IFERROR(Data!$F638/Data!$E638,0)</f>
        <v>49.07692307692308</v>
      </c>
      <c r="AM638" s="29">
        <f>COUNTIF(Data!$N$2:$N$825,Data!$N638)</f>
        <v>182</v>
      </c>
      <c r="AN638" s="29" t="str">
        <f>VLOOKUP(Data!$N638,'Helpful Tables'!A:D,4,FALSE)</f>
        <v>Oregon</v>
      </c>
      <c r="AO638" s="29">
        <f>COUNTIF(AN:AN,Data!$AN638)/COUNTA(AN:AN)</f>
        <v>0.27393939393939393</v>
      </c>
      <c r="AP638" s="29">
        <v>45.534162000000002</v>
      </c>
      <c r="AQ638" s="29">
        <v>-122.69670000000001</v>
      </c>
      <c r="AR638" s="29">
        <f>COUNTIF(Data!$P$2:$P$825,Data!$P638)</f>
        <v>10</v>
      </c>
      <c r="AS638" s="29" cm="1">
        <f t="array" ref="AS638">_xlfn.IFS(Data!$E638&lt;12,((Data!$E638/Data!$D638)*60)*1,AND(Data!$E638&gt;=12,Data!$E638&lt;=15),((Data!$E638/Data!$D638)*60)*1.2,AND(Data!$E638&gt;=16,Data!$E638&lt;=19),((Data!$E638/Data!$D638)*60)*1.5,Data!$E638&gt;=20,((Data!$E638/Data!$D638)*60)*1.8)</f>
        <v>16.421052631578945</v>
      </c>
      <c r="AT638" s="29" cm="1">
        <f t="array" ref="AT638">_xlfn.IFS(Data!$F638&lt;600,((Data!$F638/Data!$D638)*60)*1,AND(Data!$F638&gt;=600,Data!$F638&lt;=625),((Data!$F638/Data!$D638)*60)*1.2,AND(Data!$F638&gt;=626,Data!$F638&lt;=650),((Data!$F638/Data!$D638)*60)*1.5,Data!$F638&gt;=651,((Data!$F638/Data!$D638)*60)*1.8)</f>
        <v>1007.3684210526316</v>
      </c>
      <c r="AU638" s="29">
        <f>(Data!$I638*-1.2)+(Data!$J638*-1.1)+(Data!$K638*1.2)+(Data!$L638*1.3)+(Data!$M638*1.5)</f>
        <v>6.5</v>
      </c>
      <c r="AV638" s="29">
        <f>(Data!$AS638*0.4)+(Data!$AT638*0.4)+(Data!$AU638*0.2)</f>
        <v>410.81578947368422</v>
      </c>
      <c r="AW638" s="34">
        <f>PERCENTRANK(AV:AV,Data!$AV638)*100</f>
        <v>57.499999999999993</v>
      </c>
      <c r="AX638" s="29" t="str">
        <f>_xlfn.CONCAT(TEXT(C638,"mmm"),"-",Data!$AE638)</f>
        <v>May-2024</v>
      </c>
    </row>
    <row r="639" spans="1:50" ht="17" thickTop="1" thickBot="1" x14ac:dyDescent="0.25">
      <c r="A639" s="22">
        <v>638</v>
      </c>
      <c r="B639" s="23">
        <f t="shared" si="74"/>
        <v>14</v>
      </c>
      <c r="C639" s="41">
        <v>45437</v>
      </c>
      <c r="D639" s="24">
        <f>SUM(Data!$I639:$M639)</f>
        <v>61</v>
      </c>
      <c r="E639" s="23">
        <v>17</v>
      </c>
      <c r="F639" s="23">
        <v>656</v>
      </c>
      <c r="G639" s="23">
        <v>166</v>
      </c>
      <c r="H639" s="23">
        <v>124</v>
      </c>
      <c r="I639" s="23">
        <v>17</v>
      </c>
      <c r="J639" s="23">
        <v>17</v>
      </c>
      <c r="K639" s="23">
        <v>10</v>
      </c>
      <c r="L639" s="23">
        <v>14</v>
      </c>
      <c r="M639" s="23">
        <v>3</v>
      </c>
      <c r="N639" s="23" t="s">
        <v>125</v>
      </c>
      <c r="O639" s="23" t="s">
        <v>159</v>
      </c>
      <c r="P639" s="23" t="s">
        <v>216</v>
      </c>
      <c r="Q639" s="23">
        <f t="shared" si="80"/>
        <v>2</v>
      </c>
      <c r="R639" s="23" t="str">
        <f t="shared" si="75"/>
        <v>5-2024</v>
      </c>
      <c r="S639" s="23" t="s">
        <v>117</v>
      </c>
      <c r="T639" s="23" t="str">
        <f t="shared" si="76"/>
        <v>Saturday</v>
      </c>
      <c r="U639" s="23">
        <f t="shared" si="77"/>
        <v>1</v>
      </c>
      <c r="V639" s="25">
        <f>IFERROR(Data!$I639/Data!$D639,"")</f>
        <v>0.27868852459016391</v>
      </c>
      <c r="W639" s="25">
        <f>IFERROR(Data!$J639/Data!$D639,"")</f>
        <v>0.27868852459016391</v>
      </c>
      <c r="X639" s="25">
        <f>IFERROR(Data!$K639/Data!$D639,"")</f>
        <v>0.16393442622950818</v>
      </c>
      <c r="Y639" s="25">
        <f>IFERROR(Data!$L639/Data!$D639,"")</f>
        <v>0.22950819672131148</v>
      </c>
      <c r="Z639" s="25">
        <f>IFERROR(Data!$M639/Data!$D639,"")</f>
        <v>4.9180327868852458E-2</v>
      </c>
      <c r="AA639" s="26">
        <v>169</v>
      </c>
      <c r="AB639" s="26">
        <f t="shared" si="81"/>
        <v>12.071428571428571</v>
      </c>
      <c r="AC639" s="23">
        <f t="shared" si="78"/>
        <v>615.85714285714289</v>
      </c>
      <c r="AD639" s="23">
        <f t="shared" si="79"/>
        <v>13.5</v>
      </c>
      <c r="AE639" s="23">
        <f>YEAR(Data!$C639)</f>
        <v>2024</v>
      </c>
      <c r="AF639" s="23"/>
      <c r="AG639" s="23">
        <v>12</v>
      </c>
      <c r="AH639" s="27">
        <f>Data!$F639/Data!$D639</f>
        <v>10.754098360655737</v>
      </c>
      <c r="AI639" s="17" t="str">
        <f>RIGHT(Data!$O639,2)</f>
        <v>AM</v>
      </c>
      <c r="AJ639" s="23" t="str">
        <f>Data!$R639&amp;"-"&amp;WEEKNUM(Data!$C639,1)-WEEKNUM(DATE(YEAR(Data!$C639),MONTH(Data!$C639),1),1)+1</f>
        <v>5-2024-4</v>
      </c>
      <c r="AK639" s="23">
        <f>MONTH(Data!$C639)</f>
        <v>5</v>
      </c>
      <c r="AL639" s="23">
        <f>IFERROR(Data!$F639/Data!$E639,0)</f>
        <v>38.588235294117645</v>
      </c>
      <c r="AM639" s="23">
        <f>COUNTIF(Data!$N$2:$N$825,Data!$N639)</f>
        <v>182</v>
      </c>
      <c r="AN639" s="23" t="str">
        <f>VLOOKUP(Data!$N639,'Helpful Tables'!A:D,4,FALSE)</f>
        <v>Oregon</v>
      </c>
      <c r="AO639" s="23">
        <f>COUNTIF(AN:AN,Data!$AN639)/COUNTA(AN:AN)</f>
        <v>0.27393939393939393</v>
      </c>
      <c r="AP639" s="23">
        <v>45.534162000000002</v>
      </c>
      <c r="AQ639" s="23">
        <v>-122.69670000000001</v>
      </c>
      <c r="AR639" s="23">
        <f>COUNTIF(Data!$P$2:$P$825,Data!$P639)</f>
        <v>25</v>
      </c>
      <c r="AS639" s="23" cm="1">
        <f t="array" ref="AS639">_xlfn.IFS(Data!$E639&lt;12,((Data!$E639/Data!$D639)*60)*1,AND(Data!$E639&gt;=12,Data!$E639&lt;=15),((Data!$E639/Data!$D639)*60)*1.2,AND(Data!$E639&gt;=16,Data!$E639&lt;=19),((Data!$E639/Data!$D639)*60)*1.5,Data!$E639&gt;=20,((Data!$E639/Data!$D639)*60)*1.8)</f>
        <v>25.081967213114751</v>
      </c>
      <c r="AT639" s="23" cm="1">
        <f t="array" ref="AT639">_xlfn.IFS(Data!$F639&lt;600,((Data!$F639/Data!$D639)*60)*1,AND(Data!$F639&gt;=600,Data!$F639&lt;=625),((Data!$F639/Data!$D639)*60)*1.2,AND(Data!$F639&gt;=626,Data!$F639&lt;=650),((Data!$F639/Data!$D639)*60)*1.5,Data!$F639&gt;=651,((Data!$F639/Data!$D639)*60)*1.8)</f>
        <v>1161.4426229508197</v>
      </c>
      <c r="AU639" s="23">
        <f>(Data!$I639*-1.2)+(Data!$J639*-1.1)+(Data!$K639*1.2)+(Data!$L639*1.3)+(Data!$M639*1.5)</f>
        <v>-4.4000000000000021</v>
      </c>
      <c r="AV639" s="23">
        <f>(Data!$AS639*0.4)+(Data!$AT639*0.4)+(Data!$AU639*0.2)</f>
        <v>473.72983606557381</v>
      </c>
      <c r="AW639" s="35">
        <f>PERCENTRANK(AV:AV,Data!$AV639)*100</f>
        <v>67.7</v>
      </c>
      <c r="AX639" s="23" t="str">
        <f>_xlfn.CONCAT(TEXT(C639,"mmm"),"-",Data!$AE639)</f>
        <v>May-2024</v>
      </c>
    </row>
    <row r="640" spans="1:50" ht="17" thickTop="1" thickBot="1" x14ac:dyDescent="0.25">
      <c r="A640" s="28">
        <v>639</v>
      </c>
      <c r="B640" s="29">
        <f t="shared" si="74"/>
        <v>14</v>
      </c>
      <c r="C640" s="41">
        <v>45438</v>
      </c>
      <c r="D640" s="30">
        <f>SUM(Data!$I640:$M640)</f>
        <v>61</v>
      </c>
      <c r="E640" s="29">
        <v>8</v>
      </c>
      <c r="F640" s="29">
        <v>592</v>
      </c>
      <c r="G640" s="29">
        <v>160</v>
      </c>
      <c r="H640" s="29">
        <v>118</v>
      </c>
      <c r="I640" s="29">
        <v>24</v>
      </c>
      <c r="J640" s="29">
        <v>10</v>
      </c>
      <c r="K640" s="29">
        <v>19</v>
      </c>
      <c r="L640" s="29">
        <v>8</v>
      </c>
      <c r="M640" s="29">
        <v>0</v>
      </c>
      <c r="N640" s="29" t="s">
        <v>125</v>
      </c>
      <c r="O640" s="29" t="s">
        <v>159</v>
      </c>
      <c r="P640" s="29" t="s">
        <v>218</v>
      </c>
      <c r="Q640" s="29">
        <f t="shared" si="80"/>
        <v>1</v>
      </c>
      <c r="R640" s="29" t="str">
        <f t="shared" si="75"/>
        <v>5-2024</v>
      </c>
      <c r="S640" s="29" t="s">
        <v>117</v>
      </c>
      <c r="T640" s="29" t="str">
        <f t="shared" si="76"/>
        <v>Sunday</v>
      </c>
      <c r="U640" s="29">
        <f t="shared" si="77"/>
        <v>0</v>
      </c>
      <c r="V640" s="31">
        <f>IFERROR(Data!$I640/Data!$D640,"")</f>
        <v>0.39344262295081966</v>
      </c>
      <c r="W640" s="31">
        <f>IFERROR(Data!$J640/Data!$D640,"")</f>
        <v>0.16393442622950818</v>
      </c>
      <c r="X640" s="31">
        <f>IFERROR(Data!$K640/Data!$D640,"")</f>
        <v>0.31147540983606559</v>
      </c>
      <c r="Y640" s="31">
        <f>IFERROR(Data!$L640/Data!$D640,"")</f>
        <v>0.13114754098360656</v>
      </c>
      <c r="Z640" s="31">
        <f>IFERROR(Data!$M640/Data!$D640,"")</f>
        <v>0</v>
      </c>
      <c r="AA640" s="32">
        <v>169</v>
      </c>
      <c r="AB640" s="32">
        <f t="shared" si="81"/>
        <v>12.071428571428571</v>
      </c>
      <c r="AC640" s="29">
        <f t="shared" si="78"/>
        <v>615.85714285714289</v>
      </c>
      <c r="AD640" s="29">
        <f t="shared" si="79"/>
        <v>13.5</v>
      </c>
      <c r="AE640" s="29">
        <f>YEAR(Data!$C640)</f>
        <v>2024</v>
      </c>
      <c r="AF640" s="29"/>
      <c r="AG640" s="29">
        <v>12</v>
      </c>
      <c r="AH640" s="33">
        <f>Data!$F640/Data!$D640</f>
        <v>9.7049180327868854</v>
      </c>
      <c r="AI640" s="17" t="str">
        <f>RIGHT(Data!$O640,2)</f>
        <v>AM</v>
      </c>
      <c r="AJ640" s="29" t="str">
        <f>Data!$R640&amp;"-"&amp;WEEKNUM(Data!$C640,1)-WEEKNUM(DATE(YEAR(Data!$C640),MONTH(Data!$C640),1),1)+1</f>
        <v>5-2024-5</v>
      </c>
      <c r="AK640" s="29">
        <f>MONTH(Data!$C640)</f>
        <v>5</v>
      </c>
      <c r="AL640" s="29">
        <f>IFERROR(Data!$F640/Data!$E640,0)</f>
        <v>74</v>
      </c>
      <c r="AM640" s="29">
        <f>COUNTIF(Data!$N$2:$N$825,Data!$N640)</f>
        <v>182</v>
      </c>
      <c r="AN640" s="29" t="str">
        <f>VLOOKUP(Data!$N640,'Helpful Tables'!A:D,4,FALSE)</f>
        <v>Oregon</v>
      </c>
      <c r="AO640" s="29">
        <f>COUNTIF(AN:AN,Data!$AN640)/COUNTA(AN:AN)</f>
        <v>0.27393939393939393</v>
      </c>
      <c r="AP640" s="29">
        <v>45.534162000000002</v>
      </c>
      <c r="AQ640" s="29">
        <v>-122.69670000000001</v>
      </c>
      <c r="AR640" s="29">
        <f>COUNTIF(Data!$P$2:$P$825,Data!$P640)</f>
        <v>9</v>
      </c>
      <c r="AS640" s="29" cm="1">
        <f t="array" ref="AS640">_xlfn.IFS(Data!$E640&lt;12,((Data!$E640/Data!$D640)*60)*1,AND(Data!$E640&gt;=12,Data!$E640&lt;=15),((Data!$E640/Data!$D640)*60)*1.2,AND(Data!$E640&gt;=16,Data!$E640&lt;=19),((Data!$E640/Data!$D640)*60)*1.5,Data!$E640&gt;=20,((Data!$E640/Data!$D640)*60)*1.8)</f>
        <v>7.8688524590163942</v>
      </c>
      <c r="AT640" s="29" cm="1">
        <f t="array" ref="AT640">_xlfn.IFS(Data!$F640&lt;600,((Data!$F640/Data!$D640)*60)*1,AND(Data!$F640&gt;=600,Data!$F640&lt;=625),((Data!$F640/Data!$D640)*60)*1.2,AND(Data!$F640&gt;=626,Data!$F640&lt;=650),((Data!$F640/Data!$D640)*60)*1.5,Data!$F640&gt;=651,((Data!$F640/Data!$D640)*60)*1.8)</f>
        <v>582.29508196721315</v>
      </c>
      <c r="AU640" s="29">
        <f>(Data!$I640*-1.2)+(Data!$J640*-1.1)+(Data!$K640*1.2)+(Data!$L640*1.3)+(Data!$M640*1.5)</f>
        <v>-6.5999999999999961</v>
      </c>
      <c r="AV640" s="29">
        <f>(Data!$AS640*0.4)+(Data!$AT640*0.4)+(Data!$AU640*0.2)</f>
        <v>234.74557377049183</v>
      </c>
      <c r="AW640" s="34">
        <f>PERCENTRANK(AV:AV,Data!$AV640)*100</f>
        <v>9.6</v>
      </c>
      <c r="AX640" s="29" t="str">
        <f>_xlfn.CONCAT(TEXT(C640,"mmm"),"-",Data!$AE640)</f>
        <v>May-2024</v>
      </c>
    </row>
    <row r="641" spans="1:50" ht="17" thickTop="1" thickBot="1" x14ac:dyDescent="0.25">
      <c r="A641" s="22">
        <v>640</v>
      </c>
      <c r="B641" s="23">
        <f t="shared" si="74"/>
        <v>14</v>
      </c>
      <c r="C641" s="41">
        <v>45440</v>
      </c>
      <c r="D641" s="24">
        <f>SUM(Data!$I641:$M641)</f>
        <v>57</v>
      </c>
      <c r="E641" s="23">
        <v>12</v>
      </c>
      <c r="F641" s="23">
        <v>620</v>
      </c>
      <c r="G641" s="23">
        <v>157</v>
      </c>
      <c r="H641" s="23">
        <v>123</v>
      </c>
      <c r="I641" s="23">
        <v>14</v>
      </c>
      <c r="J641" s="23">
        <v>15</v>
      </c>
      <c r="K641" s="23">
        <v>16</v>
      </c>
      <c r="L641" s="23">
        <v>12</v>
      </c>
      <c r="M641" s="23">
        <v>0</v>
      </c>
      <c r="N641" s="23" t="s">
        <v>208</v>
      </c>
      <c r="O641" s="23" t="s">
        <v>53</v>
      </c>
      <c r="P641" s="23" t="s">
        <v>213</v>
      </c>
      <c r="Q641" s="23">
        <f t="shared" si="80"/>
        <v>2</v>
      </c>
      <c r="R641" s="23" t="str">
        <f t="shared" si="75"/>
        <v>5-2024</v>
      </c>
      <c r="S641" s="23" t="s">
        <v>104</v>
      </c>
      <c r="T641" s="23" t="str">
        <f t="shared" si="76"/>
        <v>Tuesday</v>
      </c>
      <c r="U641" s="23">
        <f t="shared" si="77"/>
        <v>1</v>
      </c>
      <c r="V641" s="25">
        <f>IFERROR(Data!$I641/Data!$D641,"")</f>
        <v>0.24561403508771928</v>
      </c>
      <c r="W641" s="25">
        <f>IFERROR(Data!$J641/Data!$D641,"")</f>
        <v>0.26315789473684209</v>
      </c>
      <c r="X641" s="25">
        <f>IFERROR(Data!$K641/Data!$D641,"")</f>
        <v>0.2807017543859649</v>
      </c>
      <c r="Y641" s="25">
        <f>IFERROR(Data!$L641/Data!$D641,"")</f>
        <v>0.21052631578947367</v>
      </c>
      <c r="Z641" s="25">
        <f>IFERROR(Data!$M641/Data!$D641,"")</f>
        <v>0</v>
      </c>
      <c r="AA641" s="26">
        <v>169</v>
      </c>
      <c r="AB641" s="26">
        <f t="shared" si="81"/>
        <v>12.071428571428571</v>
      </c>
      <c r="AC641" s="23">
        <f t="shared" si="78"/>
        <v>615.85714285714289</v>
      </c>
      <c r="AD641" s="23">
        <f t="shared" si="79"/>
        <v>13.5</v>
      </c>
      <c r="AE641" s="23">
        <f>YEAR(Data!$C641)</f>
        <v>2024</v>
      </c>
      <c r="AF641" s="23"/>
      <c r="AG641" s="23">
        <v>12</v>
      </c>
      <c r="AH641" s="27">
        <f>Data!$F641/Data!$D641</f>
        <v>10.87719298245614</v>
      </c>
      <c r="AI641" s="17" t="str">
        <f>RIGHT(Data!$O641,2)</f>
        <v>PM</v>
      </c>
      <c r="AJ641" s="23" t="str">
        <f>Data!$R641&amp;"-"&amp;WEEKNUM(Data!$C641,1)-WEEKNUM(DATE(YEAR(Data!$C641),MONTH(Data!$C641),1),1)+1</f>
        <v>5-2024-5</v>
      </c>
      <c r="AK641" s="23">
        <f>MONTH(Data!$C641)</f>
        <v>5</v>
      </c>
      <c r="AL641" s="23">
        <f>IFERROR(Data!$F641/Data!$E641,0)</f>
        <v>51.666666666666664</v>
      </c>
      <c r="AM641" s="23">
        <f>COUNTIF(Data!$N$2:$N$825,Data!$N641)</f>
        <v>42</v>
      </c>
      <c r="AN641" s="23" t="str">
        <f>VLOOKUP(Data!$N641,'Helpful Tables'!A:D,4,FALSE)</f>
        <v>Oregon</v>
      </c>
      <c r="AO641" s="23">
        <f>COUNTIF(AN:AN,Data!$AN641)/COUNTA(AN:AN)</f>
        <v>0.27393939393939393</v>
      </c>
      <c r="AP641" s="23">
        <v>45.525092999999998</v>
      </c>
      <c r="AQ641" s="23">
        <v>-122.681383</v>
      </c>
      <c r="AR641" s="23">
        <f>COUNTIF(Data!$P$2:$P$825,Data!$P641)</f>
        <v>20</v>
      </c>
      <c r="AS641" s="23" cm="1">
        <f t="array" ref="AS641">_xlfn.IFS(Data!$E641&lt;12,((Data!$E641/Data!$D641)*60)*1,AND(Data!$E641&gt;=12,Data!$E641&lt;=15),((Data!$E641/Data!$D641)*60)*1.2,AND(Data!$E641&gt;=16,Data!$E641&lt;=19),((Data!$E641/Data!$D641)*60)*1.5,Data!$E641&gt;=20,((Data!$E641/Data!$D641)*60)*1.8)</f>
        <v>15.157894736842104</v>
      </c>
      <c r="AT641" s="23" cm="1">
        <f t="array" ref="AT641">_xlfn.IFS(Data!$F641&lt;600,((Data!$F641/Data!$D641)*60)*1,AND(Data!$F641&gt;=600,Data!$F641&lt;=625),((Data!$F641/Data!$D641)*60)*1.2,AND(Data!$F641&gt;=626,Data!$F641&lt;=650),((Data!$F641/Data!$D641)*60)*1.5,Data!$F641&gt;=651,((Data!$F641/Data!$D641)*60)*1.8)</f>
        <v>783.15789473684208</v>
      </c>
      <c r="AU641" s="23">
        <f>(Data!$I641*-1.2)+(Data!$J641*-1.1)+(Data!$K641*1.2)+(Data!$L641*1.3)+(Data!$M641*1.5)</f>
        <v>1.5000000000000036</v>
      </c>
      <c r="AV641" s="23">
        <f>(Data!$AS641*0.4)+(Data!$AT641*0.4)+(Data!$AU641*0.2)</f>
        <v>319.62631578947372</v>
      </c>
      <c r="AW641" s="35">
        <f>PERCENTRANK(AV:AV,Data!$AV641)*100</f>
        <v>37.200000000000003</v>
      </c>
      <c r="AX641" s="23" t="str">
        <f>_xlfn.CONCAT(TEXT(C641,"mmm"),"-",Data!$AE641)</f>
        <v>May-2024</v>
      </c>
    </row>
    <row r="642" spans="1:50" ht="17" thickTop="1" thickBot="1" x14ac:dyDescent="0.25">
      <c r="A642" s="28">
        <v>641</v>
      </c>
      <c r="B642" s="29">
        <f t="shared" ref="B642:B705" si="82">COUNTIF(R:R,R642)</f>
        <v>14</v>
      </c>
      <c r="C642" s="41">
        <v>45442</v>
      </c>
      <c r="D642" s="30">
        <f>SUM(Data!$I642:$M642)</f>
        <v>56</v>
      </c>
      <c r="E642" s="29">
        <v>21</v>
      </c>
      <c r="F642" s="29">
        <v>618</v>
      </c>
      <c r="G642" s="29">
        <v>172</v>
      </c>
      <c r="H642" s="29">
        <v>125</v>
      </c>
      <c r="I642" s="29">
        <v>20</v>
      </c>
      <c r="J642" s="29">
        <v>10</v>
      </c>
      <c r="K642" s="29">
        <v>5</v>
      </c>
      <c r="L642" s="29">
        <v>13</v>
      </c>
      <c r="M642" s="29">
        <v>8</v>
      </c>
      <c r="N642" s="29" t="s">
        <v>125</v>
      </c>
      <c r="O642" s="29" t="s">
        <v>127</v>
      </c>
      <c r="P642" s="29" t="s">
        <v>219</v>
      </c>
      <c r="Q642" s="29">
        <f t="shared" si="80"/>
        <v>2</v>
      </c>
      <c r="R642" s="29" t="str">
        <f t="shared" ref="R642:R705" si="83">MONTH(C642)&amp;"-"&amp;YEAR(C642)</f>
        <v>5-2024</v>
      </c>
      <c r="S642" s="29" t="s">
        <v>104</v>
      </c>
      <c r="T642" s="29" t="str">
        <f t="shared" ref="T642:T705" si="84">IF(WEEKDAY(C642)=1,"Sunday",IF(WEEKDAY(C642)=2,"Monday",IF(WEEKDAY(C642)=3,"Tuesday",IF(WEEKDAY(C642)=4,"Wednesday",IF(WEEKDAY(C642)=5,"Thursday",IF(WEEKDAY(C642)=6,"Friday","Saturday"))))))</f>
        <v>Thursday</v>
      </c>
      <c r="U642" s="29">
        <f t="shared" ref="U642:U705" si="85">IF(E642&gt;=12,1,0)</f>
        <v>1</v>
      </c>
      <c r="V642" s="31">
        <f>IFERROR(Data!$I642/Data!$D642,"")</f>
        <v>0.35714285714285715</v>
      </c>
      <c r="W642" s="31">
        <f>IFERROR(Data!$J642/Data!$D642,"")</f>
        <v>0.17857142857142858</v>
      </c>
      <c r="X642" s="31">
        <f>IFERROR(Data!$K642/Data!$D642,"")</f>
        <v>8.9285714285714288E-2</v>
      </c>
      <c r="Y642" s="31">
        <f>IFERROR(Data!$L642/Data!$D642,"")</f>
        <v>0.23214285714285715</v>
      </c>
      <c r="Z642" s="31">
        <f>IFERROR(Data!$M642/Data!$D642,"")</f>
        <v>0.14285714285714285</v>
      </c>
      <c r="AA642" s="32">
        <v>169</v>
      </c>
      <c r="AB642" s="32">
        <f t="shared" si="81"/>
        <v>12.071428571428571</v>
      </c>
      <c r="AC642" s="29">
        <f t="shared" ref="AC642:AC705" si="86">AVERAGEIF(R:R,R642,F:F)</f>
        <v>615.85714285714289</v>
      </c>
      <c r="AD642" s="29">
        <f t="shared" ref="AD642:AD705" si="87">AVERAGEIF(R:R,R642,E:E)</f>
        <v>13.5</v>
      </c>
      <c r="AE642" s="29">
        <f>YEAR(Data!$C642)</f>
        <v>2024</v>
      </c>
      <c r="AF642" s="29"/>
      <c r="AG642" s="29">
        <v>12</v>
      </c>
      <c r="AH642" s="33">
        <f>Data!$F642/Data!$D642</f>
        <v>11.035714285714286</v>
      </c>
      <c r="AI642" s="17" t="str">
        <f>RIGHT(Data!$O642,2)</f>
        <v>PM</v>
      </c>
      <c r="AJ642" s="29" t="str">
        <f>Data!$R642&amp;"-"&amp;WEEKNUM(Data!$C642,1)-WEEKNUM(DATE(YEAR(Data!$C642),MONTH(Data!$C642),1),1)+1</f>
        <v>5-2024-5</v>
      </c>
      <c r="AK642" s="29">
        <f>MONTH(Data!$C642)</f>
        <v>5</v>
      </c>
      <c r="AL642" s="29">
        <f>IFERROR(Data!$F642/Data!$E642,0)</f>
        <v>29.428571428571427</v>
      </c>
      <c r="AM642" s="29">
        <f>COUNTIF(Data!$N$2:$N$825,Data!$N642)</f>
        <v>182</v>
      </c>
      <c r="AN642" s="29" t="str">
        <f>VLOOKUP(Data!$N642,'Helpful Tables'!A:D,4,FALSE)</f>
        <v>Oregon</v>
      </c>
      <c r="AO642" s="29">
        <f>COUNTIF(AN:AN,Data!$AN642)/COUNTA(AN:AN)</f>
        <v>0.27393939393939393</v>
      </c>
      <c r="AP642" s="29">
        <v>45.534162000000002</v>
      </c>
      <c r="AQ642" s="29">
        <v>-122.69670000000001</v>
      </c>
      <c r="AR642" s="29">
        <f>COUNTIF(Data!$P$2:$P$825,Data!$P642)</f>
        <v>1</v>
      </c>
      <c r="AS642" s="29" cm="1">
        <f t="array" ref="AS642">_xlfn.IFS(Data!$E642&lt;12,((Data!$E642/Data!$D642)*60)*1,AND(Data!$E642&gt;=12,Data!$E642&lt;=15),((Data!$E642/Data!$D642)*60)*1.2,AND(Data!$E642&gt;=16,Data!$E642&lt;=19),((Data!$E642/Data!$D642)*60)*1.5,Data!$E642&gt;=20,((Data!$E642/Data!$D642)*60)*1.8)</f>
        <v>40.5</v>
      </c>
      <c r="AT642" s="29" cm="1">
        <f t="array" ref="AT642">_xlfn.IFS(Data!$F642&lt;600,((Data!$F642/Data!$D642)*60)*1,AND(Data!$F642&gt;=600,Data!$F642&lt;=625),((Data!$F642/Data!$D642)*60)*1.2,AND(Data!$F642&gt;=626,Data!$F642&lt;=650),((Data!$F642/Data!$D642)*60)*1.5,Data!$F642&gt;=651,((Data!$F642/Data!$D642)*60)*1.8)</f>
        <v>794.57142857142867</v>
      </c>
      <c r="AU642" s="29">
        <f>(Data!$I642*-1.2)+(Data!$J642*-1.1)+(Data!$K642*1.2)+(Data!$L642*1.3)+(Data!$M642*1.5)</f>
        <v>-9.9999999999997868E-2</v>
      </c>
      <c r="AV642" s="29">
        <f>(Data!$AS642*0.4)+(Data!$AT642*0.4)+(Data!$AU642*0.2)</f>
        <v>334.00857142857149</v>
      </c>
      <c r="AW642" s="34">
        <f>PERCENTRANK(AV:AV,Data!$AV642)*100</f>
        <v>42.9</v>
      </c>
      <c r="AX642" s="29" t="str">
        <f>_xlfn.CONCAT(TEXT(C642,"mmm"),"-",Data!$AE642)</f>
        <v>May-2024</v>
      </c>
    </row>
    <row r="643" spans="1:50" ht="17" thickTop="1" thickBot="1" x14ac:dyDescent="0.25">
      <c r="A643" s="22">
        <v>642</v>
      </c>
      <c r="B643" s="23">
        <f t="shared" si="82"/>
        <v>14</v>
      </c>
      <c r="C643" s="41">
        <v>45446</v>
      </c>
      <c r="D643" s="24">
        <f>SUM(Data!$I643:$M643)</f>
        <v>60</v>
      </c>
      <c r="E643" s="23">
        <v>9</v>
      </c>
      <c r="F643" s="23">
        <v>613</v>
      </c>
      <c r="G643" s="23">
        <v>161</v>
      </c>
      <c r="H643" s="23">
        <v>121</v>
      </c>
      <c r="I643" s="23">
        <v>17</v>
      </c>
      <c r="J643" s="23">
        <v>16</v>
      </c>
      <c r="K643" s="23">
        <v>18</v>
      </c>
      <c r="L643" s="23">
        <v>9</v>
      </c>
      <c r="M643" s="23">
        <v>0</v>
      </c>
      <c r="N643" s="23" t="s">
        <v>125</v>
      </c>
      <c r="O643" s="23" t="s">
        <v>127</v>
      </c>
      <c r="P643" s="23" t="s">
        <v>216</v>
      </c>
      <c r="Q643" s="23">
        <f t="shared" ref="Q643:Q706" si="88">C643-C642</f>
        <v>4</v>
      </c>
      <c r="R643" s="23" t="str">
        <f t="shared" si="83"/>
        <v>6-2024</v>
      </c>
      <c r="S643" s="23" t="s">
        <v>104</v>
      </c>
      <c r="T643" s="23" t="str">
        <f t="shared" si="84"/>
        <v>Monday</v>
      </c>
      <c r="U643" s="23">
        <f t="shared" si="85"/>
        <v>0</v>
      </c>
      <c r="V643" s="25">
        <f>IFERROR(Data!$I643/Data!$D643,"")</f>
        <v>0.28333333333333333</v>
      </c>
      <c r="W643" s="25">
        <f>IFERROR(Data!$J643/Data!$D643,"")</f>
        <v>0.26666666666666666</v>
      </c>
      <c r="X643" s="25">
        <f>IFERROR(Data!$K643/Data!$D643,"")</f>
        <v>0.3</v>
      </c>
      <c r="Y643" s="25">
        <f>IFERROR(Data!$L643/Data!$D643,"")</f>
        <v>0.15</v>
      </c>
      <c r="Z643" s="25">
        <f>IFERROR(Data!$M643/Data!$D643,"")</f>
        <v>0</v>
      </c>
      <c r="AA643" s="26">
        <v>169</v>
      </c>
      <c r="AB643" s="26">
        <f t="shared" si="81"/>
        <v>12.071428571428571</v>
      </c>
      <c r="AC643" s="23">
        <f t="shared" si="86"/>
        <v>625.07142857142856</v>
      </c>
      <c r="AD643" s="23">
        <f t="shared" si="87"/>
        <v>12.428571428571429</v>
      </c>
      <c r="AE643" s="23">
        <f>YEAR(Data!$C643)</f>
        <v>2024</v>
      </c>
      <c r="AF643" s="23"/>
      <c r="AG643" s="23">
        <v>12</v>
      </c>
      <c r="AH643" s="27">
        <f>Data!$F643/Data!$D643</f>
        <v>10.216666666666667</v>
      </c>
      <c r="AI643" s="17" t="str">
        <f>RIGHT(Data!$O643,2)</f>
        <v>PM</v>
      </c>
      <c r="AJ643" s="23" t="str">
        <f>Data!$R643&amp;"-"&amp;WEEKNUM(Data!$C643,1)-WEEKNUM(DATE(YEAR(Data!$C643),MONTH(Data!$C643),1),1)+1</f>
        <v>6-2024-2</v>
      </c>
      <c r="AK643" s="23">
        <f>MONTH(Data!$C643)</f>
        <v>6</v>
      </c>
      <c r="AL643" s="23">
        <f>IFERROR(Data!$F643/Data!$E643,0)</f>
        <v>68.111111111111114</v>
      </c>
      <c r="AM643" s="23">
        <f>COUNTIF(Data!$N$2:$N$825,Data!$N643)</f>
        <v>182</v>
      </c>
      <c r="AN643" s="23" t="str">
        <f>VLOOKUP(Data!$N643,'Helpful Tables'!A:D,4,FALSE)</f>
        <v>Oregon</v>
      </c>
      <c r="AO643" s="23">
        <f>COUNTIF(AN:AN,Data!$AN643)/COUNTA(AN:AN)</f>
        <v>0.27393939393939393</v>
      </c>
      <c r="AP643" s="23">
        <v>45.534162000000002</v>
      </c>
      <c r="AQ643" s="23">
        <v>-122.69670000000001</v>
      </c>
      <c r="AR643" s="23">
        <f>COUNTIF(Data!$P$2:$P$825,Data!$P643)</f>
        <v>25</v>
      </c>
      <c r="AS643" s="23" cm="1">
        <f t="array" ref="AS643">_xlfn.IFS(Data!$E643&lt;12,((Data!$E643/Data!$D643)*60)*1,AND(Data!$E643&gt;=12,Data!$E643&lt;=15),((Data!$E643/Data!$D643)*60)*1.2,AND(Data!$E643&gt;=16,Data!$E643&lt;=19),((Data!$E643/Data!$D643)*60)*1.5,Data!$E643&gt;=20,((Data!$E643/Data!$D643)*60)*1.8)</f>
        <v>9</v>
      </c>
      <c r="AT643" s="23" cm="1">
        <f t="array" ref="AT643">_xlfn.IFS(Data!$F643&lt;600,((Data!$F643/Data!$D643)*60)*1,AND(Data!$F643&gt;=600,Data!$F643&lt;=625),((Data!$F643/Data!$D643)*60)*1.2,AND(Data!$F643&gt;=626,Data!$F643&lt;=650),((Data!$F643/Data!$D643)*60)*1.5,Data!$F643&gt;=651,((Data!$F643/Data!$D643)*60)*1.8)</f>
        <v>735.6</v>
      </c>
      <c r="AU643" s="23">
        <f>(Data!$I643*-1.2)+(Data!$J643*-1.1)+(Data!$K643*1.2)+(Data!$L643*1.3)+(Data!$M643*1.5)</f>
        <v>-4.7000000000000011</v>
      </c>
      <c r="AV643" s="23">
        <f>(Data!$AS643*0.4)+(Data!$AT643*0.4)+(Data!$AU643*0.2)</f>
        <v>296.90000000000003</v>
      </c>
      <c r="AW643" s="35">
        <f>PERCENTRANK(AV:AV,Data!$AV643)*100</f>
        <v>25.3</v>
      </c>
      <c r="AX643" s="23" t="str">
        <f>_xlfn.CONCAT(TEXT(C643,"mmm"),"-",Data!$AE643)</f>
        <v>Jun-2024</v>
      </c>
    </row>
    <row r="644" spans="1:50" ht="17" thickTop="1" thickBot="1" x14ac:dyDescent="0.25">
      <c r="A644" s="28">
        <v>643</v>
      </c>
      <c r="B644" s="29">
        <f t="shared" si="82"/>
        <v>14</v>
      </c>
      <c r="C644" s="41">
        <v>45448</v>
      </c>
      <c r="D644" s="30">
        <f>SUM(Data!$I644:$M644)</f>
        <v>59</v>
      </c>
      <c r="E644" s="29">
        <v>13</v>
      </c>
      <c r="F644" s="29">
        <v>658</v>
      </c>
      <c r="G644" s="29">
        <v>162</v>
      </c>
      <c r="H644" s="29">
        <v>126</v>
      </c>
      <c r="I644" s="29">
        <v>12</v>
      </c>
      <c r="J644" s="29">
        <v>17</v>
      </c>
      <c r="K644" s="29">
        <v>17</v>
      </c>
      <c r="L644" s="29">
        <v>13</v>
      </c>
      <c r="M644" s="29">
        <v>0</v>
      </c>
      <c r="N644" s="29" t="s">
        <v>125</v>
      </c>
      <c r="O644" s="29" t="s">
        <v>127</v>
      </c>
      <c r="P644" s="29" t="s">
        <v>214</v>
      </c>
      <c r="Q644" s="29">
        <f t="shared" si="88"/>
        <v>2</v>
      </c>
      <c r="R644" s="29" t="str">
        <f t="shared" si="83"/>
        <v>6-2024</v>
      </c>
      <c r="S644" s="29" t="s">
        <v>104</v>
      </c>
      <c r="T644" s="29" t="str">
        <f t="shared" si="84"/>
        <v>Wednesday</v>
      </c>
      <c r="U644" s="29">
        <f t="shared" si="85"/>
        <v>1</v>
      </c>
      <c r="V644" s="31">
        <f>IFERROR(Data!$I644/Data!$D644,"")</f>
        <v>0.20338983050847459</v>
      </c>
      <c r="W644" s="31">
        <f>IFERROR(Data!$J644/Data!$D644,"")</f>
        <v>0.28813559322033899</v>
      </c>
      <c r="X644" s="31">
        <f>IFERROR(Data!$K644/Data!$D644,"")</f>
        <v>0.28813559322033899</v>
      </c>
      <c r="Y644" s="31">
        <f>IFERROR(Data!$L644/Data!$D644,"")</f>
        <v>0.22033898305084745</v>
      </c>
      <c r="Z644" s="31">
        <f>IFERROR(Data!$M644/Data!$D644,"")</f>
        <v>0</v>
      </c>
      <c r="AA644" s="32">
        <v>169</v>
      </c>
      <c r="AB644" s="32">
        <f t="shared" si="81"/>
        <v>12.071428571428571</v>
      </c>
      <c r="AC644" s="29">
        <f t="shared" si="86"/>
        <v>625.07142857142856</v>
      </c>
      <c r="AD644" s="29">
        <f t="shared" si="87"/>
        <v>12.428571428571429</v>
      </c>
      <c r="AE644" s="29">
        <f>YEAR(Data!$C644)</f>
        <v>2024</v>
      </c>
      <c r="AF644" s="29"/>
      <c r="AG644" s="29">
        <v>12</v>
      </c>
      <c r="AH644" s="33">
        <f>Data!$F644/Data!$D644</f>
        <v>11.152542372881356</v>
      </c>
      <c r="AI644" s="17" t="str">
        <f>RIGHT(Data!$O644,2)</f>
        <v>PM</v>
      </c>
      <c r="AJ644" s="29" t="str">
        <f>Data!$R644&amp;"-"&amp;WEEKNUM(Data!$C644,1)-WEEKNUM(DATE(YEAR(Data!$C644),MONTH(Data!$C644),1),1)+1</f>
        <v>6-2024-2</v>
      </c>
      <c r="AK644" s="29">
        <f>MONTH(Data!$C644)</f>
        <v>6</v>
      </c>
      <c r="AL644" s="29">
        <f>IFERROR(Data!$F644/Data!$E644,0)</f>
        <v>50.615384615384613</v>
      </c>
      <c r="AM644" s="29">
        <f>COUNTIF(Data!$N$2:$N$825,Data!$N644)</f>
        <v>182</v>
      </c>
      <c r="AN644" s="29" t="str">
        <f>VLOOKUP(Data!$N644,'Helpful Tables'!A:D,4,FALSE)</f>
        <v>Oregon</v>
      </c>
      <c r="AO644" s="29">
        <f>COUNTIF(AN:AN,Data!$AN644)/COUNTA(AN:AN)</f>
        <v>0.27393939393939393</v>
      </c>
      <c r="AP644" s="29">
        <v>45.534162000000002</v>
      </c>
      <c r="AQ644" s="29">
        <v>-122.69670000000001</v>
      </c>
      <c r="AR644" s="29">
        <f>COUNTIF(Data!$P$2:$P$825,Data!$P644)</f>
        <v>9</v>
      </c>
      <c r="AS644" s="29" cm="1">
        <f t="array" ref="AS644">_xlfn.IFS(Data!$E644&lt;12,((Data!$E644/Data!$D644)*60)*1,AND(Data!$E644&gt;=12,Data!$E644&lt;=15),((Data!$E644/Data!$D644)*60)*1.2,AND(Data!$E644&gt;=16,Data!$E644&lt;=19),((Data!$E644/Data!$D644)*60)*1.5,Data!$E644&gt;=20,((Data!$E644/Data!$D644)*60)*1.8)</f>
        <v>15.864406779661017</v>
      </c>
      <c r="AT644" s="29" cm="1">
        <f t="array" ref="AT644">_xlfn.IFS(Data!$F644&lt;600,((Data!$F644/Data!$D644)*60)*1,AND(Data!$F644&gt;=600,Data!$F644&lt;=625),((Data!$F644/Data!$D644)*60)*1.2,AND(Data!$F644&gt;=626,Data!$F644&lt;=650),((Data!$F644/Data!$D644)*60)*1.5,Data!$F644&gt;=651,((Data!$F644/Data!$D644)*60)*1.8)</f>
        <v>1204.4745762711866</v>
      </c>
      <c r="AU644" s="29">
        <f>(Data!$I644*-1.2)+(Data!$J644*-1.1)+(Data!$K644*1.2)+(Data!$L644*1.3)+(Data!$M644*1.5)</f>
        <v>4.1999999999999993</v>
      </c>
      <c r="AV644" s="29">
        <f>(Data!$AS644*0.4)+(Data!$AT644*0.4)+(Data!$AU644*0.2)</f>
        <v>488.97559322033902</v>
      </c>
      <c r="AW644" s="34">
        <f>PERCENTRANK(AV:AV,Data!$AV644)*100</f>
        <v>72.3</v>
      </c>
      <c r="AX644" s="29" t="str">
        <f>_xlfn.CONCAT(TEXT(C644,"mmm"),"-",Data!$AE644)</f>
        <v>Jun-2024</v>
      </c>
    </row>
    <row r="645" spans="1:50" ht="17" thickTop="1" thickBot="1" x14ac:dyDescent="0.25">
      <c r="A645" s="22">
        <v>644</v>
      </c>
      <c r="B645" s="23">
        <f t="shared" si="82"/>
        <v>14</v>
      </c>
      <c r="C645" s="41">
        <v>45450</v>
      </c>
      <c r="D645" s="24">
        <f>SUM(Data!$I645:$M645)</f>
        <v>59</v>
      </c>
      <c r="E645" s="23">
        <v>13</v>
      </c>
      <c r="F645" s="23">
        <v>613</v>
      </c>
      <c r="G645" s="23">
        <v>166</v>
      </c>
      <c r="H645" s="23">
        <v>122</v>
      </c>
      <c r="I645" s="23">
        <v>20</v>
      </c>
      <c r="J645" s="23">
        <v>15</v>
      </c>
      <c r="K645" s="23">
        <v>11</v>
      </c>
      <c r="L645" s="23">
        <v>11</v>
      </c>
      <c r="M645" s="23">
        <v>2</v>
      </c>
      <c r="N645" s="23" t="s">
        <v>208</v>
      </c>
      <c r="O645" s="23" t="s">
        <v>83</v>
      </c>
      <c r="P645" s="23" t="s">
        <v>209</v>
      </c>
      <c r="Q645" s="23">
        <f t="shared" si="88"/>
        <v>2</v>
      </c>
      <c r="R645" s="23" t="str">
        <f t="shared" si="83"/>
        <v>6-2024</v>
      </c>
      <c r="S645" s="23" t="s">
        <v>104</v>
      </c>
      <c r="T645" s="23" t="str">
        <f t="shared" si="84"/>
        <v>Friday</v>
      </c>
      <c r="U645" s="23">
        <f t="shared" si="85"/>
        <v>1</v>
      </c>
      <c r="V645" s="25">
        <f>IFERROR(Data!$I645/Data!$D645,"")</f>
        <v>0.33898305084745761</v>
      </c>
      <c r="W645" s="25">
        <f>IFERROR(Data!$J645/Data!$D645,"")</f>
        <v>0.25423728813559321</v>
      </c>
      <c r="X645" s="25">
        <f>IFERROR(Data!$K645/Data!$D645,"")</f>
        <v>0.1864406779661017</v>
      </c>
      <c r="Y645" s="25">
        <f>IFERROR(Data!$L645/Data!$D645,"")</f>
        <v>0.1864406779661017</v>
      </c>
      <c r="Z645" s="25">
        <f>IFERROR(Data!$M645/Data!$D645,"")</f>
        <v>3.3898305084745763E-2</v>
      </c>
      <c r="AA645" s="26">
        <v>169</v>
      </c>
      <c r="AB645" s="26">
        <f t="shared" si="81"/>
        <v>12.071428571428571</v>
      </c>
      <c r="AC645" s="23">
        <f t="shared" si="86"/>
        <v>625.07142857142856</v>
      </c>
      <c r="AD645" s="23">
        <f t="shared" si="87"/>
        <v>12.428571428571429</v>
      </c>
      <c r="AE645" s="23">
        <f>YEAR(Data!$C645)</f>
        <v>2024</v>
      </c>
      <c r="AF645" s="23"/>
      <c r="AG645" s="23">
        <v>12</v>
      </c>
      <c r="AH645" s="27">
        <f>Data!$F645/Data!$D645</f>
        <v>10.389830508474576</v>
      </c>
      <c r="AI645" s="17" t="str">
        <f>RIGHT(Data!$O645,2)</f>
        <v>PM</v>
      </c>
      <c r="AJ645" s="23" t="str">
        <f>Data!$R645&amp;"-"&amp;WEEKNUM(Data!$C645,1)-WEEKNUM(DATE(YEAR(Data!$C645),MONTH(Data!$C645),1),1)+1</f>
        <v>6-2024-2</v>
      </c>
      <c r="AK645" s="23">
        <f>MONTH(Data!$C645)</f>
        <v>6</v>
      </c>
      <c r="AL645" s="23">
        <f>IFERROR(Data!$F645/Data!$E645,0)</f>
        <v>47.153846153846153</v>
      </c>
      <c r="AM645" s="23">
        <f>COUNTIF(Data!$N$2:$N$825,Data!$N645)</f>
        <v>42</v>
      </c>
      <c r="AN645" s="23" t="str">
        <f>VLOOKUP(Data!$N645,'Helpful Tables'!A:D,4,FALSE)</f>
        <v>Oregon</v>
      </c>
      <c r="AO645" s="23">
        <f>COUNTIF(AN:AN,Data!$AN645)/COUNTA(AN:AN)</f>
        <v>0.27393939393939393</v>
      </c>
      <c r="AP645" s="23">
        <v>45.525092999999998</v>
      </c>
      <c r="AQ645" s="23">
        <v>-122.681383</v>
      </c>
      <c r="AR645" s="23">
        <f>COUNTIF(Data!$P$2:$P$825,Data!$P645)</f>
        <v>18</v>
      </c>
      <c r="AS645" s="23" cm="1">
        <f t="array" ref="AS645">_xlfn.IFS(Data!$E645&lt;12,((Data!$E645/Data!$D645)*60)*1,AND(Data!$E645&gt;=12,Data!$E645&lt;=15),((Data!$E645/Data!$D645)*60)*1.2,AND(Data!$E645&gt;=16,Data!$E645&lt;=19),((Data!$E645/Data!$D645)*60)*1.5,Data!$E645&gt;=20,((Data!$E645/Data!$D645)*60)*1.8)</f>
        <v>15.864406779661017</v>
      </c>
      <c r="AT645" s="23" cm="1">
        <f t="array" ref="AT645">_xlfn.IFS(Data!$F645&lt;600,((Data!$F645/Data!$D645)*60)*1,AND(Data!$F645&gt;=600,Data!$F645&lt;=625),((Data!$F645/Data!$D645)*60)*1.2,AND(Data!$F645&gt;=626,Data!$F645&lt;=650),((Data!$F645/Data!$D645)*60)*1.5,Data!$F645&gt;=651,((Data!$F645/Data!$D645)*60)*1.8)</f>
        <v>748.06779661016947</v>
      </c>
      <c r="AU645" s="23">
        <f>(Data!$I645*-1.2)+(Data!$J645*-1.1)+(Data!$K645*1.2)+(Data!$L645*1.3)+(Data!$M645*1.5)</f>
        <v>-10</v>
      </c>
      <c r="AV645" s="23">
        <f>(Data!$AS645*0.4)+(Data!$AT645*0.4)+(Data!$AU645*0.2)</f>
        <v>303.57288135593217</v>
      </c>
      <c r="AW645" s="35">
        <f>PERCENTRANK(AV:AV,Data!$AV645)*100</f>
        <v>27.700000000000003</v>
      </c>
      <c r="AX645" s="23" t="str">
        <f>_xlfn.CONCAT(TEXT(C645,"mmm"),"-",Data!$AE645)</f>
        <v>Jun-2024</v>
      </c>
    </row>
    <row r="646" spans="1:50" ht="17" thickTop="1" thickBot="1" x14ac:dyDescent="0.25">
      <c r="A646" s="28">
        <v>645</v>
      </c>
      <c r="B646" s="29">
        <f t="shared" si="82"/>
        <v>14</v>
      </c>
      <c r="C646" s="41">
        <v>45452</v>
      </c>
      <c r="D646" s="30">
        <f>SUM(Data!$I646:$M646)</f>
        <v>61</v>
      </c>
      <c r="E646" s="29">
        <v>7</v>
      </c>
      <c r="F646" s="29">
        <v>584</v>
      </c>
      <c r="G646" s="29">
        <v>158</v>
      </c>
      <c r="H646" s="29">
        <v>116</v>
      </c>
      <c r="I646" s="29">
        <v>23</v>
      </c>
      <c r="J646" s="29">
        <v>19</v>
      </c>
      <c r="K646" s="29">
        <v>12</v>
      </c>
      <c r="L646" s="29">
        <v>7</v>
      </c>
      <c r="M646" s="29">
        <v>0</v>
      </c>
      <c r="N646" s="29" t="s">
        <v>125</v>
      </c>
      <c r="O646" s="29" t="s">
        <v>159</v>
      </c>
      <c r="P646" s="29" t="s">
        <v>214</v>
      </c>
      <c r="Q646" s="29">
        <f t="shared" si="88"/>
        <v>2</v>
      </c>
      <c r="R646" s="29" t="str">
        <f t="shared" si="83"/>
        <v>6-2024</v>
      </c>
      <c r="S646" s="29" t="s">
        <v>117</v>
      </c>
      <c r="T646" s="29" t="str">
        <f t="shared" si="84"/>
        <v>Sunday</v>
      </c>
      <c r="U646" s="29">
        <f t="shared" si="85"/>
        <v>0</v>
      </c>
      <c r="V646" s="31">
        <f>IFERROR(Data!$I646/Data!$D646,"")</f>
        <v>0.37704918032786883</v>
      </c>
      <c r="W646" s="31">
        <f>IFERROR(Data!$J646/Data!$D646,"")</f>
        <v>0.31147540983606559</v>
      </c>
      <c r="X646" s="31">
        <f>IFERROR(Data!$K646/Data!$D646,"")</f>
        <v>0.19672131147540983</v>
      </c>
      <c r="Y646" s="31">
        <f>IFERROR(Data!$L646/Data!$D646,"")</f>
        <v>0.11475409836065574</v>
      </c>
      <c r="Z646" s="31">
        <f>IFERROR(Data!$M646/Data!$D646,"")</f>
        <v>0</v>
      </c>
      <c r="AA646" s="32">
        <v>169</v>
      </c>
      <c r="AB646" s="32">
        <f t="shared" si="81"/>
        <v>12.071428571428571</v>
      </c>
      <c r="AC646" s="29">
        <f t="shared" si="86"/>
        <v>625.07142857142856</v>
      </c>
      <c r="AD646" s="29">
        <f t="shared" si="87"/>
        <v>12.428571428571429</v>
      </c>
      <c r="AE646" s="29">
        <f>YEAR(Data!$C646)</f>
        <v>2024</v>
      </c>
      <c r="AF646" s="29"/>
      <c r="AG646" s="29">
        <v>12</v>
      </c>
      <c r="AH646" s="33">
        <f>Data!$F646/Data!$D646</f>
        <v>9.5737704918032787</v>
      </c>
      <c r="AI646" s="17" t="str">
        <f>RIGHT(Data!$O646,2)</f>
        <v>AM</v>
      </c>
      <c r="AJ646" s="29" t="str">
        <f>Data!$R646&amp;"-"&amp;WEEKNUM(Data!$C646,1)-WEEKNUM(DATE(YEAR(Data!$C646),MONTH(Data!$C646),1),1)+1</f>
        <v>6-2024-3</v>
      </c>
      <c r="AK646" s="29">
        <f>MONTH(Data!$C646)</f>
        <v>6</v>
      </c>
      <c r="AL646" s="29">
        <f>IFERROR(Data!$F646/Data!$E646,0)</f>
        <v>83.428571428571431</v>
      </c>
      <c r="AM646" s="29">
        <f>COUNTIF(Data!$N$2:$N$825,Data!$N646)</f>
        <v>182</v>
      </c>
      <c r="AN646" s="29" t="str">
        <f>VLOOKUP(Data!$N646,'Helpful Tables'!A:D,4,FALSE)</f>
        <v>Oregon</v>
      </c>
      <c r="AO646" s="29">
        <f>COUNTIF(AN:AN,Data!$AN646)/COUNTA(AN:AN)</f>
        <v>0.27393939393939393</v>
      </c>
      <c r="AP646" s="29">
        <v>45.534162000000002</v>
      </c>
      <c r="AQ646" s="29">
        <v>-122.69670000000001</v>
      </c>
      <c r="AR646" s="29">
        <f>COUNTIF(Data!$P$2:$P$825,Data!$P646)</f>
        <v>9</v>
      </c>
      <c r="AS646" s="29" cm="1">
        <f t="array" ref="AS646">_xlfn.IFS(Data!$E646&lt;12,((Data!$E646/Data!$D646)*60)*1,AND(Data!$E646&gt;=12,Data!$E646&lt;=15),((Data!$E646/Data!$D646)*60)*1.2,AND(Data!$E646&gt;=16,Data!$E646&lt;=19),((Data!$E646/Data!$D646)*60)*1.5,Data!$E646&gt;=20,((Data!$E646/Data!$D646)*60)*1.8)</f>
        <v>6.8852459016393448</v>
      </c>
      <c r="AT646" s="29" cm="1">
        <f t="array" ref="AT646">_xlfn.IFS(Data!$F646&lt;600,((Data!$F646/Data!$D646)*60)*1,AND(Data!$F646&gt;=600,Data!$F646&lt;=625),((Data!$F646/Data!$D646)*60)*1.2,AND(Data!$F646&gt;=626,Data!$F646&lt;=650),((Data!$F646/Data!$D646)*60)*1.5,Data!$F646&gt;=651,((Data!$F646/Data!$D646)*60)*1.8)</f>
        <v>574.42622950819668</v>
      </c>
      <c r="AU646" s="29">
        <f>(Data!$I646*-1.2)+(Data!$J646*-1.1)+(Data!$K646*1.2)+(Data!$L646*1.3)+(Data!$M646*1.5)</f>
        <v>-25</v>
      </c>
      <c r="AV646" s="29">
        <f>(Data!$AS646*0.4)+(Data!$AT646*0.4)+(Data!$AU646*0.2)</f>
        <v>227.52459016393442</v>
      </c>
      <c r="AW646" s="34">
        <f>PERCENTRANK(AV:AV,Data!$AV646)*100</f>
        <v>6.1</v>
      </c>
      <c r="AX646" s="29" t="str">
        <f>_xlfn.CONCAT(TEXT(C646,"mmm"),"-",Data!$AE646)</f>
        <v>Jun-2024</v>
      </c>
    </row>
    <row r="647" spans="1:50" ht="17" thickTop="1" thickBot="1" x14ac:dyDescent="0.25">
      <c r="A647" s="22">
        <v>646</v>
      </c>
      <c r="B647" s="23">
        <f t="shared" si="82"/>
        <v>14</v>
      </c>
      <c r="C647" s="41">
        <v>45453</v>
      </c>
      <c r="D647" s="24">
        <f>SUM(Data!$I647:$M647)</f>
        <v>61</v>
      </c>
      <c r="E647" s="23">
        <v>13</v>
      </c>
      <c r="F647" s="23">
        <v>617</v>
      </c>
      <c r="G647" s="23">
        <v>166</v>
      </c>
      <c r="H647" s="23">
        <v>120</v>
      </c>
      <c r="I647" s="23">
        <v>21</v>
      </c>
      <c r="J647" s="23">
        <v>15</v>
      </c>
      <c r="K647" s="23">
        <v>12</v>
      </c>
      <c r="L647" s="23">
        <v>12</v>
      </c>
      <c r="M647" s="23">
        <v>1</v>
      </c>
      <c r="N647" s="23" t="s">
        <v>125</v>
      </c>
      <c r="O647" s="23" t="s">
        <v>127</v>
      </c>
      <c r="P647" s="23" t="s">
        <v>216</v>
      </c>
      <c r="Q647" s="23">
        <f t="shared" si="88"/>
        <v>1</v>
      </c>
      <c r="R647" s="23" t="str">
        <f t="shared" si="83"/>
        <v>6-2024</v>
      </c>
      <c r="S647" s="23" t="s">
        <v>104</v>
      </c>
      <c r="T647" s="23" t="str">
        <f t="shared" si="84"/>
        <v>Monday</v>
      </c>
      <c r="U647" s="23">
        <f t="shared" si="85"/>
        <v>1</v>
      </c>
      <c r="V647" s="25">
        <f>IFERROR(Data!$I647/Data!$D647,"")</f>
        <v>0.34426229508196721</v>
      </c>
      <c r="W647" s="25">
        <f>IFERROR(Data!$J647/Data!$D647,"")</f>
        <v>0.24590163934426229</v>
      </c>
      <c r="X647" s="25">
        <f>IFERROR(Data!$K647/Data!$D647,"")</f>
        <v>0.19672131147540983</v>
      </c>
      <c r="Y647" s="25">
        <f>IFERROR(Data!$L647/Data!$D647,"")</f>
        <v>0.19672131147540983</v>
      </c>
      <c r="Z647" s="25">
        <f>IFERROR(Data!$M647/Data!$D647,"")</f>
        <v>1.6393442622950821E-2</v>
      </c>
      <c r="AA647" s="26">
        <v>169</v>
      </c>
      <c r="AB647" s="26">
        <f t="shared" si="81"/>
        <v>12.071428571428571</v>
      </c>
      <c r="AC647" s="23">
        <f t="shared" si="86"/>
        <v>625.07142857142856</v>
      </c>
      <c r="AD647" s="23">
        <f t="shared" si="87"/>
        <v>12.428571428571429</v>
      </c>
      <c r="AE647" s="23">
        <f>YEAR(Data!$C647)</f>
        <v>2024</v>
      </c>
      <c r="AF647" s="23"/>
      <c r="AG647" s="23">
        <v>12</v>
      </c>
      <c r="AH647" s="27">
        <f>Data!$F647/Data!$D647</f>
        <v>10.114754098360656</v>
      </c>
      <c r="AI647" s="17" t="str">
        <f>RIGHT(Data!$O647,2)</f>
        <v>PM</v>
      </c>
      <c r="AJ647" s="23" t="str">
        <f>Data!$R647&amp;"-"&amp;WEEKNUM(Data!$C647,1)-WEEKNUM(DATE(YEAR(Data!$C647),MONTH(Data!$C647),1),1)+1</f>
        <v>6-2024-3</v>
      </c>
      <c r="AK647" s="23">
        <f>MONTH(Data!$C647)</f>
        <v>6</v>
      </c>
      <c r="AL647" s="23">
        <f>IFERROR(Data!$F647/Data!$E647,0)</f>
        <v>47.46153846153846</v>
      </c>
      <c r="AM647" s="23">
        <f>COUNTIF(Data!$N$2:$N$825,Data!$N647)</f>
        <v>182</v>
      </c>
      <c r="AN647" s="23" t="str">
        <f>VLOOKUP(Data!$N647,'Helpful Tables'!A:D,4,FALSE)</f>
        <v>Oregon</v>
      </c>
      <c r="AO647" s="23">
        <f>COUNTIF(AN:AN,Data!$AN647)/COUNTA(AN:AN)</f>
        <v>0.27393939393939393</v>
      </c>
      <c r="AP647" s="23">
        <v>45.534162000000002</v>
      </c>
      <c r="AQ647" s="23">
        <v>-122.69670000000001</v>
      </c>
      <c r="AR647" s="23">
        <f>COUNTIF(Data!$P$2:$P$825,Data!$P647)</f>
        <v>25</v>
      </c>
      <c r="AS647" s="23" cm="1">
        <f t="array" ref="AS647">_xlfn.IFS(Data!$E647&lt;12,((Data!$E647/Data!$D647)*60)*1,AND(Data!$E647&gt;=12,Data!$E647&lt;=15),((Data!$E647/Data!$D647)*60)*1.2,AND(Data!$E647&gt;=16,Data!$E647&lt;=19),((Data!$E647/Data!$D647)*60)*1.5,Data!$E647&gt;=20,((Data!$E647/Data!$D647)*60)*1.8)</f>
        <v>15.344262295081965</v>
      </c>
      <c r="AT647" s="23" cm="1">
        <f t="array" ref="AT647">_xlfn.IFS(Data!$F647&lt;600,((Data!$F647/Data!$D647)*60)*1,AND(Data!$F647&gt;=600,Data!$F647&lt;=625),((Data!$F647/Data!$D647)*60)*1.2,AND(Data!$F647&gt;=626,Data!$F647&lt;=650),((Data!$F647/Data!$D647)*60)*1.5,Data!$F647&gt;=651,((Data!$F647/Data!$D647)*60)*1.8)</f>
        <v>728.26229508196718</v>
      </c>
      <c r="AU647" s="23">
        <f>(Data!$I647*-1.2)+(Data!$J647*-1.1)+(Data!$K647*1.2)+(Data!$L647*1.3)+(Data!$M647*1.5)</f>
        <v>-10.200000000000003</v>
      </c>
      <c r="AV647" s="23">
        <f>(Data!$AS647*0.4)+(Data!$AT647*0.4)+(Data!$AU647*0.2)</f>
        <v>295.40262295081965</v>
      </c>
      <c r="AW647" s="35">
        <f>PERCENTRANK(AV:AV,Data!$AV647)*100</f>
        <v>24.8</v>
      </c>
      <c r="AX647" s="23" t="str">
        <f>_xlfn.CONCAT(TEXT(C647,"mmm"),"-",Data!$AE647)</f>
        <v>Jun-2024</v>
      </c>
    </row>
    <row r="648" spans="1:50" ht="17" thickTop="1" thickBot="1" x14ac:dyDescent="0.25">
      <c r="A648" s="28">
        <v>647</v>
      </c>
      <c r="B648" s="29">
        <f t="shared" si="82"/>
        <v>14</v>
      </c>
      <c r="C648" s="41">
        <v>45457</v>
      </c>
      <c r="D648" s="30">
        <f>SUM(Data!$I648:$M648)</f>
        <v>62</v>
      </c>
      <c r="E648" s="29">
        <v>15</v>
      </c>
      <c r="F648" s="29">
        <v>666</v>
      </c>
      <c r="G648" s="29">
        <v>167</v>
      </c>
      <c r="H648" s="29">
        <v>125</v>
      </c>
      <c r="I648" s="29">
        <v>19</v>
      </c>
      <c r="J648" s="29">
        <v>8</v>
      </c>
      <c r="K648" s="29">
        <v>20</v>
      </c>
      <c r="L648" s="29">
        <v>14</v>
      </c>
      <c r="M648" s="29">
        <v>1</v>
      </c>
      <c r="N648" s="29" t="s">
        <v>208</v>
      </c>
      <c r="O648" s="29" t="s">
        <v>83</v>
      </c>
      <c r="P648" s="29" t="s">
        <v>213</v>
      </c>
      <c r="Q648" s="29">
        <f t="shared" si="88"/>
        <v>4</v>
      </c>
      <c r="R648" s="29" t="str">
        <f t="shared" si="83"/>
        <v>6-2024</v>
      </c>
      <c r="S648" s="29" t="s">
        <v>117</v>
      </c>
      <c r="T648" s="29" t="str">
        <f t="shared" si="84"/>
        <v>Friday</v>
      </c>
      <c r="U648" s="29">
        <f t="shared" si="85"/>
        <v>1</v>
      </c>
      <c r="V648" s="31">
        <f>IFERROR(Data!$I648/Data!$D648,"")</f>
        <v>0.30645161290322581</v>
      </c>
      <c r="W648" s="31">
        <f>IFERROR(Data!$J648/Data!$D648,"")</f>
        <v>0.12903225806451613</v>
      </c>
      <c r="X648" s="31">
        <f>IFERROR(Data!$K648/Data!$D648,"")</f>
        <v>0.32258064516129031</v>
      </c>
      <c r="Y648" s="31">
        <f>IFERROR(Data!$L648/Data!$D648,"")</f>
        <v>0.22580645161290322</v>
      </c>
      <c r="Z648" s="31">
        <f>IFERROR(Data!$M648/Data!$D648,"")</f>
        <v>1.6129032258064516E-2</v>
      </c>
      <c r="AA648" s="32">
        <v>169</v>
      </c>
      <c r="AB648" s="32">
        <f t="shared" si="81"/>
        <v>12.071428571428571</v>
      </c>
      <c r="AC648" s="29">
        <f t="shared" si="86"/>
        <v>625.07142857142856</v>
      </c>
      <c r="AD648" s="29">
        <f t="shared" si="87"/>
        <v>12.428571428571429</v>
      </c>
      <c r="AE648" s="29">
        <f>YEAR(Data!$C648)</f>
        <v>2024</v>
      </c>
      <c r="AF648" s="29"/>
      <c r="AG648" s="29">
        <v>12</v>
      </c>
      <c r="AH648" s="33">
        <f>Data!$F648/Data!$D648</f>
        <v>10.741935483870968</v>
      </c>
      <c r="AI648" s="17" t="str">
        <f>RIGHT(Data!$O648,2)</f>
        <v>PM</v>
      </c>
      <c r="AJ648" s="29" t="str">
        <f>Data!$R648&amp;"-"&amp;WEEKNUM(Data!$C648,1)-WEEKNUM(DATE(YEAR(Data!$C648),MONTH(Data!$C648),1),1)+1</f>
        <v>6-2024-3</v>
      </c>
      <c r="AK648" s="29">
        <f>MONTH(Data!$C648)</f>
        <v>6</v>
      </c>
      <c r="AL648" s="29">
        <f>IFERROR(Data!$F648/Data!$E648,0)</f>
        <v>44.4</v>
      </c>
      <c r="AM648" s="29">
        <f>COUNTIF(Data!$N$2:$N$825,Data!$N648)</f>
        <v>42</v>
      </c>
      <c r="AN648" s="29" t="str">
        <f>VLOOKUP(Data!$N648,'Helpful Tables'!A:D,4,FALSE)</f>
        <v>Oregon</v>
      </c>
      <c r="AO648" s="29">
        <f>COUNTIF(AN:AN,Data!$AN648)/COUNTA(AN:AN)</f>
        <v>0.27393939393939393</v>
      </c>
      <c r="AP648" s="29">
        <v>45.525092999999998</v>
      </c>
      <c r="AQ648" s="29">
        <v>-122.681383</v>
      </c>
      <c r="AR648" s="29">
        <f>COUNTIF(Data!$P$2:$P$825,Data!$P648)</f>
        <v>20</v>
      </c>
      <c r="AS648" s="29" cm="1">
        <f t="array" ref="AS648">_xlfn.IFS(Data!$E648&lt;12,((Data!$E648/Data!$D648)*60)*1,AND(Data!$E648&gt;=12,Data!$E648&lt;=15),((Data!$E648/Data!$D648)*60)*1.2,AND(Data!$E648&gt;=16,Data!$E648&lt;=19),((Data!$E648/Data!$D648)*60)*1.5,Data!$E648&gt;=20,((Data!$E648/Data!$D648)*60)*1.8)</f>
        <v>17.419354838709676</v>
      </c>
      <c r="AT648" s="29" cm="1">
        <f t="array" ref="AT648">_xlfn.IFS(Data!$F648&lt;600,((Data!$F648/Data!$D648)*60)*1,AND(Data!$F648&gt;=600,Data!$F648&lt;=625),((Data!$F648/Data!$D648)*60)*1.2,AND(Data!$F648&gt;=626,Data!$F648&lt;=650),((Data!$F648/Data!$D648)*60)*1.5,Data!$F648&gt;=651,((Data!$F648/Data!$D648)*60)*1.8)</f>
        <v>1160.1290322580646</v>
      </c>
      <c r="AU648" s="29">
        <f>(Data!$I648*-1.2)+(Data!$J648*-1.1)+(Data!$K648*1.2)+(Data!$L648*1.3)+(Data!$M648*1.5)</f>
        <v>12.099999999999998</v>
      </c>
      <c r="AV648" s="29">
        <f>(Data!$AS648*0.4)+(Data!$AT648*0.4)+(Data!$AU648*0.2)</f>
        <v>473.43935483870973</v>
      </c>
      <c r="AW648" s="34">
        <f>PERCENTRANK(AV:AV,Data!$AV648)*100</f>
        <v>67.600000000000009</v>
      </c>
      <c r="AX648" s="29" t="str">
        <f>_xlfn.CONCAT(TEXT(C648,"mmm"),"-",Data!$AE648)</f>
        <v>Jun-2024</v>
      </c>
    </row>
    <row r="649" spans="1:50" ht="17" thickTop="1" thickBot="1" x14ac:dyDescent="0.25">
      <c r="A649" s="22">
        <v>648</v>
      </c>
      <c r="B649" s="23">
        <f t="shared" si="82"/>
        <v>14</v>
      </c>
      <c r="C649" s="41">
        <v>45458</v>
      </c>
      <c r="D649" s="24">
        <f>SUM(Data!$I649:$M649)</f>
        <v>60</v>
      </c>
      <c r="E649" s="23">
        <v>16</v>
      </c>
      <c r="F649" s="23">
        <v>618</v>
      </c>
      <c r="G649" s="23">
        <v>170</v>
      </c>
      <c r="H649" s="23">
        <v>120</v>
      </c>
      <c r="I649" s="23">
        <v>22</v>
      </c>
      <c r="J649" s="23">
        <v>15</v>
      </c>
      <c r="K649" s="23">
        <v>7</v>
      </c>
      <c r="L649" s="23">
        <v>13</v>
      </c>
      <c r="M649" s="23">
        <v>3</v>
      </c>
      <c r="N649" s="23" t="s">
        <v>125</v>
      </c>
      <c r="O649" s="23" t="s">
        <v>159</v>
      </c>
      <c r="P649" s="23" t="s">
        <v>218</v>
      </c>
      <c r="Q649" s="23">
        <f t="shared" si="88"/>
        <v>1</v>
      </c>
      <c r="R649" s="23" t="str">
        <f t="shared" si="83"/>
        <v>6-2024</v>
      </c>
      <c r="S649" s="23" t="s">
        <v>117</v>
      </c>
      <c r="T649" s="23" t="str">
        <f t="shared" si="84"/>
        <v>Saturday</v>
      </c>
      <c r="U649" s="23">
        <f t="shared" si="85"/>
        <v>1</v>
      </c>
      <c r="V649" s="25">
        <f>IFERROR(Data!$I649/Data!$D649,"")</f>
        <v>0.36666666666666664</v>
      </c>
      <c r="W649" s="25">
        <f>IFERROR(Data!$J649/Data!$D649,"")</f>
        <v>0.25</v>
      </c>
      <c r="X649" s="25">
        <f>IFERROR(Data!$K649/Data!$D649,"")</f>
        <v>0.11666666666666667</v>
      </c>
      <c r="Y649" s="25">
        <f>IFERROR(Data!$L649/Data!$D649,"")</f>
        <v>0.21666666666666667</v>
      </c>
      <c r="Z649" s="25">
        <f>IFERROR(Data!$M649/Data!$D649,"")</f>
        <v>0.05</v>
      </c>
      <c r="AA649" s="26">
        <v>169</v>
      </c>
      <c r="AB649" s="26">
        <f t="shared" si="81"/>
        <v>12.071428571428571</v>
      </c>
      <c r="AC649" s="23">
        <f t="shared" si="86"/>
        <v>625.07142857142856</v>
      </c>
      <c r="AD649" s="23">
        <f t="shared" si="87"/>
        <v>12.428571428571429</v>
      </c>
      <c r="AE649" s="23">
        <f>YEAR(Data!$C649)</f>
        <v>2024</v>
      </c>
      <c r="AF649" s="23"/>
      <c r="AG649" s="23">
        <v>12</v>
      </c>
      <c r="AH649" s="27">
        <f>Data!$F649/Data!$D649</f>
        <v>10.3</v>
      </c>
      <c r="AI649" s="17" t="str">
        <f>RIGHT(Data!$O649,2)</f>
        <v>AM</v>
      </c>
      <c r="AJ649" s="23" t="str">
        <f>Data!$R649&amp;"-"&amp;WEEKNUM(Data!$C649,1)-WEEKNUM(DATE(YEAR(Data!$C649),MONTH(Data!$C649),1),1)+1</f>
        <v>6-2024-3</v>
      </c>
      <c r="AK649" s="23">
        <f>MONTH(Data!$C649)</f>
        <v>6</v>
      </c>
      <c r="AL649" s="23">
        <f>IFERROR(Data!$F649/Data!$E649,0)</f>
        <v>38.625</v>
      </c>
      <c r="AM649" s="23">
        <f>COUNTIF(Data!$N$2:$N$825,Data!$N649)</f>
        <v>182</v>
      </c>
      <c r="AN649" s="23" t="str">
        <f>VLOOKUP(Data!$N649,'Helpful Tables'!A:D,4,FALSE)</f>
        <v>Oregon</v>
      </c>
      <c r="AO649" s="23">
        <f>COUNTIF(AN:AN,Data!$AN649)/COUNTA(AN:AN)</f>
        <v>0.27393939393939393</v>
      </c>
      <c r="AP649" s="23">
        <v>45.534162000000002</v>
      </c>
      <c r="AQ649" s="23">
        <v>-122.69670000000001</v>
      </c>
      <c r="AR649" s="23">
        <f>COUNTIF(Data!$P$2:$P$825,Data!$P649)</f>
        <v>9</v>
      </c>
      <c r="AS649" s="23" cm="1">
        <f t="array" ref="AS649">_xlfn.IFS(Data!$E649&lt;12,((Data!$E649/Data!$D649)*60)*1,AND(Data!$E649&gt;=12,Data!$E649&lt;=15),((Data!$E649/Data!$D649)*60)*1.2,AND(Data!$E649&gt;=16,Data!$E649&lt;=19),((Data!$E649/Data!$D649)*60)*1.5,Data!$E649&gt;=20,((Data!$E649/Data!$D649)*60)*1.8)</f>
        <v>24</v>
      </c>
      <c r="AT649" s="23" cm="1">
        <f t="array" ref="AT649">_xlfn.IFS(Data!$F649&lt;600,((Data!$F649/Data!$D649)*60)*1,AND(Data!$F649&gt;=600,Data!$F649&lt;=625),((Data!$F649/Data!$D649)*60)*1.2,AND(Data!$F649&gt;=626,Data!$F649&lt;=650),((Data!$F649/Data!$D649)*60)*1.5,Data!$F649&gt;=651,((Data!$F649/Data!$D649)*60)*1.8)</f>
        <v>741.6</v>
      </c>
      <c r="AU649" s="23">
        <f>(Data!$I649*-1.2)+(Data!$J649*-1.1)+(Data!$K649*1.2)+(Data!$L649*1.3)+(Data!$M649*1.5)</f>
        <v>-13.099999999999998</v>
      </c>
      <c r="AV649" s="23">
        <f>(Data!$AS649*0.4)+(Data!$AT649*0.4)+(Data!$AU649*0.2)</f>
        <v>303.62000000000006</v>
      </c>
      <c r="AW649" s="35">
        <f>PERCENTRANK(AV:AV,Data!$AV649)*100</f>
        <v>27.800000000000004</v>
      </c>
      <c r="AX649" s="23" t="str">
        <f>_xlfn.CONCAT(TEXT(C649,"mmm"),"-",Data!$AE649)</f>
        <v>Jun-2024</v>
      </c>
    </row>
    <row r="650" spans="1:50" ht="17" thickTop="1" thickBot="1" x14ac:dyDescent="0.25">
      <c r="A650" s="28">
        <v>649</v>
      </c>
      <c r="B650" s="29">
        <f t="shared" si="82"/>
        <v>14</v>
      </c>
      <c r="C650" s="41">
        <v>45460</v>
      </c>
      <c r="D650" s="30">
        <f>SUM(Data!$I650:$M650)</f>
        <v>58</v>
      </c>
      <c r="E650" s="29">
        <v>15</v>
      </c>
      <c r="F650" s="29">
        <v>620</v>
      </c>
      <c r="G650" s="29">
        <v>157</v>
      </c>
      <c r="H650" s="29">
        <v>124</v>
      </c>
      <c r="I650" s="29">
        <v>17</v>
      </c>
      <c r="J650" s="29">
        <v>14</v>
      </c>
      <c r="K650" s="29">
        <v>12</v>
      </c>
      <c r="L650" s="29">
        <v>15</v>
      </c>
      <c r="M650" s="29">
        <v>0</v>
      </c>
      <c r="N650" s="29" t="s">
        <v>125</v>
      </c>
      <c r="O650" s="29" t="s">
        <v>127</v>
      </c>
      <c r="P650" s="29" t="s">
        <v>216</v>
      </c>
      <c r="Q650" s="29">
        <f t="shared" si="88"/>
        <v>2</v>
      </c>
      <c r="R650" s="29" t="str">
        <f t="shared" si="83"/>
        <v>6-2024</v>
      </c>
      <c r="S650" s="29" t="s">
        <v>104</v>
      </c>
      <c r="T650" s="29" t="str">
        <f t="shared" si="84"/>
        <v>Monday</v>
      </c>
      <c r="U650" s="29">
        <f t="shared" si="85"/>
        <v>1</v>
      </c>
      <c r="V650" s="31">
        <f>IFERROR(Data!$I650/Data!$D650,"")</f>
        <v>0.29310344827586204</v>
      </c>
      <c r="W650" s="31">
        <f>IFERROR(Data!$J650/Data!$D650,"")</f>
        <v>0.2413793103448276</v>
      </c>
      <c r="X650" s="31">
        <f>IFERROR(Data!$K650/Data!$D650,"")</f>
        <v>0.20689655172413793</v>
      </c>
      <c r="Y650" s="31">
        <f>IFERROR(Data!$L650/Data!$D650,"")</f>
        <v>0.25862068965517243</v>
      </c>
      <c r="Z650" s="31">
        <f>IFERROR(Data!$M650/Data!$D650,"")</f>
        <v>0</v>
      </c>
      <c r="AA650" s="32">
        <v>169</v>
      </c>
      <c r="AB650" s="32">
        <f t="shared" si="81"/>
        <v>12.071428571428571</v>
      </c>
      <c r="AC650" s="29">
        <f t="shared" si="86"/>
        <v>625.07142857142856</v>
      </c>
      <c r="AD650" s="29">
        <f t="shared" si="87"/>
        <v>12.428571428571429</v>
      </c>
      <c r="AE650" s="29">
        <f>YEAR(Data!$C650)</f>
        <v>2024</v>
      </c>
      <c r="AF650" s="29"/>
      <c r="AG650" s="29">
        <v>12</v>
      </c>
      <c r="AH650" s="33">
        <f>Data!$F650/Data!$D650</f>
        <v>10.689655172413794</v>
      </c>
      <c r="AI650" s="17" t="str">
        <f>RIGHT(Data!$O650,2)</f>
        <v>PM</v>
      </c>
      <c r="AJ650" s="29" t="str">
        <f>Data!$R650&amp;"-"&amp;WEEKNUM(Data!$C650,1)-WEEKNUM(DATE(YEAR(Data!$C650),MONTH(Data!$C650),1),1)+1</f>
        <v>6-2024-4</v>
      </c>
      <c r="AK650" s="29">
        <f>MONTH(Data!$C650)</f>
        <v>6</v>
      </c>
      <c r="AL650" s="29">
        <f>IFERROR(Data!$F650/Data!$E650,0)</f>
        <v>41.333333333333336</v>
      </c>
      <c r="AM650" s="29">
        <f>COUNTIF(Data!$N$2:$N$825,Data!$N650)</f>
        <v>182</v>
      </c>
      <c r="AN650" s="29" t="str">
        <f>VLOOKUP(Data!$N650,'Helpful Tables'!A:D,4,FALSE)</f>
        <v>Oregon</v>
      </c>
      <c r="AO650" s="29">
        <f>COUNTIF(AN:AN,Data!$AN650)/COUNTA(AN:AN)</f>
        <v>0.27393939393939393</v>
      </c>
      <c r="AP650" s="29">
        <v>45.534162000000002</v>
      </c>
      <c r="AQ650" s="29">
        <v>-122.69670000000001</v>
      </c>
      <c r="AR650" s="29">
        <f>COUNTIF(Data!$P$2:$P$825,Data!$P650)</f>
        <v>25</v>
      </c>
      <c r="AS650" s="29" cm="1">
        <f t="array" ref="AS650">_xlfn.IFS(Data!$E650&lt;12,((Data!$E650/Data!$D650)*60)*1,AND(Data!$E650&gt;=12,Data!$E650&lt;=15),((Data!$E650/Data!$D650)*60)*1.2,AND(Data!$E650&gt;=16,Data!$E650&lt;=19),((Data!$E650/Data!$D650)*60)*1.5,Data!$E650&gt;=20,((Data!$E650/Data!$D650)*60)*1.8)</f>
        <v>18.620689655172413</v>
      </c>
      <c r="AT650" s="29" cm="1">
        <f t="array" ref="AT650">_xlfn.IFS(Data!$F650&lt;600,((Data!$F650/Data!$D650)*60)*1,AND(Data!$F650&gt;=600,Data!$F650&lt;=625),((Data!$F650/Data!$D650)*60)*1.2,AND(Data!$F650&gt;=626,Data!$F650&lt;=650),((Data!$F650/Data!$D650)*60)*1.5,Data!$F650&gt;=651,((Data!$F650/Data!$D650)*60)*1.8)</f>
        <v>769.65517241379314</v>
      </c>
      <c r="AU650" s="29">
        <f>(Data!$I650*-1.2)+(Data!$J650*-1.1)+(Data!$K650*1.2)+(Data!$L650*1.3)+(Data!$M650*1.5)</f>
        <v>-1.8999999999999986</v>
      </c>
      <c r="AV650" s="29">
        <f>(Data!$AS650*0.4)+(Data!$AT650*0.4)+(Data!$AU650*0.2)</f>
        <v>314.93034482758623</v>
      </c>
      <c r="AW650" s="34">
        <f>PERCENTRANK(AV:AV,Data!$AV650)*100</f>
        <v>33.800000000000004</v>
      </c>
      <c r="AX650" s="29" t="str">
        <f>_xlfn.CONCAT(TEXT(C650,"mmm"),"-",Data!$AE650)</f>
        <v>Jun-2024</v>
      </c>
    </row>
    <row r="651" spans="1:50" ht="17" thickTop="1" thickBot="1" x14ac:dyDescent="0.25">
      <c r="A651" s="22">
        <v>650</v>
      </c>
      <c r="B651" s="23">
        <f t="shared" si="82"/>
        <v>14</v>
      </c>
      <c r="C651" s="41">
        <v>45462</v>
      </c>
      <c r="D651" s="24">
        <f>SUM(Data!$I651:$M651)</f>
        <v>60</v>
      </c>
      <c r="E651" s="23">
        <v>6</v>
      </c>
      <c r="F651" s="23">
        <v>570</v>
      </c>
      <c r="G651" s="23">
        <v>161</v>
      </c>
      <c r="H651" s="23">
        <v>115</v>
      </c>
      <c r="I651" s="23">
        <v>22</v>
      </c>
      <c r="J651" s="23">
        <v>20</v>
      </c>
      <c r="K651" s="23">
        <v>12</v>
      </c>
      <c r="L651" s="23">
        <v>6</v>
      </c>
      <c r="M651" s="23">
        <v>0</v>
      </c>
      <c r="N651" s="23" t="s">
        <v>125</v>
      </c>
      <c r="O651" s="23" t="s">
        <v>159</v>
      </c>
      <c r="P651" s="23" t="s">
        <v>216</v>
      </c>
      <c r="Q651" s="23">
        <f t="shared" si="88"/>
        <v>2</v>
      </c>
      <c r="R651" s="23" t="str">
        <f t="shared" si="83"/>
        <v>6-2024</v>
      </c>
      <c r="S651" s="23" t="s">
        <v>117</v>
      </c>
      <c r="T651" s="23" t="str">
        <f t="shared" si="84"/>
        <v>Wednesday</v>
      </c>
      <c r="U651" s="23">
        <f t="shared" si="85"/>
        <v>0</v>
      </c>
      <c r="V651" s="25">
        <f>IFERROR(Data!$I651/Data!$D651,"")</f>
        <v>0.36666666666666664</v>
      </c>
      <c r="W651" s="25">
        <f>IFERROR(Data!$J651/Data!$D651,"")</f>
        <v>0.33333333333333331</v>
      </c>
      <c r="X651" s="25">
        <f>IFERROR(Data!$K651/Data!$D651,"")</f>
        <v>0.2</v>
      </c>
      <c r="Y651" s="25">
        <f>IFERROR(Data!$L651/Data!$D651,"")</f>
        <v>0.1</v>
      </c>
      <c r="Z651" s="25">
        <f>IFERROR(Data!$M651/Data!$D651,"")</f>
        <v>0</v>
      </c>
      <c r="AA651" s="26">
        <v>169</v>
      </c>
      <c r="AB651" s="26">
        <f t="shared" si="81"/>
        <v>12.071428571428571</v>
      </c>
      <c r="AC651" s="23">
        <f t="shared" si="86"/>
        <v>625.07142857142856</v>
      </c>
      <c r="AD651" s="23">
        <f t="shared" si="87"/>
        <v>12.428571428571429</v>
      </c>
      <c r="AE651" s="23">
        <f>YEAR(Data!$C651)</f>
        <v>2024</v>
      </c>
      <c r="AF651" s="23"/>
      <c r="AG651" s="23">
        <v>12</v>
      </c>
      <c r="AH651" s="27">
        <f>Data!$F651/Data!$D651</f>
        <v>9.5</v>
      </c>
      <c r="AI651" s="17" t="str">
        <f>RIGHT(Data!$O651,2)</f>
        <v>AM</v>
      </c>
      <c r="AJ651" s="23" t="str">
        <f>Data!$R651&amp;"-"&amp;WEEKNUM(Data!$C651,1)-WEEKNUM(DATE(YEAR(Data!$C651),MONTH(Data!$C651),1),1)+1</f>
        <v>6-2024-4</v>
      </c>
      <c r="AK651" s="23">
        <f>MONTH(Data!$C651)</f>
        <v>6</v>
      </c>
      <c r="AL651" s="23">
        <f>IFERROR(Data!$F651/Data!$E651,0)</f>
        <v>95</v>
      </c>
      <c r="AM651" s="23">
        <f>COUNTIF(Data!$N$2:$N$825,Data!$N651)</f>
        <v>182</v>
      </c>
      <c r="AN651" s="23" t="str">
        <f>VLOOKUP(Data!$N651,'Helpful Tables'!A:D,4,FALSE)</f>
        <v>Oregon</v>
      </c>
      <c r="AO651" s="23">
        <f>COUNTIF(AN:AN,Data!$AN651)/COUNTA(AN:AN)</f>
        <v>0.27393939393939393</v>
      </c>
      <c r="AP651" s="23">
        <v>45.534162000000002</v>
      </c>
      <c r="AQ651" s="23">
        <v>-122.69670000000001</v>
      </c>
      <c r="AR651" s="23">
        <f>COUNTIF(Data!$P$2:$P$825,Data!$P651)</f>
        <v>25</v>
      </c>
      <c r="AS651" s="23" cm="1">
        <f t="array" ref="AS651">_xlfn.IFS(Data!$E651&lt;12,((Data!$E651/Data!$D651)*60)*1,AND(Data!$E651&gt;=12,Data!$E651&lt;=15),((Data!$E651/Data!$D651)*60)*1.2,AND(Data!$E651&gt;=16,Data!$E651&lt;=19),((Data!$E651/Data!$D651)*60)*1.5,Data!$E651&gt;=20,((Data!$E651/Data!$D651)*60)*1.8)</f>
        <v>6</v>
      </c>
      <c r="AT651" s="23" cm="1">
        <f t="array" ref="AT651">_xlfn.IFS(Data!$F651&lt;600,((Data!$F651/Data!$D651)*60)*1,AND(Data!$F651&gt;=600,Data!$F651&lt;=625),((Data!$F651/Data!$D651)*60)*1.2,AND(Data!$F651&gt;=626,Data!$F651&lt;=650),((Data!$F651/Data!$D651)*60)*1.5,Data!$F651&gt;=651,((Data!$F651/Data!$D651)*60)*1.8)</f>
        <v>570</v>
      </c>
      <c r="AU651" s="23">
        <f>(Data!$I651*-1.2)+(Data!$J651*-1.1)+(Data!$K651*1.2)+(Data!$L651*1.3)+(Data!$M651*1.5)</f>
        <v>-26.2</v>
      </c>
      <c r="AV651" s="23">
        <f>(Data!$AS651*0.4)+(Data!$AT651*0.4)+(Data!$AU651*0.2)</f>
        <v>225.16</v>
      </c>
      <c r="AW651" s="35">
        <f>PERCENTRANK(AV:AV,Data!$AV651)*100</f>
        <v>5.0999999999999996</v>
      </c>
      <c r="AX651" s="23" t="str">
        <f>_xlfn.CONCAT(TEXT(C651,"mmm"),"-",Data!$AE651)</f>
        <v>Jun-2024</v>
      </c>
    </row>
    <row r="652" spans="1:50" ht="17" thickTop="1" thickBot="1" x14ac:dyDescent="0.25">
      <c r="A652" s="28">
        <v>651</v>
      </c>
      <c r="B652" s="29">
        <f t="shared" si="82"/>
        <v>14</v>
      </c>
      <c r="C652" s="41">
        <v>45464</v>
      </c>
      <c r="D652" s="30">
        <f>SUM(Data!$I652:$M652)</f>
        <v>60</v>
      </c>
      <c r="E652" s="29">
        <v>17</v>
      </c>
      <c r="F652" s="29">
        <v>680</v>
      </c>
      <c r="G652" s="29">
        <v>166</v>
      </c>
      <c r="H652" s="29">
        <v>128</v>
      </c>
      <c r="I652" s="29">
        <v>13</v>
      </c>
      <c r="J652" s="29">
        <v>15</v>
      </c>
      <c r="K652" s="29">
        <v>15</v>
      </c>
      <c r="L652" s="29">
        <v>15</v>
      </c>
      <c r="M652" s="29">
        <v>2</v>
      </c>
      <c r="N652" s="29" t="s">
        <v>208</v>
      </c>
      <c r="O652" s="29" t="s">
        <v>83</v>
      </c>
      <c r="P652" s="29" t="s">
        <v>209</v>
      </c>
      <c r="Q652" s="29">
        <f t="shared" si="88"/>
        <v>2</v>
      </c>
      <c r="R652" s="29" t="str">
        <f t="shared" si="83"/>
        <v>6-2024</v>
      </c>
      <c r="S652" s="29" t="s">
        <v>104</v>
      </c>
      <c r="T652" s="29" t="str">
        <f t="shared" si="84"/>
        <v>Friday</v>
      </c>
      <c r="U652" s="29">
        <f t="shared" si="85"/>
        <v>1</v>
      </c>
      <c r="V652" s="31">
        <f>IFERROR(Data!$I652/Data!$D652,"")</f>
        <v>0.21666666666666667</v>
      </c>
      <c r="W652" s="31">
        <f>IFERROR(Data!$J652/Data!$D652,"")</f>
        <v>0.25</v>
      </c>
      <c r="X652" s="31">
        <f>IFERROR(Data!$K652/Data!$D652,"")</f>
        <v>0.25</v>
      </c>
      <c r="Y652" s="31">
        <f>IFERROR(Data!$L652/Data!$D652,"")</f>
        <v>0.25</v>
      </c>
      <c r="Z652" s="31">
        <f>IFERROR(Data!$M652/Data!$D652,"")</f>
        <v>3.3333333333333333E-2</v>
      </c>
      <c r="AA652" s="32">
        <v>169</v>
      </c>
      <c r="AB652" s="32">
        <f t="shared" si="81"/>
        <v>12.071428571428571</v>
      </c>
      <c r="AC652" s="29">
        <f t="shared" si="86"/>
        <v>625.07142857142856</v>
      </c>
      <c r="AD652" s="29">
        <f t="shared" si="87"/>
        <v>12.428571428571429</v>
      </c>
      <c r="AE652" s="29">
        <f>YEAR(Data!$C652)</f>
        <v>2024</v>
      </c>
      <c r="AF652" s="29"/>
      <c r="AG652" s="29">
        <v>12</v>
      </c>
      <c r="AH652" s="33">
        <f>Data!$F652/Data!$D652</f>
        <v>11.333333333333334</v>
      </c>
      <c r="AI652" s="17" t="str">
        <f>RIGHT(Data!$O652,2)</f>
        <v>PM</v>
      </c>
      <c r="AJ652" s="29" t="str">
        <f>Data!$R652&amp;"-"&amp;WEEKNUM(Data!$C652,1)-WEEKNUM(DATE(YEAR(Data!$C652),MONTH(Data!$C652),1),1)+1</f>
        <v>6-2024-4</v>
      </c>
      <c r="AK652" s="29">
        <f>MONTH(Data!$C652)</f>
        <v>6</v>
      </c>
      <c r="AL652" s="29">
        <f>IFERROR(Data!$F652/Data!$E652,0)</f>
        <v>40</v>
      </c>
      <c r="AM652" s="29">
        <f>COUNTIF(Data!$N$2:$N$825,Data!$N652)</f>
        <v>42</v>
      </c>
      <c r="AN652" s="29" t="str">
        <f>VLOOKUP(Data!$N652,'Helpful Tables'!A:D,4,FALSE)</f>
        <v>Oregon</v>
      </c>
      <c r="AO652" s="29">
        <f>COUNTIF(AN:AN,Data!$AN652)/COUNTA(AN:AN)</f>
        <v>0.27393939393939393</v>
      </c>
      <c r="AP652" s="29">
        <v>45.525092999999998</v>
      </c>
      <c r="AQ652" s="29">
        <v>-122.681383</v>
      </c>
      <c r="AR652" s="29">
        <f>COUNTIF(Data!$P$2:$P$825,Data!$P652)</f>
        <v>18</v>
      </c>
      <c r="AS652" s="29" cm="1">
        <f t="array" ref="AS652">_xlfn.IFS(Data!$E652&lt;12,((Data!$E652/Data!$D652)*60)*1,AND(Data!$E652&gt;=12,Data!$E652&lt;=15),((Data!$E652/Data!$D652)*60)*1.2,AND(Data!$E652&gt;=16,Data!$E652&lt;=19),((Data!$E652/Data!$D652)*60)*1.5,Data!$E652&gt;=20,((Data!$E652/Data!$D652)*60)*1.8)</f>
        <v>25.5</v>
      </c>
      <c r="AT652" s="29" cm="1">
        <f t="array" ref="AT652">_xlfn.IFS(Data!$F652&lt;600,((Data!$F652/Data!$D652)*60)*1,AND(Data!$F652&gt;=600,Data!$F652&lt;=625),((Data!$F652/Data!$D652)*60)*1.2,AND(Data!$F652&gt;=626,Data!$F652&lt;=650),((Data!$F652/Data!$D652)*60)*1.5,Data!$F652&gt;=651,((Data!$F652/Data!$D652)*60)*1.8)</f>
        <v>1224</v>
      </c>
      <c r="AU652" s="29">
        <f>(Data!$I652*-1.2)+(Data!$J652*-1.1)+(Data!$K652*1.2)+(Data!$L652*1.3)+(Data!$M652*1.5)</f>
        <v>8.3999999999999986</v>
      </c>
      <c r="AV652" s="29">
        <f>(Data!$AS652*0.4)+(Data!$AT652*0.4)+(Data!$AU652*0.2)</f>
        <v>501.48</v>
      </c>
      <c r="AW652" s="34">
        <f>PERCENTRANK(AV:AV,Data!$AV652)*100</f>
        <v>78.3</v>
      </c>
      <c r="AX652" s="29" t="str">
        <f>_xlfn.CONCAT(TEXT(C652,"mmm"),"-",Data!$AE652)</f>
        <v>Jun-2024</v>
      </c>
    </row>
    <row r="653" spans="1:50" ht="17" thickTop="1" thickBot="1" x14ac:dyDescent="0.25">
      <c r="A653" s="22">
        <v>652</v>
      </c>
      <c r="B653" s="23">
        <f t="shared" si="82"/>
        <v>14</v>
      </c>
      <c r="C653" s="41">
        <v>45465</v>
      </c>
      <c r="D653" s="24">
        <f>SUM(Data!$I653:$M653)</f>
        <v>60</v>
      </c>
      <c r="E653" s="23">
        <v>6</v>
      </c>
      <c r="F653" s="23">
        <v>531</v>
      </c>
      <c r="G653" s="23">
        <v>157</v>
      </c>
      <c r="H653" s="23">
        <v>111</v>
      </c>
      <c r="I653" s="23">
        <v>29</v>
      </c>
      <c r="J653" s="23">
        <v>7</v>
      </c>
      <c r="K653" s="23">
        <v>18</v>
      </c>
      <c r="L653" s="23">
        <v>6</v>
      </c>
      <c r="M653" s="23">
        <v>0</v>
      </c>
      <c r="N653" s="23" t="s">
        <v>125</v>
      </c>
      <c r="O653" s="23" t="s">
        <v>159</v>
      </c>
      <c r="P653" s="23" t="s">
        <v>218</v>
      </c>
      <c r="Q653" s="23">
        <f t="shared" si="88"/>
        <v>1</v>
      </c>
      <c r="R653" s="23" t="str">
        <f t="shared" si="83"/>
        <v>6-2024</v>
      </c>
      <c r="S653" s="23" t="s">
        <v>117</v>
      </c>
      <c r="T653" s="23" t="str">
        <f t="shared" si="84"/>
        <v>Saturday</v>
      </c>
      <c r="U653" s="23">
        <f t="shared" si="85"/>
        <v>0</v>
      </c>
      <c r="V653" s="25">
        <f>IFERROR(Data!$I653/Data!$D653,"")</f>
        <v>0.48333333333333334</v>
      </c>
      <c r="W653" s="25">
        <f>IFERROR(Data!$J653/Data!$D653,"")</f>
        <v>0.11666666666666667</v>
      </c>
      <c r="X653" s="25">
        <f>IFERROR(Data!$K653/Data!$D653,"")</f>
        <v>0.3</v>
      </c>
      <c r="Y653" s="25">
        <f>IFERROR(Data!$L653/Data!$D653,"")</f>
        <v>0.1</v>
      </c>
      <c r="Z653" s="25">
        <f>IFERROR(Data!$M653/Data!$D653,"")</f>
        <v>0</v>
      </c>
      <c r="AA653" s="26">
        <v>169</v>
      </c>
      <c r="AB653" s="26">
        <f t="shared" si="81"/>
        <v>12.071428571428571</v>
      </c>
      <c r="AC653" s="23">
        <f t="shared" si="86"/>
        <v>625.07142857142856</v>
      </c>
      <c r="AD653" s="23">
        <f t="shared" si="87"/>
        <v>12.428571428571429</v>
      </c>
      <c r="AE653" s="23">
        <f>YEAR(Data!$C653)</f>
        <v>2024</v>
      </c>
      <c r="AF653" s="23"/>
      <c r="AG653" s="23">
        <v>12</v>
      </c>
      <c r="AH653" s="27">
        <f>Data!$F653/Data!$D653</f>
        <v>8.85</v>
      </c>
      <c r="AI653" s="17" t="str">
        <f>RIGHT(Data!$O653,2)</f>
        <v>AM</v>
      </c>
      <c r="AJ653" s="23" t="str">
        <f>Data!$R653&amp;"-"&amp;WEEKNUM(Data!$C653,1)-WEEKNUM(DATE(YEAR(Data!$C653),MONTH(Data!$C653),1),1)+1</f>
        <v>6-2024-4</v>
      </c>
      <c r="AK653" s="23">
        <f>MONTH(Data!$C653)</f>
        <v>6</v>
      </c>
      <c r="AL653" s="23">
        <f>IFERROR(Data!$F653/Data!$E653,0)</f>
        <v>88.5</v>
      </c>
      <c r="AM653" s="23">
        <f>COUNTIF(Data!$N$2:$N$825,Data!$N653)</f>
        <v>182</v>
      </c>
      <c r="AN653" s="23" t="str">
        <f>VLOOKUP(Data!$N653,'Helpful Tables'!A:D,4,FALSE)</f>
        <v>Oregon</v>
      </c>
      <c r="AO653" s="23">
        <f>COUNTIF(AN:AN,Data!$AN653)/COUNTA(AN:AN)</f>
        <v>0.27393939393939393</v>
      </c>
      <c r="AP653" s="23">
        <v>45.534162000000002</v>
      </c>
      <c r="AQ653" s="23">
        <v>-122.69670000000001</v>
      </c>
      <c r="AR653" s="23">
        <f>COUNTIF(Data!$P$2:$P$825,Data!$P653)</f>
        <v>9</v>
      </c>
      <c r="AS653" s="23" cm="1">
        <f t="array" ref="AS653">_xlfn.IFS(Data!$E653&lt;12,((Data!$E653/Data!$D653)*60)*1,AND(Data!$E653&gt;=12,Data!$E653&lt;=15),((Data!$E653/Data!$D653)*60)*1.2,AND(Data!$E653&gt;=16,Data!$E653&lt;=19),((Data!$E653/Data!$D653)*60)*1.5,Data!$E653&gt;=20,((Data!$E653/Data!$D653)*60)*1.8)</f>
        <v>6</v>
      </c>
      <c r="AT653" s="23" cm="1">
        <f t="array" ref="AT653">_xlfn.IFS(Data!$F653&lt;600,((Data!$F653/Data!$D653)*60)*1,AND(Data!$F653&gt;=600,Data!$F653&lt;=625),((Data!$F653/Data!$D653)*60)*1.2,AND(Data!$F653&gt;=626,Data!$F653&lt;=650),((Data!$F653/Data!$D653)*60)*1.5,Data!$F653&gt;=651,((Data!$F653/Data!$D653)*60)*1.8)</f>
        <v>531</v>
      </c>
      <c r="AU653" s="23">
        <f>(Data!$I653*-1.2)+(Data!$J653*-1.1)+(Data!$K653*1.2)+(Data!$L653*1.3)+(Data!$M653*1.5)</f>
        <v>-13.100000000000001</v>
      </c>
      <c r="AV653" s="23">
        <f>(Data!$AS653*0.4)+(Data!$AT653*0.4)+(Data!$AU653*0.2)</f>
        <v>212.18</v>
      </c>
      <c r="AW653" s="35">
        <f>PERCENTRANK(AV:AV,Data!$AV653)*100</f>
        <v>2</v>
      </c>
      <c r="AX653" s="23" t="str">
        <f>_xlfn.CONCAT(TEXT(C653,"mmm"),"-",Data!$AE653)</f>
        <v>Jun-2024</v>
      </c>
    </row>
    <row r="654" spans="1:50" ht="17" thickTop="1" thickBot="1" x14ac:dyDescent="0.25">
      <c r="A654" s="28">
        <v>653</v>
      </c>
      <c r="B654" s="29">
        <f t="shared" si="82"/>
        <v>14</v>
      </c>
      <c r="C654" s="41">
        <v>45467</v>
      </c>
      <c r="D654" s="30">
        <f>SUM(Data!$I654:$M654)</f>
        <v>63</v>
      </c>
      <c r="E654" s="29">
        <v>19</v>
      </c>
      <c r="F654" s="29">
        <v>669</v>
      </c>
      <c r="G654" s="29">
        <v>167</v>
      </c>
      <c r="H654" s="29">
        <v>122</v>
      </c>
      <c r="I654" s="29">
        <v>21</v>
      </c>
      <c r="J654" s="29">
        <v>15</v>
      </c>
      <c r="K654" s="29">
        <v>8</v>
      </c>
      <c r="L654" s="29">
        <v>18</v>
      </c>
      <c r="M654" s="29">
        <v>1</v>
      </c>
      <c r="N654" s="29" t="s">
        <v>125</v>
      </c>
      <c r="O654" s="29" t="s">
        <v>127</v>
      </c>
      <c r="P654" s="29" t="s">
        <v>216</v>
      </c>
      <c r="Q654" s="29">
        <f t="shared" si="88"/>
        <v>2</v>
      </c>
      <c r="R654" s="29" t="str">
        <f t="shared" si="83"/>
        <v>6-2024</v>
      </c>
      <c r="S654" s="29" t="s">
        <v>104</v>
      </c>
      <c r="T654" s="29" t="str">
        <f t="shared" si="84"/>
        <v>Monday</v>
      </c>
      <c r="U654" s="29">
        <f t="shared" si="85"/>
        <v>1</v>
      </c>
      <c r="V654" s="31">
        <f>IFERROR(Data!$I654/Data!$D654,"")</f>
        <v>0.33333333333333331</v>
      </c>
      <c r="W654" s="31">
        <f>IFERROR(Data!$J654/Data!$D654,"")</f>
        <v>0.23809523809523808</v>
      </c>
      <c r="X654" s="31">
        <f>IFERROR(Data!$K654/Data!$D654,"")</f>
        <v>0.12698412698412698</v>
      </c>
      <c r="Y654" s="31">
        <f>IFERROR(Data!$L654/Data!$D654,"")</f>
        <v>0.2857142857142857</v>
      </c>
      <c r="Z654" s="31">
        <f>IFERROR(Data!$M654/Data!$D654,"")</f>
        <v>1.5873015873015872E-2</v>
      </c>
      <c r="AA654" s="32">
        <v>169</v>
      </c>
      <c r="AB654" s="32">
        <f t="shared" si="81"/>
        <v>12.071428571428571</v>
      </c>
      <c r="AC654" s="29">
        <f t="shared" si="86"/>
        <v>625.07142857142856</v>
      </c>
      <c r="AD654" s="29">
        <f t="shared" si="87"/>
        <v>12.428571428571429</v>
      </c>
      <c r="AE654" s="29">
        <f>YEAR(Data!$C654)</f>
        <v>2024</v>
      </c>
      <c r="AF654" s="29"/>
      <c r="AG654" s="29">
        <v>12</v>
      </c>
      <c r="AH654" s="33">
        <f>Data!$F654/Data!$D654</f>
        <v>10.619047619047619</v>
      </c>
      <c r="AI654" s="17" t="str">
        <f>RIGHT(Data!$O654,2)</f>
        <v>PM</v>
      </c>
      <c r="AJ654" s="29" t="str">
        <f>Data!$R654&amp;"-"&amp;WEEKNUM(Data!$C654,1)-WEEKNUM(DATE(YEAR(Data!$C654),MONTH(Data!$C654),1),1)+1</f>
        <v>6-2024-5</v>
      </c>
      <c r="AK654" s="29">
        <f>MONTH(Data!$C654)</f>
        <v>6</v>
      </c>
      <c r="AL654" s="29">
        <f>IFERROR(Data!$F654/Data!$E654,0)</f>
        <v>35.210526315789473</v>
      </c>
      <c r="AM654" s="29">
        <f>COUNTIF(Data!$N$2:$N$825,Data!$N654)</f>
        <v>182</v>
      </c>
      <c r="AN654" s="29" t="str">
        <f>VLOOKUP(Data!$N654,'Helpful Tables'!A:D,4,FALSE)</f>
        <v>Oregon</v>
      </c>
      <c r="AO654" s="29">
        <f>COUNTIF(AN:AN,Data!$AN654)/COUNTA(AN:AN)</f>
        <v>0.27393939393939393</v>
      </c>
      <c r="AP654" s="29">
        <v>45.534162000000002</v>
      </c>
      <c r="AQ654" s="29">
        <v>-122.69670000000001</v>
      </c>
      <c r="AR654" s="29">
        <f>COUNTIF(Data!$P$2:$P$825,Data!$P654)</f>
        <v>25</v>
      </c>
      <c r="AS654" s="29" cm="1">
        <f t="array" ref="AS654">_xlfn.IFS(Data!$E654&lt;12,((Data!$E654/Data!$D654)*60)*1,AND(Data!$E654&gt;=12,Data!$E654&lt;=15),((Data!$E654/Data!$D654)*60)*1.2,AND(Data!$E654&gt;=16,Data!$E654&lt;=19),((Data!$E654/Data!$D654)*60)*1.5,Data!$E654&gt;=20,((Data!$E654/Data!$D654)*60)*1.8)</f>
        <v>27.142857142857142</v>
      </c>
      <c r="AT654" s="29" cm="1">
        <f t="array" ref="AT654">_xlfn.IFS(Data!$F654&lt;600,((Data!$F654/Data!$D654)*60)*1,AND(Data!$F654&gt;=600,Data!$F654&lt;=625),((Data!$F654/Data!$D654)*60)*1.2,AND(Data!$F654&gt;=626,Data!$F654&lt;=650),((Data!$F654/Data!$D654)*60)*1.5,Data!$F654&gt;=651,((Data!$F654/Data!$D654)*60)*1.8)</f>
        <v>1146.8571428571429</v>
      </c>
      <c r="AU654" s="29">
        <f>(Data!$I654*-1.2)+(Data!$J654*-1.1)+(Data!$K654*1.2)+(Data!$L654*1.3)+(Data!$M654*1.5)</f>
        <v>-7.1999999999999993</v>
      </c>
      <c r="AV654" s="29">
        <f>(Data!$AS654*0.4)+(Data!$AT654*0.4)+(Data!$AU654*0.2)</f>
        <v>468.16</v>
      </c>
      <c r="AW654" s="34">
        <f>PERCENTRANK(AV:AV,Data!$AV654)*100</f>
        <v>66.600000000000009</v>
      </c>
      <c r="AX654" s="29" t="str">
        <f>_xlfn.CONCAT(TEXT(C654,"mmm"),"-",Data!$AE654)</f>
        <v>Jun-2024</v>
      </c>
    </row>
    <row r="655" spans="1:50" ht="17" thickTop="1" thickBot="1" x14ac:dyDescent="0.25">
      <c r="A655" s="22">
        <v>654</v>
      </c>
      <c r="B655" s="23">
        <f t="shared" si="82"/>
        <v>14</v>
      </c>
      <c r="C655" s="41">
        <v>45470</v>
      </c>
      <c r="D655" s="24">
        <f>SUM(Data!$I655:$M655)</f>
        <v>60</v>
      </c>
      <c r="E655" s="23">
        <v>13</v>
      </c>
      <c r="F655" s="23">
        <v>665</v>
      </c>
      <c r="G655" s="23">
        <v>169</v>
      </c>
      <c r="H655" s="23">
        <v>126</v>
      </c>
      <c r="I655" s="23">
        <v>11</v>
      </c>
      <c r="J655" s="23">
        <v>21</v>
      </c>
      <c r="K655" s="23">
        <v>15</v>
      </c>
      <c r="L655" s="23">
        <v>11</v>
      </c>
      <c r="M655" s="23">
        <v>2</v>
      </c>
      <c r="N655" s="23" t="s">
        <v>125</v>
      </c>
      <c r="O655" s="23" t="s">
        <v>127</v>
      </c>
      <c r="P655" s="23" t="s">
        <v>214</v>
      </c>
      <c r="Q655" s="23">
        <f t="shared" si="88"/>
        <v>3</v>
      </c>
      <c r="R655" s="23" t="str">
        <f t="shared" si="83"/>
        <v>6-2024</v>
      </c>
      <c r="S655" s="23" t="s">
        <v>104</v>
      </c>
      <c r="T655" s="23" t="str">
        <f t="shared" si="84"/>
        <v>Thursday</v>
      </c>
      <c r="U655" s="23">
        <f t="shared" si="85"/>
        <v>1</v>
      </c>
      <c r="V655" s="25">
        <f>IFERROR(Data!$I655/Data!$D655,"")</f>
        <v>0.18333333333333332</v>
      </c>
      <c r="W655" s="25">
        <f>IFERROR(Data!$J655/Data!$D655,"")</f>
        <v>0.35</v>
      </c>
      <c r="X655" s="25">
        <f>IFERROR(Data!$K655/Data!$D655,"")</f>
        <v>0.25</v>
      </c>
      <c r="Y655" s="25">
        <f>IFERROR(Data!$L655/Data!$D655,"")</f>
        <v>0.18333333333333332</v>
      </c>
      <c r="Z655" s="25">
        <f>IFERROR(Data!$M655/Data!$D655,"")</f>
        <v>3.3333333333333333E-2</v>
      </c>
      <c r="AA655" s="26">
        <v>169</v>
      </c>
      <c r="AB655" s="26">
        <f t="shared" si="81"/>
        <v>12.071428571428571</v>
      </c>
      <c r="AC655" s="23">
        <f t="shared" si="86"/>
        <v>625.07142857142856</v>
      </c>
      <c r="AD655" s="23">
        <f t="shared" si="87"/>
        <v>12.428571428571429</v>
      </c>
      <c r="AE655" s="23">
        <f>YEAR(Data!$C655)</f>
        <v>2024</v>
      </c>
      <c r="AF655" s="23"/>
      <c r="AG655" s="23">
        <v>12</v>
      </c>
      <c r="AH655" s="27">
        <f>Data!$F655/Data!$D655</f>
        <v>11.083333333333334</v>
      </c>
      <c r="AI655" s="17" t="str">
        <f>RIGHT(Data!$O655,2)</f>
        <v>PM</v>
      </c>
      <c r="AJ655" s="23" t="str">
        <f>Data!$R655&amp;"-"&amp;WEEKNUM(Data!$C655,1)-WEEKNUM(DATE(YEAR(Data!$C655),MONTH(Data!$C655),1),1)+1</f>
        <v>6-2024-5</v>
      </c>
      <c r="AK655" s="23">
        <f>MONTH(Data!$C655)</f>
        <v>6</v>
      </c>
      <c r="AL655" s="23">
        <f>IFERROR(Data!$F655/Data!$E655,0)</f>
        <v>51.153846153846153</v>
      </c>
      <c r="AM655" s="23">
        <f>COUNTIF(Data!$N$2:$N$825,Data!$N655)</f>
        <v>182</v>
      </c>
      <c r="AN655" s="23" t="str">
        <f>VLOOKUP(Data!$N655,'Helpful Tables'!A:D,4,FALSE)</f>
        <v>Oregon</v>
      </c>
      <c r="AO655" s="23">
        <f>COUNTIF(AN:AN,Data!$AN655)/COUNTA(AN:AN)</f>
        <v>0.27393939393939393</v>
      </c>
      <c r="AP655" s="23">
        <v>45.534162000000002</v>
      </c>
      <c r="AQ655" s="23">
        <v>-122.69670000000001</v>
      </c>
      <c r="AR655" s="23">
        <f>COUNTIF(Data!$P$2:$P$825,Data!$P655)</f>
        <v>9</v>
      </c>
      <c r="AS655" s="23" cm="1">
        <f t="array" ref="AS655">_xlfn.IFS(Data!$E655&lt;12,((Data!$E655/Data!$D655)*60)*1,AND(Data!$E655&gt;=12,Data!$E655&lt;=15),((Data!$E655/Data!$D655)*60)*1.2,AND(Data!$E655&gt;=16,Data!$E655&lt;=19),((Data!$E655/Data!$D655)*60)*1.5,Data!$E655&gt;=20,((Data!$E655/Data!$D655)*60)*1.8)</f>
        <v>15.6</v>
      </c>
      <c r="AT655" s="23" cm="1">
        <f t="array" ref="AT655">_xlfn.IFS(Data!$F655&lt;600,((Data!$F655/Data!$D655)*60)*1,AND(Data!$F655&gt;=600,Data!$F655&lt;=625),((Data!$F655/Data!$D655)*60)*1.2,AND(Data!$F655&gt;=626,Data!$F655&lt;=650),((Data!$F655/Data!$D655)*60)*1.5,Data!$F655&gt;=651,((Data!$F655/Data!$D655)*60)*1.8)</f>
        <v>1197</v>
      </c>
      <c r="AU655" s="23">
        <f>(Data!$I655*-1.2)+(Data!$J655*-1.1)+(Data!$K655*1.2)+(Data!$L655*1.3)+(Data!$M655*1.5)</f>
        <v>-0.99999999999999645</v>
      </c>
      <c r="AV655" s="23">
        <f>(Data!$AS655*0.4)+(Data!$AT655*0.4)+(Data!$AU655*0.2)</f>
        <v>484.84000000000003</v>
      </c>
      <c r="AW655" s="35">
        <f>PERCENTRANK(AV:AV,Data!$AV655)*100</f>
        <v>70.199999999999989</v>
      </c>
      <c r="AX655" s="23" t="str">
        <f>_xlfn.CONCAT(TEXT(C655,"mmm"),"-",Data!$AE655)</f>
        <v>Jun-2024</v>
      </c>
    </row>
    <row r="656" spans="1:50" ht="17" thickTop="1" thickBot="1" x14ac:dyDescent="0.25">
      <c r="A656" s="28">
        <v>655</v>
      </c>
      <c r="B656" s="29">
        <f t="shared" si="82"/>
        <v>14</v>
      </c>
      <c r="C656" s="41">
        <v>45472</v>
      </c>
      <c r="D656" s="30">
        <f>SUM(Data!$I656:$M656)</f>
        <v>57</v>
      </c>
      <c r="E656" s="29">
        <v>12</v>
      </c>
      <c r="F656" s="29">
        <v>647</v>
      </c>
      <c r="G656" s="29">
        <v>168</v>
      </c>
      <c r="H656" s="29">
        <v>128</v>
      </c>
      <c r="I656" s="29">
        <v>9</v>
      </c>
      <c r="J656" s="29">
        <v>15</v>
      </c>
      <c r="K656" s="29">
        <v>21</v>
      </c>
      <c r="L656" s="29">
        <v>9</v>
      </c>
      <c r="M656" s="29">
        <v>3</v>
      </c>
      <c r="N656" s="29" t="s">
        <v>208</v>
      </c>
      <c r="O656" s="29" t="s">
        <v>76</v>
      </c>
      <c r="P656" s="29" t="s">
        <v>213</v>
      </c>
      <c r="Q656" s="29">
        <f t="shared" si="88"/>
        <v>2</v>
      </c>
      <c r="R656" s="29" t="str">
        <f t="shared" si="83"/>
        <v>6-2024</v>
      </c>
      <c r="S656" s="29" t="s">
        <v>104</v>
      </c>
      <c r="T656" s="29" t="str">
        <f t="shared" si="84"/>
        <v>Saturday</v>
      </c>
      <c r="U656" s="29">
        <f t="shared" si="85"/>
        <v>1</v>
      </c>
      <c r="V656" s="31">
        <f>IFERROR(Data!$I656/Data!$D656,"")</f>
        <v>0.15789473684210525</v>
      </c>
      <c r="W656" s="31">
        <f>IFERROR(Data!$J656/Data!$D656,"")</f>
        <v>0.26315789473684209</v>
      </c>
      <c r="X656" s="31">
        <f>IFERROR(Data!$K656/Data!$D656,"")</f>
        <v>0.36842105263157893</v>
      </c>
      <c r="Y656" s="31">
        <f>IFERROR(Data!$L656/Data!$D656,"")</f>
        <v>0.15789473684210525</v>
      </c>
      <c r="Z656" s="31">
        <f>IFERROR(Data!$M656/Data!$D656,"")</f>
        <v>5.2631578947368418E-2</v>
      </c>
      <c r="AA656" s="32">
        <v>169</v>
      </c>
      <c r="AB656" s="32">
        <f t="shared" ref="AB656:AB719" si="89">AA656/B656</f>
        <v>12.071428571428571</v>
      </c>
      <c r="AC656" s="29">
        <f t="shared" si="86"/>
        <v>625.07142857142856</v>
      </c>
      <c r="AD656" s="29">
        <f t="shared" si="87"/>
        <v>12.428571428571429</v>
      </c>
      <c r="AE656" s="29">
        <f>YEAR(Data!$C656)</f>
        <v>2024</v>
      </c>
      <c r="AF656" s="29"/>
      <c r="AG656" s="29">
        <v>12</v>
      </c>
      <c r="AH656" s="33">
        <f>Data!$F656/Data!$D656</f>
        <v>11.350877192982455</v>
      </c>
      <c r="AI656" s="17" t="str">
        <f>RIGHT(Data!$O656,2)</f>
        <v>AM</v>
      </c>
      <c r="AJ656" s="29" t="str">
        <f>Data!$R656&amp;"-"&amp;WEEKNUM(Data!$C656,1)-WEEKNUM(DATE(YEAR(Data!$C656),MONTH(Data!$C656),1),1)+1</f>
        <v>6-2024-5</v>
      </c>
      <c r="AK656" s="29">
        <f>MONTH(Data!$C656)</f>
        <v>6</v>
      </c>
      <c r="AL656" s="29">
        <f>IFERROR(Data!$F656/Data!$E656,0)</f>
        <v>53.916666666666664</v>
      </c>
      <c r="AM656" s="29">
        <f>COUNTIF(Data!$N$2:$N$825,Data!$N656)</f>
        <v>42</v>
      </c>
      <c r="AN656" s="29" t="str">
        <f>VLOOKUP(Data!$N656,'Helpful Tables'!A:D,4,FALSE)</f>
        <v>Oregon</v>
      </c>
      <c r="AO656" s="29">
        <f>COUNTIF(AN:AN,Data!$AN656)/COUNTA(AN:AN)</f>
        <v>0.27393939393939393</v>
      </c>
      <c r="AP656" s="29">
        <v>45.525092999999998</v>
      </c>
      <c r="AQ656" s="29">
        <v>-122.681383</v>
      </c>
      <c r="AR656" s="29">
        <f>COUNTIF(Data!$P$2:$P$825,Data!$P656)</f>
        <v>20</v>
      </c>
      <c r="AS656" s="29" cm="1">
        <f t="array" ref="AS656">_xlfn.IFS(Data!$E656&lt;12,((Data!$E656/Data!$D656)*60)*1,AND(Data!$E656&gt;=12,Data!$E656&lt;=15),((Data!$E656/Data!$D656)*60)*1.2,AND(Data!$E656&gt;=16,Data!$E656&lt;=19),((Data!$E656/Data!$D656)*60)*1.5,Data!$E656&gt;=20,((Data!$E656/Data!$D656)*60)*1.8)</f>
        <v>15.157894736842104</v>
      </c>
      <c r="AT656" s="29" cm="1">
        <f t="array" ref="AT656">_xlfn.IFS(Data!$F656&lt;600,((Data!$F656/Data!$D656)*60)*1,AND(Data!$F656&gt;=600,Data!$F656&lt;=625),((Data!$F656/Data!$D656)*60)*1.2,AND(Data!$F656&gt;=626,Data!$F656&lt;=650),((Data!$F656/Data!$D656)*60)*1.5,Data!$F656&gt;=651,((Data!$F656/Data!$D656)*60)*1.8)</f>
        <v>1021.5789473684209</v>
      </c>
      <c r="AU656" s="29">
        <f>(Data!$I656*-1.2)+(Data!$J656*-1.1)+(Data!$K656*1.2)+(Data!$L656*1.3)+(Data!$M656*1.5)</f>
        <v>14.100000000000003</v>
      </c>
      <c r="AV656" s="29">
        <f>(Data!$AS656*0.4)+(Data!$AT656*0.4)+(Data!$AU656*0.2)</f>
        <v>417.51473684210521</v>
      </c>
      <c r="AW656" s="34">
        <f>PERCENTRANK(AV:AV,Data!$AV656)*100</f>
        <v>60.199999999999996</v>
      </c>
      <c r="AX656" s="29" t="str">
        <f>_xlfn.CONCAT(TEXT(C656,"mmm"),"-",Data!$AE656)</f>
        <v>Jun-2024</v>
      </c>
    </row>
    <row r="657" spans="1:50" ht="17" thickTop="1" thickBot="1" x14ac:dyDescent="0.25">
      <c r="A657" s="22">
        <v>656</v>
      </c>
      <c r="B657" s="23">
        <f t="shared" si="82"/>
        <v>15</v>
      </c>
      <c r="C657" s="41">
        <v>45474</v>
      </c>
      <c r="D657" s="24">
        <f>SUM(Data!$I657:$M657)</f>
        <v>59</v>
      </c>
      <c r="E657" s="23">
        <v>15</v>
      </c>
      <c r="F657" s="23">
        <v>649</v>
      </c>
      <c r="G657" s="23">
        <v>167</v>
      </c>
      <c r="H657" s="23">
        <v>126</v>
      </c>
      <c r="I657" s="23">
        <v>13</v>
      </c>
      <c r="J657" s="23">
        <v>20</v>
      </c>
      <c r="K657" s="23">
        <v>11</v>
      </c>
      <c r="L657" s="23">
        <v>13</v>
      </c>
      <c r="M657" s="23">
        <v>2</v>
      </c>
      <c r="N657" s="23" t="s">
        <v>125</v>
      </c>
      <c r="O657" s="23" t="s">
        <v>127</v>
      </c>
      <c r="P657" s="23" t="s">
        <v>216</v>
      </c>
      <c r="Q657" s="23">
        <f t="shared" si="88"/>
        <v>2</v>
      </c>
      <c r="R657" s="23" t="str">
        <f t="shared" si="83"/>
        <v>7-2024</v>
      </c>
      <c r="S657" s="23" t="s">
        <v>104</v>
      </c>
      <c r="T657" s="23" t="str">
        <f t="shared" si="84"/>
        <v>Monday</v>
      </c>
      <c r="U657" s="23">
        <f t="shared" si="85"/>
        <v>1</v>
      </c>
      <c r="V657" s="25">
        <f>IFERROR(Data!$I657/Data!$D657,"")</f>
        <v>0.22033898305084745</v>
      </c>
      <c r="W657" s="25">
        <f>IFERROR(Data!$J657/Data!$D657,"")</f>
        <v>0.33898305084745761</v>
      </c>
      <c r="X657" s="25">
        <f>IFERROR(Data!$K657/Data!$D657,"")</f>
        <v>0.1864406779661017</v>
      </c>
      <c r="Y657" s="25">
        <f>IFERROR(Data!$L657/Data!$D657,"")</f>
        <v>0.22033898305084745</v>
      </c>
      <c r="Z657" s="25">
        <f>IFERROR(Data!$M657/Data!$D657,"")</f>
        <v>3.3898305084745763E-2</v>
      </c>
      <c r="AA657" s="26">
        <v>169</v>
      </c>
      <c r="AB657" s="26">
        <f t="shared" si="89"/>
        <v>11.266666666666667</v>
      </c>
      <c r="AC657" s="23">
        <f t="shared" si="86"/>
        <v>627</v>
      </c>
      <c r="AD657" s="23">
        <f t="shared" si="87"/>
        <v>14.8</v>
      </c>
      <c r="AE657" s="23">
        <f>YEAR(Data!$C657)</f>
        <v>2024</v>
      </c>
      <c r="AF657" s="23"/>
      <c r="AG657" s="23">
        <v>12</v>
      </c>
      <c r="AH657" s="27">
        <f>Data!$F657/Data!$D657</f>
        <v>11</v>
      </c>
      <c r="AI657" s="17" t="str">
        <f>RIGHT(Data!$O657,2)</f>
        <v>PM</v>
      </c>
      <c r="AJ657" s="23" t="str">
        <f>Data!$R657&amp;"-"&amp;WEEKNUM(Data!$C657,1)-WEEKNUM(DATE(YEAR(Data!$C657),MONTH(Data!$C657),1),1)+1</f>
        <v>7-2024-1</v>
      </c>
      <c r="AK657" s="23">
        <f>MONTH(Data!$C657)</f>
        <v>7</v>
      </c>
      <c r="AL657" s="23">
        <f>IFERROR(Data!$F657/Data!$E657,0)</f>
        <v>43.266666666666666</v>
      </c>
      <c r="AM657" s="23">
        <f>COUNTIF(Data!$N$2:$N$825,Data!$N657)</f>
        <v>182</v>
      </c>
      <c r="AN657" s="23" t="str">
        <f>VLOOKUP(Data!$N657,'Helpful Tables'!A:D,4,FALSE)</f>
        <v>Oregon</v>
      </c>
      <c r="AO657" s="23">
        <f>COUNTIF(AN:AN,Data!$AN657)/COUNTA(AN:AN)</f>
        <v>0.27393939393939393</v>
      </c>
      <c r="AP657" s="23">
        <v>45.534162000000002</v>
      </c>
      <c r="AQ657" s="23">
        <v>-122.69670000000001</v>
      </c>
      <c r="AR657" s="23">
        <f>COUNTIF(Data!$P$2:$P$825,Data!$P657)</f>
        <v>25</v>
      </c>
      <c r="AS657" s="23" cm="1">
        <f t="array" ref="AS657">_xlfn.IFS(Data!$E657&lt;12,((Data!$E657/Data!$D657)*60)*1,AND(Data!$E657&gt;=12,Data!$E657&lt;=15),((Data!$E657/Data!$D657)*60)*1.2,AND(Data!$E657&gt;=16,Data!$E657&lt;=19),((Data!$E657/Data!$D657)*60)*1.5,Data!$E657&gt;=20,((Data!$E657/Data!$D657)*60)*1.8)</f>
        <v>18.305084745762709</v>
      </c>
      <c r="AT657" s="23" cm="1">
        <f t="array" ref="AT657">_xlfn.IFS(Data!$F657&lt;600,((Data!$F657/Data!$D657)*60)*1,AND(Data!$F657&gt;=600,Data!$F657&lt;=625),((Data!$F657/Data!$D657)*60)*1.2,AND(Data!$F657&gt;=626,Data!$F657&lt;=650),((Data!$F657/Data!$D657)*60)*1.5,Data!$F657&gt;=651,((Data!$F657/Data!$D657)*60)*1.8)</f>
        <v>990</v>
      </c>
      <c r="AU657" s="23">
        <f>(Data!$I657*-1.2)+(Data!$J657*-1.1)+(Data!$K657*1.2)+(Data!$L657*1.3)+(Data!$M657*1.5)</f>
        <v>-4.5</v>
      </c>
      <c r="AV657" s="23">
        <f>(Data!$AS657*0.4)+(Data!$AT657*0.4)+(Data!$AU657*0.2)</f>
        <v>402.42203389830513</v>
      </c>
      <c r="AW657" s="35">
        <f>PERCENTRANK(AV:AV,Data!$AV657)*100</f>
        <v>53.7</v>
      </c>
      <c r="AX657" s="23" t="str">
        <f>_xlfn.CONCAT(TEXT(C657,"mmm"),"-",Data!$AE657)</f>
        <v>Jul-2024</v>
      </c>
    </row>
    <row r="658" spans="1:50" ht="17" thickTop="1" thickBot="1" x14ac:dyDescent="0.25">
      <c r="A658" s="28">
        <v>657</v>
      </c>
      <c r="B658" s="29">
        <f t="shared" si="82"/>
        <v>15</v>
      </c>
      <c r="C658" s="41">
        <v>45477</v>
      </c>
      <c r="D658" s="30">
        <f>SUM(Data!$I658:$M658)</f>
        <v>58</v>
      </c>
      <c r="E658" s="29">
        <v>12</v>
      </c>
      <c r="F658" s="29">
        <v>616</v>
      </c>
      <c r="G658" s="29">
        <v>154</v>
      </c>
      <c r="H658" s="29">
        <v>123</v>
      </c>
      <c r="I658" s="29">
        <v>15</v>
      </c>
      <c r="J658" s="29">
        <v>15</v>
      </c>
      <c r="K658" s="29">
        <v>16</v>
      </c>
      <c r="L658" s="29">
        <v>12</v>
      </c>
      <c r="M658" s="29">
        <v>0</v>
      </c>
      <c r="N658" s="29" t="s">
        <v>125</v>
      </c>
      <c r="O658" s="29" t="s">
        <v>159</v>
      </c>
      <c r="P658" s="29" t="s">
        <v>126</v>
      </c>
      <c r="Q658" s="29">
        <f t="shared" si="88"/>
        <v>3</v>
      </c>
      <c r="R658" s="29" t="str">
        <f t="shared" si="83"/>
        <v>7-2024</v>
      </c>
      <c r="S658" s="29" t="s">
        <v>117</v>
      </c>
      <c r="T658" s="29" t="str">
        <f t="shared" si="84"/>
        <v>Thursday</v>
      </c>
      <c r="U658" s="29">
        <f t="shared" si="85"/>
        <v>1</v>
      </c>
      <c r="V658" s="31">
        <f>IFERROR(Data!$I658/Data!$D658,"")</f>
        <v>0.25862068965517243</v>
      </c>
      <c r="W658" s="31">
        <f>IFERROR(Data!$J658/Data!$D658,"")</f>
        <v>0.25862068965517243</v>
      </c>
      <c r="X658" s="31">
        <f>IFERROR(Data!$K658/Data!$D658,"")</f>
        <v>0.27586206896551724</v>
      </c>
      <c r="Y658" s="31">
        <f>IFERROR(Data!$L658/Data!$D658,"")</f>
        <v>0.20689655172413793</v>
      </c>
      <c r="Z658" s="31">
        <f>IFERROR(Data!$M658/Data!$D658,"")</f>
        <v>0</v>
      </c>
      <c r="AA658" s="32">
        <v>169</v>
      </c>
      <c r="AB658" s="32">
        <f t="shared" si="89"/>
        <v>11.266666666666667</v>
      </c>
      <c r="AC658" s="29">
        <f t="shared" si="86"/>
        <v>627</v>
      </c>
      <c r="AD658" s="29">
        <f t="shared" si="87"/>
        <v>14.8</v>
      </c>
      <c r="AE658" s="29">
        <f>YEAR(Data!$C658)</f>
        <v>2024</v>
      </c>
      <c r="AF658" s="29"/>
      <c r="AG658" s="29">
        <v>12</v>
      </c>
      <c r="AH658" s="33">
        <f>Data!$F658/Data!$D658</f>
        <v>10.620689655172415</v>
      </c>
      <c r="AI658" s="17" t="str">
        <f>RIGHT(Data!$O658,2)</f>
        <v>AM</v>
      </c>
      <c r="AJ658" s="29" t="str">
        <f>Data!$R658&amp;"-"&amp;WEEKNUM(Data!$C658,1)-WEEKNUM(DATE(YEAR(Data!$C658),MONTH(Data!$C658),1),1)+1</f>
        <v>7-2024-1</v>
      </c>
      <c r="AK658" s="29">
        <f>MONTH(Data!$C658)</f>
        <v>7</v>
      </c>
      <c r="AL658" s="29">
        <f>IFERROR(Data!$F658/Data!$E658,0)</f>
        <v>51.333333333333336</v>
      </c>
      <c r="AM658" s="29">
        <f>COUNTIF(Data!$N$2:$N$825,Data!$N658)</f>
        <v>182</v>
      </c>
      <c r="AN658" s="29" t="str">
        <f>VLOOKUP(Data!$N658,'Helpful Tables'!A:D,4,FALSE)</f>
        <v>Oregon</v>
      </c>
      <c r="AO658" s="29">
        <f>COUNTIF(AN:AN,Data!$AN658)/COUNTA(AN:AN)</f>
        <v>0.27393939393939393</v>
      </c>
      <c r="AP658" s="29">
        <v>45.534162000000002</v>
      </c>
      <c r="AQ658" s="29">
        <v>-122.69670000000001</v>
      </c>
      <c r="AR658" s="29">
        <f>COUNTIF(Data!$P$2:$P$825,Data!$P658)</f>
        <v>10</v>
      </c>
      <c r="AS658" s="29" cm="1">
        <f t="array" ref="AS658">_xlfn.IFS(Data!$E658&lt;12,((Data!$E658/Data!$D658)*60)*1,AND(Data!$E658&gt;=12,Data!$E658&lt;=15),((Data!$E658/Data!$D658)*60)*1.2,AND(Data!$E658&gt;=16,Data!$E658&lt;=19),((Data!$E658/Data!$D658)*60)*1.5,Data!$E658&gt;=20,((Data!$E658/Data!$D658)*60)*1.8)</f>
        <v>14.896551724137931</v>
      </c>
      <c r="AT658" s="29" cm="1">
        <f t="array" ref="AT658">_xlfn.IFS(Data!$F658&lt;600,((Data!$F658/Data!$D658)*60)*1,AND(Data!$F658&gt;=600,Data!$F658&lt;=625),((Data!$F658/Data!$D658)*60)*1.2,AND(Data!$F658&gt;=626,Data!$F658&lt;=650),((Data!$F658/Data!$D658)*60)*1.5,Data!$F658&gt;=651,((Data!$F658/Data!$D658)*60)*1.8)</f>
        <v>764.68965517241384</v>
      </c>
      <c r="AU658" s="29">
        <f>(Data!$I658*-1.2)+(Data!$J658*-1.1)+(Data!$K658*1.2)+(Data!$L658*1.3)+(Data!$M658*1.5)</f>
        <v>0.30000000000000071</v>
      </c>
      <c r="AV658" s="29">
        <f>(Data!$AS658*0.4)+(Data!$AT658*0.4)+(Data!$AU658*0.2)</f>
        <v>311.89448275862071</v>
      </c>
      <c r="AW658" s="34">
        <f>PERCENTRANK(AV:AV,Data!$AV658)*100</f>
        <v>32.1</v>
      </c>
      <c r="AX658" s="29" t="str">
        <f>_xlfn.CONCAT(TEXT(C658,"mmm"),"-",Data!$AE658)</f>
        <v>Jul-2024</v>
      </c>
    </row>
    <row r="659" spans="1:50" ht="17" thickTop="1" thickBot="1" x14ac:dyDescent="0.25">
      <c r="A659" s="22">
        <v>658</v>
      </c>
      <c r="B659" s="23">
        <f t="shared" si="82"/>
        <v>15</v>
      </c>
      <c r="C659" s="41">
        <v>45479</v>
      </c>
      <c r="D659" s="24">
        <f>SUM(Data!$I659:$M659)</f>
        <v>60</v>
      </c>
      <c r="E659" s="23">
        <v>3</v>
      </c>
      <c r="F659" s="23">
        <v>506</v>
      </c>
      <c r="G659" s="23">
        <v>159</v>
      </c>
      <c r="H659" s="23">
        <v>108</v>
      </c>
      <c r="I659" s="23">
        <v>34</v>
      </c>
      <c r="J659" s="23">
        <v>11</v>
      </c>
      <c r="K659" s="23">
        <v>12</v>
      </c>
      <c r="L659" s="23">
        <v>3</v>
      </c>
      <c r="M659" s="23">
        <v>0</v>
      </c>
      <c r="N659" s="23" t="s">
        <v>125</v>
      </c>
      <c r="O659" s="23" t="s">
        <v>159</v>
      </c>
      <c r="P659" s="23" t="s">
        <v>218</v>
      </c>
      <c r="Q659" s="23">
        <f t="shared" si="88"/>
        <v>2</v>
      </c>
      <c r="R659" s="23" t="str">
        <f t="shared" si="83"/>
        <v>7-2024</v>
      </c>
      <c r="S659" s="23" t="s">
        <v>117</v>
      </c>
      <c r="T659" s="23" t="str">
        <f t="shared" si="84"/>
        <v>Saturday</v>
      </c>
      <c r="U659" s="23">
        <f t="shared" si="85"/>
        <v>0</v>
      </c>
      <c r="V659" s="25">
        <f>IFERROR(Data!$I659/Data!$D659,"")</f>
        <v>0.56666666666666665</v>
      </c>
      <c r="W659" s="25">
        <f>IFERROR(Data!$J659/Data!$D659,"")</f>
        <v>0.18333333333333332</v>
      </c>
      <c r="X659" s="25">
        <f>IFERROR(Data!$K659/Data!$D659,"")</f>
        <v>0.2</v>
      </c>
      <c r="Y659" s="25">
        <f>IFERROR(Data!$L659/Data!$D659,"")</f>
        <v>0.05</v>
      </c>
      <c r="Z659" s="25">
        <f>IFERROR(Data!$M659/Data!$D659,"")</f>
        <v>0</v>
      </c>
      <c r="AA659" s="26">
        <v>169</v>
      </c>
      <c r="AB659" s="26">
        <f t="shared" si="89"/>
        <v>11.266666666666667</v>
      </c>
      <c r="AC659" s="23">
        <f t="shared" si="86"/>
        <v>627</v>
      </c>
      <c r="AD659" s="23">
        <f t="shared" si="87"/>
        <v>14.8</v>
      </c>
      <c r="AE659" s="23">
        <f>YEAR(Data!$C659)</f>
        <v>2024</v>
      </c>
      <c r="AF659" s="23"/>
      <c r="AG659" s="23">
        <v>12</v>
      </c>
      <c r="AH659" s="27">
        <f>Data!$F659/Data!$D659</f>
        <v>8.4333333333333336</v>
      </c>
      <c r="AI659" s="17" t="str">
        <f>RIGHT(Data!$O659,2)</f>
        <v>AM</v>
      </c>
      <c r="AJ659" s="23" t="str">
        <f>Data!$R659&amp;"-"&amp;WEEKNUM(Data!$C659,1)-WEEKNUM(DATE(YEAR(Data!$C659),MONTH(Data!$C659),1),1)+1</f>
        <v>7-2024-1</v>
      </c>
      <c r="AK659" s="23">
        <f>MONTH(Data!$C659)</f>
        <v>7</v>
      </c>
      <c r="AL659" s="23">
        <f>IFERROR(Data!$F659/Data!$E659,0)</f>
        <v>168.66666666666666</v>
      </c>
      <c r="AM659" s="23">
        <f>COUNTIF(Data!$N$2:$N$825,Data!$N659)</f>
        <v>182</v>
      </c>
      <c r="AN659" s="23" t="str">
        <f>VLOOKUP(Data!$N659,'Helpful Tables'!A:D,4,FALSE)</f>
        <v>Oregon</v>
      </c>
      <c r="AO659" s="23">
        <f>COUNTIF(AN:AN,Data!$AN659)/COUNTA(AN:AN)</f>
        <v>0.27393939393939393</v>
      </c>
      <c r="AP659" s="23">
        <v>45.534162000000002</v>
      </c>
      <c r="AQ659" s="23">
        <v>-122.69670000000001</v>
      </c>
      <c r="AR659" s="23">
        <f>COUNTIF(Data!$P$2:$P$825,Data!$P659)</f>
        <v>9</v>
      </c>
      <c r="AS659" s="23" cm="1">
        <f t="array" ref="AS659">_xlfn.IFS(Data!$E659&lt;12,((Data!$E659/Data!$D659)*60)*1,AND(Data!$E659&gt;=12,Data!$E659&lt;=15),((Data!$E659/Data!$D659)*60)*1.2,AND(Data!$E659&gt;=16,Data!$E659&lt;=19),((Data!$E659/Data!$D659)*60)*1.5,Data!$E659&gt;=20,((Data!$E659/Data!$D659)*60)*1.8)</f>
        <v>3</v>
      </c>
      <c r="AT659" s="23" cm="1">
        <f t="array" ref="AT659">_xlfn.IFS(Data!$F659&lt;600,((Data!$F659/Data!$D659)*60)*1,AND(Data!$F659&gt;=600,Data!$F659&lt;=625),((Data!$F659/Data!$D659)*60)*1.2,AND(Data!$F659&gt;=626,Data!$F659&lt;=650),((Data!$F659/Data!$D659)*60)*1.5,Data!$F659&gt;=651,((Data!$F659/Data!$D659)*60)*1.8)</f>
        <v>506</v>
      </c>
      <c r="AU659" s="23">
        <f>(Data!$I659*-1.2)+(Data!$J659*-1.1)+(Data!$K659*1.2)+(Data!$L659*1.3)+(Data!$M659*1.5)</f>
        <v>-34.6</v>
      </c>
      <c r="AV659" s="23">
        <f>(Data!$AS659*0.4)+(Data!$AT659*0.4)+(Data!$AU659*0.2)</f>
        <v>196.68</v>
      </c>
      <c r="AW659" s="35">
        <f>PERCENTRANK(AV:AV,Data!$AV659)*100</f>
        <v>0.4</v>
      </c>
      <c r="AX659" s="23" t="str">
        <f>_xlfn.CONCAT(TEXT(C659,"mmm"),"-",Data!$AE659)</f>
        <v>Jul-2024</v>
      </c>
    </row>
    <row r="660" spans="1:50" ht="17" thickTop="1" thickBot="1" x14ac:dyDescent="0.25">
      <c r="A660" s="28">
        <v>659</v>
      </c>
      <c r="B660" s="29">
        <f t="shared" si="82"/>
        <v>15</v>
      </c>
      <c r="C660" s="41">
        <v>45480</v>
      </c>
      <c r="D660" s="30">
        <f>SUM(Data!$I660:$M660)</f>
        <v>60</v>
      </c>
      <c r="E660" s="29">
        <v>20</v>
      </c>
      <c r="F660" s="29">
        <v>678</v>
      </c>
      <c r="G660" s="29">
        <v>166</v>
      </c>
      <c r="H660" s="29">
        <v>129</v>
      </c>
      <c r="I660" s="29">
        <v>16</v>
      </c>
      <c r="J660" s="29">
        <v>11</v>
      </c>
      <c r="K660" s="29">
        <v>13</v>
      </c>
      <c r="L660" s="29">
        <v>18</v>
      </c>
      <c r="M660" s="29">
        <v>2</v>
      </c>
      <c r="N660" s="29" t="s">
        <v>208</v>
      </c>
      <c r="O660" s="29" t="s">
        <v>76</v>
      </c>
      <c r="P660" s="29" t="s">
        <v>213</v>
      </c>
      <c r="Q660" s="29">
        <f t="shared" si="88"/>
        <v>1</v>
      </c>
      <c r="R660" s="29" t="str">
        <f t="shared" si="83"/>
        <v>7-2024</v>
      </c>
      <c r="S660" s="29" t="s">
        <v>104</v>
      </c>
      <c r="T660" s="29" t="str">
        <f t="shared" si="84"/>
        <v>Sunday</v>
      </c>
      <c r="U660" s="29">
        <f t="shared" si="85"/>
        <v>1</v>
      </c>
      <c r="V660" s="31">
        <f>IFERROR(Data!$I660/Data!$D660,"")</f>
        <v>0.26666666666666666</v>
      </c>
      <c r="W660" s="31">
        <f>IFERROR(Data!$J660/Data!$D660,"")</f>
        <v>0.18333333333333332</v>
      </c>
      <c r="X660" s="31">
        <f>IFERROR(Data!$K660/Data!$D660,"")</f>
        <v>0.21666666666666667</v>
      </c>
      <c r="Y660" s="31">
        <f>IFERROR(Data!$L660/Data!$D660,"")</f>
        <v>0.3</v>
      </c>
      <c r="Z660" s="31">
        <f>IFERROR(Data!$M660/Data!$D660,"")</f>
        <v>3.3333333333333333E-2</v>
      </c>
      <c r="AA660" s="32">
        <v>169</v>
      </c>
      <c r="AB660" s="32">
        <f t="shared" si="89"/>
        <v>11.266666666666667</v>
      </c>
      <c r="AC660" s="29">
        <f t="shared" si="86"/>
        <v>627</v>
      </c>
      <c r="AD660" s="29">
        <f t="shared" si="87"/>
        <v>14.8</v>
      </c>
      <c r="AE660" s="29">
        <f>YEAR(Data!$C660)</f>
        <v>2024</v>
      </c>
      <c r="AF660" s="29"/>
      <c r="AG660" s="29">
        <v>12</v>
      </c>
      <c r="AH660" s="33">
        <f>Data!$F660/Data!$D660</f>
        <v>11.3</v>
      </c>
      <c r="AI660" s="17" t="str">
        <f>RIGHT(Data!$O660,2)</f>
        <v>AM</v>
      </c>
      <c r="AJ660" s="29" t="str">
        <f>Data!$R660&amp;"-"&amp;WEEKNUM(Data!$C660,1)-WEEKNUM(DATE(YEAR(Data!$C660),MONTH(Data!$C660),1),1)+1</f>
        <v>7-2024-2</v>
      </c>
      <c r="AK660" s="29">
        <f>MONTH(Data!$C660)</f>
        <v>7</v>
      </c>
      <c r="AL660" s="29">
        <f>IFERROR(Data!$F660/Data!$E660,0)</f>
        <v>33.9</v>
      </c>
      <c r="AM660" s="29">
        <f>COUNTIF(Data!$N$2:$N$825,Data!$N660)</f>
        <v>42</v>
      </c>
      <c r="AN660" s="29" t="str">
        <f>VLOOKUP(Data!$N660,'Helpful Tables'!A:D,4,FALSE)</f>
        <v>Oregon</v>
      </c>
      <c r="AO660" s="29">
        <f>COUNTIF(AN:AN,Data!$AN660)/COUNTA(AN:AN)</f>
        <v>0.27393939393939393</v>
      </c>
      <c r="AP660" s="29">
        <v>45.525092999999998</v>
      </c>
      <c r="AQ660" s="29">
        <v>-122.681383</v>
      </c>
      <c r="AR660" s="29">
        <f>COUNTIF(Data!$P$2:$P$825,Data!$P660)</f>
        <v>20</v>
      </c>
      <c r="AS660" s="29" cm="1">
        <f t="array" ref="AS660">_xlfn.IFS(Data!$E660&lt;12,((Data!$E660/Data!$D660)*60)*1,AND(Data!$E660&gt;=12,Data!$E660&lt;=15),((Data!$E660/Data!$D660)*60)*1.2,AND(Data!$E660&gt;=16,Data!$E660&lt;=19),((Data!$E660/Data!$D660)*60)*1.5,Data!$E660&gt;=20,((Data!$E660/Data!$D660)*60)*1.8)</f>
        <v>36</v>
      </c>
      <c r="AT660" s="29" cm="1">
        <f t="array" ref="AT660">_xlfn.IFS(Data!$F660&lt;600,((Data!$F660/Data!$D660)*60)*1,AND(Data!$F660&gt;=600,Data!$F660&lt;=625),((Data!$F660/Data!$D660)*60)*1.2,AND(Data!$F660&gt;=626,Data!$F660&lt;=650),((Data!$F660/Data!$D660)*60)*1.5,Data!$F660&gt;=651,((Data!$F660/Data!$D660)*60)*1.8)</f>
        <v>1220.4000000000001</v>
      </c>
      <c r="AU660" s="29">
        <f>(Data!$I660*-1.2)+(Data!$J660*-1.1)+(Data!$K660*1.2)+(Data!$L660*1.3)+(Data!$M660*1.5)</f>
        <v>10.700000000000001</v>
      </c>
      <c r="AV660" s="29">
        <f>(Data!$AS660*0.4)+(Data!$AT660*0.4)+(Data!$AU660*0.2)</f>
        <v>504.70000000000005</v>
      </c>
      <c r="AW660" s="34">
        <f>PERCENTRANK(AV:AV,Data!$AV660)*100</f>
        <v>80.900000000000006</v>
      </c>
      <c r="AX660" s="29" t="str">
        <f>_xlfn.CONCAT(TEXT(C660,"mmm"),"-",Data!$AE660)</f>
        <v>Jul-2024</v>
      </c>
    </row>
    <row r="661" spans="1:50" ht="17" thickTop="1" thickBot="1" x14ac:dyDescent="0.25">
      <c r="A661" s="22">
        <v>660</v>
      </c>
      <c r="B661" s="23">
        <f t="shared" si="82"/>
        <v>15</v>
      </c>
      <c r="C661" s="41">
        <v>45482</v>
      </c>
      <c r="D661" s="24">
        <f>SUM(Data!$I661:$M661)</f>
        <v>64</v>
      </c>
      <c r="E661" s="23">
        <v>19</v>
      </c>
      <c r="F661" s="23">
        <v>646</v>
      </c>
      <c r="G661" s="23">
        <v>169</v>
      </c>
      <c r="H661" s="23">
        <v>121</v>
      </c>
      <c r="I661" s="23">
        <v>25</v>
      </c>
      <c r="J661" s="23">
        <v>8</v>
      </c>
      <c r="K661" s="23">
        <v>12</v>
      </c>
      <c r="L661" s="23">
        <v>15</v>
      </c>
      <c r="M661" s="23">
        <v>4</v>
      </c>
      <c r="N661" s="23" t="s">
        <v>125</v>
      </c>
      <c r="O661" s="23" t="s">
        <v>127</v>
      </c>
      <c r="P661" s="23" t="s">
        <v>220</v>
      </c>
      <c r="Q661" s="23">
        <f t="shared" si="88"/>
        <v>2</v>
      </c>
      <c r="R661" s="23" t="str">
        <f t="shared" si="83"/>
        <v>7-2024</v>
      </c>
      <c r="S661" s="23" t="s">
        <v>104</v>
      </c>
      <c r="T661" s="23" t="str">
        <f t="shared" si="84"/>
        <v>Tuesday</v>
      </c>
      <c r="U661" s="23">
        <f t="shared" si="85"/>
        <v>1</v>
      </c>
      <c r="V661" s="25">
        <f>IFERROR(Data!$I661/Data!$D661,"")</f>
        <v>0.390625</v>
      </c>
      <c r="W661" s="25">
        <f>IFERROR(Data!$J661/Data!$D661,"")</f>
        <v>0.125</v>
      </c>
      <c r="X661" s="25">
        <f>IFERROR(Data!$K661/Data!$D661,"")</f>
        <v>0.1875</v>
      </c>
      <c r="Y661" s="25">
        <f>IFERROR(Data!$L661/Data!$D661,"")</f>
        <v>0.234375</v>
      </c>
      <c r="Z661" s="25">
        <f>IFERROR(Data!$M661/Data!$D661,"")</f>
        <v>6.25E-2</v>
      </c>
      <c r="AA661" s="26">
        <v>169</v>
      </c>
      <c r="AB661" s="26">
        <f t="shared" si="89"/>
        <v>11.266666666666667</v>
      </c>
      <c r="AC661" s="23">
        <f t="shared" si="86"/>
        <v>627</v>
      </c>
      <c r="AD661" s="23">
        <f t="shared" si="87"/>
        <v>14.8</v>
      </c>
      <c r="AE661" s="23">
        <f>YEAR(Data!$C661)</f>
        <v>2024</v>
      </c>
      <c r="AF661" s="23"/>
      <c r="AG661" s="23">
        <v>12</v>
      </c>
      <c r="AH661" s="27">
        <f>Data!$F661/Data!$D661</f>
        <v>10.09375</v>
      </c>
      <c r="AI661" s="17" t="str">
        <f>RIGHT(Data!$O661,2)</f>
        <v>PM</v>
      </c>
      <c r="AJ661" s="23" t="str">
        <f>Data!$R661&amp;"-"&amp;WEEKNUM(Data!$C661,1)-WEEKNUM(DATE(YEAR(Data!$C661),MONTH(Data!$C661),1),1)+1</f>
        <v>7-2024-2</v>
      </c>
      <c r="AK661" s="23">
        <f>MONTH(Data!$C661)</f>
        <v>7</v>
      </c>
      <c r="AL661" s="23">
        <f>IFERROR(Data!$F661/Data!$E661,0)</f>
        <v>34</v>
      </c>
      <c r="AM661" s="23">
        <f>COUNTIF(Data!$N$2:$N$825,Data!$N661)</f>
        <v>182</v>
      </c>
      <c r="AN661" s="23" t="str">
        <f>VLOOKUP(Data!$N661,'Helpful Tables'!A:D,4,FALSE)</f>
        <v>Oregon</v>
      </c>
      <c r="AO661" s="23">
        <f>COUNTIF(AN:AN,Data!$AN661)/COUNTA(AN:AN)</f>
        <v>0.27393939393939393</v>
      </c>
      <c r="AP661" s="23">
        <v>45.534162000000002</v>
      </c>
      <c r="AQ661" s="23">
        <v>-122.69670000000001</v>
      </c>
      <c r="AR661" s="23">
        <f>COUNTIF(Data!$P$2:$P$825,Data!$P661)</f>
        <v>43</v>
      </c>
      <c r="AS661" s="23" cm="1">
        <f t="array" ref="AS661">_xlfn.IFS(Data!$E661&lt;12,((Data!$E661/Data!$D661)*60)*1,AND(Data!$E661&gt;=12,Data!$E661&lt;=15),((Data!$E661/Data!$D661)*60)*1.2,AND(Data!$E661&gt;=16,Data!$E661&lt;=19),((Data!$E661/Data!$D661)*60)*1.5,Data!$E661&gt;=20,((Data!$E661/Data!$D661)*60)*1.8)</f>
        <v>26.71875</v>
      </c>
      <c r="AT661" s="23" cm="1">
        <f t="array" ref="AT661">_xlfn.IFS(Data!$F661&lt;600,((Data!$F661/Data!$D661)*60)*1,AND(Data!$F661&gt;=600,Data!$F661&lt;=625),((Data!$F661/Data!$D661)*60)*1.2,AND(Data!$F661&gt;=626,Data!$F661&lt;=650),((Data!$F661/Data!$D661)*60)*1.5,Data!$F661&gt;=651,((Data!$F661/Data!$D661)*60)*1.8)</f>
        <v>908.4375</v>
      </c>
      <c r="AU661" s="23">
        <f>(Data!$I661*-1.2)+(Data!$J661*-1.1)+(Data!$K661*1.2)+(Data!$L661*1.3)+(Data!$M661*1.5)</f>
        <v>1.1000000000000014</v>
      </c>
      <c r="AV661" s="23">
        <f>(Data!$AS661*0.4)+(Data!$AT661*0.4)+(Data!$AU661*0.2)</f>
        <v>374.28250000000003</v>
      </c>
      <c r="AW661" s="35">
        <f>PERCENTRANK(AV:AV,Data!$AV661)*100</f>
        <v>44.4</v>
      </c>
      <c r="AX661" s="23" t="str">
        <f>_xlfn.CONCAT(TEXT(C661,"mmm"),"-",Data!$AE661)</f>
        <v>Jul-2024</v>
      </c>
    </row>
    <row r="662" spans="1:50" ht="17" thickTop="1" thickBot="1" x14ac:dyDescent="0.25">
      <c r="A662" s="28">
        <v>661</v>
      </c>
      <c r="B662" s="29">
        <f t="shared" si="82"/>
        <v>15</v>
      </c>
      <c r="C662" s="41">
        <v>45484</v>
      </c>
      <c r="D662" s="30">
        <f>SUM(Data!$I662:$M662)</f>
        <v>61</v>
      </c>
      <c r="E662" s="29">
        <v>21</v>
      </c>
      <c r="F662" s="29">
        <v>657</v>
      </c>
      <c r="G662" s="29">
        <v>166</v>
      </c>
      <c r="H662" s="29">
        <v>122</v>
      </c>
      <c r="I662" s="29">
        <v>25</v>
      </c>
      <c r="J662" s="29">
        <v>10</v>
      </c>
      <c r="K662" s="29">
        <v>5</v>
      </c>
      <c r="L662" s="29">
        <v>19</v>
      </c>
      <c r="M662" s="29">
        <v>2</v>
      </c>
      <c r="N662" s="29" t="s">
        <v>125</v>
      </c>
      <c r="O662" s="29" t="s">
        <v>127</v>
      </c>
      <c r="P662" s="29" t="s">
        <v>220</v>
      </c>
      <c r="Q662" s="29">
        <f t="shared" si="88"/>
        <v>2</v>
      </c>
      <c r="R662" s="29" t="str">
        <f t="shared" si="83"/>
        <v>7-2024</v>
      </c>
      <c r="S662" s="29" t="s">
        <v>104</v>
      </c>
      <c r="T662" s="29" t="str">
        <f t="shared" si="84"/>
        <v>Thursday</v>
      </c>
      <c r="U662" s="29">
        <f t="shared" si="85"/>
        <v>1</v>
      </c>
      <c r="V662" s="31">
        <f>IFERROR(Data!$I662/Data!$D662,"")</f>
        <v>0.4098360655737705</v>
      </c>
      <c r="W662" s="31">
        <f>IFERROR(Data!$J662/Data!$D662,"")</f>
        <v>0.16393442622950818</v>
      </c>
      <c r="X662" s="31">
        <f>IFERROR(Data!$K662/Data!$D662,"")</f>
        <v>8.1967213114754092E-2</v>
      </c>
      <c r="Y662" s="31">
        <f>IFERROR(Data!$L662/Data!$D662,"")</f>
        <v>0.31147540983606559</v>
      </c>
      <c r="Z662" s="31">
        <f>IFERROR(Data!$M662/Data!$D662,"")</f>
        <v>3.2786885245901641E-2</v>
      </c>
      <c r="AA662" s="32">
        <v>169</v>
      </c>
      <c r="AB662" s="32">
        <f t="shared" si="89"/>
        <v>11.266666666666667</v>
      </c>
      <c r="AC662" s="29">
        <f t="shared" si="86"/>
        <v>627</v>
      </c>
      <c r="AD662" s="29">
        <f t="shared" si="87"/>
        <v>14.8</v>
      </c>
      <c r="AE662" s="29">
        <f>YEAR(Data!$C662)</f>
        <v>2024</v>
      </c>
      <c r="AF662" s="29"/>
      <c r="AG662" s="29">
        <v>12</v>
      </c>
      <c r="AH662" s="33">
        <f>Data!$F662/Data!$D662</f>
        <v>10.770491803278688</v>
      </c>
      <c r="AI662" s="17" t="str">
        <f>RIGHT(Data!$O662,2)</f>
        <v>PM</v>
      </c>
      <c r="AJ662" s="29" t="str">
        <f>Data!$R662&amp;"-"&amp;WEEKNUM(Data!$C662,1)-WEEKNUM(DATE(YEAR(Data!$C662),MONTH(Data!$C662),1),1)+1</f>
        <v>7-2024-2</v>
      </c>
      <c r="AK662" s="29">
        <f>MONTH(Data!$C662)</f>
        <v>7</v>
      </c>
      <c r="AL662" s="29">
        <f>IFERROR(Data!$F662/Data!$E662,0)</f>
        <v>31.285714285714285</v>
      </c>
      <c r="AM662" s="29">
        <f>COUNTIF(Data!$N$2:$N$825,Data!$N662)</f>
        <v>182</v>
      </c>
      <c r="AN662" s="29" t="str">
        <f>VLOOKUP(Data!$N662,'Helpful Tables'!A:D,4,FALSE)</f>
        <v>Oregon</v>
      </c>
      <c r="AO662" s="29">
        <f>COUNTIF(AN:AN,Data!$AN662)/COUNTA(AN:AN)</f>
        <v>0.27393939393939393</v>
      </c>
      <c r="AP662" s="29">
        <v>45.534162000000002</v>
      </c>
      <c r="AQ662" s="29">
        <v>-122.69670000000001</v>
      </c>
      <c r="AR662" s="29">
        <f>COUNTIF(Data!$P$2:$P$825,Data!$P662)</f>
        <v>43</v>
      </c>
      <c r="AS662" s="29" cm="1">
        <f t="array" ref="AS662">_xlfn.IFS(Data!$E662&lt;12,((Data!$E662/Data!$D662)*60)*1,AND(Data!$E662&gt;=12,Data!$E662&lt;=15),((Data!$E662/Data!$D662)*60)*1.2,AND(Data!$E662&gt;=16,Data!$E662&lt;=19),((Data!$E662/Data!$D662)*60)*1.5,Data!$E662&gt;=20,((Data!$E662/Data!$D662)*60)*1.8)</f>
        <v>37.180327868852459</v>
      </c>
      <c r="AT662" s="29" cm="1">
        <f t="array" ref="AT662">_xlfn.IFS(Data!$F662&lt;600,((Data!$F662/Data!$D662)*60)*1,AND(Data!$F662&gt;=600,Data!$F662&lt;=625),((Data!$F662/Data!$D662)*60)*1.2,AND(Data!$F662&gt;=626,Data!$F662&lt;=650),((Data!$F662/Data!$D662)*60)*1.5,Data!$F662&gt;=651,((Data!$F662/Data!$D662)*60)*1.8)</f>
        <v>1163.2131147540983</v>
      </c>
      <c r="AU662" s="29">
        <f>(Data!$I662*-1.2)+(Data!$J662*-1.1)+(Data!$K662*1.2)+(Data!$L662*1.3)+(Data!$M662*1.5)</f>
        <v>-7.3000000000000007</v>
      </c>
      <c r="AV662" s="29">
        <f>(Data!$AS662*0.4)+(Data!$AT662*0.4)+(Data!$AU662*0.2)</f>
        <v>478.69737704918037</v>
      </c>
      <c r="AW662" s="34">
        <f>PERCENTRANK(AV:AV,Data!$AV662)*100</f>
        <v>68.7</v>
      </c>
      <c r="AX662" s="29" t="str">
        <f>_xlfn.CONCAT(TEXT(C662,"mmm"),"-",Data!$AE662)</f>
        <v>Jul-2024</v>
      </c>
    </row>
    <row r="663" spans="1:50" ht="17" thickTop="1" thickBot="1" x14ac:dyDescent="0.25">
      <c r="A663" s="22">
        <v>662</v>
      </c>
      <c r="B663" s="23">
        <f t="shared" si="82"/>
        <v>15</v>
      </c>
      <c r="C663" s="41">
        <v>45485</v>
      </c>
      <c r="D663" s="24">
        <f>SUM(Data!$I663:$M663)</f>
        <v>60</v>
      </c>
      <c r="E663" s="23">
        <v>14</v>
      </c>
      <c r="F663" s="23">
        <v>616</v>
      </c>
      <c r="G663" s="23">
        <v>167</v>
      </c>
      <c r="H663" s="23">
        <v>120</v>
      </c>
      <c r="I663" s="23">
        <v>22</v>
      </c>
      <c r="J663" s="23">
        <v>11</v>
      </c>
      <c r="K663" s="23">
        <v>13</v>
      </c>
      <c r="L663" s="23">
        <v>13</v>
      </c>
      <c r="M663" s="23">
        <v>1</v>
      </c>
      <c r="N663" s="23" t="s">
        <v>125</v>
      </c>
      <c r="O663" s="23" t="s">
        <v>127</v>
      </c>
      <c r="P663" s="23" t="s">
        <v>220</v>
      </c>
      <c r="Q663" s="23">
        <f t="shared" si="88"/>
        <v>1</v>
      </c>
      <c r="R663" s="23" t="str">
        <f t="shared" si="83"/>
        <v>7-2024</v>
      </c>
      <c r="S663" s="23" t="s">
        <v>117</v>
      </c>
      <c r="T663" s="23" t="str">
        <f t="shared" si="84"/>
        <v>Friday</v>
      </c>
      <c r="U663" s="23">
        <f t="shared" si="85"/>
        <v>1</v>
      </c>
      <c r="V663" s="25">
        <f>IFERROR(Data!$I663/Data!$D663,"")</f>
        <v>0.36666666666666664</v>
      </c>
      <c r="W663" s="25">
        <f>IFERROR(Data!$J663/Data!$D663,"")</f>
        <v>0.18333333333333332</v>
      </c>
      <c r="X663" s="25">
        <f>IFERROR(Data!$K663/Data!$D663,"")</f>
        <v>0.21666666666666667</v>
      </c>
      <c r="Y663" s="25">
        <f>IFERROR(Data!$L663/Data!$D663,"")</f>
        <v>0.21666666666666667</v>
      </c>
      <c r="Z663" s="25">
        <f>IFERROR(Data!$M663/Data!$D663,"")</f>
        <v>1.6666666666666666E-2</v>
      </c>
      <c r="AA663" s="26">
        <v>169</v>
      </c>
      <c r="AB663" s="26">
        <f t="shared" si="89"/>
        <v>11.266666666666667</v>
      </c>
      <c r="AC663" s="23">
        <f t="shared" si="86"/>
        <v>627</v>
      </c>
      <c r="AD663" s="23">
        <f t="shared" si="87"/>
        <v>14.8</v>
      </c>
      <c r="AE663" s="23">
        <f>YEAR(Data!$C663)</f>
        <v>2024</v>
      </c>
      <c r="AF663" s="23"/>
      <c r="AG663" s="23">
        <v>12</v>
      </c>
      <c r="AH663" s="27">
        <f>Data!$F663/Data!$D663</f>
        <v>10.266666666666667</v>
      </c>
      <c r="AI663" s="17" t="str">
        <f>RIGHT(Data!$O663,2)</f>
        <v>PM</v>
      </c>
      <c r="AJ663" s="23" t="str">
        <f>Data!$R663&amp;"-"&amp;WEEKNUM(Data!$C663,1)-WEEKNUM(DATE(YEAR(Data!$C663),MONTH(Data!$C663),1),1)+1</f>
        <v>7-2024-2</v>
      </c>
      <c r="AK663" s="23">
        <f>MONTH(Data!$C663)</f>
        <v>7</v>
      </c>
      <c r="AL663" s="23">
        <f>IFERROR(Data!$F663/Data!$E663,0)</f>
        <v>44</v>
      </c>
      <c r="AM663" s="23">
        <f>COUNTIF(Data!$N$2:$N$825,Data!$N663)</f>
        <v>182</v>
      </c>
      <c r="AN663" s="23" t="str">
        <f>VLOOKUP(Data!$N663,'Helpful Tables'!A:D,4,FALSE)</f>
        <v>Oregon</v>
      </c>
      <c r="AO663" s="23">
        <f>COUNTIF(AN:AN,Data!$AN663)/COUNTA(AN:AN)</f>
        <v>0.27393939393939393</v>
      </c>
      <c r="AP663" s="23">
        <v>45.534162000000002</v>
      </c>
      <c r="AQ663" s="23">
        <v>-122.69670000000001</v>
      </c>
      <c r="AR663" s="23">
        <f>COUNTIF(Data!$P$2:$P$825,Data!$P663)</f>
        <v>43</v>
      </c>
      <c r="AS663" s="23" cm="1">
        <f t="array" ref="AS663">_xlfn.IFS(Data!$E663&lt;12,((Data!$E663/Data!$D663)*60)*1,AND(Data!$E663&gt;=12,Data!$E663&lt;=15),((Data!$E663/Data!$D663)*60)*1.2,AND(Data!$E663&gt;=16,Data!$E663&lt;=19),((Data!$E663/Data!$D663)*60)*1.5,Data!$E663&gt;=20,((Data!$E663/Data!$D663)*60)*1.8)</f>
        <v>16.8</v>
      </c>
      <c r="AT663" s="23" cm="1">
        <f t="array" ref="AT663">_xlfn.IFS(Data!$F663&lt;600,((Data!$F663/Data!$D663)*60)*1,AND(Data!$F663&gt;=600,Data!$F663&lt;=625),((Data!$F663/Data!$D663)*60)*1.2,AND(Data!$F663&gt;=626,Data!$F663&lt;=650),((Data!$F663/Data!$D663)*60)*1.5,Data!$F663&gt;=651,((Data!$F663/Data!$D663)*60)*1.8)</f>
        <v>739.19999999999993</v>
      </c>
      <c r="AU663" s="23">
        <f>(Data!$I663*-1.2)+(Data!$J663*-1.1)+(Data!$K663*1.2)+(Data!$L663*1.3)+(Data!$M663*1.5)</f>
        <v>-4.4999999999999964</v>
      </c>
      <c r="AV663" s="23">
        <f>(Data!$AS663*0.4)+(Data!$AT663*0.4)+(Data!$AU663*0.2)</f>
        <v>301.50000000000006</v>
      </c>
      <c r="AW663" s="35">
        <f>PERCENTRANK(AV:AV,Data!$AV663)*100</f>
        <v>26.5</v>
      </c>
      <c r="AX663" s="23" t="str">
        <f>_xlfn.CONCAT(TEXT(C663,"mmm"),"-",Data!$AE663)</f>
        <v>Jul-2024</v>
      </c>
    </row>
    <row r="664" spans="1:50" ht="17" thickTop="1" thickBot="1" x14ac:dyDescent="0.25">
      <c r="A664" s="28">
        <v>663</v>
      </c>
      <c r="B664" s="29">
        <f t="shared" si="82"/>
        <v>15</v>
      </c>
      <c r="C664" s="41">
        <v>45487</v>
      </c>
      <c r="D664" s="30">
        <f>SUM(Data!$I664:$M664)</f>
        <v>60</v>
      </c>
      <c r="E664" s="29">
        <v>12</v>
      </c>
      <c r="F664" s="29">
        <v>628</v>
      </c>
      <c r="G664" s="29">
        <v>169</v>
      </c>
      <c r="H664" s="29">
        <v>123</v>
      </c>
      <c r="I664" s="29">
        <v>16</v>
      </c>
      <c r="J664" s="29">
        <v>19</v>
      </c>
      <c r="K664" s="29">
        <v>13</v>
      </c>
      <c r="L664" s="29">
        <v>10</v>
      </c>
      <c r="M664" s="29">
        <v>2</v>
      </c>
      <c r="N664" s="29" t="s">
        <v>208</v>
      </c>
      <c r="O664" s="29" t="s">
        <v>183</v>
      </c>
      <c r="P664" s="29" t="s">
        <v>209</v>
      </c>
      <c r="Q664" s="29">
        <f t="shared" si="88"/>
        <v>2</v>
      </c>
      <c r="R664" s="29" t="str">
        <f t="shared" si="83"/>
        <v>7-2024</v>
      </c>
      <c r="S664" s="29" t="s">
        <v>104</v>
      </c>
      <c r="T664" s="29" t="str">
        <f t="shared" si="84"/>
        <v>Sunday</v>
      </c>
      <c r="U664" s="29">
        <f t="shared" si="85"/>
        <v>1</v>
      </c>
      <c r="V664" s="31">
        <f>IFERROR(Data!$I664/Data!$D664,"")</f>
        <v>0.26666666666666666</v>
      </c>
      <c r="W664" s="31">
        <f>IFERROR(Data!$J664/Data!$D664,"")</f>
        <v>0.31666666666666665</v>
      </c>
      <c r="X664" s="31">
        <f>IFERROR(Data!$K664/Data!$D664,"")</f>
        <v>0.21666666666666667</v>
      </c>
      <c r="Y664" s="31">
        <f>IFERROR(Data!$L664/Data!$D664,"")</f>
        <v>0.16666666666666666</v>
      </c>
      <c r="Z664" s="31">
        <f>IFERROR(Data!$M664/Data!$D664,"")</f>
        <v>3.3333333333333333E-2</v>
      </c>
      <c r="AA664" s="32">
        <v>169</v>
      </c>
      <c r="AB664" s="32">
        <f t="shared" si="89"/>
        <v>11.266666666666667</v>
      </c>
      <c r="AC664" s="29">
        <f t="shared" si="86"/>
        <v>627</v>
      </c>
      <c r="AD664" s="29">
        <f t="shared" si="87"/>
        <v>14.8</v>
      </c>
      <c r="AE664" s="29">
        <f>YEAR(Data!$C664)</f>
        <v>2024</v>
      </c>
      <c r="AF664" s="29"/>
      <c r="AG664" s="29">
        <v>12</v>
      </c>
      <c r="AH664" s="33">
        <f>Data!$F664/Data!$D664</f>
        <v>10.466666666666667</v>
      </c>
      <c r="AI664" s="17" t="str">
        <f>RIGHT(Data!$O664,2)</f>
        <v>AM</v>
      </c>
      <c r="AJ664" s="29" t="str">
        <f>Data!$R664&amp;"-"&amp;WEEKNUM(Data!$C664,1)-WEEKNUM(DATE(YEAR(Data!$C664),MONTH(Data!$C664),1),1)+1</f>
        <v>7-2024-3</v>
      </c>
      <c r="AK664" s="29">
        <f>MONTH(Data!$C664)</f>
        <v>7</v>
      </c>
      <c r="AL664" s="29">
        <f>IFERROR(Data!$F664/Data!$E664,0)</f>
        <v>52.333333333333336</v>
      </c>
      <c r="AM664" s="29">
        <f>COUNTIF(Data!$N$2:$N$825,Data!$N664)</f>
        <v>42</v>
      </c>
      <c r="AN664" s="29" t="str">
        <f>VLOOKUP(Data!$N664,'Helpful Tables'!A:D,4,FALSE)</f>
        <v>Oregon</v>
      </c>
      <c r="AO664" s="29">
        <f>COUNTIF(AN:AN,Data!$AN664)/COUNTA(AN:AN)</f>
        <v>0.27393939393939393</v>
      </c>
      <c r="AP664" s="29">
        <v>45.525092999999998</v>
      </c>
      <c r="AQ664" s="29">
        <v>-122.681383</v>
      </c>
      <c r="AR664" s="29">
        <f>COUNTIF(Data!$P$2:$P$825,Data!$P664)</f>
        <v>18</v>
      </c>
      <c r="AS664" s="29" cm="1">
        <f t="array" ref="AS664">_xlfn.IFS(Data!$E664&lt;12,((Data!$E664/Data!$D664)*60)*1,AND(Data!$E664&gt;=12,Data!$E664&lt;=15),((Data!$E664/Data!$D664)*60)*1.2,AND(Data!$E664&gt;=16,Data!$E664&lt;=19),((Data!$E664/Data!$D664)*60)*1.5,Data!$E664&gt;=20,((Data!$E664/Data!$D664)*60)*1.8)</f>
        <v>14.399999999999999</v>
      </c>
      <c r="AT664" s="29" cm="1">
        <f t="array" ref="AT664">_xlfn.IFS(Data!$F664&lt;600,((Data!$F664/Data!$D664)*60)*1,AND(Data!$F664&gt;=600,Data!$F664&lt;=625),((Data!$F664/Data!$D664)*60)*1.2,AND(Data!$F664&gt;=626,Data!$F664&lt;=650),((Data!$F664/Data!$D664)*60)*1.5,Data!$F664&gt;=651,((Data!$F664/Data!$D664)*60)*1.8)</f>
        <v>942</v>
      </c>
      <c r="AU664" s="29">
        <f>(Data!$I664*-1.2)+(Data!$J664*-1.1)+(Data!$K664*1.2)+(Data!$L664*1.3)+(Data!$M664*1.5)</f>
        <v>-8.5</v>
      </c>
      <c r="AV664" s="29">
        <f>(Data!$AS664*0.4)+(Data!$AT664*0.4)+(Data!$AU664*0.2)</f>
        <v>380.86</v>
      </c>
      <c r="AW664" s="34">
        <f>PERCENTRANK(AV:AV,Data!$AV664)*100</f>
        <v>45.5</v>
      </c>
      <c r="AX664" s="29" t="str">
        <f>_xlfn.CONCAT(TEXT(C664,"mmm"),"-",Data!$AE664)</f>
        <v>Jul-2024</v>
      </c>
    </row>
    <row r="665" spans="1:50" ht="17" thickTop="1" thickBot="1" x14ac:dyDescent="0.25">
      <c r="A665" s="22">
        <v>664</v>
      </c>
      <c r="B665" s="23">
        <f t="shared" si="82"/>
        <v>15</v>
      </c>
      <c r="C665" s="41">
        <v>45489</v>
      </c>
      <c r="D665" s="24">
        <f>SUM(Data!$I665:$M665)</f>
        <v>61</v>
      </c>
      <c r="E665" s="23">
        <v>21</v>
      </c>
      <c r="F665" s="23">
        <v>669</v>
      </c>
      <c r="G665" s="23">
        <v>167</v>
      </c>
      <c r="H665" s="23">
        <v>124</v>
      </c>
      <c r="I665" s="23">
        <v>20</v>
      </c>
      <c r="J665" s="23">
        <v>13</v>
      </c>
      <c r="K665" s="23">
        <v>7</v>
      </c>
      <c r="L665" s="23">
        <v>19</v>
      </c>
      <c r="M665" s="23">
        <v>2</v>
      </c>
      <c r="N665" s="23" t="s">
        <v>125</v>
      </c>
      <c r="O665" s="23" t="s">
        <v>127</v>
      </c>
      <c r="P665" s="23" t="s">
        <v>216</v>
      </c>
      <c r="Q665" s="23">
        <f t="shared" si="88"/>
        <v>2</v>
      </c>
      <c r="R665" s="23" t="str">
        <f t="shared" si="83"/>
        <v>7-2024</v>
      </c>
      <c r="S665" s="23" t="s">
        <v>104</v>
      </c>
      <c r="T665" s="23" t="str">
        <f t="shared" si="84"/>
        <v>Tuesday</v>
      </c>
      <c r="U665" s="23">
        <f t="shared" si="85"/>
        <v>1</v>
      </c>
      <c r="V665" s="25">
        <f>IFERROR(Data!$I665/Data!$D665,"")</f>
        <v>0.32786885245901637</v>
      </c>
      <c r="W665" s="25">
        <f>IFERROR(Data!$J665/Data!$D665,"")</f>
        <v>0.21311475409836064</v>
      </c>
      <c r="X665" s="25">
        <f>IFERROR(Data!$K665/Data!$D665,"")</f>
        <v>0.11475409836065574</v>
      </c>
      <c r="Y665" s="25">
        <f>IFERROR(Data!$L665/Data!$D665,"")</f>
        <v>0.31147540983606559</v>
      </c>
      <c r="Z665" s="25">
        <f>IFERROR(Data!$M665/Data!$D665,"")</f>
        <v>3.2786885245901641E-2</v>
      </c>
      <c r="AA665" s="26">
        <v>169</v>
      </c>
      <c r="AB665" s="26">
        <f t="shared" si="89"/>
        <v>11.266666666666667</v>
      </c>
      <c r="AC665" s="23">
        <f t="shared" si="86"/>
        <v>627</v>
      </c>
      <c r="AD665" s="23">
        <f t="shared" si="87"/>
        <v>14.8</v>
      </c>
      <c r="AE665" s="23">
        <f>YEAR(Data!$C665)</f>
        <v>2024</v>
      </c>
      <c r="AF665" s="23"/>
      <c r="AG665" s="23">
        <v>12</v>
      </c>
      <c r="AH665" s="27">
        <f>Data!$F665/Data!$D665</f>
        <v>10.967213114754099</v>
      </c>
      <c r="AI665" s="17" t="str">
        <f>RIGHT(Data!$O665,2)</f>
        <v>PM</v>
      </c>
      <c r="AJ665" s="23" t="str">
        <f>Data!$R665&amp;"-"&amp;WEEKNUM(Data!$C665,1)-WEEKNUM(DATE(YEAR(Data!$C665),MONTH(Data!$C665),1),1)+1</f>
        <v>7-2024-3</v>
      </c>
      <c r="AK665" s="23">
        <f>MONTH(Data!$C665)</f>
        <v>7</v>
      </c>
      <c r="AL665" s="23">
        <f>IFERROR(Data!$F665/Data!$E665,0)</f>
        <v>31.857142857142858</v>
      </c>
      <c r="AM665" s="23">
        <f>COUNTIF(Data!$N$2:$N$825,Data!$N665)</f>
        <v>182</v>
      </c>
      <c r="AN665" s="23" t="str">
        <f>VLOOKUP(Data!$N665,'Helpful Tables'!A:D,4,FALSE)</f>
        <v>Oregon</v>
      </c>
      <c r="AO665" s="23">
        <f>COUNTIF(AN:AN,Data!$AN665)/COUNTA(AN:AN)</f>
        <v>0.27393939393939393</v>
      </c>
      <c r="AP665" s="23">
        <v>45.534162000000002</v>
      </c>
      <c r="AQ665" s="23">
        <v>-122.69670000000001</v>
      </c>
      <c r="AR665" s="23">
        <f>COUNTIF(Data!$P$2:$P$825,Data!$P665)</f>
        <v>25</v>
      </c>
      <c r="AS665" s="23" cm="1">
        <f t="array" ref="AS665">_xlfn.IFS(Data!$E665&lt;12,((Data!$E665/Data!$D665)*60)*1,AND(Data!$E665&gt;=12,Data!$E665&lt;=15),((Data!$E665/Data!$D665)*60)*1.2,AND(Data!$E665&gt;=16,Data!$E665&lt;=19),((Data!$E665/Data!$D665)*60)*1.5,Data!$E665&gt;=20,((Data!$E665/Data!$D665)*60)*1.8)</f>
        <v>37.180327868852459</v>
      </c>
      <c r="AT665" s="23" cm="1">
        <f t="array" ref="AT665">_xlfn.IFS(Data!$F665&lt;600,((Data!$F665/Data!$D665)*60)*1,AND(Data!$F665&gt;=600,Data!$F665&lt;=625),((Data!$F665/Data!$D665)*60)*1.2,AND(Data!$F665&gt;=626,Data!$F665&lt;=650),((Data!$F665/Data!$D665)*60)*1.5,Data!$F665&gt;=651,((Data!$F665/Data!$D665)*60)*1.8)</f>
        <v>1184.4590163934429</v>
      </c>
      <c r="AU665" s="23">
        <f>(Data!$I665*-1.2)+(Data!$J665*-1.1)+(Data!$K665*1.2)+(Data!$L665*1.3)+(Data!$M665*1.5)</f>
        <v>-2.1999999999999993</v>
      </c>
      <c r="AV665" s="23">
        <f>(Data!$AS665*0.4)+(Data!$AT665*0.4)+(Data!$AU665*0.2)</f>
        <v>488.21573770491818</v>
      </c>
      <c r="AW665" s="35">
        <f>PERCENTRANK(AV:AV,Data!$AV665)*100</f>
        <v>71.599999999999994</v>
      </c>
      <c r="AX665" s="23" t="str">
        <f>_xlfn.CONCAT(TEXT(C665,"mmm"),"-",Data!$AE665)</f>
        <v>Jul-2024</v>
      </c>
    </row>
    <row r="666" spans="1:50" ht="17" thickTop="1" thickBot="1" x14ac:dyDescent="0.25">
      <c r="A666" s="28">
        <v>665</v>
      </c>
      <c r="B666" s="29">
        <f t="shared" si="82"/>
        <v>15</v>
      </c>
      <c r="C666" s="41">
        <v>45492</v>
      </c>
      <c r="D666" s="30">
        <f>SUM(Data!$I666:$M666)</f>
        <v>59</v>
      </c>
      <c r="E666" s="29">
        <v>20</v>
      </c>
      <c r="F666" s="29">
        <v>667</v>
      </c>
      <c r="G666" s="29">
        <v>166</v>
      </c>
      <c r="H666" s="29">
        <v>128</v>
      </c>
      <c r="I666" s="29">
        <v>16</v>
      </c>
      <c r="J666" s="29">
        <v>11</v>
      </c>
      <c r="K666" s="29">
        <v>12</v>
      </c>
      <c r="L666" s="29">
        <v>17</v>
      </c>
      <c r="M666" s="29">
        <v>3</v>
      </c>
      <c r="N666" s="29" t="s">
        <v>208</v>
      </c>
      <c r="O666" s="29" t="s">
        <v>83</v>
      </c>
      <c r="P666" s="29" t="s">
        <v>209</v>
      </c>
      <c r="Q666" s="29">
        <f t="shared" si="88"/>
        <v>3</v>
      </c>
      <c r="R666" s="29" t="str">
        <f t="shared" si="83"/>
        <v>7-2024</v>
      </c>
      <c r="S666" s="29" t="s">
        <v>104</v>
      </c>
      <c r="T666" s="29" t="str">
        <f t="shared" si="84"/>
        <v>Friday</v>
      </c>
      <c r="U666" s="29">
        <f t="shared" si="85"/>
        <v>1</v>
      </c>
      <c r="V666" s="31">
        <f>IFERROR(Data!$I666/Data!$D666,"")</f>
        <v>0.2711864406779661</v>
      </c>
      <c r="W666" s="31">
        <f>IFERROR(Data!$J666/Data!$D666,"")</f>
        <v>0.1864406779661017</v>
      </c>
      <c r="X666" s="31">
        <f>IFERROR(Data!$K666/Data!$D666,"")</f>
        <v>0.20338983050847459</v>
      </c>
      <c r="Y666" s="31">
        <f>IFERROR(Data!$L666/Data!$D666,"")</f>
        <v>0.28813559322033899</v>
      </c>
      <c r="Z666" s="31">
        <f>IFERROR(Data!$M666/Data!$D666,"")</f>
        <v>5.0847457627118647E-2</v>
      </c>
      <c r="AA666" s="32">
        <v>169</v>
      </c>
      <c r="AB666" s="32">
        <f t="shared" si="89"/>
        <v>11.266666666666667</v>
      </c>
      <c r="AC666" s="29">
        <f t="shared" si="86"/>
        <v>627</v>
      </c>
      <c r="AD666" s="29">
        <f t="shared" si="87"/>
        <v>14.8</v>
      </c>
      <c r="AE666" s="29">
        <f>YEAR(Data!$C666)</f>
        <v>2024</v>
      </c>
      <c r="AF666" s="29"/>
      <c r="AG666" s="29">
        <v>12</v>
      </c>
      <c r="AH666" s="33">
        <f>Data!$F666/Data!$D666</f>
        <v>11.305084745762711</v>
      </c>
      <c r="AI666" s="17" t="str">
        <f>RIGHT(Data!$O666,2)</f>
        <v>PM</v>
      </c>
      <c r="AJ666" s="29" t="str">
        <f>Data!$R666&amp;"-"&amp;WEEKNUM(Data!$C666,1)-WEEKNUM(DATE(YEAR(Data!$C666),MONTH(Data!$C666),1),1)+1</f>
        <v>7-2024-3</v>
      </c>
      <c r="AK666" s="29">
        <f>MONTH(Data!$C666)</f>
        <v>7</v>
      </c>
      <c r="AL666" s="29">
        <f>IFERROR(Data!$F666/Data!$E666,0)</f>
        <v>33.35</v>
      </c>
      <c r="AM666" s="29">
        <f>COUNTIF(Data!$N$2:$N$825,Data!$N666)</f>
        <v>42</v>
      </c>
      <c r="AN666" s="29" t="str">
        <f>VLOOKUP(Data!$N666,'Helpful Tables'!A:D,4,FALSE)</f>
        <v>Oregon</v>
      </c>
      <c r="AO666" s="29">
        <f>COUNTIF(AN:AN,Data!$AN666)/COUNTA(AN:AN)</f>
        <v>0.27393939393939393</v>
      </c>
      <c r="AP666" s="29">
        <v>45.525092999999998</v>
      </c>
      <c r="AQ666" s="29">
        <v>-122.681383</v>
      </c>
      <c r="AR666" s="29">
        <f>COUNTIF(Data!$P$2:$P$825,Data!$P666)</f>
        <v>18</v>
      </c>
      <c r="AS666" s="29" cm="1">
        <f t="array" ref="AS666">_xlfn.IFS(Data!$E666&lt;12,((Data!$E666/Data!$D666)*60)*1,AND(Data!$E666&gt;=12,Data!$E666&lt;=15),((Data!$E666/Data!$D666)*60)*1.2,AND(Data!$E666&gt;=16,Data!$E666&lt;=19),((Data!$E666/Data!$D666)*60)*1.5,Data!$E666&gt;=20,((Data!$E666/Data!$D666)*60)*1.8)</f>
        <v>36.610169491525426</v>
      </c>
      <c r="AT666" s="29" cm="1">
        <f t="array" ref="AT666">_xlfn.IFS(Data!$F666&lt;600,((Data!$F666/Data!$D666)*60)*1,AND(Data!$F666&gt;=600,Data!$F666&lt;=625),((Data!$F666/Data!$D666)*60)*1.2,AND(Data!$F666&gt;=626,Data!$F666&lt;=650),((Data!$F666/Data!$D666)*60)*1.5,Data!$F666&gt;=651,((Data!$F666/Data!$D666)*60)*1.8)</f>
        <v>1220.9491525423728</v>
      </c>
      <c r="AU666" s="29">
        <f>(Data!$I666*-1.2)+(Data!$J666*-1.1)+(Data!$K666*1.2)+(Data!$L666*1.3)+(Data!$M666*1.5)</f>
        <v>9.6999999999999993</v>
      </c>
      <c r="AV666" s="29">
        <f>(Data!$AS666*0.4)+(Data!$AT666*0.4)+(Data!$AU666*0.2)</f>
        <v>504.96372881355927</v>
      </c>
      <c r="AW666" s="34">
        <f>PERCENTRANK(AV:AV,Data!$AV666)*100</f>
        <v>81.2</v>
      </c>
      <c r="AX666" s="29" t="str">
        <f>_xlfn.CONCAT(TEXT(C666,"mmm"),"-",Data!$AE666)</f>
        <v>Jul-2024</v>
      </c>
    </row>
    <row r="667" spans="1:50" ht="17" thickTop="1" thickBot="1" x14ac:dyDescent="0.25">
      <c r="A667" s="22">
        <v>666</v>
      </c>
      <c r="B667" s="23">
        <f t="shared" si="82"/>
        <v>15</v>
      </c>
      <c r="C667" s="41">
        <v>45493</v>
      </c>
      <c r="D667" s="24">
        <f>SUM(Data!$I667:$M667)</f>
        <v>59</v>
      </c>
      <c r="E667" s="23">
        <v>9</v>
      </c>
      <c r="F667" s="23">
        <v>562</v>
      </c>
      <c r="G667" s="23">
        <v>159</v>
      </c>
      <c r="H667" s="23">
        <v>116</v>
      </c>
      <c r="I667" s="23">
        <v>21</v>
      </c>
      <c r="J667" s="23">
        <v>16</v>
      </c>
      <c r="K667" s="23">
        <v>13</v>
      </c>
      <c r="L667" s="23">
        <v>9</v>
      </c>
      <c r="M667" s="23">
        <v>0</v>
      </c>
      <c r="N667" s="23" t="s">
        <v>125</v>
      </c>
      <c r="O667" s="23" t="s">
        <v>159</v>
      </c>
      <c r="P667" s="23" t="s">
        <v>221</v>
      </c>
      <c r="Q667" s="23">
        <f t="shared" si="88"/>
        <v>1</v>
      </c>
      <c r="R667" s="23" t="str">
        <f t="shared" si="83"/>
        <v>7-2024</v>
      </c>
      <c r="S667" s="23" t="s">
        <v>117</v>
      </c>
      <c r="T667" s="23" t="str">
        <f t="shared" si="84"/>
        <v>Saturday</v>
      </c>
      <c r="U667" s="23">
        <f t="shared" si="85"/>
        <v>0</v>
      </c>
      <c r="V667" s="25">
        <f>IFERROR(Data!$I667/Data!$D667,"")</f>
        <v>0.3559322033898305</v>
      </c>
      <c r="W667" s="25">
        <f>IFERROR(Data!$J667/Data!$D667,"")</f>
        <v>0.2711864406779661</v>
      </c>
      <c r="X667" s="25">
        <f>IFERROR(Data!$K667/Data!$D667,"")</f>
        <v>0.22033898305084745</v>
      </c>
      <c r="Y667" s="25">
        <f>IFERROR(Data!$L667/Data!$D667,"")</f>
        <v>0.15254237288135594</v>
      </c>
      <c r="Z667" s="25">
        <f>IFERROR(Data!$M667/Data!$D667,"")</f>
        <v>0</v>
      </c>
      <c r="AA667" s="26">
        <v>169</v>
      </c>
      <c r="AB667" s="26">
        <f t="shared" si="89"/>
        <v>11.266666666666667</v>
      </c>
      <c r="AC667" s="23">
        <f t="shared" si="86"/>
        <v>627</v>
      </c>
      <c r="AD667" s="23">
        <f t="shared" si="87"/>
        <v>14.8</v>
      </c>
      <c r="AE667" s="23">
        <f>YEAR(Data!$C667)</f>
        <v>2024</v>
      </c>
      <c r="AF667" s="23"/>
      <c r="AG667" s="23">
        <v>12</v>
      </c>
      <c r="AH667" s="27">
        <f>Data!$F667/Data!$D667</f>
        <v>9.5254237288135588</v>
      </c>
      <c r="AI667" s="17" t="str">
        <f>RIGHT(Data!$O667,2)</f>
        <v>AM</v>
      </c>
      <c r="AJ667" s="23" t="str">
        <f>Data!$R667&amp;"-"&amp;WEEKNUM(Data!$C667,1)-WEEKNUM(DATE(YEAR(Data!$C667),MONTH(Data!$C667),1),1)+1</f>
        <v>7-2024-3</v>
      </c>
      <c r="AK667" s="23">
        <f>MONTH(Data!$C667)</f>
        <v>7</v>
      </c>
      <c r="AL667" s="23">
        <f>IFERROR(Data!$F667/Data!$E667,0)</f>
        <v>62.444444444444443</v>
      </c>
      <c r="AM667" s="23">
        <f>COUNTIF(Data!$N$2:$N$825,Data!$N667)</f>
        <v>182</v>
      </c>
      <c r="AN667" s="23" t="str">
        <f>VLOOKUP(Data!$N667,'Helpful Tables'!A:D,4,FALSE)</f>
        <v>Oregon</v>
      </c>
      <c r="AO667" s="23">
        <f>COUNTIF(AN:AN,Data!$AN667)/COUNTA(AN:AN)</f>
        <v>0.27393939393939393</v>
      </c>
      <c r="AP667" s="23">
        <v>45.534162000000002</v>
      </c>
      <c r="AQ667" s="23">
        <v>-122.69670000000001</v>
      </c>
      <c r="AR667" s="23">
        <f>COUNTIF(Data!$P$2:$P$825,Data!$P667)</f>
        <v>1</v>
      </c>
      <c r="AS667" s="23" cm="1">
        <f t="array" ref="AS667">_xlfn.IFS(Data!$E667&lt;12,((Data!$E667/Data!$D667)*60)*1,AND(Data!$E667&gt;=12,Data!$E667&lt;=15),((Data!$E667/Data!$D667)*60)*1.2,AND(Data!$E667&gt;=16,Data!$E667&lt;=19),((Data!$E667/Data!$D667)*60)*1.5,Data!$E667&gt;=20,((Data!$E667/Data!$D667)*60)*1.8)</f>
        <v>9.1525423728813564</v>
      </c>
      <c r="AT667" s="23" cm="1">
        <f t="array" ref="AT667">_xlfn.IFS(Data!$F667&lt;600,((Data!$F667/Data!$D667)*60)*1,AND(Data!$F667&gt;=600,Data!$F667&lt;=625),((Data!$F667/Data!$D667)*60)*1.2,AND(Data!$F667&gt;=626,Data!$F667&lt;=650),((Data!$F667/Data!$D667)*60)*1.5,Data!$F667&gt;=651,((Data!$F667/Data!$D667)*60)*1.8)</f>
        <v>571.52542372881351</v>
      </c>
      <c r="AU667" s="23">
        <f>(Data!$I667*-1.2)+(Data!$J667*-1.1)+(Data!$K667*1.2)+(Data!$L667*1.3)+(Data!$M667*1.5)</f>
        <v>-15.499999999999995</v>
      </c>
      <c r="AV667" s="23">
        <f>(Data!$AS667*0.4)+(Data!$AT667*0.4)+(Data!$AU667*0.2)</f>
        <v>229.17118644067799</v>
      </c>
      <c r="AW667" s="35">
        <f>PERCENTRANK(AV:AV,Data!$AV667)*100</f>
        <v>6.7</v>
      </c>
      <c r="AX667" s="23" t="str">
        <f>_xlfn.CONCAT(TEXT(C667,"mmm"),"-",Data!$AE667)</f>
        <v>Jul-2024</v>
      </c>
    </row>
    <row r="668" spans="1:50" ht="17" thickTop="1" thickBot="1" x14ac:dyDescent="0.25">
      <c r="A668" s="28">
        <v>667</v>
      </c>
      <c r="B668" s="29">
        <f t="shared" si="82"/>
        <v>15</v>
      </c>
      <c r="C668" s="41">
        <v>45495</v>
      </c>
      <c r="D668" s="30">
        <f>SUM(Data!$I668:$M668)</f>
        <v>59</v>
      </c>
      <c r="E668" s="29">
        <v>12</v>
      </c>
      <c r="F668" s="29">
        <v>603</v>
      </c>
      <c r="G668" s="29">
        <v>168</v>
      </c>
      <c r="H668" s="29">
        <v>122</v>
      </c>
      <c r="I668" s="29">
        <v>19</v>
      </c>
      <c r="J668" s="29">
        <v>13</v>
      </c>
      <c r="K668" s="29">
        <v>15</v>
      </c>
      <c r="L668" s="29">
        <v>11</v>
      </c>
      <c r="M668" s="29">
        <v>1</v>
      </c>
      <c r="N668" s="29" t="s">
        <v>125</v>
      </c>
      <c r="O668" s="29" t="s">
        <v>127</v>
      </c>
      <c r="P668" s="29" t="s">
        <v>217</v>
      </c>
      <c r="Q668" s="29">
        <f t="shared" si="88"/>
        <v>2</v>
      </c>
      <c r="R668" s="29" t="str">
        <f t="shared" si="83"/>
        <v>7-2024</v>
      </c>
      <c r="S668" s="29" t="s">
        <v>104</v>
      </c>
      <c r="T668" s="29" t="str">
        <f t="shared" si="84"/>
        <v>Monday</v>
      </c>
      <c r="U668" s="29">
        <f t="shared" si="85"/>
        <v>1</v>
      </c>
      <c r="V668" s="31">
        <f>IFERROR(Data!$I668/Data!$D668,"")</f>
        <v>0.32203389830508472</v>
      </c>
      <c r="W668" s="31">
        <f>IFERROR(Data!$J668/Data!$D668,"")</f>
        <v>0.22033898305084745</v>
      </c>
      <c r="X668" s="31">
        <f>IFERROR(Data!$K668/Data!$D668,"")</f>
        <v>0.25423728813559321</v>
      </c>
      <c r="Y668" s="31">
        <f>IFERROR(Data!$L668/Data!$D668,"")</f>
        <v>0.1864406779661017</v>
      </c>
      <c r="Z668" s="31">
        <f>IFERROR(Data!$M668/Data!$D668,"")</f>
        <v>1.6949152542372881E-2</v>
      </c>
      <c r="AA668" s="32">
        <v>169</v>
      </c>
      <c r="AB668" s="32">
        <f t="shared" si="89"/>
        <v>11.266666666666667</v>
      </c>
      <c r="AC668" s="29">
        <f t="shared" si="86"/>
        <v>627</v>
      </c>
      <c r="AD668" s="29">
        <f t="shared" si="87"/>
        <v>14.8</v>
      </c>
      <c r="AE668" s="29">
        <f>YEAR(Data!$C668)</f>
        <v>2024</v>
      </c>
      <c r="AF668" s="29"/>
      <c r="AG668" s="29">
        <v>12</v>
      </c>
      <c r="AH668" s="33">
        <f>Data!$F668/Data!$D668</f>
        <v>10.220338983050848</v>
      </c>
      <c r="AI668" s="17" t="str">
        <f>RIGHT(Data!$O668,2)</f>
        <v>PM</v>
      </c>
      <c r="AJ668" s="29" t="str">
        <f>Data!$R668&amp;"-"&amp;WEEKNUM(Data!$C668,1)-WEEKNUM(DATE(YEAR(Data!$C668),MONTH(Data!$C668),1),1)+1</f>
        <v>7-2024-4</v>
      </c>
      <c r="AK668" s="29">
        <f>MONTH(Data!$C668)</f>
        <v>7</v>
      </c>
      <c r="AL668" s="29">
        <f>IFERROR(Data!$F668/Data!$E668,0)</f>
        <v>50.25</v>
      </c>
      <c r="AM668" s="29">
        <f>COUNTIF(Data!$N$2:$N$825,Data!$N668)</f>
        <v>182</v>
      </c>
      <c r="AN668" s="29" t="str">
        <f>VLOOKUP(Data!$N668,'Helpful Tables'!A:D,4,FALSE)</f>
        <v>Oregon</v>
      </c>
      <c r="AO668" s="29">
        <f>COUNTIF(AN:AN,Data!$AN668)/COUNTA(AN:AN)</f>
        <v>0.27393939393939393</v>
      </c>
      <c r="AP668" s="29">
        <v>45.534162000000002</v>
      </c>
      <c r="AQ668" s="29">
        <v>-122.69670000000001</v>
      </c>
      <c r="AR668" s="29">
        <f>COUNTIF(Data!$P$2:$P$825,Data!$P668)</f>
        <v>7</v>
      </c>
      <c r="AS668" s="29" cm="1">
        <f t="array" ref="AS668">_xlfn.IFS(Data!$E668&lt;12,((Data!$E668/Data!$D668)*60)*1,AND(Data!$E668&gt;=12,Data!$E668&lt;=15),((Data!$E668/Data!$D668)*60)*1.2,AND(Data!$E668&gt;=16,Data!$E668&lt;=19),((Data!$E668/Data!$D668)*60)*1.5,Data!$E668&gt;=20,((Data!$E668/Data!$D668)*60)*1.8)</f>
        <v>14.64406779661017</v>
      </c>
      <c r="AT668" s="29" cm="1">
        <f t="array" ref="AT668">_xlfn.IFS(Data!$F668&lt;600,((Data!$F668/Data!$D668)*60)*1,AND(Data!$F668&gt;=600,Data!$F668&lt;=625),((Data!$F668/Data!$D668)*60)*1.2,AND(Data!$F668&gt;=626,Data!$F668&lt;=650),((Data!$F668/Data!$D668)*60)*1.5,Data!$F668&gt;=651,((Data!$F668/Data!$D668)*60)*1.8)</f>
        <v>735.86440677966095</v>
      </c>
      <c r="AU668" s="29">
        <f>(Data!$I668*-1.2)+(Data!$J668*-1.1)+(Data!$K668*1.2)+(Data!$L668*1.3)+(Data!$M668*1.5)</f>
        <v>-3.3000000000000007</v>
      </c>
      <c r="AV668" s="29">
        <f>(Data!$AS668*0.4)+(Data!$AT668*0.4)+(Data!$AU668*0.2)</f>
        <v>299.54338983050843</v>
      </c>
      <c r="AW668" s="34">
        <f>PERCENTRANK(AV:AV,Data!$AV668)*100</f>
        <v>26.1</v>
      </c>
      <c r="AX668" s="29" t="str">
        <f>_xlfn.CONCAT(TEXT(C668,"mmm"),"-",Data!$AE668)</f>
        <v>Jul-2024</v>
      </c>
    </row>
    <row r="669" spans="1:50" ht="17" thickTop="1" thickBot="1" x14ac:dyDescent="0.25">
      <c r="A669" s="22">
        <v>668</v>
      </c>
      <c r="B669" s="23">
        <f t="shared" si="82"/>
        <v>15</v>
      </c>
      <c r="C669" s="41">
        <v>45497</v>
      </c>
      <c r="D669" s="24">
        <f>SUM(Data!$I669:$M669)</f>
        <v>61</v>
      </c>
      <c r="E669" s="23">
        <v>16</v>
      </c>
      <c r="F669" s="23">
        <v>609</v>
      </c>
      <c r="G669" s="23">
        <v>159</v>
      </c>
      <c r="H669" s="23">
        <v>120</v>
      </c>
      <c r="I669" s="23">
        <v>21</v>
      </c>
      <c r="J669" s="23">
        <v>14</v>
      </c>
      <c r="K669" s="23">
        <v>10</v>
      </c>
      <c r="L669" s="23">
        <v>16</v>
      </c>
      <c r="M669" s="23">
        <v>0</v>
      </c>
      <c r="N669" s="23" t="s">
        <v>125</v>
      </c>
      <c r="O669" s="23" t="s">
        <v>127</v>
      </c>
      <c r="P669" s="23" t="s">
        <v>220</v>
      </c>
      <c r="Q669" s="23">
        <f t="shared" si="88"/>
        <v>2</v>
      </c>
      <c r="R669" s="23" t="str">
        <f t="shared" si="83"/>
        <v>7-2024</v>
      </c>
      <c r="S669" s="23" t="s">
        <v>104</v>
      </c>
      <c r="T669" s="23" t="str">
        <f t="shared" si="84"/>
        <v>Wednesday</v>
      </c>
      <c r="U669" s="23">
        <f t="shared" si="85"/>
        <v>1</v>
      </c>
      <c r="V669" s="25">
        <f>IFERROR(Data!$I669/Data!$D669,"")</f>
        <v>0.34426229508196721</v>
      </c>
      <c r="W669" s="25">
        <f>IFERROR(Data!$J669/Data!$D669,"")</f>
        <v>0.22950819672131148</v>
      </c>
      <c r="X669" s="25">
        <f>IFERROR(Data!$K669/Data!$D669,"")</f>
        <v>0.16393442622950818</v>
      </c>
      <c r="Y669" s="25">
        <f>IFERROR(Data!$L669/Data!$D669,"")</f>
        <v>0.26229508196721313</v>
      </c>
      <c r="Z669" s="25">
        <f>IFERROR(Data!$M669/Data!$D669,"")</f>
        <v>0</v>
      </c>
      <c r="AA669" s="26">
        <v>169</v>
      </c>
      <c r="AB669" s="26">
        <f t="shared" si="89"/>
        <v>11.266666666666667</v>
      </c>
      <c r="AC669" s="23">
        <f t="shared" si="86"/>
        <v>627</v>
      </c>
      <c r="AD669" s="23">
        <f t="shared" si="87"/>
        <v>14.8</v>
      </c>
      <c r="AE669" s="23">
        <f>YEAR(Data!$C669)</f>
        <v>2024</v>
      </c>
      <c r="AF669" s="23"/>
      <c r="AG669" s="23">
        <v>12</v>
      </c>
      <c r="AH669" s="27">
        <f>Data!$F669/Data!$D669</f>
        <v>9.9836065573770494</v>
      </c>
      <c r="AI669" s="17" t="str">
        <f>RIGHT(Data!$O669,2)</f>
        <v>PM</v>
      </c>
      <c r="AJ669" s="23" t="str">
        <f>Data!$R669&amp;"-"&amp;WEEKNUM(Data!$C669,1)-WEEKNUM(DATE(YEAR(Data!$C669),MONTH(Data!$C669),1),1)+1</f>
        <v>7-2024-4</v>
      </c>
      <c r="AK669" s="23">
        <f>MONTH(Data!$C669)</f>
        <v>7</v>
      </c>
      <c r="AL669" s="23">
        <f>IFERROR(Data!$F669/Data!$E669,0)</f>
        <v>38.0625</v>
      </c>
      <c r="AM669" s="23">
        <f>COUNTIF(Data!$N$2:$N$825,Data!$N669)</f>
        <v>182</v>
      </c>
      <c r="AN669" s="23" t="str">
        <f>VLOOKUP(Data!$N669,'Helpful Tables'!A:D,4,FALSE)</f>
        <v>Oregon</v>
      </c>
      <c r="AO669" s="23">
        <f>COUNTIF(AN:AN,Data!$AN669)/COUNTA(AN:AN)</f>
        <v>0.27393939393939393</v>
      </c>
      <c r="AP669" s="23">
        <v>45.534162000000002</v>
      </c>
      <c r="AQ669" s="23">
        <v>-122.69670000000001</v>
      </c>
      <c r="AR669" s="23">
        <f>COUNTIF(Data!$P$2:$P$825,Data!$P669)</f>
        <v>43</v>
      </c>
      <c r="AS669" s="23" cm="1">
        <f t="array" ref="AS669">_xlfn.IFS(Data!$E669&lt;12,((Data!$E669/Data!$D669)*60)*1,AND(Data!$E669&gt;=12,Data!$E669&lt;=15),((Data!$E669/Data!$D669)*60)*1.2,AND(Data!$E669&gt;=16,Data!$E669&lt;=19),((Data!$E669/Data!$D669)*60)*1.5,Data!$E669&gt;=20,((Data!$E669/Data!$D669)*60)*1.8)</f>
        <v>23.606557377049182</v>
      </c>
      <c r="AT669" s="23" cm="1">
        <f t="array" ref="AT669">_xlfn.IFS(Data!$F669&lt;600,((Data!$F669/Data!$D669)*60)*1,AND(Data!$F669&gt;=600,Data!$F669&lt;=625),((Data!$F669/Data!$D669)*60)*1.2,AND(Data!$F669&gt;=626,Data!$F669&lt;=650),((Data!$F669/Data!$D669)*60)*1.5,Data!$F669&gt;=651,((Data!$F669/Data!$D669)*60)*1.8)</f>
        <v>718.81967213114751</v>
      </c>
      <c r="AU669" s="23">
        <f>(Data!$I669*-1.2)+(Data!$J669*-1.1)+(Data!$K669*1.2)+(Data!$L669*1.3)+(Data!$M669*1.5)</f>
        <v>-7.8000000000000007</v>
      </c>
      <c r="AV669" s="23">
        <f>(Data!$AS669*0.4)+(Data!$AT669*0.4)+(Data!$AU669*0.2)</f>
        <v>295.41049180327866</v>
      </c>
      <c r="AW669" s="35">
        <f>PERCENTRANK(AV:AV,Data!$AV669)*100</f>
        <v>24.9</v>
      </c>
      <c r="AX669" s="23" t="str">
        <f>_xlfn.CONCAT(TEXT(C669,"mmm"),"-",Data!$AE669)</f>
        <v>Jul-2024</v>
      </c>
    </row>
    <row r="670" spans="1:50" ht="17" thickTop="1" thickBot="1" x14ac:dyDescent="0.25">
      <c r="A670" s="28">
        <v>669</v>
      </c>
      <c r="B670" s="29">
        <f t="shared" si="82"/>
        <v>15</v>
      </c>
      <c r="C670" s="41">
        <v>45501</v>
      </c>
      <c r="D670" s="30">
        <f>SUM(Data!$I670:$M670)</f>
        <v>62</v>
      </c>
      <c r="E670" s="29">
        <v>13</v>
      </c>
      <c r="F670" s="29">
        <v>642</v>
      </c>
      <c r="G670" s="29">
        <v>168</v>
      </c>
      <c r="H670" s="29">
        <v>123</v>
      </c>
      <c r="I670" s="29">
        <v>17</v>
      </c>
      <c r="J670" s="29">
        <v>15</v>
      </c>
      <c r="K670" s="29">
        <v>17</v>
      </c>
      <c r="L670" s="29">
        <v>12</v>
      </c>
      <c r="M670" s="29">
        <v>1</v>
      </c>
      <c r="N670" s="29" t="s">
        <v>125</v>
      </c>
      <c r="O670" s="29" t="s">
        <v>159</v>
      </c>
      <c r="P670" s="29" t="s">
        <v>222</v>
      </c>
      <c r="Q670" s="29">
        <f t="shared" si="88"/>
        <v>4</v>
      </c>
      <c r="R670" s="29" t="str">
        <f t="shared" si="83"/>
        <v>7-2024</v>
      </c>
      <c r="S670" s="29" t="s">
        <v>117</v>
      </c>
      <c r="T670" s="29" t="str">
        <f t="shared" si="84"/>
        <v>Sunday</v>
      </c>
      <c r="U670" s="29">
        <f t="shared" si="85"/>
        <v>1</v>
      </c>
      <c r="V670" s="31">
        <f>IFERROR(Data!$I670/Data!$D670,"")</f>
        <v>0.27419354838709675</v>
      </c>
      <c r="W670" s="31">
        <f>IFERROR(Data!$J670/Data!$D670,"")</f>
        <v>0.24193548387096775</v>
      </c>
      <c r="X670" s="31">
        <f>IFERROR(Data!$K670/Data!$D670,"")</f>
        <v>0.27419354838709675</v>
      </c>
      <c r="Y670" s="31">
        <f>IFERROR(Data!$L670/Data!$D670,"")</f>
        <v>0.19354838709677419</v>
      </c>
      <c r="Z670" s="31">
        <f>IFERROR(Data!$M670/Data!$D670,"")</f>
        <v>1.6129032258064516E-2</v>
      </c>
      <c r="AA670" s="32">
        <v>169</v>
      </c>
      <c r="AB670" s="32">
        <f t="shared" si="89"/>
        <v>11.266666666666667</v>
      </c>
      <c r="AC670" s="29">
        <f t="shared" si="86"/>
        <v>627</v>
      </c>
      <c r="AD670" s="29">
        <f t="shared" si="87"/>
        <v>14.8</v>
      </c>
      <c r="AE670" s="29">
        <f>YEAR(Data!$C670)</f>
        <v>2024</v>
      </c>
      <c r="AF670" s="29"/>
      <c r="AG670" s="29">
        <v>12</v>
      </c>
      <c r="AH670" s="33">
        <f>Data!$F670/Data!$D670</f>
        <v>10.35483870967742</v>
      </c>
      <c r="AI670" s="17" t="str">
        <f>RIGHT(Data!$O670,2)</f>
        <v>AM</v>
      </c>
      <c r="AJ670" s="29" t="str">
        <f>Data!$R670&amp;"-"&amp;WEEKNUM(Data!$C670,1)-WEEKNUM(DATE(YEAR(Data!$C670),MONTH(Data!$C670),1),1)+1</f>
        <v>7-2024-5</v>
      </c>
      <c r="AK670" s="29">
        <f>MONTH(Data!$C670)</f>
        <v>7</v>
      </c>
      <c r="AL670" s="29">
        <f>IFERROR(Data!$F670/Data!$E670,0)</f>
        <v>49.384615384615387</v>
      </c>
      <c r="AM670" s="29">
        <f>COUNTIF(Data!$N$2:$N$825,Data!$N670)</f>
        <v>182</v>
      </c>
      <c r="AN670" s="29" t="str">
        <f>VLOOKUP(Data!$N670,'Helpful Tables'!A:D,4,FALSE)</f>
        <v>Oregon</v>
      </c>
      <c r="AO670" s="29">
        <f>COUNTIF(AN:AN,Data!$AN670)/COUNTA(AN:AN)</f>
        <v>0.27393939393939393</v>
      </c>
      <c r="AP670" s="29">
        <v>45.534162000000002</v>
      </c>
      <c r="AQ670" s="29">
        <v>-122.69670000000001</v>
      </c>
      <c r="AR670" s="29">
        <f>COUNTIF(Data!$P$2:$P$825,Data!$P670)</f>
        <v>32</v>
      </c>
      <c r="AS670" s="29" cm="1">
        <f t="array" ref="AS670">_xlfn.IFS(Data!$E670&lt;12,((Data!$E670/Data!$D670)*60)*1,AND(Data!$E670&gt;=12,Data!$E670&lt;=15),((Data!$E670/Data!$D670)*60)*1.2,AND(Data!$E670&gt;=16,Data!$E670&lt;=19),((Data!$E670/Data!$D670)*60)*1.5,Data!$E670&gt;=20,((Data!$E670/Data!$D670)*60)*1.8)</f>
        <v>15.096774193548388</v>
      </c>
      <c r="AT670" s="29" cm="1">
        <f t="array" ref="AT670">_xlfn.IFS(Data!$F670&lt;600,((Data!$F670/Data!$D670)*60)*1,AND(Data!$F670&gt;=600,Data!$F670&lt;=625),((Data!$F670/Data!$D670)*60)*1.2,AND(Data!$F670&gt;=626,Data!$F670&lt;=650),((Data!$F670/Data!$D670)*60)*1.5,Data!$F670&gt;=651,((Data!$F670/Data!$D670)*60)*1.8)</f>
        <v>931.9354838709678</v>
      </c>
      <c r="AU670" s="29">
        <f>(Data!$I670*-1.2)+(Data!$J670*-1.1)+(Data!$K670*1.2)+(Data!$L670*1.3)+(Data!$M670*1.5)</f>
        <v>0.60000000000000142</v>
      </c>
      <c r="AV670" s="29">
        <f>(Data!$AS670*0.4)+(Data!$AT670*0.4)+(Data!$AU670*0.2)</f>
        <v>378.93290322580651</v>
      </c>
      <c r="AW670" s="34">
        <f>PERCENTRANK(AV:AV,Data!$AV670)*100</f>
        <v>45.1</v>
      </c>
      <c r="AX670" s="29" t="str">
        <f>_xlfn.CONCAT(TEXT(C670,"mmm"),"-",Data!$AE670)</f>
        <v>Jul-2024</v>
      </c>
    </row>
    <row r="671" spans="1:50" ht="17" thickTop="1" thickBot="1" x14ac:dyDescent="0.25">
      <c r="A671" s="22">
        <v>670</v>
      </c>
      <c r="B671" s="23">
        <f t="shared" si="82"/>
        <v>15</v>
      </c>
      <c r="C671" s="41">
        <v>45502</v>
      </c>
      <c r="D671" s="24">
        <f>SUM(Data!$I671:$M671)</f>
        <v>60</v>
      </c>
      <c r="E671" s="23">
        <v>15</v>
      </c>
      <c r="F671" s="23">
        <v>657</v>
      </c>
      <c r="G671" s="23">
        <v>165</v>
      </c>
      <c r="H671" s="23">
        <v>126</v>
      </c>
      <c r="I671" s="23">
        <v>14</v>
      </c>
      <c r="J671" s="23">
        <v>14</v>
      </c>
      <c r="K671" s="23">
        <v>17</v>
      </c>
      <c r="L671" s="23">
        <v>13</v>
      </c>
      <c r="M671" s="23">
        <v>2</v>
      </c>
      <c r="N671" s="23" t="s">
        <v>125</v>
      </c>
      <c r="O671" s="23" t="s">
        <v>127</v>
      </c>
      <c r="P671" s="23" t="s">
        <v>217</v>
      </c>
      <c r="Q671" s="23">
        <f t="shared" si="88"/>
        <v>1</v>
      </c>
      <c r="R671" s="23" t="str">
        <f t="shared" si="83"/>
        <v>7-2024</v>
      </c>
      <c r="S671" s="23" t="s">
        <v>104</v>
      </c>
      <c r="T671" s="23" t="str">
        <f t="shared" si="84"/>
        <v>Monday</v>
      </c>
      <c r="U671" s="23">
        <f t="shared" si="85"/>
        <v>1</v>
      </c>
      <c r="V671" s="25">
        <f>IFERROR(Data!$I671/Data!$D671,"")</f>
        <v>0.23333333333333334</v>
      </c>
      <c r="W671" s="25">
        <f>IFERROR(Data!$J671/Data!$D671,"")</f>
        <v>0.23333333333333334</v>
      </c>
      <c r="X671" s="25">
        <f>IFERROR(Data!$K671/Data!$D671,"")</f>
        <v>0.28333333333333333</v>
      </c>
      <c r="Y671" s="25">
        <f>IFERROR(Data!$L671/Data!$D671,"")</f>
        <v>0.21666666666666667</v>
      </c>
      <c r="Z671" s="25">
        <f>IFERROR(Data!$M671/Data!$D671,"")</f>
        <v>3.3333333333333333E-2</v>
      </c>
      <c r="AA671" s="26">
        <v>169</v>
      </c>
      <c r="AB671" s="26">
        <f t="shared" si="89"/>
        <v>11.266666666666667</v>
      </c>
      <c r="AC671" s="23">
        <f t="shared" si="86"/>
        <v>627</v>
      </c>
      <c r="AD671" s="23">
        <f t="shared" si="87"/>
        <v>14.8</v>
      </c>
      <c r="AE671" s="23">
        <f>YEAR(Data!$C671)</f>
        <v>2024</v>
      </c>
      <c r="AF671" s="23"/>
      <c r="AG671" s="23">
        <v>12</v>
      </c>
      <c r="AH671" s="27">
        <f>Data!$F671/Data!$D671</f>
        <v>10.95</v>
      </c>
      <c r="AI671" s="17" t="str">
        <f>RIGHT(Data!$O671,2)</f>
        <v>PM</v>
      </c>
      <c r="AJ671" s="23" t="str">
        <f>Data!$R671&amp;"-"&amp;WEEKNUM(Data!$C671,1)-WEEKNUM(DATE(YEAR(Data!$C671),MONTH(Data!$C671),1),1)+1</f>
        <v>7-2024-5</v>
      </c>
      <c r="AK671" s="23">
        <f>MONTH(Data!$C671)</f>
        <v>7</v>
      </c>
      <c r="AL671" s="23">
        <f>IFERROR(Data!$F671/Data!$E671,0)</f>
        <v>43.8</v>
      </c>
      <c r="AM671" s="23">
        <f>COUNTIF(Data!$N$2:$N$825,Data!$N671)</f>
        <v>182</v>
      </c>
      <c r="AN671" s="23" t="str">
        <f>VLOOKUP(Data!$N671,'Helpful Tables'!A:D,4,FALSE)</f>
        <v>Oregon</v>
      </c>
      <c r="AO671" s="23">
        <f>COUNTIF(AN:AN,Data!$AN671)/COUNTA(AN:AN)</f>
        <v>0.27393939393939393</v>
      </c>
      <c r="AP671" s="23">
        <v>45.534162000000002</v>
      </c>
      <c r="AQ671" s="23">
        <v>-122.69670000000001</v>
      </c>
      <c r="AR671" s="23">
        <f>COUNTIF(Data!$P$2:$P$825,Data!$P671)</f>
        <v>7</v>
      </c>
      <c r="AS671" s="23" cm="1">
        <f t="array" ref="AS671">_xlfn.IFS(Data!$E671&lt;12,((Data!$E671/Data!$D671)*60)*1,AND(Data!$E671&gt;=12,Data!$E671&lt;=15),((Data!$E671/Data!$D671)*60)*1.2,AND(Data!$E671&gt;=16,Data!$E671&lt;=19),((Data!$E671/Data!$D671)*60)*1.5,Data!$E671&gt;=20,((Data!$E671/Data!$D671)*60)*1.8)</f>
        <v>18</v>
      </c>
      <c r="AT671" s="23" cm="1">
        <f t="array" ref="AT671">_xlfn.IFS(Data!$F671&lt;600,((Data!$F671/Data!$D671)*60)*1,AND(Data!$F671&gt;=600,Data!$F671&lt;=625),((Data!$F671/Data!$D671)*60)*1.2,AND(Data!$F671&gt;=626,Data!$F671&lt;=650),((Data!$F671/Data!$D671)*60)*1.5,Data!$F671&gt;=651,((Data!$F671/Data!$D671)*60)*1.8)</f>
        <v>1182.6000000000001</v>
      </c>
      <c r="AU671" s="23">
        <f>(Data!$I671*-1.2)+(Data!$J671*-1.1)+(Data!$K671*1.2)+(Data!$L671*1.3)+(Data!$M671*1.5)</f>
        <v>8.0999999999999979</v>
      </c>
      <c r="AV671" s="23">
        <f>(Data!$AS671*0.4)+(Data!$AT671*0.4)+(Data!$AU671*0.2)</f>
        <v>481.86000000000007</v>
      </c>
      <c r="AW671" s="35">
        <f>PERCENTRANK(AV:AV,Data!$AV671)*100</f>
        <v>69.599999999999994</v>
      </c>
      <c r="AX671" s="23" t="str">
        <f>_xlfn.CONCAT(TEXT(C671,"mmm"),"-",Data!$AE671)</f>
        <v>Jul-2024</v>
      </c>
    </row>
    <row r="672" spans="1:50" ht="17" thickTop="1" thickBot="1" x14ac:dyDescent="0.25">
      <c r="A672" s="28">
        <v>671</v>
      </c>
      <c r="B672" s="29">
        <f t="shared" si="82"/>
        <v>9</v>
      </c>
      <c r="C672" s="41">
        <v>45506</v>
      </c>
      <c r="D672" s="30">
        <f>SUM(Data!$I672:$M672)</f>
        <v>65</v>
      </c>
      <c r="E672" s="29">
        <v>14</v>
      </c>
      <c r="F672" s="29">
        <v>737</v>
      </c>
      <c r="G672" s="29">
        <v>169</v>
      </c>
      <c r="H672" s="29">
        <v>128</v>
      </c>
      <c r="I672" s="29">
        <v>11</v>
      </c>
      <c r="J672" s="29">
        <v>16</v>
      </c>
      <c r="K672" s="29">
        <v>24</v>
      </c>
      <c r="L672" s="29">
        <v>9</v>
      </c>
      <c r="M672" s="29">
        <v>5</v>
      </c>
      <c r="N672" s="29" t="s">
        <v>125</v>
      </c>
      <c r="O672" s="29" t="s">
        <v>83</v>
      </c>
      <c r="P672" s="29" t="s">
        <v>220</v>
      </c>
      <c r="Q672" s="29">
        <f t="shared" si="88"/>
        <v>4</v>
      </c>
      <c r="R672" s="29" t="str">
        <f t="shared" si="83"/>
        <v>8-2024</v>
      </c>
      <c r="S672" s="29" t="s">
        <v>104</v>
      </c>
      <c r="T672" s="29" t="str">
        <f t="shared" si="84"/>
        <v>Friday</v>
      </c>
      <c r="U672" s="29">
        <f t="shared" si="85"/>
        <v>1</v>
      </c>
      <c r="V672" s="31">
        <f>IFERROR(Data!$I672/Data!$D672,"")</f>
        <v>0.16923076923076924</v>
      </c>
      <c r="W672" s="31">
        <f>IFERROR(Data!$J672/Data!$D672,"")</f>
        <v>0.24615384615384617</v>
      </c>
      <c r="X672" s="31">
        <f>IFERROR(Data!$K672/Data!$D672,"")</f>
        <v>0.36923076923076925</v>
      </c>
      <c r="Y672" s="31">
        <f>IFERROR(Data!$L672/Data!$D672,"")</f>
        <v>0.13846153846153847</v>
      </c>
      <c r="Z672" s="31">
        <f>IFERROR(Data!$M672/Data!$D672,"")</f>
        <v>7.6923076923076927E-2</v>
      </c>
      <c r="AA672" s="32">
        <v>169</v>
      </c>
      <c r="AB672" s="32">
        <f t="shared" si="89"/>
        <v>18.777777777777779</v>
      </c>
      <c r="AC672" s="29">
        <f t="shared" si="86"/>
        <v>654.33333333333337</v>
      </c>
      <c r="AD672" s="29">
        <f t="shared" si="87"/>
        <v>16.444444444444443</v>
      </c>
      <c r="AE672" s="29">
        <f>YEAR(Data!$C672)</f>
        <v>2024</v>
      </c>
      <c r="AF672" s="29"/>
      <c r="AG672" s="29">
        <v>12</v>
      </c>
      <c r="AH672" s="33">
        <f>Data!$F672/Data!$D672</f>
        <v>11.338461538461539</v>
      </c>
      <c r="AI672" s="17" t="str">
        <f>RIGHT(Data!$O672,2)</f>
        <v>PM</v>
      </c>
      <c r="AJ672" s="29" t="str">
        <f>Data!$R672&amp;"-"&amp;WEEKNUM(Data!$C672,1)-WEEKNUM(DATE(YEAR(Data!$C672),MONTH(Data!$C672),1),1)+1</f>
        <v>8-2024-1</v>
      </c>
      <c r="AK672" s="29">
        <f>MONTH(Data!$C672)</f>
        <v>8</v>
      </c>
      <c r="AL672" s="29">
        <f>IFERROR(Data!$F672/Data!$E672,0)</f>
        <v>52.642857142857146</v>
      </c>
      <c r="AM672" s="29">
        <f>COUNTIF(Data!$N$2:$N$825,Data!$N672)</f>
        <v>182</v>
      </c>
      <c r="AN672" s="29" t="str">
        <f>VLOOKUP(Data!$N672,'Helpful Tables'!A:D,4,FALSE)</f>
        <v>Oregon</v>
      </c>
      <c r="AO672" s="29">
        <f>COUNTIF(AN:AN,Data!$AN672)/COUNTA(AN:AN)</f>
        <v>0.27393939393939393</v>
      </c>
      <c r="AP672" s="29">
        <v>45.534162000000002</v>
      </c>
      <c r="AQ672" s="29">
        <v>-122.69670000000001</v>
      </c>
      <c r="AR672" s="29">
        <f>COUNTIF(Data!$P$2:$P$825,Data!$P672)</f>
        <v>43</v>
      </c>
      <c r="AS672" s="29" cm="1">
        <f t="array" ref="AS672">_xlfn.IFS(Data!$E672&lt;12,((Data!$E672/Data!$D672)*60)*1,AND(Data!$E672&gt;=12,Data!$E672&lt;=15),((Data!$E672/Data!$D672)*60)*1.2,AND(Data!$E672&gt;=16,Data!$E672&lt;=19),((Data!$E672/Data!$D672)*60)*1.5,Data!$E672&gt;=20,((Data!$E672/Data!$D672)*60)*1.8)</f>
        <v>15.507692307692308</v>
      </c>
      <c r="AT672" s="29" cm="1">
        <f t="array" ref="AT672">_xlfn.IFS(Data!$F672&lt;600,((Data!$F672/Data!$D672)*60)*1,AND(Data!$F672&gt;=600,Data!$F672&lt;=625),((Data!$F672/Data!$D672)*60)*1.2,AND(Data!$F672&gt;=626,Data!$F672&lt;=650),((Data!$F672/Data!$D672)*60)*1.5,Data!$F672&gt;=651,((Data!$F672/Data!$D672)*60)*1.8)</f>
        <v>1224.5538461538463</v>
      </c>
      <c r="AU672" s="29">
        <f>(Data!$I672*-1.2)+(Data!$J672*-1.1)+(Data!$K672*1.2)+(Data!$L672*1.3)+(Data!$M672*1.5)</f>
        <v>17.199999999999996</v>
      </c>
      <c r="AV672" s="29">
        <f>(Data!$AS672*0.4)+(Data!$AT672*0.4)+(Data!$AU672*0.2)</f>
        <v>499.46461538461546</v>
      </c>
      <c r="AW672" s="34">
        <f>PERCENTRANK(AV:AV,Data!$AV672)*100</f>
        <v>77.600000000000009</v>
      </c>
      <c r="AX672" s="29" t="str">
        <f>_xlfn.CONCAT(TEXT(C672,"mmm"),"-",Data!$AE672)</f>
        <v>Aug-2024</v>
      </c>
    </row>
    <row r="673" spans="1:50" ht="17" thickTop="1" thickBot="1" x14ac:dyDescent="0.25">
      <c r="A673" s="22">
        <v>672</v>
      </c>
      <c r="B673" s="23">
        <f t="shared" si="82"/>
        <v>9</v>
      </c>
      <c r="C673" s="41">
        <v>45511</v>
      </c>
      <c r="D673" s="24">
        <f>SUM(Data!$I673:$M673)</f>
        <v>65</v>
      </c>
      <c r="E673" s="23">
        <v>14</v>
      </c>
      <c r="F673" s="23">
        <v>644</v>
      </c>
      <c r="G673" s="23">
        <v>167</v>
      </c>
      <c r="H673" s="23">
        <v>119</v>
      </c>
      <c r="I673" s="23">
        <v>27</v>
      </c>
      <c r="J673" s="23">
        <v>13</v>
      </c>
      <c r="K673" s="23">
        <v>11</v>
      </c>
      <c r="L673" s="23">
        <v>10</v>
      </c>
      <c r="M673" s="23">
        <v>4</v>
      </c>
      <c r="N673" s="23" t="s">
        <v>125</v>
      </c>
      <c r="O673" s="23" t="s">
        <v>127</v>
      </c>
      <c r="P673" s="23" t="s">
        <v>220</v>
      </c>
      <c r="Q673" s="23">
        <f t="shared" si="88"/>
        <v>5</v>
      </c>
      <c r="R673" s="23" t="str">
        <f t="shared" si="83"/>
        <v>8-2024</v>
      </c>
      <c r="S673" s="23" t="s">
        <v>104</v>
      </c>
      <c r="T673" s="23" t="str">
        <f t="shared" si="84"/>
        <v>Wednesday</v>
      </c>
      <c r="U673" s="23">
        <f t="shared" si="85"/>
        <v>1</v>
      </c>
      <c r="V673" s="25">
        <f>IFERROR(Data!$I673/Data!$D673,"")</f>
        <v>0.41538461538461541</v>
      </c>
      <c r="W673" s="25">
        <f>IFERROR(Data!$J673/Data!$D673,"")</f>
        <v>0.2</v>
      </c>
      <c r="X673" s="25">
        <f>IFERROR(Data!$K673/Data!$D673,"")</f>
        <v>0.16923076923076924</v>
      </c>
      <c r="Y673" s="25">
        <f>IFERROR(Data!$L673/Data!$D673,"")</f>
        <v>0.15384615384615385</v>
      </c>
      <c r="Z673" s="25">
        <f>IFERROR(Data!$M673/Data!$D673,"")</f>
        <v>6.1538461538461542E-2</v>
      </c>
      <c r="AA673" s="26">
        <v>169</v>
      </c>
      <c r="AB673" s="26">
        <f t="shared" si="89"/>
        <v>18.777777777777779</v>
      </c>
      <c r="AC673" s="23">
        <f t="shared" si="86"/>
        <v>654.33333333333337</v>
      </c>
      <c r="AD673" s="23">
        <f t="shared" si="87"/>
        <v>16.444444444444443</v>
      </c>
      <c r="AE673" s="23">
        <f>YEAR(Data!$C673)</f>
        <v>2024</v>
      </c>
      <c r="AF673" s="23"/>
      <c r="AG673" s="23">
        <v>12</v>
      </c>
      <c r="AH673" s="27">
        <f>Data!$F673/Data!$D673</f>
        <v>9.907692307692308</v>
      </c>
      <c r="AI673" s="17" t="str">
        <f>RIGHT(Data!$O673,2)</f>
        <v>PM</v>
      </c>
      <c r="AJ673" s="23" t="str">
        <f>Data!$R673&amp;"-"&amp;WEEKNUM(Data!$C673,1)-WEEKNUM(DATE(YEAR(Data!$C673),MONTH(Data!$C673),1),1)+1</f>
        <v>8-2024-2</v>
      </c>
      <c r="AK673" s="23">
        <f>MONTH(Data!$C673)</f>
        <v>8</v>
      </c>
      <c r="AL673" s="23">
        <f>IFERROR(Data!$F673/Data!$E673,0)</f>
        <v>46</v>
      </c>
      <c r="AM673" s="23">
        <f>COUNTIF(Data!$N$2:$N$825,Data!$N673)</f>
        <v>182</v>
      </c>
      <c r="AN673" s="23" t="str">
        <f>VLOOKUP(Data!$N673,'Helpful Tables'!A:D,4,FALSE)</f>
        <v>Oregon</v>
      </c>
      <c r="AO673" s="23">
        <f>COUNTIF(AN:AN,Data!$AN673)/COUNTA(AN:AN)</f>
        <v>0.27393939393939393</v>
      </c>
      <c r="AP673" s="23">
        <v>45.534162000000002</v>
      </c>
      <c r="AQ673" s="23">
        <v>-122.69670000000001</v>
      </c>
      <c r="AR673" s="23">
        <f>COUNTIF(Data!$P$2:$P$825,Data!$P673)</f>
        <v>43</v>
      </c>
      <c r="AS673" s="23" cm="1">
        <f t="array" ref="AS673">_xlfn.IFS(Data!$E673&lt;12,((Data!$E673/Data!$D673)*60)*1,AND(Data!$E673&gt;=12,Data!$E673&lt;=15),((Data!$E673/Data!$D673)*60)*1.2,AND(Data!$E673&gt;=16,Data!$E673&lt;=19),((Data!$E673/Data!$D673)*60)*1.5,Data!$E673&gt;=20,((Data!$E673/Data!$D673)*60)*1.8)</f>
        <v>15.507692307692308</v>
      </c>
      <c r="AT673" s="23" cm="1">
        <f t="array" ref="AT673">_xlfn.IFS(Data!$F673&lt;600,((Data!$F673/Data!$D673)*60)*1,AND(Data!$F673&gt;=600,Data!$F673&lt;=625),((Data!$F673/Data!$D673)*60)*1.2,AND(Data!$F673&gt;=626,Data!$F673&lt;=650),((Data!$F673/Data!$D673)*60)*1.5,Data!$F673&gt;=651,((Data!$F673/Data!$D673)*60)*1.8)</f>
        <v>891.69230769230762</v>
      </c>
      <c r="AU673" s="23">
        <f>(Data!$I673*-1.2)+(Data!$J673*-1.1)+(Data!$K673*1.2)+(Data!$L673*1.3)+(Data!$M673*1.5)</f>
        <v>-14.5</v>
      </c>
      <c r="AV673" s="23">
        <f>(Data!$AS673*0.4)+(Data!$AT673*0.4)+(Data!$AU673*0.2)</f>
        <v>359.98</v>
      </c>
      <c r="AW673" s="35">
        <f>PERCENTRANK(AV:AV,Data!$AV673)*100</f>
        <v>44</v>
      </c>
      <c r="AX673" s="23" t="str">
        <f>_xlfn.CONCAT(TEXT(C673,"mmm"),"-",Data!$AE673)</f>
        <v>Aug-2024</v>
      </c>
    </row>
    <row r="674" spans="1:50" ht="17" thickTop="1" thickBot="1" x14ac:dyDescent="0.25">
      <c r="A674" s="28">
        <v>673</v>
      </c>
      <c r="B674" s="29">
        <f t="shared" si="82"/>
        <v>9</v>
      </c>
      <c r="C674" s="41">
        <v>45513</v>
      </c>
      <c r="D674" s="30">
        <f>SUM(Data!$I674:$M674)</f>
        <v>60</v>
      </c>
      <c r="E674" s="29">
        <v>20</v>
      </c>
      <c r="F674" s="29">
        <v>735</v>
      </c>
      <c r="G674" s="29">
        <v>167</v>
      </c>
      <c r="H674" s="29">
        <v>134</v>
      </c>
      <c r="I674" s="29">
        <v>9</v>
      </c>
      <c r="J674" s="29">
        <v>10</v>
      </c>
      <c r="K674" s="29">
        <v>21</v>
      </c>
      <c r="L674" s="29">
        <v>18</v>
      </c>
      <c r="M674" s="29">
        <v>2</v>
      </c>
      <c r="N674" s="29" t="s">
        <v>208</v>
      </c>
      <c r="O674" s="29" t="s">
        <v>83</v>
      </c>
      <c r="P674" s="29" t="s">
        <v>209</v>
      </c>
      <c r="Q674" s="29">
        <f t="shared" si="88"/>
        <v>2</v>
      </c>
      <c r="R674" s="29" t="str">
        <f t="shared" si="83"/>
        <v>8-2024</v>
      </c>
      <c r="S674" s="29" t="s">
        <v>104</v>
      </c>
      <c r="T674" s="29" t="str">
        <f t="shared" si="84"/>
        <v>Friday</v>
      </c>
      <c r="U674" s="29">
        <f t="shared" si="85"/>
        <v>1</v>
      </c>
      <c r="V674" s="31">
        <f>IFERROR(Data!$I674/Data!$D674,"")</f>
        <v>0.15</v>
      </c>
      <c r="W674" s="31">
        <f>IFERROR(Data!$J674/Data!$D674,"")</f>
        <v>0.16666666666666666</v>
      </c>
      <c r="X674" s="31">
        <f>IFERROR(Data!$K674/Data!$D674,"")</f>
        <v>0.35</v>
      </c>
      <c r="Y674" s="31">
        <f>IFERROR(Data!$L674/Data!$D674,"")</f>
        <v>0.3</v>
      </c>
      <c r="Z674" s="31">
        <f>IFERROR(Data!$M674/Data!$D674,"")</f>
        <v>3.3333333333333333E-2</v>
      </c>
      <c r="AA674" s="32">
        <v>169</v>
      </c>
      <c r="AB674" s="32">
        <f t="shared" si="89"/>
        <v>18.777777777777779</v>
      </c>
      <c r="AC674" s="29">
        <f t="shared" si="86"/>
        <v>654.33333333333337</v>
      </c>
      <c r="AD674" s="29">
        <f t="shared" si="87"/>
        <v>16.444444444444443</v>
      </c>
      <c r="AE674" s="29">
        <f>YEAR(Data!$C674)</f>
        <v>2024</v>
      </c>
      <c r="AF674" s="29"/>
      <c r="AG674" s="29">
        <v>12</v>
      </c>
      <c r="AH674" s="33">
        <f>Data!$F674/Data!$D674</f>
        <v>12.25</v>
      </c>
      <c r="AI674" s="17" t="str">
        <f>RIGHT(Data!$O674,2)</f>
        <v>PM</v>
      </c>
      <c r="AJ674" s="29" t="str">
        <f>Data!$R674&amp;"-"&amp;WEEKNUM(Data!$C674,1)-WEEKNUM(DATE(YEAR(Data!$C674),MONTH(Data!$C674),1),1)+1</f>
        <v>8-2024-2</v>
      </c>
      <c r="AK674" s="29">
        <f>MONTH(Data!$C674)</f>
        <v>8</v>
      </c>
      <c r="AL674" s="29">
        <f>IFERROR(Data!$F674/Data!$E674,0)</f>
        <v>36.75</v>
      </c>
      <c r="AM674" s="29">
        <f>COUNTIF(Data!$N$2:$N$825,Data!$N674)</f>
        <v>42</v>
      </c>
      <c r="AN674" s="29" t="str">
        <f>VLOOKUP(Data!$N674,'Helpful Tables'!A:D,4,FALSE)</f>
        <v>Oregon</v>
      </c>
      <c r="AO674" s="29">
        <f>COUNTIF(AN:AN,Data!$AN674)/COUNTA(AN:AN)</f>
        <v>0.27393939393939393</v>
      </c>
      <c r="AP674" s="29">
        <v>45.525092999999998</v>
      </c>
      <c r="AQ674" s="29">
        <v>-122.681383</v>
      </c>
      <c r="AR674" s="29">
        <f>COUNTIF(Data!$P$2:$P$825,Data!$P674)</f>
        <v>18</v>
      </c>
      <c r="AS674" s="29" cm="1">
        <f t="array" ref="AS674">_xlfn.IFS(Data!$E674&lt;12,((Data!$E674/Data!$D674)*60)*1,AND(Data!$E674&gt;=12,Data!$E674&lt;=15),((Data!$E674/Data!$D674)*60)*1.2,AND(Data!$E674&gt;=16,Data!$E674&lt;=19),((Data!$E674/Data!$D674)*60)*1.5,Data!$E674&gt;=20,((Data!$E674/Data!$D674)*60)*1.8)</f>
        <v>36</v>
      </c>
      <c r="AT674" s="29" cm="1">
        <f t="array" ref="AT674">_xlfn.IFS(Data!$F674&lt;600,((Data!$F674/Data!$D674)*60)*1,AND(Data!$F674&gt;=600,Data!$F674&lt;=625),((Data!$F674/Data!$D674)*60)*1.2,AND(Data!$F674&gt;=626,Data!$F674&lt;=650),((Data!$F674/Data!$D674)*60)*1.5,Data!$F674&gt;=651,((Data!$F674/Data!$D674)*60)*1.8)</f>
        <v>1323</v>
      </c>
      <c r="AU674" s="29">
        <f>(Data!$I674*-1.2)+(Data!$J674*-1.1)+(Data!$K674*1.2)+(Data!$L674*1.3)+(Data!$M674*1.5)</f>
        <v>29.800000000000004</v>
      </c>
      <c r="AV674" s="29">
        <f>(Data!$AS674*0.4)+(Data!$AT674*0.4)+(Data!$AU674*0.2)</f>
        <v>549.56000000000006</v>
      </c>
      <c r="AW674" s="34">
        <f>PERCENTRANK(AV:AV,Data!$AV674)*100</f>
        <v>97.899999999999991</v>
      </c>
      <c r="AX674" s="29" t="str">
        <f>_xlfn.CONCAT(TEXT(C674,"mmm"),"-",Data!$AE674)</f>
        <v>Aug-2024</v>
      </c>
    </row>
    <row r="675" spans="1:50" ht="17" thickTop="1" thickBot="1" x14ac:dyDescent="0.25">
      <c r="A675" s="22">
        <v>674</v>
      </c>
      <c r="B675" s="23">
        <f t="shared" si="82"/>
        <v>9</v>
      </c>
      <c r="C675" s="41">
        <v>45515</v>
      </c>
      <c r="D675" s="24">
        <f>SUM(Data!$I675:$M675)</f>
        <v>58</v>
      </c>
      <c r="E675" s="23">
        <v>14</v>
      </c>
      <c r="F675" s="23">
        <v>638</v>
      </c>
      <c r="G675" s="23">
        <v>165</v>
      </c>
      <c r="H675" s="23">
        <v>126</v>
      </c>
      <c r="I675" s="23">
        <v>13</v>
      </c>
      <c r="J675" s="23">
        <v>17</v>
      </c>
      <c r="K675" s="23">
        <v>14</v>
      </c>
      <c r="L675" s="23">
        <v>13</v>
      </c>
      <c r="M675" s="23">
        <v>1</v>
      </c>
      <c r="N675" s="23" t="s">
        <v>125</v>
      </c>
      <c r="O675" s="23" t="s">
        <v>159</v>
      </c>
      <c r="P675" s="23" t="s">
        <v>222</v>
      </c>
      <c r="Q675" s="23">
        <f t="shared" si="88"/>
        <v>2</v>
      </c>
      <c r="R675" s="23" t="str">
        <f t="shared" si="83"/>
        <v>8-2024</v>
      </c>
      <c r="S675" s="23" t="s">
        <v>117</v>
      </c>
      <c r="T675" s="23" t="str">
        <f t="shared" si="84"/>
        <v>Sunday</v>
      </c>
      <c r="U675" s="23">
        <f t="shared" si="85"/>
        <v>1</v>
      </c>
      <c r="V675" s="25">
        <f>IFERROR(Data!$I675/Data!$D675,"")</f>
        <v>0.22413793103448276</v>
      </c>
      <c r="W675" s="25">
        <f>IFERROR(Data!$J675/Data!$D675,"")</f>
        <v>0.29310344827586204</v>
      </c>
      <c r="X675" s="25">
        <f>IFERROR(Data!$K675/Data!$D675,"")</f>
        <v>0.2413793103448276</v>
      </c>
      <c r="Y675" s="25">
        <f>IFERROR(Data!$L675/Data!$D675,"")</f>
        <v>0.22413793103448276</v>
      </c>
      <c r="Z675" s="25">
        <f>IFERROR(Data!$M675/Data!$D675,"")</f>
        <v>1.7241379310344827E-2</v>
      </c>
      <c r="AA675" s="26">
        <v>169</v>
      </c>
      <c r="AB675" s="26">
        <f t="shared" si="89"/>
        <v>18.777777777777779</v>
      </c>
      <c r="AC675" s="23">
        <f t="shared" si="86"/>
        <v>654.33333333333337</v>
      </c>
      <c r="AD675" s="23">
        <f t="shared" si="87"/>
        <v>16.444444444444443</v>
      </c>
      <c r="AE675" s="23">
        <f>YEAR(Data!$C675)</f>
        <v>2024</v>
      </c>
      <c r="AF675" s="23"/>
      <c r="AG675" s="23">
        <v>12</v>
      </c>
      <c r="AH675" s="27">
        <f>Data!$F675/Data!$D675</f>
        <v>11</v>
      </c>
      <c r="AI675" s="17" t="str">
        <f>RIGHT(Data!$O675,2)</f>
        <v>AM</v>
      </c>
      <c r="AJ675" s="23" t="str">
        <f>Data!$R675&amp;"-"&amp;WEEKNUM(Data!$C675,1)-WEEKNUM(DATE(YEAR(Data!$C675),MONTH(Data!$C675),1),1)+1</f>
        <v>8-2024-3</v>
      </c>
      <c r="AK675" s="23">
        <f>MONTH(Data!$C675)</f>
        <v>8</v>
      </c>
      <c r="AL675" s="23">
        <f>IFERROR(Data!$F675/Data!$E675,0)</f>
        <v>45.571428571428569</v>
      </c>
      <c r="AM675" s="23">
        <f>COUNTIF(Data!$N$2:$N$825,Data!$N675)</f>
        <v>182</v>
      </c>
      <c r="AN675" s="23" t="str">
        <f>VLOOKUP(Data!$N675,'Helpful Tables'!A:D,4,FALSE)</f>
        <v>Oregon</v>
      </c>
      <c r="AO675" s="23">
        <f>COUNTIF(AN:AN,Data!$AN675)/COUNTA(AN:AN)</f>
        <v>0.27393939393939393</v>
      </c>
      <c r="AP675" s="23">
        <v>45.534162000000002</v>
      </c>
      <c r="AQ675" s="23">
        <v>-122.69670000000001</v>
      </c>
      <c r="AR675" s="23">
        <f>COUNTIF(Data!$P$2:$P$825,Data!$P675)</f>
        <v>32</v>
      </c>
      <c r="AS675" s="23" cm="1">
        <f t="array" ref="AS675">_xlfn.IFS(Data!$E675&lt;12,((Data!$E675/Data!$D675)*60)*1,AND(Data!$E675&gt;=12,Data!$E675&lt;=15),((Data!$E675/Data!$D675)*60)*1.2,AND(Data!$E675&gt;=16,Data!$E675&lt;=19),((Data!$E675/Data!$D675)*60)*1.5,Data!$E675&gt;=20,((Data!$E675/Data!$D675)*60)*1.8)</f>
        <v>17.379310344827587</v>
      </c>
      <c r="AT675" s="23" cm="1">
        <f t="array" ref="AT675">_xlfn.IFS(Data!$F675&lt;600,((Data!$F675/Data!$D675)*60)*1,AND(Data!$F675&gt;=600,Data!$F675&lt;=625),((Data!$F675/Data!$D675)*60)*1.2,AND(Data!$F675&gt;=626,Data!$F675&lt;=650),((Data!$F675/Data!$D675)*60)*1.5,Data!$F675&gt;=651,((Data!$F675/Data!$D675)*60)*1.8)</f>
        <v>990</v>
      </c>
      <c r="AU675" s="23">
        <f>(Data!$I675*-1.2)+(Data!$J675*-1.1)+(Data!$K675*1.2)+(Data!$L675*1.3)+(Data!$M675*1.5)</f>
        <v>0.89999999999999858</v>
      </c>
      <c r="AV675" s="23">
        <f>(Data!$AS675*0.4)+(Data!$AT675*0.4)+(Data!$AU675*0.2)</f>
        <v>403.13172413793103</v>
      </c>
      <c r="AW675" s="35">
        <f>PERCENTRANK(AV:AV,Data!$AV675)*100</f>
        <v>54</v>
      </c>
      <c r="AX675" s="23" t="str">
        <f>_xlfn.CONCAT(TEXT(C675,"mmm"),"-",Data!$AE675)</f>
        <v>Aug-2024</v>
      </c>
    </row>
    <row r="676" spans="1:50" ht="17" thickTop="1" thickBot="1" x14ac:dyDescent="0.25">
      <c r="A676" s="28">
        <v>675</v>
      </c>
      <c r="B676" s="29">
        <f t="shared" si="82"/>
        <v>9</v>
      </c>
      <c r="C676" s="41">
        <v>45517</v>
      </c>
      <c r="D676" s="30">
        <f>SUM(Data!$I676:$M676)</f>
        <v>58</v>
      </c>
      <c r="E676" s="29">
        <v>14</v>
      </c>
      <c r="F676" s="29">
        <v>646</v>
      </c>
      <c r="G676" s="29">
        <v>166</v>
      </c>
      <c r="H676" s="29">
        <v>126</v>
      </c>
      <c r="I676" s="29">
        <v>14</v>
      </c>
      <c r="J676" s="29">
        <v>12</v>
      </c>
      <c r="K676" s="29">
        <v>18</v>
      </c>
      <c r="L676" s="29">
        <v>12</v>
      </c>
      <c r="M676" s="29">
        <v>2</v>
      </c>
      <c r="N676" s="29" t="s">
        <v>125</v>
      </c>
      <c r="O676" s="29" t="s">
        <v>127</v>
      </c>
      <c r="P676" s="29" t="s">
        <v>214</v>
      </c>
      <c r="Q676" s="29">
        <f t="shared" si="88"/>
        <v>2</v>
      </c>
      <c r="R676" s="29" t="str">
        <f t="shared" si="83"/>
        <v>8-2024</v>
      </c>
      <c r="S676" s="29" t="s">
        <v>104</v>
      </c>
      <c r="T676" s="29" t="str">
        <f t="shared" si="84"/>
        <v>Tuesday</v>
      </c>
      <c r="U676" s="29">
        <f t="shared" si="85"/>
        <v>1</v>
      </c>
      <c r="V676" s="31">
        <f>IFERROR(Data!$I676/Data!$D676,"")</f>
        <v>0.2413793103448276</v>
      </c>
      <c r="W676" s="31">
        <f>IFERROR(Data!$J676/Data!$D676,"")</f>
        <v>0.20689655172413793</v>
      </c>
      <c r="X676" s="31">
        <f>IFERROR(Data!$K676/Data!$D676,"")</f>
        <v>0.31034482758620691</v>
      </c>
      <c r="Y676" s="31">
        <f>IFERROR(Data!$L676/Data!$D676,"")</f>
        <v>0.20689655172413793</v>
      </c>
      <c r="Z676" s="31">
        <f>IFERROR(Data!$M676/Data!$D676,"")</f>
        <v>3.4482758620689655E-2</v>
      </c>
      <c r="AA676" s="32">
        <v>169</v>
      </c>
      <c r="AB676" s="32">
        <f t="shared" si="89"/>
        <v>18.777777777777779</v>
      </c>
      <c r="AC676" s="29">
        <f t="shared" si="86"/>
        <v>654.33333333333337</v>
      </c>
      <c r="AD676" s="29">
        <f t="shared" si="87"/>
        <v>16.444444444444443</v>
      </c>
      <c r="AE676" s="29">
        <f>YEAR(Data!$C676)</f>
        <v>2024</v>
      </c>
      <c r="AF676" s="29"/>
      <c r="AG676" s="29">
        <v>12</v>
      </c>
      <c r="AH676" s="33">
        <f>Data!$F676/Data!$D676</f>
        <v>11.137931034482758</v>
      </c>
      <c r="AI676" s="17" t="str">
        <f>RIGHT(Data!$O676,2)</f>
        <v>PM</v>
      </c>
      <c r="AJ676" s="29" t="str">
        <f>Data!$R676&amp;"-"&amp;WEEKNUM(Data!$C676,1)-WEEKNUM(DATE(YEAR(Data!$C676),MONTH(Data!$C676),1),1)+1</f>
        <v>8-2024-3</v>
      </c>
      <c r="AK676" s="29">
        <f>MONTH(Data!$C676)</f>
        <v>8</v>
      </c>
      <c r="AL676" s="29">
        <f>IFERROR(Data!$F676/Data!$E676,0)</f>
        <v>46.142857142857146</v>
      </c>
      <c r="AM676" s="29">
        <f>COUNTIF(Data!$N$2:$N$825,Data!$N676)</f>
        <v>182</v>
      </c>
      <c r="AN676" s="29" t="str">
        <f>VLOOKUP(Data!$N676,'Helpful Tables'!A:D,4,FALSE)</f>
        <v>Oregon</v>
      </c>
      <c r="AO676" s="29">
        <f>COUNTIF(AN:AN,Data!$AN676)/COUNTA(AN:AN)</f>
        <v>0.27393939393939393</v>
      </c>
      <c r="AP676" s="29">
        <v>45.534162000000002</v>
      </c>
      <c r="AQ676" s="29">
        <v>-122.69670000000001</v>
      </c>
      <c r="AR676" s="29">
        <f>COUNTIF(Data!$P$2:$P$825,Data!$P676)</f>
        <v>9</v>
      </c>
      <c r="AS676" s="29" cm="1">
        <f t="array" ref="AS676">_xlfn.IFS(Data!$E676&lt;12,((Data!$E676/Data!$D676)*60)*1,AND(Data!$E676&gt;=12,Data!$E676&lt;=15),((Data!$E676/Data!$D676)*60)*1.2,AND(Data!$E676&gt;=16,Data!$E676&lt;=19),((Data!$E676/Data!$D676)*60)*1.5,Data!$E676&gt;=20,((Data!$E676/Data!$D676)*60)*1.8)</f>
        <v>17.379310344827587</v>
      </c>
      <c r="AT676" s="29" cm="1">
        <f t="array" ref="AT676">_xlfn.IFS(Data!$F676&lt;600,((Data!$F676/Data!$D676)*60)*1,AND(Data!$F676&gt;=600,Data!$F676&lt;=625),((Data!$F676/Data!$D676)*60)*1.2,AND(Data!$F676&gt;=626,Data!$F676&lt;=650),((Data!$F676/Data!$D676)*60)*1.5,Data!$F676&gt;=651,((Data!$F676/Data!$D676)*60)*1.8)</f>
        <v>1002.4137931034481</v>
      </c>
      <c r="AU676" s="29">
        <f>(Data!$I676*-1.2)+(Data!$J676*-1.1)+(Data!$K676*1.2)+(Data!$L676*1.3)+(Data!$M676*1.5)</f>
        <v>10.199999999999999</v>
      </c>
      <c r="AV676" s="29">
        <f>(Data!$AS676*0.4)+(Data!$AT676*0.4)+(Data!$AU676*0.2)</f>
        <v>409.95724137931035</v>
      </c>
      <c r="AW676" s="34">
        <f>PERCENTRANK(AV:AV,Data!$AV676)*100</f>
        <v>57.199999999999996</v>
      </c>
      <c r="AX676" s="29" t="str">
        <f>_xlfn.CONCAT(TEXT(C676,"mmm"),"-",Data!$AE676)</f>
        <v>Aug-2024</v>
      </c>
    </row>
    <row r="677" spans="1:50" ht="17" thickTop="1" thickBot="1" x14ac:dyDescent="0.25">
      <c r="A677" s="22">
        <v>676</v>
      </c>
      <c r="B677" s="23">
        <f t="shared" si="82"/>
        <v>9</v>
      </c>
      <c r="C677" s="41">
        <v>45518</v>
      </c>
      <c r="D677" s="24">
        <f>SUM(Data!$I677:$M677)</f>
        <v>60</v>
      </c>
      <c r="E677" s="23">
        <v>18</v>
      </c>
      <c r="F677" s="23">
        <v>660</v>
      </c>
      <c r="G677" s="23">
        <v>165</v>
      </c>
      <c r="H677" s="23">
        <v>126</v>
      </c>
      <c r="I677" s="23">
        <v>13</v>
      </c>
      <c r="J677" s="23">
        <v>20</v>
      </c>
      <c r="K677" s="23">
        <v>9</v>
      </c>
      <c r="L677" s="23">
        <v>17</v>
      </c>
      <c r="M677" s="23">
        <v>1</v>
      </c>
      <c r="N677" s="23" t="s">
        <v>125</v>
      </c>
      <c r="O677" s="23" t="s">
        <v>127</v>
      </c>
      <c r="P677" s="23" t="s">
        <v>220</v>
      </c>
      <c r="Q677" s="23">
        <f t="shared" si="88"/>
        <v>1</v>
      </c>
      <c r="R677" s="23" t="str">
        <f t="shared" si="83"/>
        <v>8-2024</v>
      </c>
      <c r="S677" s="23" t="s">
        <v>104</v>
      </c>
      <c r="T677" s="23" t="str">
        <f t="shared" si="84"/>
        <v>Wednesday</v>
      </c>
      <c r="U677" s="23">
        <f t="shared" si="85"/>
        <v>1</v>
      </c>
      <c r="V677" s="25">
        <f>IFERROR(Data!$I677/Data!$D677,"")</f>
        <v>0.21666666666666667</v>
      </c>
      <c r="W677" s="25">
        <f>IFERROR(Data!$J677/Data!$D677,"")</f>
        <v>0.33333333333333331</v>
      </c>
      <c r="X677" s="25">
        <f>IFERROR(Data!$K677/Data!$D677,"")</f>
        <v>0.15</v>
      </c>
      <c r="Y677" s="25">
        <f>IFERROR(Data!$L677/Data!$D677,"")</f>
        <v>0.28333333333333333</v>
      </c>
      <c r="Z677" s="25">
        <f>IFERROR(Data!$M677/Data!$D677,"")</f>
        <v>1.6666666666666666E-2</v>
      </c>
      <c r="AA677" s="26">
        <v>169</v>
      </c>
      <c r="AB677" s="26">
        <f t="shared" si="89"/>
        <v>18.777777777777779</v>
      </c>
      <c r="AC677" s="23">
        <f t="shared" si="86"/>
        <v>654.33333333333337</v>
      </c>
      <c r="AD677" s="23">
        <f t="shared" si="87"/>
        <v>16.444444444444443</v>
      </c>
      <c r="AE677" s="23">
        <f>YEAR(Data!$C677)</f>
        <v>2024</v>
      </c>
      <c r="AF677" s="23"/>
      <c r="AG677" s="23">
        <v>12</v>
      </c>
      <c r="AH677" s="27">
        <f>Data!$F677/Data!$D677</f>
        <v>11</v>
      </c>
      <c r="AI677" s="17" t="str">
        <f>RIGHT(Data!$O677,2)</f>
        <v>PM</v>
      </c>
      <c r="AJ677" s="23" t="str">
        <f>Data!$R677&amp;"-"&amp;WEEKNUM(Data!$C677,1)-WEEKNUM(DATE(YEAR(Data!$C677),MONTH(Data!$C677),1),1)+1</f>
        <v>8-2024-3</v>
      </c>
      <c r="AK677" s="23">
        <f>MONTH(Data!$C677)</f>
        <v>8</v>
      </c>
      <c r="AL677" s="23">
        <f>IFERROR(Data!$F677/Data!$E677,0)</f>
        <v>36.666666666666664</v>
      </c>
      <c r="AM677" s="23">
        <f>COUNTIF(Data!$N$2:$N$825,Data!$N677)</f>
        <v>182</v>
      </c>
      <c r="AN677" s="23" t="str">
        <f>VLOOKUP(Data!$N677,'Helpful Tables'!A:D,4,FALSE)</f>
        <v>Oregon</v>
      </c>
      <c r="AO677" s="23">
        <f>COUNTIF(AN:AN,Data!$AN677)/COUNTA(AN:AN)</f>
        <v>0.27393939393939393</v>
      </c>
      <c r="AP677" s="23">
        <v>45.534162000000002</v>
      </c>
      <c r="AQ677" s="23">
        <v>-122.69670000000001</v>
      </c>
      <c r="AR677" s="23">
        <f>COUNTIF(Data!$P$2:$P$825,Data!$P677)</f>
        <v>43</v>
      </c>
      <c r="AS677" s="23" cm="1">
        <f t="array" ref="AS677">_xlfn.IFS(Data!$E677&lt;12,((Data!$E677/Data!$D677)*60)*1,AND(Data!$E677&gt;=12,Data!$E677&lt;=15),((Data!$E677/Data!$D677)*60)*1.2,AND(Data!$E677&gt;=16,Data!$E677&lt;=19),((Data!$E677/Data!$D677)*60)*1.5,Data!$E677&gt;=20,((Data!$E677/Data!$D677)*60)*1.8)</f>
        <v>27</v>
      </c>
      <c r="AT677" s="23" cm="1">
        <f t="array" ref="AT677">_xlfn.IFS(Data!$F677&lt;600,((Data!$F677/Data!$D677)*60)*1,AND(Data!$F677&gt;=600,Data!$F677&lt;=625),((Data!$F677/Data!$D677)*60)*1.2,AND(Data!$F677&gt;=626,Data!$F677&lt;=650),((Data!$F677/Data!$D677)*60)*1.5,Data!$F677&gt;=651,((Data!$F677/Data!$D677)*60)*1.8)</f>
        <v>1188</v>
      </c>
      <c r="AU677" s="23">
        <f>(Data!$I677*-1.2)+(Data!$J677*-1.1)+(Data!$K677*1.2)+(Data!$L677*1.3)+(Data!$M677*1.5)</f>
        <v>-3.2000000000000028</v>
      </c>
      <c r="AV677" s="23">
        <f>(Data!$AS677*0.4)+(Data!$AT677*0.4)+(Data!$AU677*0.2)</f>
        <v>485.36000000000007</v>
      </c>
      <c r="AW677" s="35">
        <f>PERCENTRANK(AV:AV,Data!$AV677)*100</f>
        <v>70.5</v>
      </c>
      <c r="AX677" s="23" t="str">
        <f>_xlfn.CONCAT(TEXT(C677,"mmm"),"-",Data!$AE677)</f>
        <v>Aug-2024</v>
      </c>
    </row>
    <row r="678" spans="1:50" ht="17" thickTop="1" thickBot="1" x14ac:dyDescent="0.25">
      <c r="A678" s="28">
        <v>677</v>
      </c>
      <c r="B678" s="29">
        <f t="shared" si="82"/>
        <v>9</v>
      </c>
      <c r="C678" s="41">
        <v>45523</v>
      </c>
      <c r="D678" s="30">
        <f>SUM(Data!$I678:$M678)</f>
        <v>62</v>
      </c>
      <c r="E678" s="29">
        <v>19</v>
      </c>
      <c r="F678" s="29">
        <v>597</v>
      </c>
      <c r="G678" s="29">
        <v>166</v>
      </c>
      <c r="H678" s="29">
        <v>117</v>
      </c>
      <c r="I678" s="29">
        <v>29</v>
      </c>
      <c r="J678" s="29">
        <v>7</v>
      </c>
      <c r="K678" s="29">
        <v>7</v>
      </c>
      <c r="L678" s="29">
        <v>17</v>
      </c>
      <c r="M678" s="29">
        <v>2</v>
      </c>
      <c r="N678" s="29" t="s">
        <v>125</v>
      </c>
      <c r="O678" s="29" t="s">
        <v>127</v>
      </c>
      <c r="P678" s="29" t="s">
        <v>218</v>
      </c>
      <c r="Q678" s="29">
        <f t="shared" si="88"/>
        <v>5</v>
      </c>
      <c r="R678" s="29" t="str">
        <f t="shared" si="83"/>
        <v>8-2024</v>
      </c>
      <c r="S678" s="29" t="s">
        <v>104</v>
      </c>
      <c r="T678" s="29" t="str">
        <f t="shared" si="84"/>
        <v>Monday</v>
      </c>
      <c r="U678" s="29">
        <f t="shared" si="85"/>
        <v>1</v>
      </c>
      <c r="V678" s="31">
        <f>IFERROR(Data!$I678/Data!$D678,"")</f>
        <v>0.46774193548387094</v>
      </c>
      <c r="W678" s="31">
        <f>IFERROR(Data!$J678/Data!$D678,"")</f>
        <v>0.11290322580645161</v>
      </c>
      <c r="X678" s="31">
        <f>IFERROR(Data!$K678/Data!$D678,"")</f>
        <v>0.11290322580645161</v>
      </c>
      <c r="Y678" s="31">
        <f>IFERROR(Data!$L678/Data!$D678,"")</f>
        <v>0.27419354838709675</v>
      </c>
      <c r="Z678" s="31">
        <f>IFERROR(Data!$M678/Data!$D678,"")</f>
        <v>3.2258064516129031E-2</v>
      </c>
      <c r="AA678" s="32">
        <v>169</v>
      </c>
      <c r="AB678" s="32">
        <f t="shared" si="89"/>
        <v>18.777777777777779</v>
      </c>
      <c r="AC678" s="29">
        <f t="shared" si="86"/>
        <v>654.33333333333337</v>
      </c>
      <c r="AD678" s="29">
        <f t="shared" si="87"/>
        <v>16.444444444444443</v>
      </c>
      <c r="AE678" s="29">
        <f>YEAR(Data!$C678)</f>
        <v>2024</v>
      </c>
      <c r="AF678" s="29"/>
      <c r="AG678" s="29">
        <v>12</v>
      </c>
      <c r="AH678" s="33">
        <f>Data!$F678/Data!$D678</f>
        <v>9.629032258064516</v>
      </c>
      <c r="AI678" s="17" t="str">
        <f>RIGHT(Data!$O678,2)</f>
        <v>PM</v>
      </c>
      <c r="AJ678" s="29" t="str">
        <f>Data!$R678&amp;"-"&amp;WEEKNUM(Data!$C678,1)-WEEKNUM(DATE(YEAR(Data!$C678),MONTH(Data!$C678),1),1)+1</f>
        <v>8-2024-4</v>
      </c>
      <c r="AK678" s="29">
        <f>MONTH(Data!$C678)</f>
        <v>8</v>
      </c>
      <c r="AL678" s="29">
        <f>IFERROR(Data!$F678/Data!$E678,0)</f>
        <v>31.421052631578949</v>
      </c>
      <c r="AM678" s="29">
        <f>COUNTIF(Data!$N$2:$N$825,Data!$N678)</f>
        <v>182</v>
      </c>
      <c r="AN678" s="29" t="str">
        <f>VLOOKUP(Data!$N678,'Helpful Tables'!A:D,4,FALSE)</f>
        <v>Oregon</v>
      </c>
      <c r="AO678" s="29">
        <f>COUNTIF(AN:AN,Data!$AN678)/COUNTA(AN:AN)</f>
        <v>0.27393939393939393</v>
      </c>
      <c r="AP678" s="29">
        <v>45.534162000000002</v>
      </c>
      <c r="AQ678" s="29">
        <v>-122.69670000000001</v>
      </c>
      <c r="AR678" s="29">
        <f>COUNTIF(Data!$P$2:$P$825,Data!$P678)</f>
        <v>9</v>
      </c>
      <c r="AS678" s="29" cm="1">
        <f t="array" ref="AS678">_xlfn.IFS(Data!$E678&lt;12,((Data!$E678/Data!$D678)*60)*1,AND(Data!$E678&gt;=12,Data!$E678&lt;=15),((Data!$E678/Data!$D678)*60)*1.2,AND(Data!$E678&gt;=16,Data!$E678&lt;=19),((Data!$E678/Data!$D678)*60)*1.5,Data!$E678&gt;=20,((Data!$E678/Data!$D678)*60)*1.8)</f>
        <v>27.58064516129032</v>
      </c>
      <c r="AT678" s="29" cm="1">
        <f t="array" ref="AT678">_xlfn.IFS(Data!$F678&lt;600,((Data!$F678/Data!$D678)*60)*1,AND(Data!$F678&gt;=600,Data!$F678&lt;=625),((Data!$F678/Data!$D678)*60)*1.2,AND(Data!$F678&gt;=626,Data!$F678&lt;=650),((Data!$F678/Data!$D678)*60)*1.5,Data!$F678&gt;=651,((Data!$F678/Data!$D678)*60)*1.8)</f>
        <v>577.74193548387098</v>
      </c>
      <c r="AU678" s="29">
        <f>(Data!$I678*-1.2)+(Data!$J678*-1.1)+(Data!$K678*1.2)+(Data!$L678*1.3)+(Data!$M678*1.5)</f>
        <v>-9</v>
      </c>
      <c r="AV678" s="29">
        <f>(Data!$AS678*0.4)+(Data!$AT678*0.4)+(Data!$AU678*0.2)</f>
        <v>240.32903225806453</v>
      </c>
      <c r="AW678" s="34">
        <f>PERCENTRANK(AV:AV,Data!$AV678)*100</f>
        <v>12.2</v>
      </c>
      <c r="AX678" s="29" t="str">
        <f>_xlfn.CONCAT(TEXT(C678,"mmm"),"-",Data!$AE678)</f>
        <v>Aug-2024</v>
      </c>
    </row>
    <row r="679" spans="1:50" ht="17" thickTop="1" thickBot="1" x14ac:dyDescent="0.25">
      <c r="A679" s="22">
        <v>678</v>
      </c>
      <c r="B679" s="23">
        <f t="shared" si="82"/>
        <v>9</v>
      </c>
      <c r="C679" s="41">
        <v>45524</v>
      </c>
      <c r="D679" s="24">
        <f>SUM(Data!$I679:$M679)</f>
        <v>61</v>
      </c>
      <c r="E679" s="23">
        <v>22</v>
      </c>
      <c r="F679" s="23">
        <v>679</v>
      </c>
      <c r="G679" s="23">
        <v>171</v>
      </c>
      <c r="H679" s="23">
        <v>128</v>
      </c>
      <c r="I679" s="23">
        <v>15</v>
      </c>
      <c r="J679" s="23">
        <v>20</v>
      </c>
      <c r="K679" s="23">
        <v>4</v>
      </c>
      <c r="L679" s="23">
        <v>5</v>
      </c>
      <c r="M679" s="23">
        <v>17</v>
      </c>
      <c r="N679" s="23" t="s">
        <v>125</v>
      </c>
      <c r="O679" s="23" t="s">
        <v>127</v>
      </c>
      <c r="P679" s="23" t="s">
        <v>220</v>
      </c>
      <c r="Q679" s="23">
        <f t="shared" si="88"/>
        <v>1</v>
      </c>
      <c r="R679" s="23" t="str">
        <f t="shared" si="83"/>
        <v>8-2024</v>
      </c>
      <c r="S679" s="23" t="s">
        <v>104</v>
      </c>
      <c r="T679" s="23" t="str">
        <f t="shared" si="84"/>
        <v>Tuesday</v>
      </c>
      <c r="U679" s="23">
        <f t="shared" si="85"/>
        <v>1</v>
      </c>
      <c r="V679" s="25">
        <f>IFERROR(Data!$I679/Data!$D679,"")</f>
        <v>0.24590163934426229</v>
      </c>
      <c r="W679" s="25">
        <f>IFERROR(Data!$J679/Data!$D679,"")</f>
        <v>0.32786885245901637</v>
      </c>
      <c r="X679" s="25">
        <f>IFERROR(Data!$K679/Data!$D679,"")</f>
        <v>6.5573770491803282E-2</v>
      </c>
      <c r="Y679" s="25">
        <f>IFERROR(Data!$L679/Data!$D679,"")</f>
        <v>8.1967213114754092E-2</v>
      </c>
      <c r="Z679" s="25">
        <f>IFERROR(Data!$M679/Data!$D679,"")</f>
        <v>0.27868852459016391</v>
      </c>
      <c r="AA679" s="26">
        <v>169</v>
      </c>
      <c r="AB679" s="26">
        <f t="shared" si="89"/>
        <v>18.777777777777779</v>
      </c>
      <c r="AC679" s="23">
        <f t="shared" si="86"/>
        <v>654.33333333333337</v>
      </c>
      <c r="AD679" s="23">
        <f t="shared" si="87"/>
        <v>16.444444444444443</v>
      </c>
      <c r="AE679" s="23">
        <f>YEAR(Data!$C679)</f>
        <v>2024</v>
      </c>
      <c r="AF679" s="23"/>
      <c r="AG679" s="23">
        <v>12</v>
      </c>
      <c r="AH679" s="27">
        <f>Data!$F679/Data!$D679</f>
        <v>11.131147540983607</v>
      </c>
      <c r="AI679" s="17" t="str">
        <f>RIGHT(Data!$O679,2)</f>
        <v>PM</v>
      </c>
      <c r="AJ679" s="23" t="str">
        <f>Data!$R679&amp;"-"&amp;WEEKNUM(Data!$C679,1)-WEEKNUM(DATE(YEAR(Data!$C679),MONTH(Data!$C679),1),1)+1</f>
        <v>8-2024-4</v>
      </c>
      <c r="AK679" s="23">
        <f>MONTH(Data!$C679)</f>
        <v>8</v>
      </c>
      <c r="AL679" s="23">
        <f>IFERROR(Data!$F679/Data!$E679,0)</f>
        <v>30.863636363636363</v>
      </c>
      <c r="AM679" s="23">
        <f>COUNTIF(Data!$N$2:$N$825,Data!$N679)</f>
        <v>182</v>
      </c>
      <c r="AN679" s="23" t="str">
        <f>VLOOKUP(Data!$N679,'Helpful Tables'!A:D,4,FALSE)</f>
        <v>Oregon</v>
      </c>
      <c r="AO679" s="23">
        <f>COUNTIF(AN:AN,Data!$AN679)/COUNTA(AN:AN)</f>
        <v>0.27393939393939393</v>
      </c>
      <c r="AP679" s="23">
        <v>45.534162000000002</v>
      </c>
      <c r="AQ679" s="23">
        <v>-122.69670000000001</v>
      </c>
      <c r="AR679" s="23">
        <f>COUNTIF(Data!$P$2:$P$825,Data!$P679)</f>
        <v>43</v>
      </c>
      <c r="AS679" s="23" cm="1">
        <f t="array" ref="AS679">_xlfn.IFS(Data!$E679&lt;12,((Data!$E679/Data!$D679)*60)*1,AND(Data!$E679&gt;=12,Data!$E679&lt;=15),((Data!$E679/Data!$D679)*60)*1.2,AND(Data!$E679&gt;=16,Data!$E679&lt;=19),((Data!$E679/Data!$D679)*60)*1.5,Data!$E679&gt;=20,((Data!$E679/Data!$D679)*60)*1.8)</f>
        <v>38.950819672131153</v>
      </c>
      <c r="AT679" s="23" cm="1">
        <f t="array" ref="AT679">_xlfn.IFS(Data!$F679&lt;600,((Data!$F679/Data!$D679)*60)*1,AND(Data!$F679&gt;=600,Data!$F679&lt;=625),((Data!$F679/Data!$D679)*60)*1.2,AND(Data!$F679&gt;=626,Data!$F679&lt;=650),((Data!$F679/Data!$D679)*60)*1.5,Data!$F679&gt;=651,((Data!$F679/Data!$D679)*60)*1.8)</f>
        <v>1202.1639344262294</v>
      </c>
      <c r="AU679" s="23">
        <f>(Data!$I679*-1.2)+(Data!$J679*-1.1)+(Data!$K679*1.2)+(Data!$L679*1.3)+(Data!$M679*1.5)</f>
        <v>-3.2000000000000028</v>
      </c>
      <c r="AV679" s="23">
        <f>(Data!$AS679*0.4)+(Data!$AT679*0.4)+(Data!$AU679*0.2)</f>
        <v>495.80590163934426</v>
      </c>
      <c r="AW679" s="35">
        <f>PERCENTRANK(AV:AV,Data!$AV679)*100</f>
        <v>75.099999999999994</v>
      </c>
      <c r="AX679" s="23" t="str">
        <f>_xlfn.CONCAT(TEXT(C679,"mmm"),"-",Data!$AE679)</f>
        <v>Aug-2024</v>
      </c>
    </row>
    <row r="680" spans="1:50" ht="17" thickTop="1" thickBot="1" x14ac:dyDescent="0.25">
      <c r="A680" s="28">
        <v>679</v>
      </c>
      <c r="B680" s="29">
        <f t="shared" si="82"/>
        <v>9</v>
      </c>
      <c r="C680" s="41">
        <v>45527</v>
      </c>
      <c r="D680" s="30">
        <f>SUM(Data!$I680:$M680)</f>
        <v>59</v>
      </c>
      <c r="E680" s="29">
        <v>13</v>
      </c>
      <c r="F680" s="29">
        <v>553</v>
      </c>
      <c r="G680" s="29">
        <v>167</v>
      </c>
      <c r="H680" s="29">
        <v>115</v>
      </c>
      <c r="I680" s="29">
        <v>29</v>
      </c>
      <c r="J680" s="29">
        <v>13</v>
      </c>
      <c r="K680" s="29">
        <v>4</v>
      </c>
      <c r="L680" s="29">
        <v>12</v>
      </c>
      <c r="M680" s="29">
        <v>1</v>
      </c>
      <c r="N680" s="29" t="s">
        <v>208</v>
      </c>
      <c r="O680" s="29" t="s">
        <v>83</v>
      </c>
      <c r="P680" s="29" t="s">
        <v>209</v>
      </c>
      <c r="Q680" s="29">
        <f t="shared" si="88"/>
        <v>3</v>
      </c>
      <c r="R680" s="29" t="str">
        <f t="shared" si="83"/>
        <v>8-2024</v>
      </c>
      <c r="S680" s="29" t="s">
        <v>117</v>
      </c>
      <c r="T680" s="29" t="str">
        <f t="shared" si="84"/>
        <v>Friday</v>
      </c>
      <c r="U680" s="29">
        <f t="shared" si="85"/>
        <v>1</v>
      </c>
      <c r="V680" s="31">
        <f>IFERROR(Data!$I680/Data!$D680,"")</f>
        <v>0.49152542372881358</v>
      </c>
      <c r="W680" s="31">
        <f>IFERROR(Data!$J680/Data!$D680,"")</f>
        <v>0.22033898305084745</v>
      </c>
      <c r="X680" s="31">
        <f>IFERROR(Data!$K680/Data!$D680,"")</f>
        <v>6.7796610169491525E-2</v>
      </c>
      <c r="Y680" s="31">
        <f>IFERROR(Data!$L680/Data!$D680,"")</f>
        <v>0.20338983050847459</v>
      </c>
      <c r="Z680" s="31">
        <f>IFERROR(Data!$M680/Data!$D680,"")</f>
        <v>1.6949152542372881E-2</v>
      </c>
      <c r="AA680" s="32">
        <v>169</v>
      </c>
      <c r="AB680" s="32">
        <f t="shared" si="89"/>
        <v>18.777777777777779</v>
      </c>
      <c r="AC680" s="29">
        <f t="shared" si="86"/>
        <v>654.33333333333337</v>
      </c>
      <c r="AD680" s="29">
        <f t="shared" si="87"/>
        <v>16.444444444444443</v>
      </c>
      <c r="AE680" s="29">
        <f>YEAR(Data!$C680)</f>
        <v>2024</v>
      </c>
      <c r="AF680" s="29"/>
      <c r="AG680" s="29">
        <v>12</v>
      </c>
      <c r="AH680" s="33">
        <f>Data!$F680/Data!$D680</f>
        <v>9.3728813559322042</v>
      </c>
      <c r="AI680" s="17" t="str">
        <f>RIGHT(Data!$O680,2)</f>
        <v>PM</v>
      </c>
      <c r="AJ680" s="29" t="str">
        <f>Data!$R680&amp;"-"&amp;WEEKNUM(Data!$C680,1)-WEEKNUM(DATE(YEAR(Data!$C680),MONTH(Data!$C680),1),1)+1</f>
        <v>8-2024-4</v>
      </c>
      <c r="AK680" s="29">
        <f>MONTH(Data!$C680)</f>
        <v>8</v>
      </c>
      <c r="AL680" s="29">
        <f>IFERROR(Data!$F680/Data!$E680,0)</f>
        <v>42.53846153846154</v>
      </c>
      <c r="AM680" s="29">
        <f>COUNTIF(Data!$N$2:$N$825,Data!$N680)</f>
        <v>42</v>
      </c>
      <c r="AN680" s="29" t="str">
        <f>VLOOKUP(Data!$N680,'Helpful Tables'!A:D,4,FALSE)</f>
        <v>Oregon</v>
      </c>
      <c r="AO680" s="29">
        <f>COUNTIF(AN:AN,Data!$AN680)/COUNTA(AN:AN)</f>
        <v>0.27393939393939393</v>
      </c>
      <c r="AP680" s="29">
        <v>45.525092999999998</v>
      </c>
      <c r="AQ680" s="29">
        <v>-122.681383</v>
      </c>
      <c r="AR680" s="29">
        <f>COUNTIF(Data!$P$2:$P$825,Data!$P680)</f>
        <v>18</v>
      </c>
      <c r="AS680" s="29" cm="1">
        <f t="array" ref="AS680">_xlfn.IFS(Data!$E680&lt;12,((Data!$E680/Data!$D680)*60)*1,AND(Data!$E680&gt;=12,Data!$E680&lt;=15),((Data!$E680/Data!$D680)*60)*1.2,AND(Data!$E680&gt;=16,Data!$E680&lt;=19),((Data!$E680/Data!$D680)*60)*1.5,Data!$E680&gt;=20,((Data!$E680/Data!$D680)*60)*1.8)</f>
        <v>15.864406779661017</v>
      </c>
      <c r="AT680" s="29" cm="1">
        <f t="array" ref="AT680">_xlfn.IFS(Data!$F680&lt;600,((Data!$F680/Data!$D680)*60)*1,AND(Data!$F680&gt;=600,Data!$F680&lt;=625),((Data!$F680/Data!$D680)*60)*1.2,AND(Data!$F680&gt;=626,Data!$F680&lt;=650),((Data!$F680/Data!$D680)*60)*1.5,Data!$F680&gt;=651,((Data!$F680/Data!$D680)*60)*1.8)</f>
        <v>562.37288135593224</v>
      </c>
      <c r="AU680" s="29">
        <f>(Data!$I680*-1.2)+(Data!$J680*-1.1)+(Data!$K680*1.2)+(Data!$L680*1.3)+(Data!$M680*1.5)</f>
        <v>-27.199999999999996</v>
      </c>
      <c r="AV680" s="29">
        <f>(Data!$AS680*0.4)+(Data!$AT680*0.4)+(Data!$AU680*0.2)</f>
        <v>225.85491525423731</v>
      </c>
      <c r="AW680" s="34">
        <f>PERCENTRANK(AV:AV,Data!$AV680)*100</f>
        <v>5.5</v>
      </c>
      <c r="AX680" s="29" t="str">
        <f>_xlfn.CONCAT(TEXT(C680,"mmm"),"-",Data!$AE680)</f>
        <v>Aug-2024</v>
      </c>
    </row>
    <row r="681" spans="1:50" ht="17" thickTop="1" thickBot="1" x14ac:dyDescent="0.25">
      <c r="A681" s="22">
        <v>680</v>
      </c>
      <c r="B681" s="23">
        <f t="shared" si="82"/>
        <v>14</v>
      </c>
      <c r="C681" s="41">
        <v>45537</v>
      </c>
      <c r="D681" s="24">
        <f>SUM(Data!$I681:$M681)</f>
        <v>59</v>
      </c>
      <c r="E681" s="23">
        <v>12</v>
      </c>
      <c r="F681" s="23">
        <v>605</v>
      </c>
      <c r="G681" s="23">
        <v>162</v>
      </c>
      <c r="H681" s="23">
        <v>121</v>
      </c>
      <c r="I681" s="23">
        <v>20</v>
      </c>
      <c r="J681" s="23">
        <v>17</v>
      </c>
      <c r="K681" s="23">
        <v>10</v>
      </c>
      <c r="L681" s="23">
        <v>12</v>
      </c>
      <c r="M681" s="23">
        <v>0</v>
      </c>
      <c r="N681" s="23" t="s">
        <v>125</v>
      </c>
      <c r="O681" s="23" t="s">
        <v>159</v>
      </c>
      <c r="P681" s="23" t="s">
        <v>220</v>
      </c>
      <c r="Q681" s="23">
        <f t="shared" si="88"/>
        <v>10</v>
      </c>
      <c r="R681" s="23" t="str">
        <f t="shared" si="83"/>
        <v>9-2024</v>
      </c>
      <c r="S681" s="23" t="s">
        <v>117</v>
      </c>
      <c r="T681" s="23" t="str">
        <f t="shared" si="84"/>
        <v>Monday</v>
      </c>
      <c r="U681" s="23">
        <f t="shared" si="85"/>
        <v>1</v>
      </c>
      <c r="V681" s="25">
        <f>IFERROR(Data!$I681/Data!$D681,"")</f>
        <v>0.33898305084745761</v>
      </c>
      <c r="W681" s="25">
        <f>IFERROR(Data!$J681/Data!$D681,"")</f>
        <v>0.28813559322033899</v>
      </c>
      <c r="X681" s="25">
        <f>IFERROR(Data!$K681/Data!$D681,"")</f>
        <v>0.16949152542372881</v>
      </c>
      <c r="Y681" s="25">
        <f>IFERROR(Data!$L681/Data!$D681,"")</f>
        <v>0.20338983050847459</v>
      </c>
      <c r="Z681" s="25">
        <f>IFERROR(Data!$M681/Data!$D681,"")</f>
        <v>0</v>
      </c>
      <c r="AA681" s="26">
        <v>169</v>
      </c>
      <c r="AB681" s="26">
        <f t="shared" si="89"/>
        <v>12.071428571428571</v>
      </c>
      <c r="AC681" s="23">
        <f t="shared" si="86"/>
        <v>632.92857142857144</v>
      </c>
      <c r="AD681" s="23">
        <f t="shared" si="87"/>
        <v>14.142857142857142</v>
      </c>
      <c r="AE681" s="23">
        <f>YEAR(Data!$C681)</f>
        <v>2024</v>
      </c>
      <c r="AF681" s="23"/>
      <c r="AG681" s="23">
        <v>12</v>
      </c>
      <c r="AH681" s="27">
        <f>Data!$F681/Data!$D681</f>
        <v>10.254237288135593</v>
      </c>
      <c r="AI681" s="17" t="str">
        <f>RIGHT(Data!$O681,2)</f>
        <v>AM</v>
      </c>
      <c r="AJ681" s="23" t="str">
        <f>Data!$R681&amp;"-"&amp;WEEKNUM(Data!$C681,1)-WEEKNUM(DATE(YEAR(Data!$C681),MONTH(Data!$C681),1),1)+1</f>
        <v>9-2024-1</v>
      </c>
      <c r="AK681" s="23">
        <f>MONTH(Data!$C681)</f>
        <v>9</v>
      </c>
      <c r="AL681" s="23">
        <f>IFERROR(Data!$F681/Data!$E681,0)</f>
        <v>50.416666666666664</v>
      </c>
      <c r="AM681" s="23">
        <f>COUNTIF(Data!$N$2:$N$825,Data!$N681)</f>
        <v>182</v>
      </c>
      <c r="AN681" s="23" t="str">
        <f>VLOOKUP(Data!$N681,'Helpful Tables'!A:D,4,FALSE)</f>
        <v>Oregon</v>
      </c>
      <c r="AO681" s="23">
        <f>COUNTIF(AN:AN,Data!$AN681)/COUNTA(AN:AN)</f>
        <v>0.27393939393939393</v>
      </c>
      <c r="AP681" s="23">
        <v>45.534162000000002</v>
      </c>
      <c r="AQ681" s="23">
        <v>-122.69670000000001</v>
      </c>
      <c r="AR681" s="23">
        <f>COUNTIF(Data!$P$2:$P$825,Data!$P681)</f>
        <v>43</v>
      </c>
      <c r="AS681" s="23" cm="1">
        <f t="array" ref="AS681">_xlfn.IFS(Data!$E681&lt;12,((Data!$E681/Data!$D681)*60)*1,AND(Data!$E681&gt;=12,Data!$E681&lt;=15),((Data!$E681/Data!$D681)*60)*1.2,AND(Data!$E681&gt;=16,Data!$E681&lt;=19),((Data!$E681/Data!$D681)*60)*1.5,Data!$E681&gt;=20,((Data!$E681/Data!$D681)*60)*1.8)</f>
        <v>14.64406779661017</v>
      </c>
      <c r="AT681" s="23" cm="1">
        <f t="array" ref="AT681">_xlfn.IFS(Data!$F681&lt;600,((Data!$F681/Data!$D681)*60)*1,AND(Data!$F681&gt;=600,Data!$F681&lt;=625),((Data!$F681/Data!$D681)*60)*1.2,AND(Data!$F681&gt;=626,Data!$F681&lt;=650),((Data!$F681/Data!$D681)*60)*1.5,Data!$F681&gt;=651,((Data!$F681/Data!$D681)*60)*1.8)</f>
        <v>738.30508474576277</v>
      </c>
      <c r="AU681" s="23">
        <f>(Data!$I681*-1.2)+(Data!$J681*-1.1)+(Data!$K681*1.2)+(Data!$L681*1.3)+(Data!$M681*1.5)</f>
        <v>-15.100000000000001</v>
      </c>
      <c r="AV681" s="23">
        <f>(Data!$AS681*0.4)+(Data!$AT681*0.4)+(Data!$AU681*0.2)</f>
        <v>298.1596610169492</v>
      </c>
      <c r="AW681" s="35">
        <f>PERCENTRANK(AV:AV,Data!$AV681)*100</f>
        <v>25.7</v>
      </c>
      <c r="AX681" s="23" t="str">
        <f>_xlfn.CONCAT(TEXT(C681,"mmm"),"-",Data!$AE681)</f>
        <v>Sep-2024</v>
      </c>
    </row>
    <row r="682" spans="1:50" ht="17" thickTop="1" thickBot="1" x14ac:dyDescent="0.25">
      <c r="A682" s="28">
        <v>681</v>
      </c>
      <c r="B682" s="29">
        <f t="shared" si="82"/>
        <v>14</v>
      </c>
      <c r="C682" s="41">
        <v>45539</v>
      </c>
      <c r="D682" s="30">
        <f>SUM(Data!$I682:$M682)</f>
        <v>58</v>
      </c>
      <c r="E682" s="29">
        <v>16</v>
      </c>
      <c r="F682" s="29">
        <v>616</v>
      </c>
      <c r="G682" s="29">
        <v>172</v>
      </c>
      <c r="H682" s="29">
        <v>123</v>
      </c>
      <c r="I682" s="29">
        <v>15</v>
      </c>
      <c r="J682" s="29">
        <v>16</v>
      </c>
      <c r="K682" s="29">
        <v>11</v>
      </c>
      <c r="L682" s="29">
        <v>15</v>
      </c>
      <c r="M682" s="29">
        <v>1</v>
      </c>
      <c r="N682" s="29" t="s">
        <v>125</v>
      </c>
      <c r="O682" s="29" t="s">
        <v>127</v>
      </c>
      <c r="P682" s="29" t="s">
        <v>216</v>
      </c>
      <c r="Q682" s="29">
        <f t="shared" si="88"/>
        <v>2</v>
      </c>
      <c r="R682" s="29" t="str">
        <f t="shared" si="83"/>
        <v>9-2024</v>
      </c>
      <c r="S682" s="29" t="s">
        <v>104</v>
      </c>
      <c r="T682" s="29" t="str">
        <f t="shared" si="84"/>
        <v>Wednesday</v>
      </c>
      <c r="U682" s="29">
        <f t="shared" si="85"/>
        <v>1</v>
      </c>
      <c r="V682" s="31">
        <f>IFERROR(Data!$I682/Data!$D682,"")</f>
        <v>0.25862068965517243</v>
      </c>
      <c r="W682" s="31">
        <f>IFERROR(Data!$J682/Data!$D682,"")</f>
        <v>0.27586206896551724</v>
      </c>
      <c r="X682" s="31">
        <f>IFERROR(Data!$K682/Data!$D682,"")</f>
        <v>0.18965517241379309</v>
      </c>
      <c r="Y682" s="31">
        <f>IFERROR(Data!$L682/Data!$D682,"")</f>
        <v>0.25862068965517243</v>
      </c>
      <c r="Z682" s="31">
        <f>IFERROR(Data!$M682/Data!$D682,"")</f>
        <v>1.7241379310344827E-2</v>
      </c>
      <c r="AA682" s="32">
        <v>169</v>
      </c>
      <c r="AB682" s="32">
        <f t="shared" si="89"/>
        <v>12.071428571428571</v>
      </c>
      <c r="AC682" s="29">
        <f t="shared" si="86"/>
        <v>632.92857142857144</v>
      </c>
      <c r="AD682" s="29">
        <f t="shared" si="87"/>
        <v>14.142857142857142</v>
      </c>
      <c r="AE682" s="29">
        <f>YEAR(Data!$C682)</f>
        <v>2024</v>
      </c>
      <c r="AF682" s="29"/>
      <c r="AG682" s="29">
        <v>12</v>
      </c>
      <c r="AH682" s="33">
        <f>Data!$F682/Data!$D682</f>
        <v>10.620689655172415</v>
      </c>
      <c r="AI682" s="17" t="str">
        <f>RIGHT(Data!$O682,2)</f>
        <v>PM</v>
      </c>
      <c r="AJ682" s="29" t="str">
        <f>Data!$R682&amp;"-"&amp;WEEKNUM(Data!$C682,1)-WEEKNUM(DATE(YEAR(Data!$C682),MONTH(Data!$C682),1),1)+1</f>
        <v>9-2024-1</v>
      </c>
      <c r="AK682" s="29">
        <f>MONTH(Data!$C682)</f>
        <v>9</v>
      </c>
      <c r="AL682" s="29">
        <f>IFERROR(Data!$F682/Data!$E682,0)</f>
        <v>38.5</v>
      </c>
      <c r="AM682" s="29">
        <f>COUNTIF(Data!$N$2:$N$825,Data!$N682)</f>
        <v>182</v>
      </c>
      <c r="AN682" s="29" t="str">
        <f>VLOOKUP(Data!$N682,'Helpful Tables'!A:D,4,FALSE)</f>
        <v>Oregon</v>
      </c>
      <c r="AO682" s="29">
        <f>COUNTIF(AN:AN,Data!$AN682)/COUNTA(AN:AN)</f>
        <v>0.27393939393939393</v>
      </c>
      <c r="AP682" s="29">
        <v>45.534162000000002</v>
      </c>
      <c r="AQ682" s="29">
        <v>-122.69670000000001</v>
      </c>
      <c r="AR682" s="29">
        <f>COUNTIF(Data!$P$2:$P$825,Data!$P682)</f>
        <v>25</v>
      </c>
      <c r="AS682" s="29" cm="1">
        <f t="array" ref="AS682">_xlfn.IFS(Data!$E682&lt;12,((Data!$E682/Data!$D682)*60)*1,AND(Data!$E682&gt;=12,Data!$E682&lt;=15),((Data!$E682/Data!$D682)*60)*1.2,AND(Data!$E682&gt;=16,Data!$E682&lt;=19),((Data!$E682/Data!$D682)*60)*1.5,Data!$E682&gt;=20,((Data!$E682/Data!$D682)*60)*1.8)</f>
        <v>24.827586206896555</v>
      </c>
      <c r="AT682" s="29" cm="1">
        <f t="array" ref="AT682">_xlfn.IFS(Data!$F682&lt;600,((Data!$F682/Data!$D682)*60)*1,AND(Data!$F682&gt;=600,Data!$F682&lt;=625),((Data!$F682/Data!$D682)*60)*1.2,AND(Data!$F682&gt;=626,Data!$F682&lt;=650),((Data!$F682/Data!$D682)*60)*1.5,Data!$F682&gt;=651,((Data!$F682/Data!$D682)*60)*1.8)</f>
        <v>764.68965517241384</v>
      </c>
      <c r="AU682" s="29">
        <f>(Data!$I682*-1.2)+(Data!$J682*-1.1)+(Data!$K682*1.2)+(Data!$L682*1.3)+(Data!$M682*1.5)</f>
        <v>-1.4000000000000021</v>
      </c>
      <c r="AV682" s="29">
        <f>(Data!$AS682*0.4)+(Data!$AT682*0.4)+(Data!$AU682*0.2)</f>
        <v>315.52689655172418</v>
      </c>
      <c r="AW682" s="34">
        <f>PERCENTRANK(AV:AV,Data!$AV682)*100</f>
        <v>34.5</v>
      </c>
      <c r="AX682" s="29" t="str">
        <f>_xlfn.CONCAT(TEXT(C682,"mmm"),"-",Data!$AE682)</f>
        <v>Sep-2024</v>
      </c>
    </row>
    <row r="683" spans="1:50" ht="17" thickTop="1" thickBot="1" x14ac:dyDescent="0.25">
      <c r="A683" s="22">
        <v>682</v>
      </c>
      <c r="B683" s="23">
        <f t="shared" si="82"/>
        <v>14</v>
      </c>
      <c r="C683" s="41">
        <v>45540</v>
      </c>
      <c r="D683" s="24">
        <f>SUM(Data!$I683:$M683)</f>
        <v>61</v>
      </c>
      <c r="E683" s="23">
        <v>11</v>
      </c>
      <c r="F683" s="23">
        <v>642</v>
      </c>
      <c r="G683" s="23">
        <v>169</v>
      </c>
      <c r="H683" s="23">
        <v>123</v>
      </c>
      <c r="I683" s="23">
        <v>14</v>
      </c>
      <c r="J683" s="23">
        <v>22</v>
      </c>
      <c r="K683" s="23">
        <v>14</v>
      </c>
      <c r="L683" s="23">
        <v>10</v>
      </c>
      <c r="M683" s="23">
        <v>1</v>
      </c>
      <c r="N683" s="23" t="s">
        <v>125</v>
      </c>
      <c r="O683" s="23" t="s">
        <v>127</v>
      </c>
      <c r="P683" s="23" t="s">
        <v>220</v>
      </c>
      <c r="Q683" s="23">
        <f t="shared" si="88"/>
        <v>1</v>
      </c>
      <c r="R683" s="23" t="str">
        <f t="shared" si="83"/>
        <v>9-2024</v>
      </c>
      <c r="S683" s="23" t="s">
        <v>104</v>
      </c>
      <c r="T683" s="23" t="str">
        <f t="shared" si="84"/>
        <v>Thursday</v>
      </c>
      <c r="U683" s="23">
        <f t="shared" si="85"/>
        <v>0</v>
      </c>
      <c r="V683" s="25">
        <f>IFERROR(Data!$I683/Data!$D683,"")</f>
        <v>0.22950819672131148</v>
      </c>
      <c r="W683" s="25">
        <f>IFERROR(Data!$J683/Data!$D683,"")</f>
        <v>0.36065573770491804</v>
      </c>
      <c r="X683" s="25">
        <f>IFERROR(Data!$K683/Data!$D683,"")</f>
        <v>0.22950819672131148</v>
      </c>
      <c r="Y683" s="25">
        <f>IFERROR(Data!$L683/Data!$D683,"")</f>
        <v>0.16393442622950818</v>
      </c>
      <c r="Z683" s="25">
        <f>IFERROR(Data!$M683/Data!$D683,"")</f>
        <v>1.6393442622950821E-2</v>
      </c>
      <c r="AA683" s="26">
        <v>169</v>
      </c>
      <c r="AB683" s="26">
        <f t="shared" si="89"/>
        <v>12.071428571428571</v>
      </c>
      <c r="AC683" s="23">
        <f t="shared" si="86"/>
        <v>632.92857142857144</v>
      </c>
      <c r="AD683" s="23">
        <f t="shared" si="87"/>
        <v>14.142857142857142</v>
      </c>
      <c r="AE683" s="23">
        <f>YEAR(Data!$C683)</f>
        <v>2024</v>
      </c>
      <c r="AF683" s="23"/>
      <c r="AG683" s="23">
        <v>12</v>
      </c>
      <c r="AH683" s="27">
        <f>Data!$F683/Data!$D683</f>
        <v>10.524590163934427</v>
      </c>
      <c r="AI683" s="17" t="str">
        <f>RIGHT(Data!$O683,2)</f>
        <v>PM</v>
      </c>
      <c r="AJ683" s="23" t="str">
        <f>Data!$R683&amp;"-"&amp;WEEKNUM(Data!$C683,1)-WEEKNUM(DATE(YEAR(Data!$C683),MONTH(Data!$C683),1),1)+1</f>
        <v>9-2024-1</v>
      </c>
      <c r="AK683" s="23">
        <f>MONTH(Data!$C683)</f>
        <v>9</v>
      </c>
      <c r="AL683" s="23">
        <f>IFERROR(Data!$F683/Data!$E683,0)</f>
        <v>58.363636363636367</v>
      </c>
      <c r="AM683" s="23">
        <f>COUNTIF(Data!$N$2:$N$825,Data!$N683)</f>
        <v>182</v>
      </c>
      <c r="AN683" s="23" t="str">
        <f>VLOOKUP(Data!$N683,'Helpful Tables'!A:D,4,FALSE)</f>
        <v>Oregon</v>
      </c>
      <c r="AO683" s="23">
        <f>COUNTIF(AN:AN,Data!$AN683)/COUNTA(AN:AN)</f>
        <v>0.27393939393939393</v>
      </c>
      <c r="AP683" s="23">
        <v>45.534162000000002</v>
      </c>
      <c r="AQ683" s="23">
        <v>-122.69670000000001</v>
      </c>
      <c r="AR683" s="23">
        <f>COUNTIF(Data!$P$2:$P$825,Data!$P683)</f>
        <v>43</v>
      </c>
      <c r="AS683" s="23" cm="1">
        <f t="array" ref="AS683">_xlfn.IFS(Data!$E683&lt;12,((Data!$E683/Data!$D683)*60)*1,AND(Data!$E683&gt;=12,Data!$E683&lt;=15),((Data!$E683/Data!$D683)*60)*1.2,AND(Data!$E683&gt;=16,Data!$E683&lt;=19),((Data!$E683/Data!$D683)*60)*1.5,Data!$E683&gt;=20,((Data!$E683/Data!$D683)*60)*1.8)</f>
        <v>10.819672131147541</v>
      </c>
      <c r="AT683" s="23" cm="1">
        <f t="array" ref="AT683">_xlfn.IFS(Data!$F683&lt;600,((Data!$F683/Data!$D683)*60)*1,AND(Data!$F683&gt;=600,Data!$F683&lt;=625),((Data!$F683/Data!$D683)*60)*1.2,AND(Data!$F683&gt;=626,Data!$F683&lt;=650),((Data!$F683/Data!$D683)*60)*1.5,Data!$F683&gt;=651,((Data!$F683/Data!$D683)*60)*1.8)</f>
        <v>947.21311475409846</v>
      </c>
      <c r="AU683" s="23">
        <f>(Data!$I683*-1.2)+(Data!$J683*-1.1)+(Data!$K683*1.2)+(Data!$L683*1.3)+(Data!$M683*1.5)</f>
        <v>-9.6999999999999993</v>
      </c>
      <c r="AV683" s="23">
        <f>(Data!$AS683*0.4)+(Data!$AT683*0.4)+(Data!$AU683*0.2)</f>
        <v>381.2731147540984</v>
      </c>
      <c r="AW683" s="35">
        <f>PERCENTRANK(AV:AV,Data!$AV683)*100</f>
        <v>45.800000000000004</v>
      </c>
      <c r="AX683" s="23" t="str">
        <f>_xlfn.CONCAT(TEXT(C683,"mmm"),"-",Data!$AE683)</f>
        <v>Sep-2024</v>
      </c>
    </row>
    <row r="684" spans="1:50" ht="17" thickTop="1" thickBot="1" x14ac:dyDescent="0.25">
      <c r="A684" s="28">
        <v>683</v>
      </c>
      <c r="B684" s="29">
        <f t="shared" si="82"/>
        <v>14</v>
      </c>
      <c r="C684" s="41">
        <v>45544</v>
      </c>
      <c r="D684" s="30">
        <f>SUM(Data!$I684:$M684)</f>
        <v>61</v>
      </c>
      <c r="E684" s="29">
        <v>16</v>
      </c>
      <c r="F684" s="29">
        <v>690</v>
      </c>
      <c r="G684" s="29">
        <v>168</v>
      </c>
      <c r="H684" s="29">
        <v>128</v>
      </c>
      <c r="I684" s="29">
        <v>14</v>
      </c>
      <c r="J684" s="29">
        <v>14</v>
      </c>
      <c r="K684" s="29">
        <v>17</v>
      </c>
      <c r="L684" s="29">
        <v>14</v>
      </c>
      <c r="M684" s="29">
        <v>2</v>
      </c>
      <c r="N684" s="29" t="s">
        <v>125</v>
      </c>
      <c r="O684" s="29" t="s">
        <v>127</v>
      </c>
      <c r="P684" s="29" t="s">
        <v>220</v>
      </c>
      <c r="Q684" s="29">
        <f t="shared" si="88"/>
        <v>4</v>
      </c>
      <c r="R684" s="29" t="str">
        <f t="shared" si="83"/>
        <v>9-2024</v>
      </c>
      <c r="S684" s="29" t="s">
        <v>104</v>
      </c>
      <c r="T684" s="29" t="str">
        <f t="shared" si="84"/>
        <v>Monday</v>
      </c>
      <c r="U684" s="29">
        <f t="shared" si="85"/>
        <v>1</v>
      </c>
      <c r="V684" s="31">
        <f>IFERROR(Data!$I684/Data!$D684,"")</f>
        <v>0.22950819672131148</v>
      </c>
      <c r="W684" s="31">
        <f>IFERROR(Data!$J684/Data!$D684,"")</f>
        <v>0.22950819672131148</v>
      </c>
      <c r="X684" s="31">
        <f>IFERROR(Data!$K684/Data!$D684,"")</f>
        <v>0.27868852459016391</v>
      </c>
      <c r="Y684" s="31">
        <f>IFERROR(Data!$L684/Data!$D684,"")</f>
        <v>0.22950819672131148</v>
      </c>
      <c r="Z684" s="31">
        <f>IFERROR(Data!$M684/Data!$D684,"")</f>
        <v>3.2786885245901641E-2</v>
      </c>
      <c r="AA684" s="32">
        <v>169</v>
      </c>
      <c r="AB684" s="32">
        <f t="shared" si="89"/>
        <v>12.071428571428571</v>
      </c>
      <c r="AC684" s="29">
        <f t="shared" si="86"/>
        <v>632.92857142857144</v>
      </c>
      <c r="AD684" s="29">
        <f t="shared" si="87"/>
        <v>14.142857142857142</v>
      </c>
      <c r="AE684" s="29">
        <f>YEAR(Data!$C684)</f>
        <v>2024</v>
      </c>
      <c r="AF684" s="29"/>
      <c r="AG684" s="29">
        <v>12</v>
      </c>
      <c r="AH684" s="33">
        <f>Data!$F684/Data!$D684</f>
        <v>11.311475409836065</v>
      </c>
      <c r="AI684" s="17" t="str">
        <f>RIGHT(Data!$O684,2)</f>
        <v>PM</v>
      </c>
      <c r="AJ684" s="29" t="str">
        <f>Data!$R684&amp;"-"&amp;WEEKNUM(Data!$C684,1)-WEEKNUM(DATE(YEAR(Data!$C684),MONTH(Data!$C684),1),1)+1</f>
        <v>9-2024-2</v>
      </c>
      <c r="AK684" s="29">
        <f>MONTH(Data!$C684)</f>
        <v>9</v>
      </c>
      <c r="AL684" s="29">
        <f>IFERROR(Data!$F684/Data!$E684,0)</f>
        <v>43.125</v>
      </c>
      <c r="AM684" s="29">
        <f>COUNTIF(Data!$N$2:$N$825,Data!$N684)</f>
        <v>182</v>
      </c>
      <c r="AN684" s="29" t="str">
        <f>VLOOKUP(Data!$N684,'Helpful Tables'!A:D,4,FALSE)</f>
        <v>Oregon</v>
      </c>
      <c r="AO684" s="29">
        <f>COUNTIF(AN:AN,Data!$AN684)/COUNTA(AN:AN)</f>
        <v>0.27393939393939393</v>
      </c>
      <c r="AP684" s="29">
        <v>45.534162000000002</v>
      </c>
      <c r="AQ684" s="29">
        <v>-122.69670000000001</v>
      </c>
      <c r="AR684" s="29">
        <f>COUNTIF(Data!$P$2:$P$825,Data!$P684)</f>
        <v>43</v>
      </c>
      <c r="AS684" s="29" cm="1">
        <f t="array" ref="AS684">_xlfn.IFS(Data!$E684&lt;12,((Data!$E684/Data!$D684)*60)*1,AND(Data!$E684&gt;=12,Data!$E684&lt;=15),((Data!$E684/Data!$D684)*60)*1.2,AND(Data!$E684&gt;=16,Data!$E684&lt;=19),((Data!$E684/Data!$D684)*60)*1.5,Data!$E684&gt;=20,((Data!$E684/Data!$D684)*60)*1.8)</f>
        <v>23.606557377049182</v>
      </c>
      <c r="AT684" s="29" cm="1">
        <f t="array" ref="AT684">_xlfn.IFS(Data!$F684&lt;600,((Data!$F684/Data!$D684)*60)*1,AND(Data!$F684&gt;=600,Data!$F684&lt;=625),((Data!$F684/Data!$D684)*60)*1.2,AND(Data!$F684&gt;=626,Data!$F684&lt;=650),((Data!$F684/Data!$D684)*60)*1.5,Data!$F684&gt;=651,((Data!$F684/Data!$D684)*60)*1.8)</f>
        <v>1221.639344262295</v>
      </c>
      <c r="AU684" s="29">
        <f>(Data!$I684*-1.2)+(Data!$J684*-1.1)+(Data!$K684*1.2)+(Data!$L684*1.3)+(Data!$M684*1.5)</f>
        <v>9.399999999999995</v>
      </c>
      <c r="AV684" s="29">
        <f>(Data!$AS684*0.4)+(Data!$AT684*0.4)+(Data!$AU684*0.2)</f>
        <v>499.97836065573767</v>
      </c>
      <c r="AW684" s="34">
        <f>PERCENTRANK(AV:AV,Data!$AV684)*100</f>
        <v>77.8</v>
      </c>
      <c r="AX684" s="29" t="str">
        <f>_xlfn.CONCAT(TEXT(C684,"mmm"),"-",Data!$AE684)</f>
        <v>Sep-2024</v>
      </c>
    </row>
    <row r="685" spans="1:50" ht="17" thickTop="1" thickBot="1" x14ac:dyDescent="0.25">
      <c r="A685" s="22">
        <v>684</v>
      </c>
      <c r="B685" s="23">
        <f t="shared" si="82"/>
        <v>14</v>
      </c>
      <c r="C685" s="41">
        <v>45545</v>
      </c>
      <c r="D685" s="24">
        <f>SUM(Data!$I685:$M685)</f>
        <v>60</v>
      </c>
      <c r="E685" s="23">
        <v>17</v>
      </c>
      <c r="F685" s="23">
        <v>688</v>
      </c>
      <c r="G685" s="23">
        <v>166</v>
      </c>
      <c r="H685" s="23">
        <v>129</v>
      </c>
      <c r="I685" s="23">
        <v>10</v>
      </c>
      <c r="J685" s="23">
        <v>15</v>
      </c>
      <c r="K685" s="23">
        <v>18</v>
      </c>
      <c r="L685" s="23">
        <v>13</v>
      </c>
      <c r="M685" s="23">
        <v>4</v>
      </c>
      <c r="N685" s="23" t="s">
        <v>125</v>
      </c>
      <c r="O685" s="23" t="s">
        <v>127</v>
      </c>
      <c r="P685" s="23" t="s">
        <v>216</v>
      </c>
      <c r="Q685" s="23">
        <f t="shared" si="88"/>
        <v>1</v>
      </c>
      <c r="R685" s="23" t="str">
        <f t="shared" si="83"/>
        <v>9-2024</v>
      </c>
      <c r="S685" s="23" t="s">
        <v>117</v>
      </c>
      <c r="T685" s="23" t="str">
        <f t="shared" si="84"/>
        <v>Tuesday</v>
      </c>
      <c r="U685" s="23">
        <f t="shared" si="85"/>
        <v>1</v>
      </c>
      <c r="V685" s="25">
        <f>IFERROR(Data!$I685/Data!$D685,"")</f>
        <v>0.16666666666666666</v>
      </c>
      <c r="W685" s="25">
        <f>IFERROR(Data!$J685/Data!$D685,"")</f>
        <v>0.25</v>
      </c>
      <c r="X685" s="25">
        <f>IFERROR(Data!$K685/Data!$D685,"")</f>
        <v>0.3</v>
      </c>
      <c r="Y685" s="25">
        <f>IFERROR(Data!$L685/Data!$D685,"")</f>
        <v>0.21666666666666667</v>
      </c>
      <c r="Z685" s="25">
        <f>IFERROR(Data!$M685/Data!$D685,"")</f>
        <v>6.6666666666666666E-2</v>
      </c>
      <c r="AA685" s="26">
        <v>169</v>
      </c>
      <c r="AB685" s="26">
        <f t="shared" si="89"/>
        <v>12.071428571428571</v>
      </c>
      <c r="AC685" s="23">
        <f t="shared" si="86"/>
        <v>632.92857142857144</v>
      </c>
      <c r="AD685" s="23">
        <f t="shared" si="87"/>
        <v>14.142857142857142</v>
      </c>
      <c r="AE685" s="23">
        <f>YEAR(Data!$C685)</f>
        <v>2024</v>
      </c>
      <c r="AF685" s="23"/>
      <c r="AG685" s="23">
        <v>12</v>
      </c>
      <c r="AH685" s="27">
        <f>Data!$F685/Data!$D685</f>
        <v>11.466666666666667</v>
      </c>
      <c r="AI685" s="17" t="str">
        <f>RIGHT(Data!$O685,2)</f>
        <v>PM</v>
      </c>
      <c r="AJ685" s="23" t="str">
        <f>Data!$R685&amp;"-"&amp;WEEKNUM(Data!$C685,1)-WEEKNUM(DATE(YEAR(Data!$C685),MONTH(Data!$C685),1),1)+1</f>
        <v>9-2024-2</v>
      </c>
      <c r="AK685" s="23">
        <f>MONTH(Data!$C685)</f>
        <v>9</v>
      </c>
      <c r="AL685" s="23">
        <f>IFERROR(Data!$F685/Data!$E685,0)</f>
        <v>40.470588235294116</v>
      </c>
      <c r="AM685" s="23">
        <f>COUNTIF(Data!$N$2:$N$825,Data!$N685)</f>
        <v>182</v>
      </c>
      <c r="AN685" s="23" t="str">
        <f>VLOOKUP(Data!$N685,'Helpful Tables'!A:D,4,FALSE)</f>
        <v>Oregon</v>
      </c>
      <c r="AO685" s="23">
        <f>COUNTIF(AN:AN,Data!$AN685)/COUNTA(AN:AN)</f>
        <v>0.27393939393939393</v>
      </c>
      <c r="AP685" s="23">
        <v>45.534162000000002</v>
      </c>
      <c r="AQ685" s="23">
        <v>-122.69670000000001</v>
      </c>
      <c r="AR685" s="23">
        <f>COUNTIF(Data!$P$2:$P$825,Data!$P685)</f>
        <v>25</v>
      </c>
      <c r="AS685" s="23" cm="1">
        <f t="array" ref="AS685">_xlfn.IFS(Data!$E685&lt;12,((Data!$E685/Data!$D685)*60)*1,AND(Data!$E685&gt;=12,Data!$E685&lt;=15),((Data!$E685/Data!$D685)*60)*1.2,AND(Data!$E685&gt;=16,Data!$E685&lt;=19),((Data!$E685/Data!$D685)*60)*1.5,Data!$E685&gt;=20,((Data!$E685/Data!$D685)*60)*1.8)</f>
        <v>25.5</v>
      </c>
      <c r="AT685" s="23" cm="1">
        <f t="array" ref="AT685">_xlfn.IFS(Data!$F685&lt;600,((Data!$F685/Data!$D685)*60)*1,AND(Data!$F685&gt;=600,Data!$F685&lt;=625),((Data!$F685/Data!$D685)*60)*1.2,AND(Data!$F685&gt;=626,Data!$F685&lt;=650),((Data!$F685/Data!$D685)*60)*1.5,Data!$F685&gt;=651,((Data!$F685/Data!$D685)*60)*1.8)</f>
        <v>1238.4000000000001</v>
      </c>
      <c r="AU685" s="23">
        <f>(Data!$I685*-1.2)+(Data!$J685*-1.1)+(Data!$K685*1.2)+(Data!$L685*1.3)+(Data!$M685*1.5)</f>
        <v>16</v>
      </c>
      <c r="AV685" s="23">
        <f>(Data!$AS685*0.4)+(Data!$AT685*0.4)+(Data!$AU685*0.2)</f>
        <v>508.76000000000005</v>
      </c>
      <c r="AW685" s="35">
        <f>PERCENTRANK(AV:AV,Data!$AV685)*100</f>
        <v>83.399999999999991</v>
      </c>
      <c r="AX685" s="23" t="str">
        <f>_xlfn.CONCAT(TEXT(C685,"mmm"),"-",Data!$AE685)</f>
        <v>Sep-2024</v>
      </c>
    </row>
    <row r="686" spans="1:50" ht="17" thickTop="1" thickBot="1" x14ac:dyDescent="0.25">
      <c r="A686" s="28">
        <v>685</v>
      </c>
      <c r="B686" s="29">
        <f t="shared" si="82"/>
        <v>14</v>
      </c>
      <c r="C686" s="41">
        <v>45548</v>
      </c>
      <c r="D686" s="30">
        <f>SUM(Data!$I686:$M686)</f>
        <v>60</v>
      </c>
      <c r="E686" s="29">
        <v>23</v>
      </c>
      <c r="F686" s="29">
        <v>635</v>
      </c>
      <c r="G686" s="29">
        <v>170</v>
      </c>
      <c r="H686" s="29">
        <v>123</v>
      </c>
      <c r="I686" s="29">
        <v>25</v>
      </c>
      <c r="J686" s="29">
        <v>9</v>
      </c>
      <c r="K686" s="29">
        <v>3</v>
      </c>
      <c r="L686" s="29">
        <v>12</v>
      </c>
      <c r="M686" s="29">
        <v>11</v>
      </c>
      <c r="N686" s="29" t="s">
        <v>208</v>
      </c>
      <c r="O686" s="29" t="s">
        <v>53</v>
      </c>
      <c r="P686" s="29" t="s">
        <v>209</v>
      </c>
      <c r="Q686" s="29">
        <f t="shared" si="88"/>
        <v>3</v>
      </c>
      <c r="R686" s="29" t="str">
        <f t="shared" si="83"/>
        <v>9-2024</v>
      </c>
      <c r="S686" s="29" t="s">
        <v>104</v>
      </c>
      <c r="T686" s="29" t="str">
        <f t="shared" si="84"/>
        <v>Friday</v>
      </c>
      <c r="U686" s="29">
        <f t="shared" si="85"/>
        <v>1</v>
      </c>
      <c r="V686" s="31">
        <f>IFERROR(Data!$I686/Data!$D686,"")</f>
        <v>0.41666666666666669</v>
      </c>
      <c r="W686" s="31">
        <f>IFERROR(Data!$J686/Data!$D686,"")</f>
        <v>0.15</v>
      </c>
      <c r="X686" s="31">
        <f>IFERROR(Data!$K686/Data!$D686,"")</f>
        <v>0.05</v>
      </c>
      <c r="Y686" s="31">
        <f>IFERROR(Data!$L686/Data!$D686,"")</f>
        <v>0.2</v>
      </c>
      <c r="Z686" s="31">
        <f>IFERROR(Data!$M686/Data!$D686,"")</f>
        <v>0.18333333333333332</v>
      </c>
      <c r="AA686" s="32">
        <v>169</v>
      </c>
      <c r="AB686" s="32">
        <f t="shared" si="89"/>
        <v>12.071428571428571</v>
      </c>
      <c r="AC686" s="29">
        <f t="shared" si="86"/>
        <v>632.92857142857144</v>
      </c>
      <c r="AD686" s="29">
        <f t="shared" si="87"/>
        <v>14.142857142857142</v>
      </c>
      <c r="AE686" s="29">
        <f>YEAR(Data!$C686)</f>
        <v>2024</v>
      </c>
      <c r="AF686" s="29"/>
      <c r="AG686" s="29">
        <v>12</v>
      </c>
      <c r="AH686" s="33">
        <f>Data!$F686/Data!$D686</f>
        <v>10.583333333333334</v>
      </c>
      <c r="AI686" s="17" t="str">
        <f>RIGHT(Data!$O686,2)</f>
        <v>PM</v>
      </c>
      <c r="AJ686" s="29" t="str">
        <f>Data!$R686&amp;"-"&amp;WEEKNUM(Data!$C686,1)-WEEKNUM(DATE(YEAR(Data!$C686),MONTH(Data!$C686),1),1)+1</f>
        <v>9-2024-2</v>
      </c>
      <c r="AK686" s="29">
        <f>MONTH(Data!$C686)</f>
        <v>9</v>
      </c>
      <c r="AL686" s="29">
        <f>IFERROR(Data!$F686/Data!$E686,0)</f>
        <v>27.608695652173914</v>
      </c>
      <c r="AM686" s="29">
        <f>COUNTIF(Data!$N$2:$N$825,Data!$N686)</f>
        <v>42</v>
      </c>
      <c r="AN686" s="29" t="str">
        <f>VLOOKUP(Data!$N686,'Helpful Tables'!A:D,4,FALSE)</f>
        <v>Oregon</v>
      </c>
      <c r="AO686" s="29">
        <f>COUNTIF(AN:AN,Data!$AN686)/COUNTA(AN:AN)</f>
        <v>0.27393939393939393</v>
      </c>
      <c r="AP686" s="29">
        <v>45.525092999999998</v>
      </c>
      <c r="AQ686" s="29">
        <v>-122.681383</v>
      </c>
      <c r="AR686" s="29">
        <f>COUNTIF(Data!$P$2:$P$825,Data!$P686)</f>
        <v>18</v>
      </c>
      <c r="AS686" s="29" cm="1">
        <f t="array" ref="AS686">_xlfn.IFS(Data!$E686&lt;12,((Data!$E686/Data!$D686)*60)*1,AND(Data!$E686&gt;=12,Data!$E686&lt;=15),((Data!$E686/Data!$D686)*60)*1.2,AND(Data!$E686&gt;=16,Data!$E686&lt;=19),((Data!$E686/Data!$D686)*60)*1.5,Data!$E686&gt;=20,((Data!$E686/Data!$D686)*60)*1.8)</f>
        <v>41.4</v>
      </c>
      <c r="AT686" s="29" cm="1">
        <f t="array" ref="AT686">_xlfn.IFS(Data!$F686&lt;600,((Data!$F686/Data!$D686)*60)*1,AND(Data!$F686&gt;=600,Data!$F686&lt;=625),((Data!$F686/Data!$D686)*60)*1.2,AND(Data!$F686&gt;=626,Data!$F686&lt;=650),((Data!$F686/Data!$D686)*60)*1.5,Data!$F686&gt;=651,((Data!$F686/Data!$D686)*60)*1.8)</f>
        <v>952.5</v>
      </c>
      <c r="AU686" s="29">
        <f>(Data!$I686*-1.2)+(Data!$J686*-1.1)+(Data!$K686*1.2)+(Data!$L686*1.3)+(Data!$M686*1.5)</f>
        <v>-4.1999999999999957</v>
      </c>
      <c r="AV686" s="29">
        <f>(Data!$AS686*0.4)+(Data!$AT686*0.4)+(Data!$AU686*0.2)</f>
        <v>396.72</v>
      </c>
      <c r="AW686" s="34">
        <f>PERCENTRANK(AV:AV,Data!$AV686)*100</f>
        <v>50.8</v>
      </c>
      <c r="AX686" s="29" t="str">
        <f>_xlfn.CONCAT(TEXT(C686,"mmm"),"-",Data!$AE686)</f>
        <v>Sep-2024</v>
      </c>
    </row>
    <row r="687" spans="1:50" ht="17" thickTop="1" thickBot="1" x14ac:dyDescent="0.25">
      <c r="A687" s="22">
        <v>686</v>
      </c>
      <c r="B687" s="23">
        <f t="shared" si="82"/>
        <v>14</v>
      </c>
      <c r="C687" s="41">
        <v>45549</v>
      </c>
      <c r="D687" s="24">
        <f>SUM(Data!$I687:$M687)</f>
        <v>57</v>
      </c>
      <c r="E687" s="23">
        <v>7</v>
      </c>
      <c r="F687" s="23">
        <v>518</v>
      </c>
      <c r="G687" s="23">
        <v>158</v>
      </c>
      <c r="H687" s="23">
        <v>112</v>
      </c>
      <c r="I687" s="23">
        <v>29</v>
      </c>
      <c r="J687" s="23">
        <v>13</v>
      </c>
      <c r="K687" s="23">
        <v>8</v>
      </c>
      <c r="L687" s="23">
        <v>7</v>
      </c>
      <c r="M687" s="23">
        <v>0</v>
      </c>
      <c r="N687" s="23" t="s">
        <v>125</v>
      </c>
      <c r="O687" s="23" t="s">
        <v>159</v>
      </c>
      <c r="P687" s="23" t="s">
        <v>218</v>
      </c>
      <c r="Q687" s="23">
        <f t="shared" si="88"/>
        <v>1</v>
      </c>
      <c r="R687" s="23" t="str">
        <f t="shared" si="83"/>
        <v>9-2024</v>
      </c>
      <c r="S687" s="23" t="s">
        <v>117</v>
      </c>
      <c r="T687" s="23" t="str">
        <f t="shared" si="84"/>
        <v>Saturday</v>
      </c>
      <c r="U687" s="23">
        <f t="shared" si="85"/>
        <v>0</v>
      </c>
      <c r="V687" s="25">
        <f>IFERROR(Data!$I687/Data!$D687,"")</f>
        <v>0.50877192982456143</v>
      </c>
      <c r="W687" s="25">
        <f>IFERROR(Data!$J687/Data!$D687,"")</f>
        <v>0.22807017543859648</v>
      </c>
      <c r="X687" s="25">
        <f>IFERROR(Data!$K687/Data!$D687,"")</f>
        <v>0.14035087719298245</v>
      </c>
      <c r="Y687" s="25">
        <f>IFERROR(Data!$L687/Data!$D687,"")</f>
        <v>0.12280701754385964</v>
      </c>
      <c r="Z687" s="25">
        <f>IFERROR(Data!$M687/Data!$D687,"")</f>
        <v>0</v>
      </c>
      <c r="AA687" s="26">
        <v>169</v>
      </c>
      <c r="AB687" s="26">
        <f t="shared" si="89"/>
        <v>12.071428571428571</v>
      </c>
      <c r="AC687" s="23">
        <f t="shared" si="86"/>
        <v>632.92857142857144</v>
      </c>
      <c r="AD687" s="23">
        <f t="shared" si="87"/>
        <v>14.142857142857142</v>
      </c>
      <c r="AE687" s="23">
        <f>YEAR(Data!$C687)</f>
        <v>2024</v>
      </c>
      <c r="AF687" s="23"/>
      <c r="AG687" s="23">
        <v>12</v>
      </c>
      <c r="AH687" s="27">
        <f>Data!$F687/Data!$D687</f>
        <v>9.0877192982456148</v>
      </c>
      <c r="AI687" s="17" t="str">
        <f>RIGHT(Data!$O687,2)</f>
        <v>AM</v>
      </c>
      <c r="AJ687" s="23" t="str">
        <f>Data!$R687&amp;"-"&amp;WEEKNUM(Data!$C687,1)-WEEKNUM(DATE(YEAR(Data!$C687),MONTH(Data!$C687),1),1)+1</f>
        <v>9-2024-2</v>
      </c>
      <c r="AK687" s="23">
        <f>MONTH(Data!$C687)</f>
        <v>9</v>
      </c>
      <c r="AL687" s="23">
        <f>IFERROR(Data!$F687/Data!$E687,0)</f>
        <v>74</v>
      </c>
      <c r="AM687" s="23">
        <f>COUNTIF(Data!$N$2:$N$825,Data!$N687)</f>
        <v>182</v>
      </c>
      <c r="AN687" s="23" t="str">
        <f>VLOOKUP(Data!$N687,'Helpful Tables'!A:D,4,FALSE)</f>
        <v>Oregon</v>
      </c>
      <c r="AO687" s="23">
        <f>COUNTIF(AN:AN,Data!$AN687)/COUNTA(AN:AN)</f>
        <v>0.27393939393939393</v>
      </c>
      <c r="AP687" s="23">
        <v>45.534162000000002</v>
      </c>
      <c r="AQ687" s="23">
        <v>-122.69670000000001</v>
      </c>
      <c r="AR687" s="23">
        <f>COUNTIF(Data!$P$2:$P$825,Data!$P687)</f>
        <v>9</v>
      </c>
      <c r="AS687" s="23" cm="1">
        <f t="array" ref="AS687">_xlfn.IFS(Data!$E687&lt;12,((Data!$E687/Data!$D687)*60)*1,AND(Data!$E687&gt;=12,Data!$E687&lt;=15),((Data!$E687/Data!$D687)*60)*1.2,AND(Data!$E687&gt;=16,Data!$E687&lt;=19),((Data!$E687/Data!$D687)*60)*1.5,Data!$E687&gt;=20,((Data!$E687/Data!$D687)*60)*1.8)</f>
        <v>7.3684210526315788</v>
      </c>
      <c r="AT687" s="23" cm="1">
        <f t="array" ref="AT687">_xlfn.IFS(Data!$F687&lt;600,((Data!$F687/Data!$D687)*60)*1,AND(Data!$F687&gt;=600,Data!$F687&lt;=625),((Data!$F687/Data!$D687)*60)*1.2,AND(Data!$F687&gt;=626,Data!$F687&lt;=650),((Data!$F687/Data!$D687)*60)*1.5,Data!$F687&gt;=651,((Data!$F687/Data!$D687)*60)*1.8)</f>
        <v>545.26315789473688</v>
      </c>
      <c r="AU687" s="23">
        <f>(Data!$I687*-1.2)+(Data!$J687*-1.1)+(Data!$K687*1.2)+(Data!$L687*1.3)+(Data!$M687*1.5)</f>
        <v>-30.399999999999991</v>
      </c>
      <c r="AV687" s="23">
        <f>(Data!$AS687*0.4)+(Data!$AT687*0.4)+(Data!$AU687*0.2)</f>
        <v>214.97263157894741</v>
      </c>
      <c r="AW687" s="35">
        <f>PERCENTRANK(AV:AV,Data!$AV687)*100</f>
        <v>2.4</v>
      </c>
      <c r="AX687" s="23" t="str">
        <f>_xlfn.CONCAT(TEXT(C687,"mmm"),"-",Data!$AE687)</f>
        <v>Sep-2024</v>
      </c>
    </row>
    <row r="688" spans="1:50" ht="17" thickTop="1" thickBot="1" x14ac:dyDescent="0.25">
      <c r="A688" s="28">
        <v>687</v>
      </c>
      <c r="B688" s="29">
        <f t="shared" si="82"/>
        <v>14</v>
      </c>
      <c r="C688" s="41">
        <v>45552</v>
      </c>
      <c r="D688" s="30">
        <f>SUM(Data!$I688:$M688)</f>
        <v>61</v>
      </c>
      <c r="E688" s="29">
        <v>14</v>
      </c>
      <c r="F688" s="29">
        <v>645</v>
      </c>
      <c r="G688" s="29">
        <v>164</v>
      </c>
      <c r="H688" s="29">
        <v>124</v>
      </c>
      <c r="I688" s="29">
        <v>18</v>
      </c>
      <c r="J688" s="29">
        <v>15</v>
      </c>
      <c r="K688" s="29">
        <v>14</v>
      </c>
      <c r="L688" s="29">
        <v>13</v>
      </c>
      <c r="M688" s="29">
        <v>1</v>
      </c>
      <c r="N688" s="29" t="s">
        <v>125</v>
      </c>
      <c r="O688" s="29" t="s">
        <v>127</v>
      </c>
      <c r="P688" s="29" t="s">
        <v>216</v>
      </c>
      <c r="Q688" s="29">
        <f t="shared" si="88"/>
        <v>3</v>
      </c>
      <c r="R688" s="29" t="str">
        <f t="shared" si="83"/>
        <v>9-2024</v>
      </c>
      <c r="S688" s="29" t="s">
        <v>104</v>
      </c>
      <c r="T688" s="29" t="str">
        <f t="shared" si="84"/>
        <v>Tuesday</v>
      </c>
      <c r="U688" s="29">
        <f t="shared" si="85"/>
        <v>1</v>
      </c>
      <c r="V688" s="31">
        <f>IFERROR(Data!$I688/Data!$D688,"")</f>
        <v>0.29508196721311475</v>
      </c>
      <c r="W688" s="31">
        <f>IFERROR(Data!$J688/Data!$D688,"")</f>
        <v>0.24590163934426229</v>
      </c>
      <c r="X688" s="31">
        <f>IFERROR(Data!$K688/Data!$D688,"")</f>
        <v>0.22950819672131148</v>
      </c>
      <c r="Y688" s="31">
        <f>IFERROR(Data!$L688/Data!$D688,"")</f>
        <v>0.21311475409836064</v>
      </c>
      <c r="Z688" s="31">
        <f>IFERROR(Data!$M688/Data!$D688,"")</f>
        <v>1.6393442622950821E-2</v>
      </c>
      <c r="AA688" s="32">
        <v>169</v>
      </c>
      <c r="AB688" s="32">
        <f t="shared" si="89"/>
        <v>12.071428571428571</v>
      </c>
      <c r="AC688" s="29">
        <f t="shared" si="86"/>
        <v>632.92857142857144</v>
      </c>
      <c r="AD688" s="29">
        <f t="shared" si="87"/>
        <v>14.142857142857142</v>
      </c>
      <c r="AE688" s="29">
        <f>YEAR(Data!$C688)</f>
        <v>2024</v>
      </c>
      <c r="AF688" s="29"/>
      <c r="AG688" s="29">
        <v>12</v>
      </c>
      <c r="AH688" s="33">
        <f>Data!$F688/Data!$D688</f>
        <v>10.573770491803279</v>
      </c>
      <c r="AI688" s="17" t="str">
        <f>RIGHT(Data!$O688,2)</f>
        <v>PM</v>
      </c>
      <c r="AJ688" s="29" t="str">
        <f>Data!$R688&amp;"-"&amp;WEEKNUM(Data!$C688,1)-WEEKNUM(DATE(YEAR(Data!$C688),MONTH(Data!$C688),1),1)+1</f>
        <v>9-2024-3</v>
      </c>
      <c r="AK688" s="29">
        <f>MONTH(Data!$C688)</f>
        <v>9</v>
      </c>
      <c r="AL688" s="29">
        <f>IFERROR(Data!$F688/Data!$E688,0)</f>
        <v>46.071428571428569</v>
      </c>
      <c r="AM688" s="29">
        <f>COUNTIF(Data!$N$2:$N$825,Data!$N688)</f>
        <v>182</v>
      </c>
      <c r="AN688" s="29" t="str">
        <f>VLOOKUP(Data!$N688,'Helpful Tables'!A:D,4,FALSE)</f>
        <v>Oregon</v>
      </c>
      <c r="AO688" s="29">
        <f>COUNTIF(AN:AN,Data!$AN688)/COUNTA(AN:AN)</f>
        <v>0.27393939393939393</v>
      </c>
      <c r="AP688" s="29">
        <v>45.534162000000002</v>
      </c>
      <c r="AQ688" s="29">
        <v>-122.69670000000001</v>
      </c>
      <c r="AR688" s="29">
        <f>COUNTIF(Data!$P$2:$P$825,Data!$P688)</f>
        <v>25</v>
      </c>
      <c r="AS688" s="29" cm="1">
        <f t="array" ref="AS688">_xlfn.IFS(Data!$E688&lt;12,((Data!$E688/Data!$D688)*60)*1,AND(Data!$E688&gt;=12,Data!$E688&lt;=15),((Data!$E688/Data!$D688)*60)*1.2,AND(Data!$E688&gt;=16,Data!$E688&lt;=19),((Data!$E688/Data!$D688)*60)*1.5,Data!$E688&gt;=20,((Data!$E688/Data!$D688)*60)*1.8)</f>
        <v>16.524590163934427</v>
      </c>
      <c r="AT688" s="29" cm="1">
        <f t="array" ref="AT688">_xlfn.IFS(Data!$F688&lt;600,((Data!$F688/Data!$D688)*60)*1,AND(Data!$F688&gt;=600,Data!$F688&lt;=625),((Data!$F688/Data!$D688)*60)*1.2,AND(Data!$F688&gt;=626,Data!$F688&lt;=650),((Data!$F688/Data!$D688)*60)*1.5,Data!$F688&gt;=651,((Data!$F688/Data!$D688)*60)*1.8)</f>
        <v>951.63934426229503</v>
      </c>
      <c r="AU688" s="29">
        <f>(Data!$I688*-1.2)+(Data!$J688*-1.1)+(Data!$K688*1.2)+(Data!$L688*1.3)+(Data!$M688*1.5)</f>
        <v>-2.8999999999999915</v>
      </c>
      <c r="AV688" s="29">
        <f>(Data!$AS688*0.4)+(Data!$AT688*0.4)+(Data!$AU688*0.2)</f>
        <v>386.68557377049177</v>
      </c>
      <c r="AW688" s="34">
        <f>PERCENTRANK(AV:AV,Data!$AV688)*100</f>
        <v>46.800000000000004</v>
      </c>
      <c r="AX688" s="29" t="str">
        <f>_xlfn.CONCAT(TEXT(C688,"mmm"),"-",Data!$AE688)</f>
        <v>Sep-2024</v>
      </c>
    </row>
    <row r="689" spans="1:50" ht="17" thickTop="1" thickBot="1" x14ac:dyDescent="0.25">
      <c r="A689" s="22">
        <v>688</v>
      </c>
      <c r="B689" s="23">
        <f t="shared" si="82"/>
        <v>14</v>
      </c>
      <c r="C689" s="41">
        <v>45553</v>
      </c>
      <c r="D689" s="24">
        <f>SUM(Data!$I689:$M689)</f>
        <v>56</v>
      </c>
      <c r="E689" s="23">
        <v>12</v>
      </c>
      <c r="F689" s="23">
        <v>607</v>
      </c>
      <c r="G689" s="23">
        <v>160</v>
      </c>
      <c r="H689" s="23">
        <v>124</v>
      </c>
      <c r="I689" s="23">
        <v>16</v>
      </c>
      <c r="J689" s="23">
        <v>12</v>
      </c>
      <c r="K689" s="23">
        <v>16</v>
      </c>
      <c r="L689" s="23">
        <v>12</v>
      </c>
      <c r="M689" s="23">
        <v>0</v>
      </c>
      <c r="N689" s="23" t="s">
        <v>125</v>
      </c>
      <c r="O689" s="23" t="s">
        <v>127</v>
      </c>
      <c r="P689" s="23" t="s">
        <v>216</v>
      </c>
      <c r="Q689" s="23">
        <f t="shared" si="88"/>
        <v>1</v>
      </c>
      <c r="R689" s="23" t="str">
        <f t="shared" si="83"/>
        <v>9-2024</v>
      </c>
      <c r="S689" s="23" t="s">
        <v>104</v>
      </c>
      <c r="T689" s="23" t="str">
        <f t="shared" si="84"/>
        <v>Wednesday</v>
      </c>
      <c r="U689" s="23">
        <f t="shared" si="85"/>
        <v>1</v>
      </c>
      <c r="V689" s="25">
        <f>IFERROR(Data!$I689/Data!$D689,"")</f>
        <v>0.2857142857142857</v>
      </c>
      <c r="W689" s="25">
        <f>IFERROR(Data!$J689/Data!$D689,"")</f>
        <v>0.21428571428571427</v>
      </c>
      <c r="X689" s="25">
        <f>IFERROR(Data!$K689/Data!$D689,"")</f>
        <v>0.2857142857142857</v>
      </c>
      <c r="Y689" s="25">
        <f>IFERROR(Data!$L689/Data!$D689,"")</f>
        <v>0.21428571428571427</v>
      </c>
      <c r="Z689" s="25">
        <f>IFERROR(Data!$M689/Data!$D689,"")</f>
        <v>0</v>
      </c>
      <c r="AA689" s="26">
        <v>169</v>
      </c>
      <c r="AB689" s="26">
        <f t="shared" si="89"/>
        <v>12.071428571428571</v>
      </c>
      <c r="AC689" s="23">
        <f t="shared" si="86"/>
        <v>632.92857142857144</v>
      </c>
      <c r="AD689" s="23">
        <f t="shared" si="87"/>
        <v>14.142857142857142</v>
      </c>
      <c r="AE689" s="23">
        <f>YEAR(Data!$C689)</f>
        <v>2024</v>
      </c>
      <c r="AF689" s="23"/>
      <c r="AG689" s="23">
        <v>12</v>
      </c>
      <c r="AH689" s="27">
        <f>Data!$F689/Data!$D689</f>
        <v>10.839285714285714</v>
      </c>
      <c r="AI689" s="17" t="str">
        <f>RIGHT(Data!$O689,2)</f>
        <v>PM</v>
      </c>
      <c r="AJ689" s="23" t="str">
        <f>Data!$R689&amp;"-"&amp;WEEKNUM(Data!$C689,1)-WEEKNUM(DATE(YEAR(Data!$C689),MONTH(Data!$C689),1),1)+1</f>
        <v>9-2024-3</v>
      </c>
      <c r="AK689" s="23">
        <f>MONTH(Data!$C689)</f>
        <v>9</v>
      </c>
      <c r="AL689" s="23">
        <f>IFERROR(Data!$F689/Data!$E689,0)</f>
        <v>50.583333333333336</v>
      </c>
      <c r="AM689" s="23">
        <f>COUNTIF(Data!$N$2:$N$825,Data!$N689)</f>
        <v>182</v>
      </c>
      <c r="AN689" s="23" t="str">
        <f>VLOOKUP(Data!$N689,'Helpful Tables'!A:D,4,FALSE)</f>
        <v>Oregon</v>
      </c>
      <c r="AO689" s="23">
        <f>COUNTIF(AN:AN,Data!$AN689)/COUNTA(AN:AN)</f>
        <v>0.27393939393939393</v>
      </c>
      <c r="AP689" s="23">
        <v>45.534162000000002</v>
      </c>
      <c r="AQ689" s="23">
        <v>-122.69670000000001</v>
      </c>
      <c r="AR689" s="23">
        <f>COUNTIF(Data!$P$2:$P$825,Data!$P689)</f>
        <v>25</v>
      </c>
      <c r="AS689" s="23" cm="1">
        <f t="array" ref="AS689">_xlfn.IFS(Data!$E689&lt;12,((Data!$E689/Data!$D689)*60)*1,AND(Data!$E689&gt;=12,Data!$E689&lt;=15),((Data!$E689/Data!$D689)*60)*1.2,AND(Data!$E689&gt;=16,Data!$E689&lt;=19),((Data!$E689/Data!$D689)*60)*1.5,Data!$E689&gt;=20,((Data!$E689/Data!$D689)*60)*1.8)</f>
        <v>15.428571428571427</v>
      </c>
      <c r="AT689" s="23" cm="1">
        <f t="array" ref="AT689">_xlfn.IFS(Data!$F689&lt;600,((Data!$F689/Data!$D689)*60)*1,AND(Data!$F689&gt;=600,Data!$F689&lt;=625),((Data!$F689/Data!$D689)*60)*1.2,AND(Data!$F689&gt;=626,Data!$F689&lt;=650),((Data!$F689/Data!$D689)*60)*1.5,Data!$F689&gt;=651,((Data!$F689/Data!$D689)*60)*1.8)</f>
        <v>780.42857142857133</v>
      </c>
      <c r="AU689" s="23">
        <f>(Data!$I689*-1.2)+(Data!$J689*-1.1)+(Data!$K689*1.2)+(Data!$L689*1.3)+(Data!$M689*1.5)</f>
        <v>2.4000000000000021</v>
      </c>
      <c r="AV689" s="23">
        <f>(Data!$AS689*0.4)+(Data!$AT689*0.4)+(Data!$AU689*0.2)</f>
        <v>318.82285714285717</v>
      </c>
      <c r="AW689" s="35">
        <f>PERCENTRANK(AV:AV,Data!$AV689)*100</f>
        <v>36.6</v>
      </c>
      <c r="AX689" s="23" t="str">
        <f>_xlfn.CONCAT(TEXT(C689,"mmm"),"-",Data!$AE689)</f>
        <v>Sep-2024</v>
      </c>
    </row>
    <row r="690" spans="1:50" ht="17" thickTop="1" thickBot="1" x14ac:dyDescent="0.25">
      <c r="A690" s="28">
        <v>689</v>
      </c>
      <c r="B690" s="29">
        <f t="shared" si="82"/>
        <v>14</v>
      </c>
      <c r="C690" s="41">
        <v>45556</v>
      </c>
      <c r="D690" s="30">
        <f>SUM(Data!$I690:$M690)</f>
        <v>61</v>
      </c>
      <c r="E690" s="29">
        <v>9</v>
      </c>
      <c r="F690" s="29">
        <v>576</v>
      </c>
      <c r="G690" s="29">
        <v>162</v>
      </c>
      <c r="H690" s="29">
        <v>116</v>
      </c>
      <c r="I690" s="29">
        <v>24</v>
      </c>
      <c r="J690" s="29">
        <v>15</v>
      </c>
      <c r="K690" s="29">
        <v>13</v>
      </c>
      <c r="L690" s="29">
        <v>9</v>
      </c>
      <c r="M690" s="29">
        <v>0</v>
      </c>
      <c r="N690" s="29" t="s">
        <v>208</v>
      </c>
      <c r="O690" s="29" t="s">
        <v>76</v>
      </c>
      <c r="P690" s="29" t="s">
        <v>213</v>
      </c>
      <c r="Q690" s="29">
        <f t="shared" si="88"/>
        <v>3</v>
      </c>
      <c r="R690" s="29" t="str">
        <f t="shared" si="83"/>
        <v>9-2024</v>
      </c>
      <c r="S690" s="29" t="s">
        <v>104</v>
      </c>
      <c r="T690" s="29" t="str">
        <f t="shared" si="84"/>
        <v>Saturday</v>
      </c>
      <c r="U690" s="29">
        <f t="shared" si="85"/>
        <v>0</v>
      </c>
      <c r="V690" s="31">
        <f>IFERROR(Data!$I690/Data!$D690,"")</f>
        <v>0.39344262295081966</v>
      </c>
      <c r="W690" s="31">
        <f>IFERROR(Data!$J690/Data!$D690,"")</f>
        <v>0.24590163934426229</v>
      </c>
      <c r="X690" s="31">
        <f>IFERROR(Data!$K690/Data!$D690,"")</f>
        <v>0.21311475409836064</v>
      </c>
      <c r="Y690" s="31">
        <f>IFERROR(Data!$L690/Data!$D690,"")</f>
        <v>0.14754098360655737</v>
      </c>
      <c r="Z690" s="31">
        <f>IFERROR(Data!$M690/Data!$D690,"")</f>
        <v>0</v>
      </c>
      <c r="AA690" s="32">
        <v>169</v>
      </c>
      <c r="AB690" s="32">
        <f t="shared" si="89"/>
        <v>12.071428571428571</v>
      </c>
      <c r="AC690" s="29">
        <f t="shared" si="86"/>
        <v>632.92857142857144</v>
      </c>
      <c r="AD690" s="29">
        <f t="shared" si="87"/>
        <v>14.142857142857142</v>
      </c>
      <c r="AE690" s="29">
        <f>YEAR(Data!$C690)</f>
        <v>2024</v>
      </c>
      <c r="AF690" s="29"/>
      <c r="AG690" s="29">
        <v>12</v>
      </c>
      <c r="AH690" s="33">
        <f>Data!$F690/Data!$D690</f>
        <v>9.442622950819672</v>
      </c>
      <c r="AI690" s="17" t="str">
        <f>RIGHT(Data!$O690,2)</f>
        <v>AM</v>
      </c>
      <c r="AJ690" s="29" t="str">
        <f>Data!$R690&amp;"-"&amp;WEEKNUM(Data!$C690,1)-WEEKNUM(DATE(YEAR(Data!$C690),MONTH(Data!$C690),1),1)+1</f>
        <v>9-2024-3</v>
      </c>
      <c r="AK690" s="29">
        <f>MONTH(Data!$C690)</f>
        <v>9</v>
      </c>
      <c r="AL690" s="29">
        <f>IFERROR(Data!$F690/Data!$E690,0)</f>
        <v>64</v>
      </c>
      <c r="AM690" s="29">
        <f>COUNTIF(Data!$N$2:$N$825,Data!$N690)</f>
        <v>42</v>
      </c>
      <c r="AN690" s="29" t="str">
        <f>VLOOKUP(Data!$N690,'Helpful Tables'!A:D,4,FALSE)</f>
        <v>Oregon</v>
      </c>
      <c r="AO690" s="29">
        <f>COUNTIF(AN:AN,Data!$AN690)/COUNTA(AN:AN)</f>
        <v>0.27393939393939393</v>
      </c>
      <c r="AP690" s="29">
        <v>45.525092999999998</v>
      </c>
      <c r="AQ690" s="29">
        <v>-122.681383</v>
      </c>
      <c r="AR690" s="29">
        <f>COUNTIF(Data!$P$2:$P$825,Data!$P690)</f>
        <v>20</v>
      </c>
      <c r="AS690" s="29" cm="1">
        <f t="array" ref="AS690">_xlfn.IFS(Data!$E690&lt;12,((Data!$E690/Data!$D690)*60)*1,AND(Data!$E690&gt;=12,Data!$E690&lt;=15),((Data!$E690/Data!$D690)*60)*1.2,AND(Data!$E690&gt;=16,Data!$E690&lt;=19),((Data!$E690/Data!$D690)*60)*1.5,Data!$E690&gt;=20,((Data!$E690/Data!$D690)*60)*1.8)</f>
        <v>8.8524590163934427</v>
      </c>
      <c r="AT690" s="29" cm="1">
        <f t="array" ref="AT690">_xlfn.IFS(Data!$F690&lt;600,((Data!$F690/Data!$D690)*60)*1,AND(Data!$F690&gt;=600,Data!$F690&lt;=625),((Data!$F690/Data!$D690)*60)*1.2,AND(Data!$F690&gt;=626,Data!$F690&lt;=650),((Data!$F690/Data!$D690)*60)*1.5,Data!$F690&gt;=651,((Data!$F690/Data!$D690)*60)*1.8)</f>
        <v>566.55737704918033</v>
      </c>
      <c r="AU690" s="29">
        <f>(Data!$I690*-1.2)+(Data!$J690*-1.1)+(Data!$K690*1.2)+(Data!$L690*1.3)+(Data!$M690*1.5)</f>
        <v>-17.999999999999993</v>
      </c>
      <c r="AV690" s="29">
        <f>(Data!$AS690*0.4)+(Data!$AT690*0.4)+(Data!$AU690*0.2)</f>
        <v>226.56393442622954</v>
      </c>
      <c r="AW690" s="34">
        <f>PERCENTRANK(AV:AV,Data!$AV690)*100</f>
        <v>5.6000000000000005</v>
      </c>
      <c r="AX690" s="29" t="str">
        <f>_xlfn.CONCAT(TEXT(C690,"mmm"),"-",Data!$AE690)</f>
        <v>Sep-2024</v>
      </c>
    </row>
    <row r="691" spans="1:50" ht="17" thickTop="1" thickBot="1" x14ac:dyDescent="0.25">
      <c r="A691" s="22">
        <v>690</v>
      </c>
      <c r="B691" s="23">
        <f t="shared" si="82"/>
        <v>14</v>
      </c>
      <c r="C691" s="41">
        <v>45558</v>
      </c>
      <c r="D691" s="24">
        <f>SUM(Data!$I691:$M691)</f>
        <v>62</v>
      </c>
      <c r="E691" s="23">
        <v>15</v>
      </c>
      <c r="F691" s="23">
        <v>644</v>
      </c>
      <c r="G691" s="23">
        <v>167</v>
      </c>
      <c r="H691" s="23">
        <v>124</v>
      </c>
      <c r="I691" s="23">
        <v>16</v>
      </c>
      <c r="J691" s="23">
        <v>19</v>
      </c>
      <c r="K691" s="23">
        <v>12</v>
      </c>
      <c r="L691" s="23">
        <v>13</v>
      </c>
      <c r="M691" s="23">
        <v>2</v>
      </c>
      <c r="N691" s="23" t="s">
        <v>125</v>
      </c>
      <c r="O691" s="23" t="s">
        <v>127</v>
      </c>
      <c r="P691" s="23" t="s">
        <v>220</v>
      </c>
      <c r="Q691" s="23">
        <f t="shared" si="88"/>
        <v>2</v>
      </c>
      <c r="R691" s="23" t="str">
        <f t="shared" si="83"/>
        <v>9-2024</v>
      </c>
      <c r="S691" s="23" t="s">
        <v>104</v>
      </c>
      <c r="T691" s="23" t="str">
        <f t="shared" si="84"/>
        <v>Monday</v>
      </c>
      <c r="U691" s="23">
        <f t="shared" si="85"/>
        <v>1</v>
      </c>
      <c r="V691" s="25">
        <f>IFERROR(Data!$I691/Data!$D691,"")</f>
        <v>0.25806451612903225</v>
      </c>
      <c r="W691" s="25">
        <f>IFERROR(Data!$J691/Data!$D691,"")</f>
        <v>0.30645161290322581</v>
      </c>
      <c r="X691" s="25">
        <f>IFERROR(Data!$K691/Data!$D691,"")</f>
        <v>0.19354838709677419</v>
      </c>
      <c r="Y691" s="25">
        <f>IFERROR(Data!$L691/Data!$D691,"")</f>
        <v>0.20967741935483872</v>
      </c>
      <c r="Z691" s="25">
        <f>IFERROR(Data!$M691/Data!$D691,"")</f>
        <v>3.2258064516129031E-2</v>
      </c>
      <c r="AA691" s="26">
        <v>169</v>
      </c>
      <c r="AB691" s="26">
        <f t="shared" si="89"/>
        <v>12.071428571428571</v>
      </c>
      <c r="AC691" s="23">
        <f t="shared" si="86"/>
        <v>632.92857142857144</v>
      </c>
      <c r="AD691" s="23">
        <f t="shared" si="87"/>
        <v>14.142857142857142</v>
      </c>
      <c r="AE691" s="23">
        <f>YEAR(Data!$C691)</f>
        <v>2024</v>
      </c>
      <c r="AF691" s="23"/>
      <c r="AG691" s="23">
        <v>12</v>
      </c>
      <c r="AH691" s="27">
        <f>Data!$F691/Data!$D691</f>
        <v>10.387096774193548</v>
      </c>
      <c r="AI691" s="17" t="str">
        <f>RIGHT(Data!$O691,2)</f>
        <v>PM</v>
      </c>
      <c r="AJ691" s="23" t="str">
        <f>Data!$R691&amp;"-"&amp;WEEKNUM(Data!$C691,1)-WEEKNUM(DATE(YEAR(Data!$C691),MONTH(Data!$C691),1),1)+1</f>
        <v>9-2024-4</v>
      </c>
      <c r="AK691" s="23">
        <f>MONTH(Data!$C691)</f>
        <v>9</v>
      </c>
      <c r="AL691" s="23">
        <f>IFERROR(Data!$F691/Data!$E691,0)</f>
        <v>42.93333333333333</v>
      </c>
      <c r="AM691" s="23">
        <f>COUNTIF(Data!$N$2:$N$825,Data!$N691)</f>
        <v>182</v>
      </c>
      <c r="AN691" s="23" t="str">
        <f>VLOOKUP(Data!$N691,'Helpful Tables'!A:D,4,FALSE)</f>
        <v>Oregon</v>
      </c>
      <c r="AO691" s="23">
        <f>COUNTIF(AN:AN,Data!$AN691)/COUNTA(AN:AN)</f>
        <v>0.27393939393939393</v>
      </c>
      <c r="AP691" s="23">
        <v>45.534162000000002</v>
      </c>
      <c r="AQ691" s="23">
        <v>-122.69670000000001</v>
      </c>
      <c r="AR691" s="23">
        <f>COUNTIF(Data!$P$2:$P$825,Data!$P691)</f>
        <v>43</v>
      </c>
      <c r="AS691" s="23" cm="1">
        <f t="array" ref="AS691">_xlfn.IFS(Data!$E691&lt;12,((Data!$E691/Data!$D691)*60)*1,AND(Data!$E691&gt;=12,Data!$E691&lt;=15),((Data!$E691/Data!$D691)*60)*1.2,AND(Data!$E691&gt;=16,Data!$E691&lt;=19),((Data!$E691/Data!$D691)*60)*1.5,Data!$E691&gt;=20,((Data!$E691/Data!$D691)*60)*1.8)</f>
        <v>17.419354838709676</v>
      </c>
      <c r="AT691" s="23" cm="1">
        <f t="array" ref="AT691">_xlfn.IFS(Data!$F691&lt;600,((Data!$F691/Data!$D691)*60)*1,AND(Data!$F691&gt;=600,Data!$F691&lt;=625),((Data!$F691/Data!$D691)*60)*1.2,AND(Data!$F691&gt;=626,Data!$F691&lt;=650),((Data!$F691/Data!$D691)*60)*1.5,Data!$F691&gt;=651,((Data!$F691/Data!$D691)*60)*1.8)</f>
        <v>934.83870967741939</v>
      </c>
      <c r="AU691" s="23">
        <f>(Data!$I691*-1.2)+(Data!$J691*-1.1)+(Data!$K691*1.2)+(Data!$L691*1.3)+(Data!$M691*1.5)</f>
        <v>-5.8000000000000007</v>
      </c>
      <c r="AV691" s="23">
        <f>(Data!$AS691*0.4)+(Data!$AT691*0.4)+(Data!$AU691*0.2)</f>
        <v>379.74322580645162</v>
      </c>
      <c r="AW691" s="35">
        <f>PERCENTRANK(AV:AV,Data!$AV691)*100</f>
        <v>45.2</v>
      </c>
      <c r="AX691" s="23" t="str">
        <f>_xlfn.CONCAT(TEXT(C691,"mmm"),"-",Data!$AE691)</f>
        <v>Sep-2024</v>
      </c>
    </row>
    <row r="692" spans="1:50" ht="17" thickTop="1" thickBot="1" x14ac:dyDescent="0.25">
      <c r="A692" s="28">
        <v>691</v>
      </c>
      <c r="B692" s="29">
        <f t="shared" si="82"/>
        <v>14</v>
      </c>
      <c r="C692" s="41">
        <v>45561</v>
      </c>
      <c r="D692" s="30">
        <f>SUM(Data!$I692:$M692)</f>
        <v>58</v>
      </c>
      <c r="E692" s="29">
        <v>16</v>
      </c>
      <c r="F692" s="29">
        <v>645</v>
      </c>
      <c r="G692" s="29">
        <v>169</v>
      </c>
      <c r="H692" s="29">
        <v>127</v>
      </c>
      <c r="I692" s="29">
        <v>13</v>
      </c>
      <c r="J692" s="29">
        <v>18</v>
      </c>
      <c r="K692" s="29">
        <v>11</v>
      </c>
      <c r="L692" s="29">
        <v>15</v>
      </c>
      <c r="M692" s="29">
        <v>1</v>
      </c>
      <c r="N692" s="29" t="s">
        <v>125</v>
      </c>
      <c r="O692" s="29" t="s">
        <v>127</v>
      </c>
      <c r="P692" s="29" t="s">
        <v>222</v>
      </c>
      <c r="Q692" s="29">
        <f t="shared" si="88"/>
        <v>3</v>
      </c>
      <c r="R692" s="29" t="str">
        <f t="shared" si="83"/>
        <v>9-2024</v>
      </c>
      <c r="S692" s="29" t="s">
        <v>104</v>
      </c>
      <c r="T692" s="29" t="str">
        <f t="shared" si="84"/>
        <v>Thursday</v>
      </c>
      <c r="U692" s="29">
        <f t="shared" si="85"/>
        <v>1</v>
      </c>
      <c r="V692" s="31">
        <f>IFERROR(Data!$I692/Data!$D692,"")</f>
        <v>0.22413793103448276</v>
      </c>
      <c r="W692" s="31">
        <f>IFERROR(Data!$J692/Data!$D692,"")</f>
        <v>0.31034482758620691</v>
      </c>
      <c r="X692" s="31">
        <f>IFERROR(Data!$K692/Data!$D692,"")</f>
        <v>0.18965517241379309</v>
      </c>
      <c r="Y692" s="31">
        <f>IFERROR(Data!$L692/Data!$D692,"")</f>
        <v>0.25862068965517243</v>
      </c>
      <c r="Z692" s="31">
        <f>IFERROR(Data!$M692/Data!$D692,"")</f>
        <v>1.7241379310344827E-2</v>
      </c>
      <c r="AA692" s="32">
        <v>169</v>
      </c>
      <c r="AB692" s="32">
        <f t="shared" si="89"/>
        <v>12.071428571428571</v>
      </c>
      <c r="AC692" s="29">
        <f t="shared" si="86"/>
        <v>632.92857142857144</v>
      </c>
      <c r="AD692" s="29">
        <f t="shared" si="87"/>
        <v>14.142857142857142</v>
      </c>
      <c r="AE692" s="29">
        <f>YEAR(Data!$C692)</f>
        <v>2024</v>
      </c>
      <c r="AF692" s="29"/>
      <c r="AG692" s="29">
        <v>12</v>
      </c>
      <c r="AH692" s="33">
        <f>Data!$F692/Data!$D692</f>
        <v>11.120689655172415</v>
      </c>
      <c r="AI692" s="17" t="str">
        <f>RIGHT(Data!$O692,2)</f>
        <v>PM</v>
      </c>
      <c r="AJ692" s="29" t="str">
        <f>Data!$R692&amp;"-"&amp;WEEKNUM(Data!$C692,1)-WEEKNUM(DATE(YEAR(Data!$C692),MONTH(Data!$C692),1),1)+1</f>
        <v>9-2024-4</v>
      </c>
      <c r="AK692" s="29">
        <f>MONTH(Data!$C692)</f>
        <v>9</v>
      </c>
      <c r="AL692" s="29">
        <f>IFERROR(Data!$F692/Data!$E692,0)</f>
        <v>40.3125</v>
      </c>
      <c r="AM692" s="29">
        <f>COUNTIF(Data!$N$2:$N$825,Data!$N692)</f>
        <v>182</v>
      </c>
      <c r="AN692" s="29" t="str">
        <f>VLOOKUP(Data!$N692,'Helpful Tables'!A:D,4,FALSE)</f>
        <v>Oregon</v>
      </c>
      <c r="AO692" s="29">
        <f>COUNTIF(AN:AN,Data!$AN692)/COUNTA(AN:AN)</f>
        <v>0.27393939393939393</v>
      </c>
      <c r="AP692" s="29">
        <v>45.534162000000002</v>
      </c>
      <c r="AQ692" s="29">
        <v>-122.69670000000001</v>
      </c>
      <c r="AR692" s="29">
        <f>COUNTIF(Data!$P$2:$P$825,Data!$P692)</f>
        <v>32</v>
      </c>
      <c r="AS692" s="29" cm="1">
        <f t="array" ref="AS692">_xlfn.IFS(Data!$E692&lt;12,((Data!$E692/Data!$D692)*60)*1,AND(Data!$E692&gt;=12,Data!$E692&lt;=15),((Data!$E692/Data!$D692)*60)*1.2,AND(Data!$E692&gt;=16,Data!$E692&lt;=19),((Data!$E692/Data!$D692)*60)*1.5,Data!$E692&gt;=20,((Data!$E692/Data!$D692)*60)*1.8)</f>
        <v>24.827586206896555</v>
      </c>
      <c r="AT692" s="29" cm="1">
        <f t="array" ref="AT692">_xlfn.IFS(Data!$F692&lt;600,((Data!$F692/Data!$D692)*60)*1,AND(Data!$F692&gt;=600,Data!$F692&lt;=625),((Data!$F692/Data!$D692)*60)*1.2,AND(Data!$F692&gt;=626,Data!$F692&lt;=650),((Data!$F692/Data!$D692)*60)*1.5,Data!$F692&gt;=651,((Data!$F692/Data!$D692)*60)*1.8)</f>
        <v>1000.8620689655173</v>
      </c>
      <c r="AU692" s="29">
        <f>(Data!$I692*-1.2)+(Data!$J692*-1.1)+(Data!$K692*1.2)+(Data!$L692*1.3)+(Data!$M692*1.5)</f>
        <v>-1.1999999999999993</v>
      </c>
      <c r="AV692" s="29">
        <f>(Data!$AS692*0.4)+(Data!$AT692*0.4)+(Data!$AU692*0.2)</f>
        <v>410.03586206896557</v>
      </c>
      <c r="AW692" s="34">
        <f>PERCENTRANK(AV:AV,Data!$AV692)*100</f>
        <v>57.3</v>
      </c>
      <c r="AX692" s="29" t="str">
        <f>_xlfn.CONCAT(TEXT(C692,"mmm"),"-",Data!$AE692)</f>
        <v>Sep-2024</v>
      </c>
    </row>
    <row r="693" spans="1:50" ht="17" thickTop="1" thickBot="1" x14ac:dyDescent="0.25">
      <c r="A693" s="22">
        <v>692</v>
      </c>
      <c r="B693" s="23">
        <f t="shared" si="82"/>
        <v>14</v>
      </c>
      <c r="C693" s="41">
        <v>45562</v>
      </c>
      <c r="D693" s="24">
        <f>SUM(Data!$I693:$M693)</f>
        <v>60</v>
      </c>
      <c r="E693" s="23">
        <v>15</v>
      </c>
      <c r="F693" s="23">
        <v>668</v>
      </c>
      <c r="G693" s="23">
        <v>166</v>
      </c>
      <c r="H693" s="23">
        <v>127</v>
      </c>
      <c r="I693" s="23">
        <v>15</v>
      </c>
      <c r="J693" s="23">
        <v>13</v>
      </c>
      <c r="K693" s="23">
        <v>17</v>
      </c>
      <c r="L693" s="23">
        <v>14</v>
      </c>
      <c r="M693" s="23">
        <v>1</v>
      </c>
      <c r="N693" s="23" t="s">
        <v>208</v>
      </c>
      <c r="O693" s="23" t="s">
        <v>53</v>
      </c>
      <c r="P693" s="23" t="s">
        <v>209</v>
      </c>
      <c r="Q693" s="23">
        <f t="shared" si="88"/>
        <v>1</v>
      </c>
      <c r="R693" s="23" t="str">
        <f t="shared" si="83"/>
        <v>9-2024</v>
      </c>
      <c r="S693" s="23" t="s">
        <v>104</v>
      </c>
      <c r="T693" s="23" t="str">
        <f t="shared" si="84"/>
        <v>Friday</v>
      </c>
      <c r="U693" s="23">
        <f t="shared" si="85"/>
        <v>1</v>
      </c>
      <c r="V693" s="25">
        <f>IFERROR(Data!$I693/Data!$D693,"")</f>
        <v>0.25</v>
      </c>
      <c r="W693" s="25">
        <f>IFERROR(Data!$J693/Data!$D693,"")</f>
        <v>0.21666666666666667</v>
      </c>
      <c r="X693" s="25">
        <f>IFERROR(Data!$K693/Data!$D693,"")</f>
        <v>0.28333333333333333</v>
      </c>
      <c r="Y693" s="25">
        <f>IFERROR(Data!$L693/Data!$D693,"")</f>
        <v>0.23333333333333334</v>
      </c>
      <c r="Z693" s="25">
        <f>IFERROR(Data!$M693/Data!$D693,"")</f>
        <v>1.6666666666666666E-2</v>
      </c>
      <c r="AA693" s="26">
        <v>169</v>
      </c>
      <c r="AB693" s="26">
        <f t="shared" si="89"/>
        <v>12.071428571428571</v>
      </c>
      <c r="AC693" s="23">
        <f t="shared" si="86"/>
        <v>632.92857142857144</v>
      </c>
      <c r="AD693" s="23">
        <f t="shared" si="87"/>
        <v>14.142857142857142</v>
      </c>
      <c r="AE693" s="23">
        <f>YEAR(Data!$C693)</f>
        <v>2024</v>
      </c>
      <c r="AF693" s="23"/>
      <c r="AG693" s="23">
        <v>12</v>
      </c>
      <c r="AH693" s="27">
        <f>Data!$F693/Data!$D693</f>
        <v>11.133333333333333</v>
      </c>
      <c r="AI693" s="17" t="str">
        <f>RIGHT(Data!$O693,2)</f>
        <v>PM</v>
      </c>
      <c r="AJ693" s="23" t="str">
        <f>Data!$R693&amp;"-"&amp;WEEKNUM(Data!$C693,1)-WEEKNUM(DATE(YEAR(Data!$C693),MONTH(Data!$C693),1),1)+1</f>
        <v>9-2024-4</v>
      </c>
      <c r="AK693" s="23">
        <f>MONTH(Data!$C693)</f>
        <v>9</v>
      </c>
      <c r="AL693" s="23">
        <f>IFERROR(Data!$F693/Data!$E693,0)</f>
        <v>44.533333333333331</v>
      </c>
      <c r="AM693" s="23">
        <f>COUNTIF(Data!$N$2:$N$825,Data!$N693)</f>
        <v>42</v>
      </c>
      <c r="AN693" s="23" t="str">
        <f>VLOOKUP(Data!$N693,'Helpful Tables'!A:D,4,FALSE)</f>
        <v>Oregon</v>
      </c>
      <c r="AO693" s="23">
        <f>COUNTIF(AN:AN,Data!$AN693)/COUNTA(AN:AN)</f>
        <v>0.27393939393939393</v>
      </c>
      <c r="AP693" s="23">
        <v>45.525092999999998</v>
      </c>
      <c r="AQ693" s="23">
        <v>-122.681383</v>
      </c>
      <c r="AR693" s="23">
        <f>COUNTIF(Data!$P$2:$P$825,Data!$P693)</f>
        <v>18</v>
      </c>
      <c r="AS693" s="23" cm="1">
        <f t="array" ref="AS693">_xlfn.IFS(Data!$E693&lt;12,((Data!$E693/Data!$D693)*60)*1,AND(Data!$E693&gt;=12,Data!$E693&lt;=15),((Data!$E693/Data!$D693)*60)*1.2,AND(Data!$E693&gt;=16,Data!$E693&lt;=19),((Data!$E693/Data!$D693)*60)*1.5,Data!$E693&gt;=20,((Data!$E693/Data!$D693)*60)*1.8)</f>
        <v>18</v>
      </c>
      <c r="AT693" s="23" cm="1">
        <f t="array" ref="AT693">_xlfn.IFS(Data!$F693&lt;600,((Data!$F693/Data!$D693)*60)*1,AND(Data!$F693&gt;=600,Data!$F693&lt;=625),((Data!$F693/Data!$D693)*60)*1.2,AND(Data!$F693&gt;=626,Data!$F693&lt;=650),((Data!$F693/Data!$D693)*60)*1.5,Data!$F693&gt;=651,((Data!$F693/Data!$D693)*60)*1.8)</f>
        <v>1202.4000000000001</v>
      </c>
      <c r="AU693" s="23">
        <f>(Data!$I693*-1.2)+(Data!$J693*-1.1)+(Data!$K693*1.2)+(Data!$L693*1.3)+(Data!$M693*1.5)</f>
        <v>7.8000000000000007</v>
      </c>
      <c r="AV693" s="23">
        <f>(Data!$AS693*0.4)+(Data!$AT693*0.4)+(Data!$AU693*0.2)</f>
        <v>489.72</v>
      </c>
      <c r="AW693" s="35">
        <f>PERCENTRANK(AV:AV,Data!$AV693)*100</f>
        <v>72.7</v>
      </c>
      <c r="AX693" s="23" t="str">
        <f>_xlfn.CONCAT(TEXT(C693,"mmm"),"-",Data!$AE693)</f>
        <v>Sep-2024</v>
      </c>
    </row>
    <row r="694" spans="1:50" ht="17" thickTop="1" thickBot="1" x14ac:dyDescent="0.25">
      <c r="A694" s="28">
        <v>693</v>
      </c>
      <c r="B694" s="29">
        <f t="shared" si="82"/>
        <v>14</v>
      </c>
      <c r="C694" s="41">
        <v>45565</v>
      </c>
      <c r="D694" s="30">
        <f>SUM(Data!$I694:$M694)</f>
        <v>61</v>
      </c>
      <c r="E694" s="29">
        <v>15</v>
      </c>
      <c r="F694" s="29">
        <v>682</v>
      </c>
      <c r="G694" s="29">
        <v>166</v>
      </c>
      <c r="H694" s="29">
        <v>127</v>
      </c>
      <c r="I694" s="29">
        <v>12</v>
      </c>
      <c r="J694" s="29">
        <v>18</v>
      </c>
      <c r="K694" s="29">
        <v>16</v>
      </c>
      <c r="L694" s="29">
        <v>13</v>
      </c>
      <c r="M694" s="29">
        <v>2</v>
      </c>
      <c r="N694" s="29" t="s">
        <v>125</v>
      </c>
      <c r="O694" s="29" t="s">
        <v>127</v>
      </c>
      <c r="P694" s="29" t="s">
        <v>220</v>
      </c>
      <c r="Q694" s="29">
        <f t="shared" si="88"/>
        <v>3</v>
      </c>
      <c r="R694" s="29" t="str">
        <f t="shared" si="83"/>
        <v>9-2024</v>
      </c>
      <c r="S694" s="29" t="s">
        <v>104</v>
      </c>
      <c r="T694" s="29" t="str">
        <f t="shared" si="84"/>
        <v>Monday</v>
      </c>
      <c r="U694" s="29">
        <f t="shared" si="85"/>
        <v>1</v>
      </c>
      <c r="V694" s="31">
        <f>IFERROR(Data!$I694/Data!$D694,"")</f>
        <v>0.19672131147540983</v>
      </c>
      <c r="W694" s="31">
        <f>IFERROR(Data!$J694/Data!$D694,"")</f>
        <v>0.29508196721311475</v>
      </c>
      <c r="X694" s="31">
        <f>IFERROR(Data!$K694/Data!$D694,"")</f>
        <v>0.26229508196721313</v>
      </c>
      <c r="Y694" s="31">
        <f>IFERROR(Data!$L694/Data!$D694,"")</f>
        <v>0.21311475409836064</v>
      </c>
      <c r="Z694" s="31">
        <f>IFERROR(Data!$M694/Data!$D694,"")</f>
        <v>3.2786885245901641E-2</v>
      </c>
      <c r="AA694" s="32">
        <v>169</v>
      </c>
      <c r="AB694" s="32">
        <f t="shared" si="89"/>
        <v>12.071428571428571</v>
      </c>
      <c r="AC694" s="29">
        <f t="shared" si="86"/>
        <v>632.92857142857144</v>
      </c>
      <c r="AD694" s="29">
        <f t="shared" si="87"/>
        <v>14.142857142857142</v>
      </c>
      <c r="AE694" s="29">
        <f>YEAR(Data!$C694)</f>
        <v>2024</v>
      </c>
      <c r="AF694" s="29"/>
      <c r="AG694" s="29">
        <v>12</v>
      </c>
      <c r="AH694" s="33">
        <f>Data!$F694/Data!$D694</f>
        <v>11.180327868852459</v>
      </c>
      <c r="AI694" s="17" t="str">
        <f>RIGHT(Data!$O694,2)</f>
        <v>PM</v>
      </c>
      <c r="AJ694" s="29" t="str">
        <f>Data!$R694&amp;"-"&amp;WEEKNUM(Data!$C694,1)-WEEKNUM(DATE(YEAR(Data!$C694),MONTH(Data!$C694),1),1)+1</f>
        <v>9-2024-5</v>
      </c>
      <c r="AK694" s="29">
        <f>MONTH(Data!$C694)</f>
        <v>9</v>
      </c>
      <c r="AL694" s="29">
        <f>IFERROR(Data!$F694/Data!$E694,0)</f>
        <v>45.466666666666669</v>
      </c>
      <c r="AM694" s="29">
        <f>COUNTIF(Data!$N$2:$N$825,Data!$N694)</f>
        <v>182</v>
      </c>
      <c r="AN694" s="29" t="str">
        <f>VLOOKUP(Data!$N694,'Helpful Tables'!A:D,4,FALSE)</f>
        <v>Oregon</v>
      </c>
      <c r="AO694" s="29">
        <f>COUNTIF(AN:AN,Data!$AN694)/COUNTA(AN:AN)</f>
        <v>0.27393939393939393</v>
      </c>
      <c r="AP694" s="29">
        <v>45.534162000000002</v>
      </c>
      <c r="AQ694" s="29">
        <v>-122.69670000000001</v>
      </c>
      <c r="AR694" s="29">
        <f>COUNTIF(Data!$P$2:$P$825,Data!$P694)</f>
        <v>43</v>
      </c>
      <c r="AS694" s="29" cm="1">
        <f t="array" ref="AS694">_xlfn.IFS(Data!$E694&lt;12,((Data!$E694/Data!$D694)*60)*1,AND(Data!$E694&gt;=12,Data!$E694&lt;=15),((Data!$E694/Data!$D694)*60)*1.2,AND(Data!$E694&gt;=16,Data!$E694&lt;=19),((Data!$E694/Data!$D694)*60)*1.5,Data!$E694&gt;=20,((Data!$E694/Data!$D694)*60)*1.8)</f>
        <v>17.704918032786885</v>
      </c>
      <c r="AT694" s="29" cm="1">
        <f t="array" ref="AT694">_xlfn.IFS(Data!$F694&lt;600,((Data!$F694/Data!$D694)*60)*1,AND(Data!$F694&gt;=600,Data!$F694&lt;=625),((Data!$F694/Data!$D694)*60)*1.2,AND(Data!$F694&gt;=626,Data!$F694&lt;=650),((Data!$F694/Data!$D694)*60)*1.5,Data!$F694&gt;=651,((Data!$F694/Data!$D694)*60)*1.8)</f>
        <v>1207.4754098360656</v>
      </c>
      <c r="AU694" s="29">
        <f>(Data!$I694*-1.2)+(Data!$J694*-1.1)+(Data!$K694*1.2)+(Data!$L694*1.3)+(Data!$M694*1.5)</f>
        <v>4.8999999999999986</v>
      </c>
      <c r="AV694" s="29">
        <f>(Data!$AS694*0.4)+(Data!$AT694*0.4)+(Data!$AU694*0.2)</f>
        <v>491.05213114754105</v>
      </c>
      <c r="AW694" s="34">
        <f>PERCENTRANK(AV:AV,Data!$AV694)*100</f>
        <v>73.400000000000006</v>
      </c>
      <c r="AX694" s="29" t="str">
        <f>_xlfn.CONCAT(TEXT(C694,"mmm"),"-",Data!$AE694)</f>
        <v>Sep-2024</v>
      </c>
    </row>
    <row r="695" spans="1:50" ht="17" thickTop="1" thickBot="1" x14ac:dyDescent="0.25">
      <c r="A695" s="22">
        <v>694</v>
      </c>
      <c r="B695" s="23">
        <f t="shared" si="82"/>
        <v>14</v>
      </c>
      <c r="C695" s="41">
        <v>45568</v>
      </c>
      <c r="D695" s="24">
        <f>SUM(Data!$I695:$M695)</f>
        <v>56</v>
      </c>
      <c r="E695" s="23">
        <v>22</v>
      </c>
      <c r="F695" s="23">
        <v>672</v>
      </c>
      <c r="G695" s="23">
        <v>166</v>
      </c>
      <c r="H695" s="23">
        <v>132</v>
      </c>
      <c r="I695" s="23">
        <v>9</v>
      </c>
      <c r="J695" s="23">
        <v>13</v>
      </c>
      <c r="K695" s="23">
        <v>12</v>
      </c>
      <c r="L695" s="23">
        <v>20</v>
      </c>
      <c r="M695" s="23">
        <v>2</v>
      </c>
      <c r="N695" s="23" t="s">
        <v>125</v>
      </c>
      <c r="O695" s="23" t="s">
        <v>127</v>
      </c>
      <c r="P695" s="23" t="s">
        <v>222</v>
      </c>
      <c r="Q695" s="23">
        <f t="shared" si="88"/>
        <v>3</v>
      </c>
      <c r="R695" s="23" t="str">
        <f t="shared" si="83"/>
        <v>10-2024</v>
      </c>
      <c r="S695" s="23" t="s">
        <v>104</v>
      </c>
      <c r="T695" s="23" t="str">
        <f t="shared" si="84"/>
        <v>Thursday</v>
      </c>
      <c r="U695" s="23">
        <f t="shared" si="85"/>
        <v>1</v>
      </c>
      <c r="V695" s="25">
        <f>IFERROR(Data!$I695/Data!$D695,"")</f>
        <v>0.16071428571428573</v>
      </c>
      <c r="W695" s="25">
        <f>IFERROR(Data!$J695/Data!$D695,"")</f>
        <v>0.23214285714285715</v>
      </c>
      <c r="X695" s="25">
        <f>IFERROR(Data!$K695/Data!$D695,"")</f>
        <v>0.21428571428571427</v>
      </c>
      <c r="Y695" s="25">
        <f>IFERROR(Data!$L695/Data!$D695,"")</f>
        <v>0.35714285714285715</v>
      </c>
      <c r="Z695" s="25">
        <f>IFERROR(Data!$M695/Data!$D695,"")</f>
        <v>3.5714285714285712E-2</v>
      </c>
      <c r="AA695" s="26">
        <v>169</v>
      </c>
      <c r="AB695" s="26">
        <f t="shared" si="89"/>
        <v>12.071428571428571</v>
      </c>
      <c r="AC695" s="23">
        <f t="shared" si="86"/>
        <v>630.78571428571433</v>
      </c>
      <c r="AD695" s="23">
        <f t="shared" si="87"/>
        <v>15.214285714285714</v>
      </c>
      <c r="AE695" s="23">
        <f>YEAR(Data!$C695)</f>
        <v>2024</v>
      </c>
      <c r="AF695" s="23"/>
      <c r="AG695" s="23">
        <v>12</v>
      </c>
      <c r="AH695" s="27">
        <f>Data!$F695/Data!$D695</f>
        <v>12</v>
      </c>
      <c r="AI695" s="17" t="str">
        <f>RIGHT(Data!$O695,2)</f>
        <v>PM</v>
      </c>
      <c r="AJ695" s="23" t="str">
        <f>Data!$R695&amp;"-"&amp;WEEKNUM(Data!$C695,1)-WEEKNUM(DATE(YEAR(Data!$C695),MONTH(Data!$C695),1),1)+1</f>
        <v>10-2024-1</v>
      </c>
      <c r="AK695" s="23">
        <f>MONTH(Data!$C695)</f>
        <v>10</v>
      </c>
      <c r="AL695" s="23">
        <f>IFERROR(Data!$F695/Data!$E695,0)</f>
        <v>30.545454545454547</v>
      </c>
      <c r="AM695" s="23">
        <f>COUNTIF(Data!$N$2:$N$825,Data!$N695)</f>
        <v>182</v>
      </c>
      <c r="AN695" s="23" t="str">
        <f>VLOOKUP(Data!$N695,'Helpful Tables'!A:D,4,FALSE)</f>
        <v>Oregon</v>
      </c>
      <c r="AO695" s="23">
        <f>COUNTIF(AN:AN,Data!$AN695)/COUNTA(AN:AN)</f>
        <v>0.27393939393939393</v>
      </c>
      <c r="AP695" s="23">
        <v>45.534162000000002</v>
      </c>
      <c r="AQ695" s="23">
        <v>-122.69670000000001</v>
      </c>
      <c r="AR695" s="23">
        <f>COUNTIF(Data!$P$2:$P$825,Data!$P695)</f>
        <v>32</v>
      </c>
      <c r="AS695" s="23" cm="1">
        <f t="array" ref="AS695">_xlfn.IFS(Data!$E695&lt;12,((Data!$E695/Data!$D695)*60)*1,AND(Data!$E695&gt;=12,Data!$E695&lt;=15),((Data!$E695/Data!$D695)*60)*1.2,AND(Data!$E695&gt;=16,Data!$E695&lt;=19),((Data!$E695/Data!$D695)*60)*1.5,Data!$E695&gt;=20,((Data!$E695/Data!$D695)*60)*1.8)</f>
        <v>42.428571428571423</v>
      </c>
      <c r="AT695" s="23" cm="1">
        <f t="array" ref="AT695">_xlfn.IFS(Data!$F695&lt;600,((Data!$F695/Data!$D695)*60)*1,AND(Data!$F695&gt;=600,Data!$F695&lt;=625),((Data!$F695/Data!$D695)*60)*1.2,AND(Data!$F695&gt;=626,Data!$F695&lt;=650),((Data!$F695/Data!$D695)*60)*1.5,Data!$F695&gt;=651,((Data!$F695/Data!$D695)*60)*1.8)</f>
        <v>1296</v>
      </c>
      <c r="AU695" s="23">
        <f>(Data!$I695*-1.2)+(Data!$J695*-1.1)+(Data!$K695*1.2)+(Data!$L695*1.3)+(Data!$M695*1.5)</f>
        <v>18.299999999999997</v>
      </c>
      <c r="AV695" s="23">
        <f>(Data!$AS695*0.4)+(Data!$AT695*0.4)+(Data!$AU695*0.2)</f>
        <v>539.03142857142848</v>
      </c>
      <c r="AW695" s="35">
        <f>PERCENTRANK(AV:AV,Data!$AV695)*100</f>
        <v>96.2</v>
      </c>
      <c r="AX695" s="23" t="str">
        <f>_xlfn.CONCAT(TEXT(C695,"mmm"),"-",Data!$AE695)</f>
        <v>Oct-2024</v>
      </c>
    </row>
    <row r="696" spans="1:50" ht="17" thickTop="1" thickBot="1" x14ac:dyDescent="0.25">
      <c r="A696" s="28">
        <v>695</v>
      </c>
      <c r="B696" s="29">
        <f t="shared" si="82"/>
        <v>14</v>
      </c>
      <c r="C696" s="41">
        <v>45571</v>
      </c>
      <c r="D696" s="30">
        <f>SUM(Data!$I696:$M696)</f>
        <v>60</v>
      </c>
      <c r="E696" s="29">
        <v>12</v>
      </c>
      <c r="F696" s="29">
        <v>594</v>
      </c>
      <c r="G696" s="29">
        <v>166</v>
      </c>
      <c r="H696" s="29">
        <v>119</v>
      </c>
      <c r="I696" s="29">
        <v>23</v>
      </c>
      <c r="J696" s="29">
        <v>12</v>
      </c>
      <c r="K696" s="29">
        <v>13</v>
      </c>
      <c r="L696" s="29">
        <v>11</v>
      </c>
      <c r="M696" s="29">
        <v>1</v>
      </c>
      <c r="N696" s="29" t="s">
        <v>125</v>
      </c>
      <c r="O696" s="29" t="s">
        <v>159</v>
      </c>
      <c r="P696" s="29" t="s">
        <v>222</v>
      </c>
      <c r="Q696" s="29">
        <f t="shared" si="88"/>
        <v>3</v>
      </c>
      <c r="R696" s="29" t="str">
        <f t="shared" si="83"/>
        <v>10-2024</v>
      </c>
      <c r="S696" s="29" t="s">
        <v>117</v>
      </c>
      <c r="T696" s="29" t="str">
        <f t="shared" si="84"/>
        <v>Sunday</v>
      </c>
      <c r="U696" s="29">
        <f t="shared" si="85"/>
        <v>1</v>
      </c>
      <c r="V696" s="31">
        <f>IFERROR(Data!$I696/Data!$D696,"")</f>
        <v>0.38333333333333336</v>
      </c>
      <c r="W696" s="31">
        <f>IFERROR(Data!$J696/Data!$D696,"")</f>
        <v>0.2</v>
      </c>
      <c r="X696" s="31">
        <f>IFERROR(Data!$K696/Data!$D696,"")</f>
        <v>0.21666666666666667</v>
      </c>
      <c r="Y696" s="31">
        <f>IFERROR(Data!$L696/Data!$D696,"")</f>
        <v>0.18333333333333332</v>
      </c>
      <c r="Z696" s="31">
        <f>IFERROR(Data!$M696/Data!$D696,"")</f>
        <v>1.6666666666666666E-2</v>
      </c>
      <c r="AA696" s="32">
        <v>169</v>
      </c>
      <c r="AB696" s="32">
        <f t="shared" si="89"/>
        <v>12.071428571428571</v>
      </c>
      <c r="AC696" s="29">
        <f t="shared" si="86"/>
        <v>630.78571428571433</v>
      </c>
      <c r="AD696" s="29">
        <f t="shared" si="87"/>
        <v>15.214285714285714</v>
      </c>
      <c r="AE696" s="29">
        <f>YEAR(Data!$C696)</f>
        <v>2024</v>
      </c>
      <c r="AF696" s="29"/>
      <c r="AG696" s="29">
        <v>12</v>
      </c>
      <c r="AH696" s="33">
        <f>Data!$F696/Data!$D696</f>
        <v>9.9</v>
      </c>
      <c r="AI696" s="17" t="str">
        <f>RIGHT(Data!$O696,2)</f>
        <v>AM</v>
      </c>
      <c r="AJ696" s="29" t="str">
        <f>Data!$R696&amp;"-"&amp;WEEKNUM(Data!$C696,1)-WEEKNUM(DATE(YEAR(Data!$C696),MONTH(Data!$C696),1),1)+1</f>
        <v>10-2024-2</v>
      </c>
      <c r="AK696" s="29">
        <f>MONTH(Data!$C696)</f>
        <v>10</v>
      </c>
      <c r="AL696" s="29">
        <f>IFERROR(Data!$F696/Data!$E696,0)</f>
        <v>49.5</v>
      </c>
      <c r="AM696" s="29">
        <f>COUNTIF(Data!$N$2:$N$825,Data!$N696)</f>
        <v>182</v>
      </c>
      <c r="AN696" s="29" t="str">
        <f>VLOOKUP(Data!$N696,'Helpful Tables'!A:D,4,FALSE)</f>
        <v>Oregon</v>
      </c>
      <c r="AO696" s="29">
        <f>COUNTIF(AN:AN,Data!$AN696)/COUNTA(AN:AN)</f>
        <v>0.27393939393939393</v>
      </c>
      <c r="AP696" s="29">
        <v>45.534162000000002</v>
      </c>
      <c r="AQ696" s="29">
        <v>-122.69670000000001</v>
      </c>
      <c r="AR696" s="29">
        <f>COUNTIF(Data!$P$2:$P$825,Data!$P696)</f>
        <v>32</v>
      </c>
      <c r="AS696" s="29" cm="1">
        <f t="array" ref="AS696">_xlfn.IFS(Data!$E696&lt;12,((Data!$E696/Data!$D696)*60)*1,AND(Data!$E696&gt;=12,Data!$E696&lt;=15),((Data!$E696/Data!$D696)*60)*1.2,AND(Data!$E696&gt;=16,Data!$E696&lt;=19),((Data!$E696/Data!$D696)*60)*1.5,Data!$E696&gt;=20,((Data!$E696/Data!$D696)*60)*1.8)</f>
        <v>14.399999999999999</v>
      </c>
      <c r="AT696" s="29" cm="1">
        <f t="array" ref="AT696">_xlfn.IFS(Data!$F696&lt;600,((Data!$F696/Data!$D696)*60)*1,AND(Data!$F696&gt;=600,Data!$F696&lt;=625),((Data!$F696/Data!$D696)*60)*1.2,AND(Data!$F696&gt;=626,Data!$F696&lt;=650),((Data!$F696/Data!$D696)*60)*1.5,Data!$F696&gt;=651,((Data!$F696/Data!$D696)*60)*1.8)</f>
        <v>594</v>
      </c>
      <c r="AU696" s="29">
        <f>(Data!$I696*-1.2)+(Data!$J696*-1.1)+(Data!$K696*1.2)+(Data!$L696*1.3)+(Data!$M696*1.5)</f>
        <v>-9.399999999999995</v>
      </c>
      <c r="AV696" s="29">
        <f>(Data!$AS696*0.4)+(Data!$AT696*0.4)+(Data!$AU696*0.2)</f>
        <v>241.48000000000002</v>
      </c>
      <c r="AW696" s="34">
        <f>PERCENTRANK(AV:AV,Data!$AV696)*100</f>
        <v>13.200000000000001</v>
      </c>
      <c r="AX696" s="29" t="str">
        <f>_xlfn.CONCAT(TEXT(C696,"mmm"),"-",Data!$AE696)</f>
        <v>Oct-2024</v>
      </c>
    </row>
    <row r="697" spans="1:50" ht="17" thickTop="1" thickBot="1" x14ac:dyDescent="0.25">
      <c r="A697" s="22">
        <v>696</v>
      </c>
      <c r="B697" s="23">
        <f t="shared" si="82"/>
        <v>14</v>
      </c>
      <c r="C697" s="41">
        <v>45573</v>
      </c>
      <c r="D697" s="24">
        <f>SUM(Data!$I697:$M697)</f>
        <v>59</v>
      </c>
      <c r="E697" s="23">
        <v>19</v>
      </c>
      <c r="F697" s="23">
        <v>680</v>
      </c>
      <c r="G697" s="23">
        <v>169</v>
      </c>
      <c r="H697" s="23">
        <v>129</v>
      </c>
      <c r="I697" s="23">
        <v>7</v>
      </c>
      <c r="J697" s="23">
        <v>20</v>
      </c>
      <c r="K697" s="23">
        <v>13</v>
      </c>
      <c r="L697" s="23">
        <v>16</v>
      </c>
      <c r="M697" s="23">
        <v>3</v>
      </c>
      <c r="N697" s="23" t="s">
        <v>208</v>
      </c>
      <c r="O697" s="23" t="s">
        <v>53</v>
      </c>
      <c r="P697" s="23" t="s">
        <v>213</v>
      </c>
      <c r="Q697" s="23">
        <f t="shared" si="88"/>
        <v>2</v>
      </c>
      <c r="R697" s="23" t="str">
        <f t="shared" si="83"/>
        <v>10-2024</v>
      </c>
      <c r="S697" s="23" t="s">
        <v>104</v>
      </c>
      <c r="T697" s="23" t="str">
        <f t="shared" si="84"/>
        <v>Tuesday</v>
      </c>
      <c r="U697" s="23">
        <f t="shared" si="85"/>
        <v>1</v>
      </c>
      <c r="V697" s="25">
        <f>IFERROR(Data!$I697/Data!$D697,"")</f>
        <v>0.11864406779661017</v>
      </c>
      <c r="W697" s="25">
        <f>IFERROR(Data!$J697/Data!$D697,"")</f>
        <v>0.33898305084745761</v>
      </c>
      <c r="X697" s="25">
        <f>IFERROR(Data!$K697/Data!$D697,"")</f>
        <v>0.22033898305084745</v>
      </c>
      <c r="Y697" s="25">
        <f>IFERROR(Data!$L697/Data!$D697,"")</f>
        <v>0.2711864406779661</v>
      </c>
      <c r="Z697" s="25">
        <f>IFERROR(Data!$M697/Data!$D697,"")</f>
        <v>5.0847457627118647E-2</v>
      </c>
      <c r="AA697" s="26">
        <v>169</v>
      </c>
      <c r="AB697" s="26">
        <f t="shared" si="89"/>
        <v>12.071428571428571</v>
      </c>
      <c r="AC697" s="23">
        <f t="shared" si="86"/>
        <v>630.78571428571433</v>
      </c>
      <c r="AD697" s="23">
        <f t="shared" si="87"/>
        <v>15.214285714285714</v>
      </c>
      <c r="AE697" s="23">
        <f>YEAR(Data!$C697)</f>
        <v>2024</v>
      </c>
      <c r="AF697" s="23"/>
      <c r="AG697" s="23">
        <v>12</v>
      </c>
      <c r="AH697" s="27">
        <f>Data!$F697/Data!$D697</f>
        <v>11.525423728813559</v>
      </c>
      <c r="AI697" s="17" t="str">
        <f>RIGHT(Data!$O697,2)</f>
        <v>PM</v>
      </c>
      <c r="AJ697" s="23" t="str">
        <f>Data!$R697&amp;"-"&amp;WEEKNUM(Data!$C697,1)-WEEKNUM(DATE(YEAR(Data!$C697),MONTH(Data!$C697),1),1)+1</f>
        <v>10-2024-2</v>
      </c>
      <c r="AK697" s="23">
        <f>MONTH(Data!$C697)</f>
        <v>10</v>
      </c>
      <c r="AL697" s="23">
        <f>IFERROR(Data!$F697/Data!$E697,0)</f>
        <v>35.789473684210527</v>
      </c>
      <c r="AM697" s="23">
        <f>COUNTIF(Data!$N$2:$N$825,Data!$N697)</f>
        <v>42</v>
      </c>
      <c r="AN697" s="23" t="str">
        <f>VLOOKUP(Data!$N697,'Helpful Tables'!A:D,4,FALSE)</f>
        <v>Oregon</v>
      </c>
      <c r="AO697" s="23">
        <f>COUNTIF(AN:AN,Data!$AN697)/COUNTA(AN:AN)</f>
        <v>0.27393939393939393</v>
      </c>
      <c r="AP697" s="23">
        <v>45.525092999999998</v>
      </c>
      <c r="AQ697" s="23">
        <v>-122.681383</v>
      </c>
      <c r="AR697" s="23">
        <f>COUNTIF(Data!$P$2:$P$825,Data!$P697)</f>
        <v>20</v>
      </c>
      <c r="AS697" s="23" cm="1">
        <f t="array" ref="AS697">_xlfn.IFS(Data!$E697&lt;12,((Data!$E697/Data!$D697)*60)*1,AND(Data!$E697&gt;=12,Data!$E697&lt;=15),((Data!$E697/Data!$D697)*60)*1.2,AND(Data!$E697&gt;=16,Data!$E697&lt;=19),((Data!$E697/Data!$D697)*60)*1.5,Data!$E697&gt;=20,((Data!$E697/Data!$D697)*60)*1.8)</f>
        <v>28.983050847457626</v>
      </c>
      <c r="AT697" s="23" cm="1">
        <f t="array" ref="AT697">_xlfn.IFS(Data!$F697&lt;600,((Data!$F697/Data!$D697)*60)*1,AND(Data!$F697&gt;=600,Data!$F697&lt;=625),((Data!$F697/Data!$D697)*60)*1.2,AND(Data!$F697&gt;=626,Data!$F697&lt;=650),((Data!$F697/Data!$D697)*60)*1.5,Data!$F697&gt;=651,((Data!$F697/Data!$D697)*60)*1.8)</f>
        <v>1244.7457627118642</v>
      </c>
      <c r="AU697" s="23">
        <f>(Data!$I697*-1.2)+(Data!$J697*-1.1)+(Data!$K697*1.2)+(Data!$L697*1.3)+(Data!$M697*1.5)</f>
        <v>10.500000000000002</v>
      </c>
      <c r="AV697" s="23">
        <f>(Data!$AS697*0.4)+(Data!$AT697*0.4)+(Data!$AU697*0.2)</f>
        <v>511.5915254237288</v>
      </c>
      <c r="AW697" s="35">
        <f>PERCENTRANK(AV:AV,Data!$AV697)*100</f>
        <v>85.9</v>
      </c>
      <c r="AX697" s="23" t="str">
        <f>_xlfn.CONCAT(TEXT(C697,"mmm"),"-",Data!$AE697)</f>
        <v>Oct-2024</v>
      </c>
    </row>
    <row r="698" spans="1:50" ht="17" thickTop="1" thickBot="1" x14ac:dyDescent="0.25">
      <c r="A698" s="28">
        <v>697</v>
      </c>
      <c r="B698" s="29">
        <f t="shared" si="82"/>
        <v>14</v>
      </c>
      <c r="C698" s="41">
        <v>45575</v>
      </c>
      <c r="D698" s="30">
        <f>SUM(Data!$I698:$M698)</f>
        <v>57</v>
      </c>
      <c r="E698" s="29">
        <v>13</v>
      </c>
      <c r="F698" s="29">
        <v>570</v>
      </c>
      <c r="G698" s="29">
        <v>156</v>
      </c>
      <c r="H698" s="29">
        <v>119</v>
      </c>
      <c r="I698" s="29">
        <v>22</v>
      </c>
      <c r="J698" s="29">
        <v>13</v>
      </c>
      <c r="K698" s="29">
        <v>9</v>
      </c>
      <c r="L698" s="29">
        <v>13</v>
      </c>
      <c r="M698" s="29">
        <v>0</v>
      </c>
      <c r="N698" s="29" t="s">
        <v>125</v>
      </c>
      <c r="O698" s="29" t="s">
        <v>127</v>
      </c>
      <c r="P698" s="29" t="s">
        <v>222</v>
      </c>
      <c r="Q698" s="29">
        <f t="shared" si="88"/>
        <v>2</v>
      </c>
      <c r="R698" s="29" t="str">
        <f t="shared" si="83"/>
        <v>10-2024</v>
      </c>
      <c r="S698" s="29" t="s">
        <v>104</v>
      </c>
      <c r="T698" s="29" t="str">
        <f t="shared" si="84"/>
        <v>Thursday</v>
      </c>
      <c r="U698" s="29">
        <f t="shared" si="85"/>
        <v>1</v>
      </c>
      <c r="V698" s="31">
        <f>IFERROR(Data!$I698/Data!$D698,"")</f>
        <v>0.38596491228070173</v>
      </c>
      <c r="W698" s="31">
        <f>IFERROR(Data!$J698/Data!$D698,"")</f>
        <v>0.22807017543859648</v>
      </c>
      <c r="X698" s="31">
        <f>IFERROR(Data!$K698/Data!$D698,"")</f>
        <v>0.15789473684210525</v>
      </c>
      <c r="Y698" s="31">
        <f>IFERROR(Data!$L698/Data!$D698,"")</f>
        <v>0.22807017543859648</v>
      </c>
      <c r="Z698" s="31">
        <f>IFERROR(Data!$M698/Data!$D698,"")</f>
        <v>0</v>
      </c>
      <c r="AA698" s="32">
        <v>169</v>
      </c>
      <c r="AB698" s="32">
        <f t="shared" si="89"/>
        <v>12.071428571428571</v>
      </c>
      <c r="AC698" s="29">
        <f t="shared" si="86"/>
        <v>630.78571428571433</v>
      </c>
      <c r="AD698" s="29">
        <f t="shared" si="87"/>
        <v>15.214285714285714</v>
      </c>
      <c r="AE698" s="29">
        <f>YEAR(Data!$C698)</f>
        <v>2024</v>
      </c>
      <c r="AF698" s="29"/>
      <c r="AG698" s="29">
        <v>12</v>
      </c>
      <c r="AH698" s="33">
        <f>Data!$F698/Data!$D698</f>
        <v>10</v>
      </c>
      <c r="AI698" s="17" t="str">
        <f>RIGHT(Data!$O698,2)</f>
        <v>PM</v>
      </c>
      <c r="AJ698" s="29" t="str">
        <f>Data!$R698&amp;"-"&amp;WEEKNUM(Data!$C698,1)-WEEKNUM(DATE(YEAR(Data!$C698),MONTH(Data!$C698),1),1)+1</f>
        <v>10-2024-2</v>
      </c>
      <c r="AK698" s="29">
        <f>MONTH(Data!$C698)</f>
        <v>10</v>
      </c>
      <c r="AL698" s="29">
        <f>IFERROR(Data!$F698/Data!$E698,0)</f>
        <v>43.846153846153847</v>
      </c>
      <c r="AM698" s="29">
        <f>COUNTIF(Data!$N$2:$N$825,Data!$N698)</f>
        <v>182</v>
      </c>
      <c r="AN698" s="29" t="str">
        <f>VLOOKUP(Data!$N698,'Helpful Tables'!A:D,4,FALSE)</f>
        <v>Oregon</v>
      </c>
      <c r="AO698" s="29">
        <f>COUNTIF(AN:AN,Data!$AN698)/COUNTA(AN:AN)</f>
        <v>0.27393939393939393</v>
      </c>
      <c r="AP698" s="29">
        <v>45.534162000000002</v>
      </c>
      <c r="AQ698" s="29">
        <v>-122.69670000000001</v>
      </c>
      <c r="AR698" s="29">
        <f>COUNTIF(Data!$P$2:$P$825,Data!$P698)</f>
        <v>32</v>
      </c>
      <c r="AS698" s="29" cm="1">
        <f t="array" ref="AS698">_xlfn.IFS(Data!$E698&lt;12,((Data!$E698/Data!$D698)*60)*1,AND(Data!$E698&gt;=12,Data!$E698&lt;=15),((Data!$E698/Data!$D698)*60)*1.2,AND(Data!$E698&gt;=16,Data!$E698&lt;=19),((Data!$E698/Data!$D698)*60)*1.5,Data!$E698&gt;=20,((Data!$E698/Data!$D698)*60)*1.8)</f>
        <v>16.421052631578945</v>
      </c>
      <c r="AT698" s="29" cm="1">
        <f t="array" ref="AT698">_xlfn.IFS(Data!$F698&lt;600,((Data!$F698/Data!$D698)*60)*1,AND(Data!$F698&gt;=600,Data!$F698&lt;=625),((Data!$F698/Data!$D698)*60)*1.2,AND(Data!$F698&gt;=626,Data!$F698&lt;=650),((Data!$F698/Data!$D698)*60)*1.5,Data!$F698&gt;=651,((Data!$F698/Data!$D698)*60)*1.8)</f>
        <v>600</v>
      </c>
      <c r="AU698" s="29">
        <f>(Data!$I698*-1.2)+(Data!$J698*-1.1)+(Data!$K698*1.2)+(Data!$L698*1.3)+(Data!$M698*1.5)</f>
        <v>-13.000000000000004</v>
      </c>
      <c r="AV698" s="29">
        <f>(Data!$AS698*0.4)+(Data!$AT698*0.4)+(Data!$AU698*0.2)</f>
        <v>243.96842105263158</v>
      </c>
      <c r="AW698" s="34">
        <f>PERCENTRANK(AV:AV,Data!$AV698)*100</f>
        <v>14.299999999999999</v>
      </c>
      <c r="AX698" s="29" t="str">
        <f>_xlfn.CONCAT(TEXT(C698,"mmm"),"-",Data!$AE698)</f>
        <v>Oct-2024</v>
      </c>
    </row>
    <row r="699" spans="1:50" ht="17" thickTop="1" thickBot="1" x14ac:dyDescent="0.25">
      <c r="A699" s="22">
        <v>698</v>
      </c>
      <c r="B699" s="23">
        <f t="shared" si="82"/>
        <v>14</v>
      </c>
      <c r="C699" s="41">
        <v>45579</v>
      </c>
      <c r="D699" s="24">
        <f>SUM(Data!$I699:$M699)</f>
        <v>59</v>
      </c>
      <c r="E699" s="23">
        <v>20</v>
      </c>
      <c r="F699" s="23">
        <v>724</v>
      </c>
      <c r="G699" s="23">
        <v>168</v>
      </c>
      <c r="H699" s="23">
        <v>134</v>
      </c>
      <c r="I699" s="23">
        <v>6</v>
      </c>
      <c r="J699" s="23">
        <v>13</v>
      </c>
      <c r="K699" s="23">
        <v>20</v>
      </c>
      <c r="L699" s="23">
        <v>17</v>
      </c>
      <c r="M699" s="23">
        <v>3</v>
      </c>
      <c r="N699" s="23" t="s">
        <v>125</v>
      </c>
      <c r="O699" s="23" t="s">
        <v>127</v>
      </c>
      <c r="P699" s="23" t="s">
        <v>220</v>
      </c>
      <c r="Q699" s="23">
        <f t="shared" si="88"/>
        <v>4</v>
      </c>
      <c r="R699" s="23" t="str">
        <f t="shared" si="83"/>
        <v>10-2024</v>
      </c>
      <c r="S699" s="23" t="s">
        <v>104</v>
      </c>
      <c r="T699" s="23" t="str">
        <f t="shared" si="84"/>
        <v>Monday</v>
      </c>
      <c r="U699" s="23">
        <f t="shared" si="85"/>
        <v>1</v>
      </c>
      <c r="V699" s="25">
        <f>IFERROR(Data!$I699/Data!$D699,"")</f>
        <v>0.10169491525423729</v>
      </c>
      <c r="W699" s="25">
        <f>IFERROR(Data!$J699/Data!$D699,"")</f>
        <v>0.22033898305084745</v>
      </c>
      <c r="X699" s="25">
        <f>IFERROR(Data!$K699/Data!$D699,"")</f>
        <v>0.33898305084745761</v>
      </c>
      <c r="Y699" s="25">
        <f>IFERROR(Data!$L699/Data!$D699,"")</f>
        <v>0.28813559322033899</v>
      </c>
      <c r="Z699" s="25">
        <f>IFERROR(Data!$M699/Data!$D699,"")</f>
        <v>5.0847457627118647E-2</v>
      </c>
      <c r="AA699" s="26">
        <v>169</v>
      </c>
      <c r="AB699" s="26">
        <f t="shared" si="89"/>
        <v>12.071428571428571</v>
      </c>
      <c r="AC699" s="23">
        <f t="shared" si="86"/>
        <v>630.78571428571433</v>
      </c>
      <c r="AD699" s="23">
        <f t="shared" si="87"/>
        <v>15.214285714285714</v>
      </c>
      <c r="AE699" s="23">
        <f>YEAR(Data!$C699)</f>
        <v>2024</v>
      </c>
      <c r="AF699" s="23"/>
      <c r="AG699" s="23">
        <v>12</v>
      </c>
      <c r="AH699" s="27">
        <f>Data!$F699/Data!$D699</f>
        <v>12.271186440677965</v>
      </c>
      <c r="AI699" s="17" t="str">
        <f>RIGHT(Data!$O699,2)</f>
        <v>PM</v>
      </c>
      <c r="AJ699" s="23" t="str">
        <f>Data!$R699&amp;"-"&amp;WEEKNUM(Data!$C699,1)-WEEKNUM(DATE(YEAR(Data!$C699),MONTH(Data!$C699),1),1)+1</f>
        <v>10-2024-3</v>
      </c>
      <c r="AK699" s="23">
        <f>MONTH(Data!$C699)</f>
        <v>10</v>
      </c>
      <c r="AL699" s="23">
        <f>IFERROR(Data!$F699/Data!$E699,0)</f>
        <v>36.200000000000003</v>
      </c>
      <c r="AM699" s="23">
        <f>COUNTIF(Data!$N$2:$N$825,Data!$N699)</f>
        <v>182</v>
      </c>
      <c r="AN699" s="23" t="str">
        <f>VLOOKUP(Data!$N699,'Helpful Tables'!A:D,4,FALSE)</f>
        <v>Oregon</v>
      </c>
      <c r="AO699" s="23">
        <f>COUNTIF(AN:AN,Data!$AN699)/COUNTA(AN:AN)</f>
        <v>0.27393939393939393</v>
      </c>
      <c r="AP699" s="23">
        <v>45.534162000000002</v>
      </c>
      <c r="AQ699" s="23">
        <v>-122.69670000000001</v>
      </c>
      <c r="AR699" s="23">
        <f>COUNTIF(Data!$P$2:$P$825,Data!$P699)</f>
        <v>43</v>
      </c>
      <c r="AS699" s="23" cm="1">
        <f t="array" ref="AS699">_xlfn.IFS(Data!$E699&lt;12,((Data!$E699/Data!$D699)*60)*1,AND(Data!$E699&gt;=12,Data!$E699&lt;=15),((Data!$E699/Data!$D699)*60)*1.2,AND(Data!$E699&gt;=16,Data!$E699&lt;=19),((Data!$E699/Data!$D699)*60)*1.5,Data!$E699&gt;=20,((Data!$E699/Data!$D699)*60)*1.8)</f>
        <v>36.610169491525426</v>
      </c>
      <c r="AT699" s="23" cm="1">
        <f t="array" ref="AT699">_xlfn.IFS(Data!$F699&lt;600,((Data!$F699/Data!$D699)*60)*1,AND(Data!$F699&gt;=600,Data!$F699&lt;=625),((Data!$F699/Data!$D699)*60)*1.2,AND(Data!$F699&gt;=626,Data!$F699&lt;=650),((Data!$F699/Data!$D699)*60)*1.5,Data!$F699&gt;=651,((Data!$F699/Data!$D699)*60)*1.8)</f>
        <v>1325.2881355932202</v>
      </c>
      <c r="AU699" s="23">
        <f>(Data!$I699*-1.2)+(Data!$J699*-1.1)+(Data!$K699*1.2)+(Data!$L699*1.3)+(Data!$M699*1.5)</f>
        <v>29.1</v>
      </c>
      <c r="AV699" s="23">
        <f>(Data!$AS699*0.4)+(Data!$AT699*0.4)+(Data!$AU699*0.2)</f>
        <v>550.57932203389839</v>
      </c>
      <c r="AW699" s="35">
        <f>PERCENTRANK(AV:AV,Data!$AV699)*100</f>
        <v>98</v>
      </c>
      <c r="AX699" s="23" t="str">
        <f>_xlfn.CONCAT(TEXT(C699,"mmm"),"-",Data!$AE699)</f>
        <v>Oct-2024</v>
      </c>
    </row>
    <row r="700" spans="1:50" ht="17" thickTop="1" thickBot="1" x14ac:dyDescent="0.25">
      <c r="A700" s="28">
        <v>699</v>
      </c>
      <c r="B700" s="29">
        <f t="shared" si="82"/>
        <v>14</v>
      </c>
      <c r="C700" s="41">
        <v>45580</v>
      </c>
      <c r="D700" s="30">
        <f>SUM(Data!$I700:$M700)</f>
        <v>58</v>
      </c>
      <c r="E700" s="29">
        <v>16</v>
      </c>
      <c r="F700" s="29">
        <v>627</v>
      </c>
      <c r="G700" s="29">
        <v>164</v>
      </c>
      <c r="H700" s="29">
        <v>125</v>
      </c>
      <c r="I700" s="29">
        <v>15</v>
      </c>
      <c r="J700" s="29">
        <v>15</v>
      </c>
      <c r="K700" s="29">
        <v>12</v>
      </c>
      <c r="L700" s="29">
        <v>15</v>
      </c>
      <c r="M700" s="29">
        <v>1</v>
      </c>
      <c r="N700" s="29" t="s">
        <v>125</v>
      </c>
      <c r="O700" s="29" t="s">
        <v>127</v>
      </c>
      <c r="P700" s="29" t="s">
        <v>222</v>
      </c>
      <c r="Q700" s="29">
        <f t="shared" si="88"/>
        <v>1</v>
      </c>
      <c r="R700" s="29" t="str">
        <f t="shared" si="83"/>
        <v>10-2024</v>
      </c>
      <c r="S700" s="29" t="s">
        <v>104</v>
      </c>
      <c r="T700" s="29" t="str">
        <f t="shared" si="84"/>
        <v>Tuesday</v>
      </c>
      <c r="U700" s="29">
        <f t="shared" si="85"/>
        <v>1</v>
      </c>
      <c r="V700" s="31">
        <f>IFERROR(Data!$I700/Data!$D700,"")</f>
        <v>0.25862068965517243</v>
      </c>
      <c r="W700" s="31">
        <f>IFERROR(Data!$J700/Data!$D700,"")</f>
        <v>0.25862068965517243</v>
      </c>
      <c r="X700" s="31">
        <f>IFERROR(Data!$K700/Data!$D700,"")</f>
        <v>0.20689655172413793</v>
      </c>
      <c r="Y700" s="31">
        <f>IFERROR(Data!$L700/Data!$D700,"")</f>
        <v>0.25862068965517243</v>
      </c>
      <c r="Z700" s="31">
        <f>IFERROR(Data!$M700/Data!$D700,"")</f>
        <v>1.7241379310344827E-2</v>
      </c>
      <c r="AA700" s="32">
        <v>169</v>
      </c>
      <c r="AB700" s="32">
        <f t="shared" si="89"/>
        <v>12.071428571428571</v>
      </c>
      <c r="AC700" s="29">
        <f t="shared" si="86"/>
        <v>630.78571428571433</v>
      </c>
      <c r="AD700" s="29">
        <f t="shared" si="87"/>
        <v>15.214285714285714</v>
      </c>
      <c r="AE700" s="29">
        <f>YEAR(Data!$C700)</f>
        <v>2024</v>
      </c>
      <c r="AF700" s="29"/>
      <c r="AG700" s="29">
        <v>12</v>
      </c>
      <c r="AH700" s="33">
        <f>Data!$F700/Data!$D700</f>
        <v>10.810344827586206</v>
      </c>
      <c r="AI700" s="17" t="str">
        <f>RIGHT(Data!$O700,2)</f>
        <v>PM</v>
      </c>
      <c r="AJ700" s="29" t="str">
        <f>Data!$R700&amp;"-"&amp;WEEKNUM(Data!$C700,1)-WEEKNUM(DATE(YEAR(Data!$C700),MONTH(Data!$C700),1),1)+1</f>
        <v>10-2024-3</v>
      </c>
      <c r="AK700" s="29">
        <f>MONTH(Data!$C700)</f>
        <v>10</v>
      </c>
      <c r="AL700" s="29">
        <f>IFERROR(Data!$F700/Data!$E700,0)</f>
        <v>39.1875</v>
      </c>
      <c r="AM700" s="29">
        <f>COUNTIF(Data!$N$2:$N$825,Data!$N700)</f>
        <v>182</v>
      </c>
      <c r="AN700" s="29" t="str">
        <f>VLOOKUP(Data!$N700,'Helpful Tables'!A:D,4,FALSE)</f>
        <v>Oregon</v>
      </c>
      <c r="AO700" s="29">
        <f>COUNTIF(AN:AN,Data!$AN700)/COUNTA(AN:AN)</f>
        <v>0.27393939393939393</v>
      </c>
      <c r="AP700" s="29">
        <v>45.534162000000002</v>
      </c>
      <c r="AQ700" s="29">
        <v>-122.69670000000001</v>
      </c>
      <c r="AR700" s="29">
        <f>COUNTIF(Data!$P$2:$P$825,Data!$P700)</f>
        <v>32</v>
      </c>
      <c r="AS700" s="29" cm="1">
        <f t="array" ref="AS700">_xlfn.IFS(Data!$E700&lt;12,((Data!$E700/Data!$D700)*60)*1,AND(Data!$E700&gt;=12,Data!$E700&lt;=15),((Data!$E700/Data!$D700)*60)*1.2,AND(Data!$E700&gt;=16,Data!$E700&lt;=19),((Data!$E700/Data!$D700)*60)*1.5,Data!$E700&gt;=20,((Data!$E700/Data!$D700)*60)*1.8)</f>
        <v>24.827586206896555</v>
      </c>
      <c r="AT700" s="29" cm="1">
        <f t="array" ref="AT700">_xlfn.IFS(Data!$F700&lt;600,((Data!$F700/Data!$D700)*60)*1,AND(Data!$F700&gt;=600,Data!$F700&lt;=625),((Data!$F700/Data!$D700)*60)*1.2,AND(Data!$F700&gt;=626,Data!$F700&lt;=650),((Data!$F700/Data!$D700)*60)*1.5,Data!$F700&gt;=651,((Data!$F700/Data!$D700)*60)*1.8)</f>
        <v>972.93103448275849</v>
      </c>
      <c r="AU700" s="29">
        <f>(Data!$I700*-1.2)+(Data!$J700*-1.1)+(Data!$K700*1.2)+(Data!$L700*1.3)+(Data!$M700*1.5)</f>
        <v>0.89999999999999858</v>
      </c>
      <c r="AV700" s="29">
        <f>(Data!$AS700*0.4)+(Data!$AT700*0.4)+(Data!$AU700*0.2)</f>
        <v>399.28344827586204</v>
      </c>
      <c r="AW700" s="34">
        <f>PERCENTRANK(AV:AV,Data!$AV700)*100</f>
        <v>52.2</v>
      </c>
      <c r="AX700" s="29" t="str">
        <f>_xlfn.CONCAT(TEXT(C700,"mmm"),"-",Data!$AE700)</f>
        <v>Oct-2024</v>
      </c>
    </row>
    <row r="701" spans="1:50" ht="17" thickTop="1" thickBot="1" x14ac:dyDescent="0.25">
      <c r="A701" s="22">
        <v>700</v>
      </c>
      <c r="B701" s="23">
        <f t="shared" si="82"/>
        <v>14</v>
      </c>
      <c r="C701" s="41">
        <v>45582</v>
      </c>
      <c r="D701" s="24">
        <f>SUM(Data!$I701:$M701)</f>
        <v>60</v>
      </c>
      <c r="E701" s="23">
        <v>19</v>
      </c>
      <c r="F701" s="23">
        <v>670</v>
      </c>
      <c r="G701" s="23">
        <v>168</v>
      </c>
      <c r="H701" s="23">
        <v>127</v>
      </c>
      <c r="I701" s="23">
        <v>12</v>
      </c>
      <c r="J701" s="23">
        <v>19</v>
      </c>
      <c r="K701" s="23">
        <v>10</v>
      </c>
      <c r="L701" s="23">
        <v>17</v>
      </c>
      <c r="M701" s="23">
        <v>2</v>
      </c>
      <c r="N701" s="23" t="s">
        <v>125</v>
      </c>
      <c r="O701" s="23" t="s">
        <v>127</v>
      </c>
      <c r="P701" s="23" t="s">
        <v>222</v>
      </c>
      <c r="Q701" s="23">
        <f t="shared" si="88"/>
        <v>2</v>
      </c>
      <c r="R701" s="23" t="str">
        <f t="shared" si="83"/>
        <v>10-2024</v>
      </c>
      <c r="S701" s="23" t="s">
        <v>104</v>
      </c>
      <c r="T701" s="23" t="str">
        <f t="shared" si="84"/>
        <v>Thursday</v>
      </c>
      <c r="U701" s="23">
        <f t="shared" si="85"/>
        <v>1</v>
      </c>
      <c r="V701" s="25">
        <f>IFERROR(Data!$I701/Data!$D701,"")</f>
        <v>0.2</v>
      </c>
      <c r="W701" s="25">
        <f>IFERROR(Data!$J701/Data!$D701,"")</f>
        <v>0.31666666666666665</v>
      </c>
      <c r="X701" s="25">
        <f>IFERROR(Data!$K701/Data!$D701,"")</f>
        <v>0.16666666666666666</v>
      </c>
      <c r="Y701" s="25">
        <f>IFERROR(Data!$L701/Data!$D701,"")</f>
        <v>0.28333333333333333</v>
      </c>
      <c r="Z701" s="25">
        <f>IFERROR(Data!$M701/Data!$D701,"")</f>
        <v>3.3333333333333333E-2</v>
      </c>
      <c r="AA701" s="26">
        <v>169</v>
      </c>
      <c r="AB701" s="26">
        <f t="shared" si="89"/>
        <v>12.071428571428571</v>
      </c>
      <c r="AC701" s="23">
        <f t="shared" si="86"/>
        <v>630.78571428571433</v>
      </c>
      <c r="AD701" s="23">
        <f t="shared" si="87"/>
        <v>15.214285714285714</v>
      </c>
      <c r="AE701" s="23">
        <f>YEAR(Data!$C701)</f>
        <v>2024</v>
      </c>
      <c r="AF701" s="23"/>
      <c r="AG701" s="23">
        <v>12</v>
      </c>
      <c r="AH701" s="27">
        <f>Data!$F701/Data!$D701</f>
        <v>11.166666666666666</v>
      </c>
      <c r="AI701" s="17" t="str">
        <f>RIGHT(Data!$O701,2)</f>
        <v>PM</v>
      </c>
      <c r="AJ701" s="23" t="str">
        <f>Data!$R701&amp;"-"&amp;WEEKNUM(Data!$C701,1)-WEEKNUM(DATE(YEAR(Data!$C701),MONTH(Data!$C701),1),1)+1</f>
        <v>10-2024-3</v>
      </c>
      <c r="AK701" s="23">
        <f>MONTH(Data!$C701)</f>
        <v>10</v>
      </c>
      <c r="AL701" s="23">
        <f>IFERROR(Data!$F701/Data!$E701,0)</f>
        <v>35.263157894736842</v>
      </c>
      <c r="AM701" s="23">
        <f>COUNTIF(Data!$N$2:$N$825,Data!$N701)</f>
        <v>182</v>
      </c>
      <c r="AN701" s="23" t="str">
        <f>VLOOKUP(Data!$N701,'Helpful Tables'!A:D,4,FALSE)</f>
        <v>Oregon</v>
      </c>
      <c r="AO701" s="23">
        <f>COUNTIF(AN:AN,Data!$AN701)/COUNTA(AN:AN)</f>
        <v>0.27393939393939393</v>
      </c>
      <c r="AP701" s="23">
        <v>45.534162000000002</v>
      </c>
      <c r="AQ701" s="23">
        <v>-122.69670000000001</v>
      </c>
      <c r="AR701" s="23">
        <f>COUNTIF(Data!$P$2:$P$825,Data!$P701)</f>
        <v>32</v>
      </c>
      <c r="AS701" s="23" cm="1">
        <f t="array" ref="AS701">_xlfn.IFS(Data!$E701&lt;12,((Data!$E701/Data!$D701)*60)*1,AND(Data!$E701&gt;=12,Data!$E701&lt;=15),((Data!$E701/Data!$D701)*60)*1.2,AND(Data!$E701&gt;=16,Data!$E701&lt;=19),((Data!$E701/Data!$D701)*60)*1.5,Data!$E701&gt;=20,((Data!$E701/Data!$D701)*60)*1.8)</f>
        <v>28.5</v>
      </c>
      <c r="AT701" s="23" cm="1">
        <f t="array" ref="AT701">_xlfn.IFS(Data!$F701&lt;600,((Data!$F701/Data!$D701)*60)*1,AND(Data!$F701&gt;=600,Data!$F701&lt;=625),((Data!$F701/Data!$D701)*60)*1.2,AND(Data!$F701&gt;=626,Data!$F701&lt;=650),((Data!$F701/Data!$D701)*60)*1.5,Data!$F701&gt;=651,((Data!$F701/Data!$D701)*60)*1.8)</f>
        <v>1206</v>
      </c>
      <c r="AU701" s="23">
        <f>(Data!$I701*-1.2)+(Data!$J701*-1.1)+(Data!$K701*1.2)+(Data!$L701*1.3)+(Data!$M701*1.5)</f>
        <v>1.8000000000000043</v>
      </c>
      <c r="AV701" s="23">
        <f>(Data!$AS701*0.4)+(Data!$AT701*0.4)+(Data!$AU701*0.2)</f>
        <v>494.16</v>
      </c>
      <c r="AW701" s="35">
        <f>PERCENTRANK(AV:AV,Data!$AV701)*100</f>
        <v>74.3</v>
      </c>
      <c r="AX701" s="23" t="str">
        <f>_xlfn.CONCAT(TEXT(C701,"mmm"),"-",Data!$AE701)</f>
        <v>Oct-2024</v>
      </c>
    </row>
    <row r="702" spans="1:50" ht="17" thickTop="1" thickBot="1" x14ac:dyDescent="0.25">
      <c r="A702" s="28">
        <v>701</v>
      </c>
      <c r="B702" s="29">
        <f t="shared" si="82"/>
        <v>14</v>
      </c>
      <c r="C702" s="41">
        <v>45584</v>
      </c>
      <c r="D702" s="30">
        <f>SUM(Data!$I702:$M702)</f>
        <v>52</v>
      </c>
      <c r="E702" s="29">
        <v>13</v>
      </c>
      <c r="F702" s="29">
        <v>597</v>
      </c>
      <c r="G702" s="29">
        <v>168</v>
      </c>
      <c r="H702" s="29">
        <v>128</v>
      </c>
      <c r="I702" s="29">
        <v>6</v>
      </c>
      <c r="J702" s="29">
        <v>21</v>
      </c>
      <c r="K702" s="29">
        <v>12</v>
      </c>
      <c r="L702" s="29">
        <v>11</v>
      </c>
      <c r="M702" s="29">
        <v>2</v>
      </c>
      <c r="N702" s="29" t="s">
        <v>125</v>
      </c>
      <c r="O702" s="29" t="s">
        <v>159</v>
      </c>
      <c r="P702" s="29" t="s">
        <v>223</v>
      </c>
      <c r="Q702" s="29">
        <f t="shared" si="88"/>
        <v>2</v>
      </c>
      <c r="R702" s="29" t="str">
        <f t="shared" si="83"/>
        <v>10-2024</v>
      </c>
      <c r="S702" s="29" t="s">
        <v>117</v>
      </c>
      <c r="T702" s="29" t="str">
        <f t="shared" si="84"/>
        <v>Saturday</v>
      </c>
      <c r="U702" s="29">
        <f t="shared" si="85"/>
        <v>1</v>
      </c>
      <c r="V702" s="31">
        <f>IFERROR(Data!$I702/Data!$D702,"")</f>
        <v>0.11538461538461539</v>
      </c>
      <c r="W702" s="31">
        <f>IFERROR(Data!$J702/Data!$D702,"")</f>
        <v>0.40384615384615385</v>
      </c>
      <c r="X702" s="31">
        <f>IFERROR(Data!$K702/Data!$D702,"")</f>
        <v>0.23076923076923078</v>
      </c>
      <c r="Y702" s="31">
        <f>IFERROR(Data!$L702/Data!$D702,"")</f>
        <v>0.21153846153846154</v>
      </c>
      <c r="Z702" s="31">
        <f>IFERROR(Data!$M702/Data!$D702,"")</f>
        <v>3.8461538461538464E-2</v>
      </c>
      <c r="AA702" s="32">
        <v>169</v>
      </c>
      <c r="AB702" s="32">
        <f t="shared" si="89"/>
        <v>12.071428571428571</v>
      </c>
      <c r="AC702" s="29">
        <f t="shared" si="86"/>
        <v>630.78571428571433</v>
      </c>
      <c r="AD702" s="29">
        <f t="shared" si="87"/>
        <v>15.214285714285714</v>
      </c>
      <c r="AE702" s="29">
        <f>YEAR(Data!$C702)</f>
        <v>2024</v>
      </c>
      <c r="AF702" s="29"/>
      <c r="AG702" s="29">
        <v>12</v>
      </c>
      <c r="AH702" s="33">
        <f>Data!$F702/Data!$D702</f>
        <v>11.48076923076923</v>
      </c>
      <c r="AI702" s="17" t="str">
        <f>RIGHT(Data!$O702,2)</f>
        <v>AM</v>
      </c>
      <c r="AJ702" s="29" t="str">
        <f>Data!$R702&amp;"-"&amp;WEEKNUM(Data!$C702,1)-WEEKNUM(DATE(YEAR(Data!$C702),MONTH(Data!$C702),1),1)+1</f>
        <v>10-2024-3</v>
      </c>
      <c r="AK702" s="29">
        <f>MONTH(Data!$C702)</f>
        <v>10</v>
      </c>
      <c r="AL702" s="29">
        <f>IFERROR(Data!$F702/Data!$E702,0)</f>
        <v>45.92307692307692</v>
      </c>
      <c r="AM702" s="29">
        <f>COUNTIF(Data!$N$2:$N$825,Data!$N702)</f>
        <v>182</v>
      </c>
      <c r="AN702" s="29" t="str">
        <f>VLOOKUP(Data!$N702,'Helpful Tables'!A:D,4,FALSE)</f>
        <v>Oregon</v>
      </c>
      <c r="AO702" s="29">
        <f>COUNTIF(AN:AN,Data!$AN702)/COUNTA(AN:AN)</f>
        <v>0.27393939393939393</v>
      </c>
      <c r="AP702" s="29">
        <v>45.534162000000002</v>
      </c>
      <c r="AQ702" s="29">
        <v>-122.69670000000001</v>
      </c>
      <c r="AR702" s="29">
        <f>COUNTIF(Data!$P$2:$P$825,Data!$P702)</f>
        <v>3</v>
      </c>
      <c r="AS702" s="29" cm="1">
        <f t="array" ref="AS702">_xlfn.IFS(Data!$E702&lt;12,((Data!$E702/Data!$D702)*60)*1,AND(Data!$E702&gt;=12,Data!$E702&lt;=15),((Data!$E702/Data!$D702)*60)*1.2,AND(Data!$E702&gt;=16,Data!$E702&lt;=19),((Data!$E702/Data!$D702)*60)*1.5,Data!$E702&gt;=20,((Data!$E702/Data!$D702)*60)*1.8)</f>
        <v>18</v>
      </c>
      <c r="AT702" s="29" cm="1">
        <f t="array" ref="AT702">_xlfn.IFS(Data!$F702&lt;600,((Data!$F702/Data!$D702)*60)*1,AND(Data!$F702&gt;=600,Data!$F702&lt;=625),((Data!$F702/Data!$D702)*60)*1.2,AND(Data!$F702&gt;=626,Data!$F702&lt;=650),((Data!$F702/Data!$D702)*60)*1.5,Data!$F702&gt;=651,((Data!$F702/Data!$D702)*60)*1.8)</f>
        <v>688.84615384615381</v>
      </c>
      <c r="AU702" s="29">
        <f>(Data!$I702*-1.2)+(Data!$J702*-1.1)+(Data!$K702*1.2)+(Data!$L702*1.3)+(Data!$M702*1.5)</f>
        <v>1.3999999999999986</v>
      </c>
      <c r="AV702" s="29">
        <f>(Data!$AS702*0.4)+(Data!$AT702*0.4)+(Data!$AU702*0.2)</f>
        <v>283.01846153846151</v>
      </c>
      <c r="AW702" s="34">
        <f>PERCENTRANK(AV:AV,Data!$AV702)*100</f>
        <v>23.5</v>
      </c>
      <c r="AX702" s="29" t="str">
        <f>_xlfn.CONCAT(TEXT(C702,"mmm"),"-",Data!$AE702)</f>
        <v>Oct-2024</v>
      </c>
    </row>
    <row r="703" spans="1:50" ht="17" thickTop="1" thickBot="1" x14ac:dyDescent="0.25">
      <c r="A703" s="22">
        <v>702</v>
      </c>
      <c r="B703" s="23">
        <f t="shared" si="82"/>
        <v>14</v>
      </c>
      <c r="C703" s="41">
        <v>45586</v>
      </c>
      <c r="D703" s="24">
        <f>SUM(Data!$I703:$M703)</f>
        <v>59</v>
      </c>
      <c r="E703" s="23">
        <v>14</v>
      </c>
      <c r="F703" s="23">
        <v>586</v>
      </c>
      <c r="G703" s="23">
        <v>159</v>
      </c>
      <c r="H703" s="23">
        <v>119</v>
      </c>
      <c r="I703" s="23">
        <v>23</v>
      </c>
      <c r="J703" s="23">
        <v>15</v>
      </c>
      <c r="K703" s="23">
        <v>7</v>
      </c>
      <c r="L703" s="23">
        <v>14</v>
      </c>
      <c r="M703" s="23">
        <v>0</v>
      </c>
      <c r="N703" s="23" t="s">
        <v>125</v>
      </c>
      <c r="O703" s="23" t="s">
        <v>127</v>
      </c>
      <c r="P703" s="23" t="s">
        <v>220</v>
      </c>
      <c r="Q703" s="23">
        <f t="shared" si="88"/>
        <v>2</v>
      </c>
      <c r="R703" s="23" t="str">
        <f t="shared" si="83"/>
        <v>10-2024</v>
      </c>
      <c r="S703" s="23" t="s">
        <v>104</v>
      </c>
      <c r="T703" s="23" t="str">
        <f t="shared" si="84"/>
        <v>Monday</v>
      </c>
      <c r="U703" s="23">
        <f t="shared" si="85"/>
        <v>1</v>
      </c>
      <c r="V703" s="25">
        <f>IFERROR(Data!$I703/Data!$D703,"")</f>
        <v>0.38983050847457629</v>
      </c>
      <c r="W703" s="25">
        <f>IFERROR(Data!$J703/Data!$D703,"")</f>
        <v>0.25423728813559321</v>
      </c>
      <c r="X703" s="25">
        <f>IFERROR(Data!$K703/Data!$D703,"")</f>
        <v>0.11864406779661017</v>
      </c>
      <c r="Y703" s="25">
        <f>IFERROR(Data!$L703/Data!$D703,"")</f>
        <v>0.23728813559322035</v>
      </c>
      <c r="Z703" s="25">
        <f>IFERROR(Data!$M703/Data!$D703,"")</f>
        <v>0</v>
      </c>
      <c r="AA703" s="26">
        <v>169</v>
      </c>
      <c r="AB703" s="26">
        <f t="shared" si="89"/>
        <v>12.071428571428571</v>
      </c>
      <c r="AC703" s="23">
        <f t="shared" si="86"/>
        <v>630.78571428571433</v>
      </c>
      <c r="AD703" s="23">
        <f t="shared" si="87"/>
        <v>15.214285714285714</v>
      </c>
      <c r="AE703" s="23">
        <f>YEAR(Data!$C703)</f>
        <v>2024</v>
      </c>
      <c r="AF703" s="23"/>
      <c r="AG703" s="23">
        <v>12</v>
      </c>
      <c r="AH703" s="27">
        <f>Data!$F703/Data!$D703</f>
        <v>9.9322033898305087</v>
      </c>
      <c r="AI703" s="17" t="str">
        <f>RIGHT(Data!$O703,2)</f>
        <v>PM</v>
      </c>
      <c r="AJ703" s="23" t="str">
        <f>Data!$R703&amp;"-"&amp;WEEKNUM(Data!$C703,1)-WEEKNUM(DATE(YEAR(Data!$C703),MONTH(Data!$C703),1),1)+1</f>
        <v>10-2024-4</v>
      </c>
      <c r="AK703" s="23">
        <f>MONTH(Data!$C703)</f>
        <v>10</v>
      </c>
      <c r="AL703" s="23">
        <f>IFERROR(Data!$F703/Data!$E703,0)</f>
        <v>41.857142857142854</v>
      </c>
      <c r="AM703" s="23">
        <f>COUNTIF(Data!$N$2:$N$825,Data!$N703)</f>
        <v>182</v>
      </c>
      <c r="AN703" s="23" t="str">
        <f>VLOOKUP(Data!$N703,'Helpful Tables'!A:D,4,FALSE)</f>
        <v>Oregon</v>
      </c>
      <c r="AO703" s="23">
        <f>COUNTIF(AN:AN,Data!$AN703)/COUNTA(AN:AN)</f>
        <v>0.27393939393939393</v>
      </c>
      <c r="AP703" s="23">
        <v>45.534162000000002</v>
      </c>
      <c r="AQ703" s="23">
        <v>-122.69670000000001</v>
      </c>
      <c r="AR703" s="23">
        <f>COUNTIF(Data!$P$2:$P$825,Data!$P703)</f>
        <v>43</v>
      </c>
      <c r="AS703" s="23" cm="1">
        <f t="array" ref="AS703">_xlfn.IFS(Data!$E703&lt;12,((Data!$E703/Data!$D703)*60)*1,AND(Data!$E703&gt;=12,Data!$E703&lt;=15),((Data!$E703/Data!$D703)*60)*1.2,AND(Data!$E703&gt;=16,Data!$E703&lt;=19),((Data!$E703/Data!$D703)*60)*1.5,Data!$E703&gt;=20,((Data!$E703/Data!$D703)*60)*1.8)</f>
        <v>17.084745762711865</v>
      </c>
      <c r="AT703" s="23" cm="1">
        <f t="array" ref="AT703">_xlfn.IFS(Data!$F703&lt;600,((Data!$F703/Data!$D703)*60)*1,AND(Data!$F703&gt;=600,Data!$F703&lt;=625),((Data!$F703/Data!$D703)*60)*1.2,AND(Data!$F703&gt;=626,Data!$F703&lt;=650),((Data!$F703/Data!$D703)*60)*1.5,Data!$F703&gt;=651,((Data!$F703/Data!$D703)*60)*1.8)</f>
        <v>595.93220338983053</v>
      </c>
      <c r="AU703" s="23">
        <f>(Data!$I703*-1.2)+(Data!$J703*-1.1)+(Data!$K703*1.2)+(Data!$L703*1.3)+(Data!$M703*1.5)</f>
        <v>-17.499999999999996</v>
      </c>
      <c r="AV703" s="23">
        <f>(Data!$AS703*0.4)+(Data!$AT703*0.4)+(Data!$AU703*0.2)</f>
        <v>241.70677966101698</v>
      </c>
      <c r="AW703" s="35">
        <f>PERCENTRANK(AV:AV,Data!$AV703)*100</f>
        <v>13.3</v>
      </c>
      <c r="AX703" s="23" t="str">
        <f>_xlfn.CONCAT(TEXT(C703,"mmm"),"-",Data!$AE703)</f>
        <v>Oct-2024</v>
      </c>
    </row>
    <row r="704" spans="1:50" ht="17" thickTop="1" thickBot="1" x14ac:dyDescent="0.25">
      <c r="A704" s="28">
        <v>703</v>
      </c>
      <c r="B704" s="29">
        <f t="shared" si="82"/>
        <v>14</v>
      </c>
      <c r="C704" s="41">
        <v>45588</v>
      </c>
      <c r="D704" s="30">
        <f>SUM(Data!$I704:$M704)</f>
        <v>60</v>
      </c>
      <c r="E704" s="29">
        <v>11</v>
      </c>
      <c r="F704" s="29">
        <v>604</v>
      </c>
      <c r="G704" s="29">
        <v>163</v>
      </c>
      <c r="H704" s="29">
        <v>119</v>
      </c>
      <c r="I704" s="29">
        <v>17</v>
      </c>
      <c r="J704" s="29">
        <v>19</v>
      </c>
      <c r="K704" s="29">
        <v>13</v>
      </c>
      <c r="L704" s="29">
        <v>11</v>
      </c>
      <c r="M704" s="29">
        <v>0</v>
      </c>
      <c r="N704" s="29" t="s">
        <v>125</v>
      </c>
      <c r="O704" s="29" t="s">
        <v>127</v>
      </c>
      <c r="P704" s="29" t="s">
        <v>216</v>
      </c>
      <c r="Q704" s="29">
        <f t="shared" si="88"/>
        <v>2</v>
      </c>
      <c r="R704" s="29" t="str">
        <f t="shared" si="83"/>
        <v>10-2024</v>
      </c>
      <c r="S704" s="29" t="s">
        <v>145</v>
      </c>
      <c r="T704" s="29" t="str">
        <f t="shared" si="84"/>
        <v>Wednesday</v>
      </c>
      <c r="U704" s="29">
        <f t="shared" si="85"/>
        <v>0</v>
      </c>
      <c r="V704" s="31">
        <f>IFERROR(Data!$I704/Data!$D704,"")</f>
        <v>0.28333333333333333</v>
      </c>
      <c r="W704" s="31">
        <f>IFERROR(Data!$J704/Data!$D704,"")</f>
        <v>0.31666666666666665</v>
      </c>
      <c r="X704" s="31">
        <f>IFERROR(Data!$K704/Data!$D704,"")</f>
        <v>0.21666666666666667</v>
      </c>
      <c r="Y704" s="31">
        <f>IFERROR(Data!$L704/Data!$D704,"")</f>
        <v>0.18333333333333332</v>
      </c>
      <c r="Z704" s="31">
        <f>IFERROR(Data!$M704/Data!$D704,"")</f>
        <v>0</v>
      </c>
      <c r="AA704" s="32">
        <v>169</v>
      </c>
      <c r="AB704" s="32">
        <f t="shared" si="89"/>
        <v>12.071428571428571</v>
      </c>
      <c r="AC704" s="29">
        <f t="shared" si="86"/>
        <v>630.78571428571433</v>
      </c>
      <c r="AD704" s="29">
        <f t="shared" si="87"/>
        <v>15.214285714285714</v>
      </c>
      <c r="AE704" s="29">
        <f>YEAR(Data!$C704)</f>
        <v>2024</v>
      </c>
      <c r="AF704" s="29"/>
      <c r="AG704" s="29">
        <v>12</v>
      </c>
      <c r="AH704" s="33">
        <f>Data!$F704/Data!$D704</f>
        <v>10.066666666666666</v>
      </c>
      <c r="AI704" s="17" t="str">
        <f>RIGHT(Data!$O704,2)</f>
        <v>PM</v>
      </c>
      <c r="AJ704" s="29" t="str">
        <f>Data!$R704&amp;"-"&amp;WEEKNUM(Data!$C704,1)-WEEKNUM(DATE(YEAR(Data!$C704),MONTH(Data!$C704),1),1)+1</f>
        <v>10-2024-4</v>
      </c>
      <c r="AK704" s="29">
        <f>MONTH(Data!$C704)</f>
        <v>10</v>
      </c>
      <c r="AL704" s="29">
        <f>IFERROR(Data!$F704/Data!$E704,0)</f>
        <v>54.909090909090907</v>
      </c>
      <c r="AM704" s="29">
        <f>COUNTIF(Data!$N$2:$N$825,Data!$N704)</f>
        <v>182</v>
      </c>
      <c r="AN704" s="29" t="str">
        <f>VLOOKUP(Data!$N704,'Helpful Tables'!A:D,4,FALSE)</f>
        <v>Oregon</v>
      </c>
      <c r="AO704" s="29">
        <f>COUNTIF(AN:AN,Data!$AN704)/COUNTA(AN:AN)</f>
        <v>0.27393939393939393</v>
      </c>
      <c r="AP704" s="29">
        <v>45.534162000000002</v>
      </c>
      <c r="AQ704" s="29">
        <v>-122.69670000000001</v>
      </c>
      <c r="AR704" s="29">
        <f>COUNTIF(Data!$P$2:$P$825,Data!$P704)</f>
        <v>25</v>
      </c>
      <c r="AS704" s="29" cm="1">
        <f t="array" ref="AS704">_xlfn.IFS(Data!$E704&lt;12,((Data!$E704/Data!$D704)*60)*1,AND(Data!$E704&gt;=12,Data!$E704&lt;=15),((Data!$E704/Data!$D704)*60)*1.2,AND(Data!$E704&gt;=16,Data!$E704&lt;=19),((Data!$E704/Data!$D704)*60)*1.5,Data!$E704&gt;=20,((Data!$E704/Data!$D704)*60)*1.8)</f>
        <v>11</v>
      </c>
      <c r="AT704" s="29" cm="1">
        <f t="array" ref="AT704">_xlfn.IFS(Data!$F704&lt;600,((Data!$F704/Data!$D704)*60)*1,AND(Data!$F704&gt;=600,Data!$F704&lt;=625),((Data!$F704/Data!$D704)*60)*1.2,AND(Data!$F704&gt;=626,Data!$F704&lt;=650),((Data!$F704/Data!$D704)*60)*1.5,Data!$F704&gt;=651,((Data!$F704/Data!$D704)*60)*1.8)</f>
        <v>724.8</v>
      </c>
      <c r="AU704" s="29">
        <f>(Data!$I704*-1.2)+(Data!$J704*-1.1)+(Data!$K704*1.2)+(Data!$L704*1.3)+(Data!$M704*1.5)</f>
        <v>-11.399999999999995</v>
      </c>
      <c r="AV704" s="29">
        <f>(Data!$AS704*0.4)+(Data!$AT704*0.4)+(Data!$AU704*0.2)</f>
        <v>292.04000000000002</v>
      </c>
      <c r="AW704" s="34">
        <f>PERCENTRANK(AV:AV,Data!$AV704)*100</f>
        <v>24.3</v>
      </c>
      <c r="AX704" s="29" t="str">
        <f>_xlfn.CONCAT(TEXT(C704,"mmm"),"-",Data!$AE704)</f>
        <v>Oct-2024</v>
      </c>
    </row>
    <row r="705" spans="1:50" ht="17" thickTop="1" thickBot="1" x14ac:dyDescent="0.25">
      <c r="A705" s="22">
        <v>704</v>
      </c>
      <c r="B705" s="23">
        <f t="shared" si="82"/>
        <v>14</v>
      </c>
      <c r="C705" s="41">
        <v>45589</v>
      </c>
      <c r="D705" s="24">
        <f>SUM(Data!$I705:$M705)</f>
        <v>59</v>
      </c>
      <c r="E705" s="23">
        <v>14</v>
      </c>
      <c r="F705" s="23">
        <v>691</v>
      </c>
      <c r="G705" s="23">
        <v>168</v>
      </c>
      <c r="H705" s="23">
        <v>130</v>
      </c>
      <c r="I705" s="23">
        <v>7</v>
      </c>
      <c r="J705" s="23">
        <v>17</v>
      </c>
      <c r="K705" s="23">
        <v>21</v>
      </c>
      <c r="L705" s="23">
        <v>11</v>
      </c>
      <c r="M705" s="23">
        <v>3</v>
      </c>
      <c r="N705" s="23" t="s">
        <v>125</v>
      </c>
      <c r="O705" s="23" t="s">
        <v>127</v>
      </c>
      <c r="P705" s="23" t="s">
        <v>222</v>
      </c>
      <c r="Q705" s="23">
        <f t="shared" si="88"/>
        <v>1</v>
      </c>
      <c r="R705" s="23" t="str">
        <f t="shared" si="83"/>
        <v>10-2024</v>
      </c>
      <c r="S705" s="23" t="s">
        <v>104</v>
      </c>
      <c r="T705" s="23" t="str">
        <f t="shared" si="84"/>
        <v>Thursday</v>
      </c>
      <c r="U705" s="23">
        <f t="shared" si="85"/>
        <v>1</v>
      </c>
      <c r="V705" s="25">
        <f>IFERROR(Data!$I705/Data!$D705,"")</f>
        <v>0.11864406779661017</v>
      </c>
      <c r="W705" s="25">
        <f>IFERROR(Data!$J705/Data!$D705,"")</f>
        <v>0.28813559322033899</v>
      </c>
      <c r="X705" s="25">
        <f>IFERROR(Data!$K705/Data!$D705,"")</f>
        <v>0.3559322033898305</v>
      </c>
      <c r="Y705" s="25">
        <f>IFERROR(Data!$L705/Data!$D705,"")</f>
        <v>0.1864406779661017</v>
      </c>
      <c r="Z705" s="25">
        <f>IFERROR(Data!$M705/Data!$D705,"")</f>
        <v>5.0847457627118647E-2</v>
      </c>
      <c r="AA705" s="26">
        <v>169</v>
      </c>
      <c r="AB705" s="26">
        <f t="shared" si="89"/>
        <v>12.071428571428571</v>
      </c>
      <c r="AC705" s="23">
        <f t="shared" si="86"/>
        <v>630.78571428571433</v>
      </c>
      <c r="AD705" s="23">
        <f t="shared" si="87"/>
        <v>15.214285714285714</v>
      </c>
      <c r="AE705" s="23">
        <f>YEAR(Data!$C705)</f>
        <v>2024</v>
      </c>
      <c r="AF705" s="23"/>
      <c r="AG705" s="23">
        <v>12</v>
      </c>
      <c r="AH705" s="27">
        <f>Data!$F705/Data!$D705</f>
        <v>11.711864406779661</v>
      </c>
      <c r="AI705" s="17" t="str">
        <f>RIGHT(Data!$O705,2)</f>
        <v>PM</v>
      </c>
      <c r="AJ705" s="23" t="str">
        <f>Data!$R705&amp;"-"&amp;WEEKNUM(Data!$C705,1)-WEEKNUM(DATE(YEAR(Data!$C705),MONTH(Data!$C705),1),1)+1</f>
        <v>10-2024-4</v>
      </c>
      <c r="AK705" s="23">
        <f>MONTH(Data!$C705)</f>
        <v>10</v>
      </c>
      <c r="AL705" s="23">
        <f>IFERROR(Data!$F705/Data!$E705,0)</f>
        <v>49.357142857142854</v>
      </c>
      <c r="AM705" s="23">
        <f>COUNTIF(Data!$N$2:$N$825,Data!$N705)</f>
        <v>182</v>
      </c>
      <c r="AN705" s="23" t="str">
        <f>VLOOKUP(Data!$N705,'Helpful Tables'!A:D,4,FALSE)</f>
        <v>Oregon</v>
      </c>
      <c r="AO705" s="23">
        <f>COUNTIF(AN:AN,Data!$AN705)/COUNTA(AN:AN)</f>
        <v>0.27393939393939393</v>
      </c>
      <c r="AP705" s="23">
        <v>45.534162000000002</v>
      </c>
      <c r="AQ705" s="23">
        <v>-122.69670000000001</v>
      </c>
      <c r="AR705" s="23">
        <f>COUNTIF(Data!$P$2:$P$825,Data!$P705)</f>
        <v>32</v>
      </c>
      <c r="AS705" s="23" cm="1">
        <f t="array" ref="AS705">_xlfn.IFS(Data!$E705&lt;12,((Data!$E705/Data!$D705)*60)*1,AND(Data!$E705&gt;=12,Data!$E705&lt;=15),((Data!$E705/Data!$D705)*60)*1.2,AND(Data!$E705&gt;=16,Data!$E705&lt;=19),((Data!$E705/Data!$D705)*60)*1.5,Data!$E705&gt;=20,((Data!$E705/Data!$D705)*60)*1.8)</f>
        <v>17.084745762711865</v>
      </c>
      <c r="AT705" s="23" cm="1">
        <f t="array" ref="AT705">_xlfn.IFS(Data!$F705&lt;600,((Data!$F705/Data!$D705)*60)*1,AND(Data!$F705&gt;=600,Data!$F705&lt;=625),((Data!$F705/Data!$D705)*60)*1.2,AND(Data!$F705&gt;=626,Data!$F705&lt;=650),((Data!$F705/Data!$D705)*60)*1.5,Data!$F705&gt;=651,((Data!$F705/Data!$D705)*60)*1.8)</f>
        <v>1264.8813559322034</v>
      </c>
      <c r="AU705" s="23">
        <f>(Data!$I705*-1.2)+(Data!$J705*-1.1)+(Data!$K705*1.2)+(Data!$L705*1.3)+(Data!$M705*1.5)</f>
        <v>16.899999999999999</v>
      </c>
      <c r="AV705" s="23">
        <f>(Data!$AS705*0.4)+(Data!$AT705*0.4)+(Data!$AU705*0.2)</f>
        <v>516.16644067796619</v>
      </c>
      <c r="AW705" s="35">
        <f>PERCENTRANK(AV:AV,Data!$AV705)*100</f>
        <v>87.8</v>
      </c>
      <c r="AX705" s="23" t="str">
        <f>_xlfn.CONCAT(TEXT(C705,"mmm"),"-",Data!$AE705)</f>
        <v>Oct-2024</v>
      </c>
    </row>
    <row r="706" spans="1:50" ht="17" thickTop="1" thickBot="1" x14ac:dyDescent="0.25">
      <c r="A706" s="28">
        <v>705</v>
      </c>
      <c r="B706" s="29">
        <f t="shared" ref="B706:B769" si="90">COUNTIF(R:R,R706)</f>
        <v>14</v>
      </c>
      <c r="C706" s="41">
        <v>45593</v>
      </c>
      <c r="D706" s="30">
        <f>SUM(Data!$I706:$M706)</f>
        <v>63</v>
      </c>
      <c r="E706" s="29">
        <v>9</v>
      </c>
      <c r="F706" s="29">
        <v>586</v>
      </c>
      <c r="G706" s="29">
        <v>168</v>
      </c>
      <c r="H706" s="29">
        <v>115</v>
      </c>
      <c r="I706" s="29">
        <v>25</v>
      </c>
      <c r="J706" s="29">
        <v>17</v>
      </c>
      <c r="K706" s="29">
        <v>12</v>
      </c>
      <c r="L706" s="29">
        <v>8</v>
      </c>
      <c r="M706" s="29">
        <v>1</v>
      </c>
      <c r="N706" s="29" t="s">
        <v>125</v>
      </c>
      <c r="O706" s="29" t="s">
        <v>127</v>
      </c>
      <c r="P706" s="29" t="s">
        <v>220</v>
      </c>
      <c r="Q706" s="29">
        <f t="shared" si="88"/>
        <v>4</v>
      </c>
      <c r="R706" s="29" t="str">
        <f t="shared" ref="R706:R769" si="91">MONTH(C706)&amp;"-"&amp;YEAR(C706)</f>
        <v>10-2024</v>
      </c>
      <c r="S706" s="29" t="s">
        <v>104</v>
      </c>
      <c r="T706" s="29" t="str">
        <f t="shared" ref="T706:T769" si="92">IF(WEEKDAY(C706)=1,"Sunday",IF(WEEKDAY(C706)=2,"Monday",IF(WEEKDAY(C706)=3,"Tuesday",IF(WEEKDAY(C706)=4,"Wednesday",IF(WEEKDAY(C706)=5,"Thursday",IF(WEEKDAY(C706)=6,"Friday","Saturday"))))))</f>
        <v>Monday</v>
      </c>
      <c r="U706" s="29">
        <f t="shared" ref="U706:U769" si="93">IF(E706&gt;=12,1,0)</f>
        <v>0</v>
      </c>
      <c r="V706" s="31">
        <f>IFERROR(Data!$I706/Data!$D706,"")</f>
        <v>0.3968253968253968</v>
      </c>
      <c r="W706" s="31">
        <f>IFERROR(Data!$J706/Data!$D706,"")</f>
        <v>0.26984126984126983</v>
      </c>
      <c r="X706" s="31">
        <f>IFERROR(Data!$K706/Data!$D706,"")</f>
        <v>0.19047619047619047</v>
      </c>
      <c r="Y706" s="31">
        <f>IFERROR(Data!$L706/Data!$D706,"")</f>
        <v>0.12698412698412698</v>
      </c>
      <c r="Z706" s="31">
        <f>IFERROR(Data!$M706/Data!$D706,"")</f>
        <v>1.5873015873015872E-2</v>
      </c>
      <c r="AA706" s="32">
        <v>169</v>
      </c>
      <c r="AB706" s="32">
        <f t="shared" si="89"/>
        <v>12.071428571428571</v>
      </c>
      <c r="AC706" s="29">
        <f t="shared" ref="AC706:AC769" si="94">AVERAGEIF(R:R,R706,F:F)</f>
        <v>630.78571428571433</v>
      </c>
      <c r="AD706" s="29">
        <f t="shared" ref="AD706:AD769" si="95">AVERAGEIF(R:R,R706,E:E)</f>
        <v>15.214285714285714</v>
      </c>
      <c r="AE706" s="29">
        <f>YEAR(Data!$C706)</f>
        <v>2024</v>
      </c>
      <c r="AF706" s="29"/>
      <c r="AG706" s="29">
        <v>12</v>
      </c>
      <c r="AH706" s="33">
        <f>Data!$F706/Data!$D706</f>
        <v>9.3015873015873023</v>
      </c>
      <c r="AI706" s="17" t="str">
        <f>RIGHT(Data!$O706,2)</f>
        <v>PM</v>
      </c>
      <c r="AJ706" s="29" t="str">
        <f>Data!$R706&amp;"-"&amp;WEEKNUM(Data!$C706,1)-WEEKNUM(DATE(YEAR(Data!$C706),MONTH(Data!$C706),1),1)+1</f>
        <v>10-2024-5</v>
      </c>
      <c r="AK706" s="29">
        <f>MONTH(Data!$C706)</f>
        <v>10</v>
      </c>
      <c r="AL706" s="29">
        <f>IFERROR(Data!$F706/Data!$E706,0)</f>
        <v>65.111111111111114</v>
      </c>
      <c r="AM706" s="29">
        <f>COUNTIF(Data!$N$2:$N$825,Data!$N706)</f>
        <v>182</v>
      </c>
      <c r="AN706" s="29" t="str">
        <f>VLOOKUP(Data!$N706,'Helpful Tables'!A:D,4,FALSE)</f>
        <v>Oregon</v>
      </c>
      <c r="AO706" s="29">
        <f>COUNTIF(AN:AN,Data!$AN706)/COUNTA(AN:AN)</f>
        <v>0.27393939393939393</v>
      </c>
      <c r="AP706" s="29">
        <v>45.534162000000002</v>
      </c>
      <c r="AQ706" s="29">
        <v>-122.69670000000001</v>
      </c>
      <c r="AR706" s="29">
        <f>COUNTIF(Data!$P$2:$P$825,Data!$P706)</f>
        <v>43</v>
      </c>
      <c r="AS706" s="29" cm="1">
        <f t="array" ref="AS706">_xlfn.IFS(Data!$E706&lt;12,((Data!$E706/Data!$D706)*60)*1,AND(Data!$E706&gt;=12,Data!$E706&lt;=15),((Data!$E706/Data!$D706)*60)*1.2,AND(Data!$E706&gt;=16,Data!$E706&lt;=19),((Data!$E706/Data!$D706)*60)*1.5,Data!$E706&gt;=20,((Data!$E706/Data!$D706)*60)*1.8)</f>
        <v>8.5714285714285712</v>
      </c>
      <c r="AT706" s="29" cm="1">
        <f t="array" ref="AT706">_xlfn.IFS(Data!$F706&lt;600,((Data!$F706/Data!$D706)*60)*1,AND(Data!$F706&gt;=600,Data!$F706&lt;=625),((Data!$F706/Data!$D706)*60)*1.2,AND(Data!$F706&gt;=626,Data!$F706&lt;=650),((Data!$F706/Data!$D706)*60)*1.5,Data!$F706&gt;=651,((Data!$F706/Data!$D706)*60)*1.8)</f>
        <v>558.09523809523819</v>
      </c>
      <c r="AU706" s="29">
        <f>(Data!$I706*-1.2)+(Data!$J706*-1.1)+(Data!$K706*1.2)+(Data!$L706*1.3)+(Data!$M706*1.5)</f>
        <v>-22.400000000000006</v>
      </c>
      <c r="AV706" s="29">
        <f>(Data!$AS706*0.4)+(Data!$AT706*0.4)+(Data!$AU706*0.2)</f>
        <v>222.18666666666672</v>
      </c>
      <c r="AW706" s="34">
        <f>PERCENTRANK(AV:AV,Data!$AV706)*100</f>
        <v>4.3999999999999995</v>
      </c>
      <c r="AX706" s="29" t="str">
        <f>_xlfn.CONCAT(TEXT(C706,"mmm"),"-",Data!$AE706)</f>
        <v>Oct-2024</v>
      </c>
    </row>
    <row r="707" spans="1:50" ht="17" thickTop="1" thickBot="1" x14ac:dyDescent="0.25">
      <c r="A707" s="22">
        <v>706</v>
      </c>
      <c r="B707" s="23">
        <f t="shared" si="90"/>
        <v>14</v>
      </c>
      <c r="C707" s="41">
        <v>45594</v>
      </c>
      <c r="D707" s="24">
        <f>SUM(Data!$I707:$M707)</f>
        <v>62</v>
      </c>
      <c r="E707" s="23">
        <v>18</v>
      </c>
      <c r="F707" s="23">
        <v>656</v>
      </c>
      <c r="G707" s="23">
        <v>166</v>
      </c>
      <c r="H707" s="23">
        <v>124</v>
      </c>
      <c r="I707" s="23">
        <v>16</v>
      </c>
      <c r="J707" s="23">
        <v>18</v>
      </c>
      <c r="K707" s="23">
        <v>10</v>
      </c>
      <c r="L707" s="23">
        <v>16</v>
      </c>
      <c r="M707" s="23">
        <v>2</v>
      </c>
      <c r="N707" s="23" t="s">
        <v>125</v>
      </c>
      <c r="O707" s="23" t="s">
        <v>127</v>
      </c>
      <c r="P707" s="23" t="s">
        <v>216</v>
      </c>
      <c r="Q707" s="23">
        <f t="shared" ref="Q707:Q770" si="96">C707-C706</f>
        <v>1</v>
      </c>
      <c r="R707" s="23" t="str">
        <f t="shared" si="91"/>
        <v>10-2024</v>
      </c>
      <c r="S707" s="23" t="s">
        <v>104</v>
      </c>
      <c r="T707" s="23" t="str">
        <f t="shared" si="92"/>
        <v>Tuesday</v>
      </c>
      <c r="U707" s="23">
        <f t="shared" si="93"/>
        <v>1</v>
      </c>
      <c r="V707" s="25">
        <f>IFERROR(Data!$I707/Data!$D707,"")</f>
        <v>0.25806451612903225</v>
      </c>
      <c r="W707" s="25">
        <f>IFERROR(Data!$J707/Data!$D707,"")</f>
        <v>0.29032258064516131</v>
      </c>
      <c r="X707" s="25">
        <f>IFERROR(Data!$K707/Data!$D707,"")</f>
        <v>0.16129032258064516</v>
      </c>
      <c r="Y707" s="25">
        <f>IFERROR(Data!$L707/Data!$D707,"")</f>
        <v>0.25806451612903225</v>
      </c>
      <c r="Z707" s="25">
        <f>IFERROR(Data!$M707/Data!$D707,"")</f>
        <v>3.2258064516129031E-2</v>
      </c>
      <c r="AA707" s="26">
        <v>169</v>
      </c>
      <c r="AB707" s="26">
        <f t="shared" si="89"/>
        <v>12.071428571428571</v>
      </c>
      <c r="AC707" s="23">
        <f t="shared" si="94"/>
        <v>630.78571428571433</v>
      </c>
      <c r="AD707" s="23">
        <f t="shared" si="95"/>
        <v>15.214285714285714</v>
      </c>
      <c r="AE707" s="23">
        <f>YEAR(Data!$C707)</f>
        <v>2024</v>
      </c>
      <c r="AF707" s="23"/>
      <c r="AG707" s="23">
        <v>12</v>
      </c>
      <c r="AH707" s="27">
        <f>Data!$F707/Data!$D707</f>
        <v>10.580645161290322</v>
      </c>
      <c r="AI707" s="17" t="str">
        <f>RIGHT(Data!$O707,2)</f>
        <v>PM</v>
      </c>
      <c r="AJ707" s="23" t="str">
        <f>Data!$R707&amp;"-"&amp;WEEKNUM(Data!$C707,1)-WEEKNUM(DATE(YEAR(Data!$C707),MONTH(Data!$C707),1),1)+1</f>
        <v>10-2024-5</v>
      </c>
      <c r="AK707" s="23">
        <f>MONTH(Data!$C707)</f>
        <v>10</v>
      </c>
      <c r="AL707" s="23">
        <f>IFERROR(Data!$F707/Data!$E707,0)</f>
        <v>36.444444444444443</v>
      </c>
      <c r="AM707" s="23">
        <f>COUNTIF(Data!$N$2:$N$825,Data!$N707)</f>
        <v>182</v>
      </c>
      <c r="AN707" s="23" t="str">
        <f>VLOOKUP(Data!$N707,'Helpful Tables'!A:D,4,FALSE)</f>
        <v>Oregon</v>
      </c>
      <c r="AO707" s="23">
        <f>COUNTIF(AN:AN,Data!$AN707)/COUNTA(AN:AN)</f>
        <v>0.27393939393939393</v>
      </c>
      <c r="AP707" s="23">
        <v>45.534162000000002</v>
      </c>
      <c r="AQ707" s="23">
        <v>-122.69670000000001</v>
      </c>
      <c r="AR707" s="23">
        <f>COUNTIF(Data!$P$2:$P$825,Data!$P707)</f>
        <v>25</v>
      </c>
      <c r="AS707" s="23" cm="1">
        <f t="array" ref="AS707">_xlfn.IFS(Data!$E707&lt;12,((Data!$E707/Data!$D707)*60)*1,AND(Data!$E707&gt;=12,Data!$E707&lt;=15),((Data!$E707/Data!$D707)*60)*1.2,AND(Data!$E707&gt;=16,Data!$E707&lt;=19),((Data!$E707/Data!$D707)*60)*1.5,Data!$E707&gt;=20,((Data!$E707/Data!$D707)*60)*1.8)</f>
        <v>26.12903225806452</v>
      </c>
      <c r="AT707" s="23" cm="1">
        <f t="array" ref="AT707">_xlfn.IFS(Data!$F707&lt;600,((Data!$F707/Data!$D707)*60)*1,AND(Data!$F707&gt;=600,Data!$F707&lt;=625),((Data!$F707/Data!$D707)*60)*1.2,AND(Data!$F707&gt;=626,Data!$F707&lt;=650),((Data!$F707/Data!$D707)*60)*1.5,Data!$F707&gt;=651,((Data!$F707/Data!$D707)*60)*1.8)</f>
        <v>1142.7096774193546</v>
      </c>
      <c r="AU707" s="23">
        <f>(Data!$I707*-1.2)+(Data!$J707*-1.1)+(Data!$K707*1.2)+(Data!$L707*1.3)+(Data!$M707*1.5)</f>
        <v>-3.1999999999999993</v>
      </c>
      <c r="AV707" s="23">
        <f>(Data!$AS707*0.4)+(Data!$AT707*0.4)+(Data!$AU707*0.2)</f>
        <v>466.89548387096767</v>
      </c>
      <c r="AW707" s="35">
        <f>PERCENTRANK(AV:AV,Data!$AV707)*100</f>
        <v>66.2</v>
      </c>
      <c r="AX707" s="23" t="str">
        <f>_xlfn.CONCAT(TEXT(C707,"mmm"),"-",Data!$AE707)</f>
        <v>Oct-2024</v>
      </c>
    </row>
    <row r="708" spans="1:50" ht="17" thickTop="1" thickBot="1" x14ac:dyDescent="0.25">
      <c r="A708" s="28">
        <v>707</v>
      </c>
      <c r="B708" s="29">
        <f t="shared" si="90"/>
        <v>14</v>
      </c>
      <c r="C708" s="41">
        <v>45596</v>
      </c>
      <c r="D708" s="30">
        <f>SUM(Data!$I708:$M708)</f>
        <v>57</v>
      </c>
      <c r="E708" s="29">
        <v>13</v>
      </c>
      <c r="F708" s="29">
        <v>574</v>
      </c>
      <c r="G708" s="29">
        <v>159</v>
      </c>
      <c r="H708" s="29">
        <v>119</v>
      </c>
      <c r="I708" s="29">
        <v>16</v>
      </c>
      <c r="J708" s="29">
        <v>14</v>
      </c>
      <c r="K708" s="29">
        <v>14</v>
      </c>
      <c r="L708" s="29">
        <v>13</v>
      </c>
      <c r="M708" s="29">
        <v>0</v>
      </c>
      <c r="N708" s="29" t="s">
        <v>125</v>
      </c>
      <c r="O708" s="29" t="s">
        <v>127</v>
      </c>
      <c r="P708" s="29" t="s">
        <v>222</v>
      </c>
      <c r="Q708" s="29">
        <f t="shared" si="96"/>
        <v>2</v>
      </c>
      <c r="R708" s="29" t="str">
        <f t="shared" si="91"/>
        <v>10-2024</v>
      </c>
      <c r="S708" s="29" t="s">
        <v>117</v>
      </c>
      <c r="T708" s="29" t="str">
        <f t="shared" si="92"/>
        <v>Thursday</v>
      </c>
      <c r="U708" s="29">
        <f t="shared" si="93"/>
        <v>1</v>
      </c>
      <c r="V708" s="31">
        <f>IFERROR(Data!$I708/Data!$D708,"")</f>
        <v>0.2807017543859649</v>
      </c>
      <c r="W708" s="31">
        <f>IFERROR(Data!$J708/Data!$D708,"")</f>
        <v>0.24561403508771928</v>
      </c>
      <c r="X708" s="31">
        <f>IFERROR(Data!$K708/Data!$D708,"")</f>
        <v>0.24561403508771928</v>
      </c>
      <c r="Y708" s="31">
        <f>IFERROR(Data!$L708/Data!$D708,"")</f>
        <v>0.22807017543859648</v>
      </c>
      <c r="Z708" s="31">
        <f>IFERROR(Data!$M708/Data!$D708,"")</f>
        <v>0</v>
      </c>
      <c r="AA708" s="32">
        <v>169</v>
      </c>
      <c r="AB708" s="32">
        <f t="shared" si="89"/>
        <v>12.071428571428571</v>
      </c>
      <c r="AC708" s="29">
        <f t="shared" si="94"/>
        <v>630.78571428571433</v>
      </c>
      <c r="AD708" s="29">
        <f t="shared" si="95"/>
        <v>15.214285714285714</v>
      </c>
      <c r="AE708" s="29">
        <f>YEAR(Data!$C708)</f>
        <v>2024</v>
      </c>
      <c r="AF708" s="29"/>
      <c r="AG708" s="29">
        <v>12</v>
      </c>
      <c r="AH708" s="33">
        <f>Data!$F708/Data!$D708</f>
        <v>10.070175438596491</v>
      </c>
      <c r="AI708" s="17" t="str">
        <f>RIGHT(Data!$O708,2)</f>
        <v>PM</v>
      </c>
      <c r="AJ708" s="29" t="str">
        <f>Data!$R708&amp;"-"&amp;WEEKNUM(Data!$C708,1)-WEEKNUM(DATE(YEAR(Data!$C708),MONTH(Data!$C708),1),1)+1</f>
        <v>10-2024-5</v>
      </c>
      <c r="AK708" s="29">
        <f>MONTH(Data!$C708)</f>
        <v>10</v>
      </c>
      <c r="AL708" s="29">
        <f>IFERROR(Data!$F708/Data!$E708,0)</f>
        <v>44.153846153846153</v>
      </c>
      <c r="AM708" s="29">
        <f>COUNTIF(Data!$N$2:$N$825,Data!$N708)</f>
        <v>182</v>
      </c>
      <c r="AN708" s="29" t="str">
        <f>VLOOKUP(Data!$N708,'Helpful Tables'!A:D,4,FALSE)</f>
        <v>Oregon</v>
      </c>
      <c r="AO708" s="29">
        <f>COUNTIF(AN:AN,Data!$AN708)/COUNTA(AN:AN)</f>
        <v>0.27393939393939393</v>
      </c>
      <c r="AP708" s="29">
        <v>45.534162000000002</v>
      </c>
      <c r="AQ708" s="29">
        <v>-122.69670000000001</v>
      </c>
      <c r="AR708" s="29">
        <f>COUNTIF(Data!$P$2:$P$825,Data!$P708)</f>
        <v>32</v>
      </c>
      <c r="AS708" s="29" cm="1">
        <f t="array" ref="AS708">_xlfn.IFS(Data!$E708&lt;12,((Data!$E708/Data!$D708)*60)*1,AND(Data!$E708&gt;=12,Data!$E708&lt;=15),((Data!$E708/Data!$D708)*60)*1.2,AND(Data!$E708&gt;=16,Data!$E708&lt;=19),((Data!$E708/Data!$D708)*60)*1.5,Data!$E708&gt;=20,((Data!$E708/Data!$D708)*60)*1.8)</f>
        <v>16.421052631578945</v>
      </c>
      <c r="AT708" s="29" cm="1">
        <f t="array" ref="AT708">_xlfn.IFS(Data!$F708&lt;600,((Data!$F708/Data!$D708)*60)*1,AND(Data!$F708&gt;=600,Data!$F708&lt;=625),((Data!$F708/Data!$D708)*60)*1.2,AND(Data!$F708&gt;=626,Data!$F708&lt;=650),((Data!$F708/Data!$D708)*60)*1.5,Data!$F708&gt;=651,((Data!$F708/Data!$D708)*60)*1.8)</f>
        <v>604.21052631578948</v>
      </c>
      <c r="AU708" s="29">
        <f>(Data!$I708*-1.2)+(Data!$J708*-1.1)+(Data!$K708*1.2)+(Data!$L708*1.3)+(Data!$M708*1.5)</f>
        <v>-0.89999999999999858</v>
      </c>
      <c r="AV708" s="29">
        <f>(Data!$AS708*0.4)+(Data!$AT708*0.4)+(Data!$AU708*0.2)</f>
        <v>248.07263157894738</v>
      </c>
      <c r="AW708" s="34">
        <f>PERCENTRANK(AV:AV,Data!$AV708)*100</f>
        <v>16.3</v>
      </c>
      <c r="AX708" s="29" t="str">
        <f>_xlfn.CONCAT(TEXT(C708,"mmm"),"-",Data!$AE708)</f>
        <v>Oct-2024</v>
      </c>
    </row>
    <row r="709" spans="1:50" ht="17" thickTop="1" thickBot="1" x14ac:dyDescent="0.25">
      <c r="A709" s="22">
        <v>708</v>
      </c>
      <c r="B709" s="23">
        <f t="shared" si="90"/>
        <v>14</v>
      </c>
      <c r="C709" s="41">
        <v>45598</v>
      </c>
      <c r="D709" s="24">
        <f>SUM(Data!$I709:$M709)</f>
        <v>59</v>
      </c>
      <c r="E709" s="23">
        <v>16</v>
      </c>
      <c r="F709" s="23">
        <v>634</v>
      </c>
      <c r="G709" s="23">
        <v>191</v>
      </c>
      <c r="H709" s="23">
        <v>125</v>
      </c>
      <c r="I709" s="23">
        <v>18</v>
      </c>
      <c r="J709" s="23">
        <v>13</v>
      </c>
      <c r="K709" s="23">
        <v>12</v>
      </c>
      <c r="L709" s="23">
        <v>14</v>
      </c>
      <c r="M709" s="23">
        <v>2</v>
      </c>
      <c r="N709" s="23" t="s">
        <v>208</v>
      </c>
      <c r="O709" s="23" t="s">
        <v>76</v>
      </c>
      <c r="P709" s="23" t="s">
        <v>213</v>
      </c>
      <c r="Q709" s="23">
        <f t="shared" si="96"/>
        <v>2</v>
      </c>
      <c r="R709" s="23" t="str">
        <f t="shared" si="91"/>
        <v>11-2024</v>
      </c>
      <c r="S709" s="23" t="s">
        <v>104</v>
      </c>
      <c r="T709" s="23" t="str">
        <f t="shared" si="92"/>
        <v>Saturday</v>
      </c>
      <c r="U709" s="23">
        <f t="shared" si="93"/>
        <v>1</v>
      </c>
      <c r="V709" s="25">
        <f>IFERROR(Data!$I709/Data!$D709,"")</f>
        <v>0.30508474576271188</v>
      </c>
      <c r="W709" s="25">
        <f>IFERROR(Data!$J709/Data!$D709,"")</f>
        <v>0.22033898305084745</v>
      </c>
      <c r="X709" s="25">
        <f>IFERROR(Data!$K709/Data!$D709,"")</f>
        <v>0.20338983050847459</v>
      </c>
      <c r="Y709" s="25">
        <f>IFERROR(Data!$L709/Data!$D709,"")</f>
        <v>0.23728813559322035</v>
      </c>
      <c r="Z709" s="25">
        <f>IFERROR(Data!$M709/Data!$D709,"")</f>
        <v>3.3898305084745763E-2</v>
      </c>
      <c r="AA709" s="26">
        <v>169</v>
      </c>
      <c r="AB709" s="26">
        <f t="shared" si="89"/>
        <v>12.071428571428571</v>
      </c>
      <c r="AC709" s="23">
        <f t="shared" si="94"/>
        <v>634.21428571428567</v>
      </c>
      <c r="AD709" s="23">
        <f t="shared" si="95"/>
        <v>14.785714285714286</v>
      </c>
      <c r="AE709" s="23">
        <f>YEAR(Data!$C709)</f>
        <v>2024</v>
      </c>
      <c r="AF709" s="23"/>
      <c r="AG709" s="23">
        <v>12</v>
      </c>
      <c r="AH709" s="27">
        <f>Data!$F709/Data!$D709</f>
        <v>10.745762711864407</v>
      </c>
      <c r="AI709" s="17" t="str">
        <f>RIGHT(Data!$O709,2)</f>
        <v>AM</v>
      </c>
      <c r="AJ709" s="23" t="str">
        <f>Data!$R709&amp;"-"&amp;WEEKNUM(Data!$C709,1)-WEEKNUM(DATE(YEAR(Data!$C709),MONTH(Data!$C709),1),1)+1</f>
        <v>11-2024-1</v>
      </c>
      <c r="AK709" s="23">
        <f>MONTH(Data!$C709)</f>
        <v>11</v>
      </c>
      <c r="AL709" s="23">
        <f>IFERROR(Data!$F709/Data!$E709,0)</f>
        <v>39.625</v>
      </c>
      <c r="AM709" s="23">
        <f>COUNTIF(Data!$N$2:$N$825,Data!$N709)</f>
        <v>42</v>
      </c>
      <c r="AN709" s="23" t="str">
        <f>VLOOKUP(Data!$N709,'Helpful Tables'!A:D,4,FALSE)</f>
        <v>Oregon</v>
      </c>
      <c r="AO709" s="23">
        <f>COUNTIF(AN:AN,Data!$AN709)/COUNTA(AN:AN)</f>
        <v>0.27393939393939393</v>
      </c>
      <c r="AP709" s="23">
        <v>45.525092999999998</v>
      </c>
      <c r="AQ709" s="23">
        <v>-122.681383</v>
      </c>
      <c r="AR709" s="23">
        <f>COUNTIF(Data!$P$2:$P$825,Data!$P709)</f>
        <v>20</v>
      </c>
      <c r="AS709" s="23" cm="1">
        <f t="array" ref="AS709">_xlfn.IFS(Data!$E709&lt;12,((Data!$E709/Data!$D709)*60)*1,AND(Data!$E709&gt;=12,Data!$E709&lt;=15),((Data!$E709/Data!$D709)*60)*1.2,AND(Data!$E709&gt;=16,Data!$E709&lt;=19),((Data!$E709/Data!$D709)*60)*1.5,Data!$E709&gt;=20,((Data!$E709/Data!$D709)*60)*1.8)</f>
        <v>24.406779661016948</v>
      </c>
      <c r="AT709" s="23" cm="1">
        <f t="array" ref="AT709">_xlfn.IFS(Data!$F709&lt;600,((Data!$F709/Data!$D709)*60)*1,AND(Data!$F709&gt;=600,Data!$F709&lt;=625),((Data!$F709/Data!$D709)*60)*1.2,AND(Data!$F709&gt;=626,Data!$F709&lt;=650),((Data!$F709/Data!$D709)*60)*1.5,Data!$F709&gt;=651,((Data!$F709/Data!$D709)*60)*1.8)</f>
        <v>967.11864406779659</v>
      </c>
      <c r="AU709" s="23">
        <f>(Data!$I709*-1.2)+(Data!$J709*-1.1)+(Data!$K709*1.2)+(Data!$L709*1.3)+(Data!$M709*1.5)</f>
        <v>-0.30000000000000071</v>
      </c>
      <c r="AV709" s="23">
        <f>(Data!$AS709*0.4)+(Data!$AT709*0.4)+(Data!$AU709*0.2)</f>
        <v>396.55016949152542</v>
      </c>
      <c r="AW709" s="35">
        <f>PERCENTRANK(AV:AV,Data!$AV709)*100</f>
        <v>50.7</v>
      </c>
      <c r="AX709" s="23" t="str">
        <f>_xlfn.CONCAT(TEXT(C709,"mmm"),"-",Data!$AE709)</f>
        <v>Nov-2024</v>
      </c>
    </row>
    <row r="710" spans="1:50" ht="17" thickTop="1" thickBot="1" x14ac:dyDescent="0.25">
      <c r="A710" s="28">
        <v>709</v>
      </c>
      <c r="B710" s="29">
        <f t="shared" si="90"/>
        <v>14</v>
      </c>
      <c r="C710" s="41">
        <v>45600</v>
      </c>
      <c r="D710" s="30">
        <f>SUM(Data!$I710:$M710)</f>
        <v>61</v>
      </c>
      <c r="E710" s="29">
        <v>18</v>
      </c>
      <c r="F710" s="29">
        <v>660</v>
      </c>
      <c r="G710" s="29">
        <v>166</v>
      </c>
      <c r="H710" s="29">
        <v>125</v>
      </c>
      <c r="I710" s="29">
        <v>16</v>
      </c>
      <c r="J710" s="29">
        <v>17</v>
      </c>
      <c r="K710" s="29">
        <v>10</v>
      </c>
      <c r="L710" s="29">
        <v>17</v>
      </c>
      <c r="M710" s="29">
        <v>1</v>
      </c>
      <c r="N710" s="29" t="s">
        <v>125</v>
      </c>
      <c r="O710" s="29" t="s">
        <v>127</v>
      </c>
      <c r="P710" s="29" t="s">
        <v>220</v>
      </c>
      <c r="Q710" s="29">
        <f t="shared" si="96"/>
        <v>2</v>
      </c>
      <c r="R710" s="29" t="str">
        <f t="shared" si="91"/>
        <v>11-2024</v>
      </c>
      <c r="S710" s="29" t="s">
        <v>104</v>
      </c>
      <c r="T710" s="29" t="str">
        <f t="shared" si="92"/>
        <v>Monday</v>
      </c>
      <c r="U710" s="29">
        <f t="shared" si="93"/>
        <v>1</v>
      </c>
      <c r="V710" s="31">
        <f>IFERROR(Data!$I710/Data!$D710,"")</f>
        <v>0.26229508196721313</v>
      </c>
      <c r="W710" s="31">
        <f>IFERROR(Data!$J710/Data!$D710,"")</f>
        <v>0.27868852459016391</v>
      </c>
      <c r="X710" s="31">
        <f>IFERROR(Data!$K710/Data!$D710,"")</f>
        <v>0.16393442622950818</v>
      </c>
      <c r="Y710" s="31">
        <f>IFERROR(Data!$L710/Data!$D710,"")</f>
        <v>0.27868852459016391</v>
      </c>
      <c r="Z710" s="31">
        <f>IFERROR(Data!$M710/Data!$D710,"")</f>
        <v>1.6393442622950821E-2</v>
      </c>
      <c r="AA710" s="32">
        <v>169</v>
      </c>
      <c r="AB710" s="32">
        <f t="shared" si="89"/>
        <v>12.071428571428571</v>
      </c>
      <c r="AC710" s="29">
        <f t="shared" si="94"/>
        <v>634.21428571428567</v>
      </c>
      <c r="AD710" s="29">
        <f t="shared" si="95"/>
        <v>14.785714285714286</v>
      </c>
      <c r="AE710" s="29">
        <f>YEAR(Data!$C710)</f>
        <v>2024</v>
      </c>
      <c r="AF710" s="29"/>
      <c r="AG710" s="29">
        <v>12</v>
      </c>
      <c r="AH710" s="33">
        <f>Data!$F710/Data!$D710</f>
        <v>10.819672131147541</v>
      </c>
      <c r="AI710" s="17" t="str">
        <f>RIGHT(Data!$O710,2)</f>
        <v>PM</v>
      </c>
      <c r="AJ710" s="29" t="str">
        <f>Data!$R710&amp;"-"&amp;WEEKNUM(Data!$C710,1)-WEEKNUM(DATE(YEAR(Data!$C710),MONTH(Data!$C710),1),1)+1</f>
        <v>11-2024-2</v>
      </c>
      <c r="AK710" s="29">
        <f>MONTH(Data!$C710)</f>
        <v>11</v>
      </c>
      <c r="AL710" s="29">
        <f>IFERROR(Data!$F710/Data!$E710,0)</f>
        <v>36.666666666666664</v>
      </c>
      <c r="AM710" s="29">
        <f>COUNTIF(Data!$N$2:$N$825,Data!$N710)</f>
        <v>182</v>
      </c>
      <c r="AN710" s="29" t="str">
        <f>VLOOKUP(Data!$N710,'Helpful Tables'!A:D,4,FALSE)</f>
        <v>Oregon</v>
      </c>
      <c r="AO710" s="29">
        <f>COUNTIF(AN:AN,Data!$AN710)/COUNTA(AN:AN)</f>
        <v>0.27393939393939393</v>
      </c>
      <c r="AP710" s="29">
        <v>45.534162000000002</v>
      </c>
      <c r="AQ710" s="29">
        <v>-122.69670000000001</v>
      </c>
      <c r="AR710" s="29">
        <f>COUNTIF(Data!$P$2:$P$825,Data!$P710)</f>
        <v>43</v>
      </c>
      <c r="AS710" s="29" cm="1">
        <f t="array" ref="AS710">_xlfn.IFS(Data!$E710&lt;12,((Data!$E710/Data!$D710)*60)*1,AND(Data!$E710&gt;=12,Data!$E710&lt;=15),((Data!$E710/Data!$D710)*60)*1.2,AND(Data!$E710&gt;=16,Data!$E710&lt;=19),((Data!$E710/Data!$D710)*60)*1.5,Data!$E710&gt;=20,((Data!$E710/Data!$D710)*60)*1.8)</f>
        <v>26.557377049180328</v>
      </c>
      <c r="AT710" s="29" cm="1">
        <f t="array" ref="AT710">_xlfn.IFS(Data!$F710&lt;600,((Data!$F710/Data!$D710)*60)*1,AND(Data!$F710&gt;=600,Data!$F710&lt;=625),((Data!$F710/Data!$D710)*60)*1.2,AND(Data!$F710&gt;=626,Data!$F710&lt;=650),((Data!$F710/Data!$D710)*60)*1.5,Data!$F710&gt;=651,((Data!$F710/Data!$D710)*60)*1.8)</f>
        <v>1168.5245901639346</v>
      </c>
      <c r="AU710" s="29">
        <f>(Data!$I710*-1.2)+(Data!$J710*-1.1)+(Data!$K710*1.2)+(Data!$L710*1.3)+(Data!$M710*1.5)</f>
        <v>-2.3000000000000043</v>
      </c>
      <c r="AV710" s="29">
        <f>(Data!$AS710*0.4)+(Data!$AT710*0.4)+(Data!$AU710*0.2)</f>
        <v>477.57278688524605</v>
      </c>
      <c r="AW710" s="34">
        <f>PERCENTRANK(AV:AV,Data!$AV710)*100</f>
        <v>68.2</v>
      </c>
      <c r="AX710" s="29" t="str">
        <f>_xlfn.CONCAT(TEXT(C710,"mmm"),"-",Data!$AE710)</f>
        <v>Nov-2024</v>
      </c>
    </row>
    <row r="711" spans="1:50" ht="17" thickTop="1" thickBot="1" x14ac:dyDescent="0.25">
      <c r="A711" s="22">
        <v>710</v>
      </c>
      <c r="B711" s="23">
        <f t="shared" si="90"/>
        <v>14</v>
      </c>
      <c r="C711" s="41">
        <v>45603</v>
      </c>
      <c r="D711" s="24">
        <f>SUM(Data!$I711:$M711)</f>
        <v>59</v>
      </c>
      <c r="E711" s="23">
        <v>18</v>
      </c>
      <c r="F711" s="23">
        <v>653</v>
      </c>
      <c r="G711" s="23">
        <v>167</v>
      </c>
      <c r="H711" s="23">
        <v>126</v>
      </c>
      <c r="I711" s="23">
        <v>15</v>
      </c>
      <c r="J711" s="23">
        <v>16</v>
      </c>
      <c r="K711" s="23">
        <v>10</v>
      </c>
      <c r="L711" s="23">
        <v>16</v>
      </c>
      <c r="M711" s="23">
        <v>2</v>
      </c>
      <c r="N711" s="23" t="s">
        <v>125</v>
      </c>
      <c r="O711" s="23" t="s">
        <v>127</v>
      </c>
      <c r="P711" s="23" t="s">
        <v>222</v>
      </c>
      <c r="Q711" s="23">
        <f t="shared" si="96"/>
        <v>3</v>
      </c>
      <c r="R711" s="23" t="str">
        <f t="shared" si="91"/>
        <v>11-2024</v>
      </c>
      <c r="S711" s="23" t="s">
        <v>104</v>
      </c>
      <c r="T711" s="23" t="str">
        <f t="shared" si="92"/>
        <v>Thursday</v>
      </c>
      <c r="U711" s="23">
        <f t="shared" si="93"/>
        <v>1</v>
      </c>
      <c r="V711" s="25">
        <f>IFERROR(Data!$I711/Data!$D711,"")</f>
        <v>0.25423728813559321</v>
      </c>
      <c r="W711" s="25">
        <f>IFERROR(Data!$J711/Data!$D711,"")</f>
        <v>0.2711864406779661</v>
      </c>
      <c r="X711" s="25">
        <f>IFERROR(Data!$K711/Data!$D711,"")</f>
        <v>0.16949152542372881</v>
      </c>
      <c r="Y711" s="25">
        <f>IFERROR(Data!$L711/Data!$D711,"")</f>
        <v>0.2711864406779661</v>
      </c>
      <c r="Z711" s="25">
        <f>IFERROR(Data!$M711/Data!$D711,"")</f>
        <v>3.3898305084745763E-2</v>
      </c>
      <c r="AA711" s="26">
        <v>169</v>
      </c>
      <c r="AB711" s="26">
        <f t="shared" si="89"/>
        <v>12.071428571428571</v>
      </c>
      <c r="AC711" s="23">
        <f t="shared" si="94"/>
        <v>634.21428571428567</v>
      </c>
      <c r="AD711" s="23">
        <f t="shared" si="95"/>
        <v>14.785714285714286</v>
      </c>
      <c r="AE711" s="23">
        <f>YEAR(Data!$C711)</f>
        <v>2024</v>
      </c>
      <c r="AF711" s="23"/>
      <c r="AG711" s="23">
        <v>12</v>
      </c>
      <c r="AH711" s="27">
        <f>Data!$F711/Data!$D711</f>
        <v>11.067796610169491</v>
      </c>
      <c r="AI711" s="17" t="str">
        <f>RIGHT(Data!$O711,2)</f>
        <v>PM</v>
      </c>
      <c r="AJ711" s="23" t="str">
        <f>Data!$R711&amp;"-"&amp;WEEKNUM(Data!$C711,1)-WEEKNUM(DATE(YEAR(Data!$C711),MONTH(Data!$C711),1),1)+1</f>
        <v>11-2024-2</v>
      </c>
      <c r="AK711" s="23">
        <f>MONTH(Data!$C711)</f>
        <v>11</v>
      </c>
      <c r="AL711" s="23">
        <f>IFERROR(Data!$F711/Data!$E711,0)</f>
        <v>36.277777777777779</v>
      </c>
      <c r="AM711" s="23">
        <f>COUNTIF(Data!$N$2:$N$825,Data!$N711)</f>
        <v>182</v>
      </c>
      <c r="AN711" s="23" t="str">
        <f>VLOOKUP(Data!$N711,'Helpful Tables'!A:D,4,FALSE)</f>
        <v>Oregon</v>
      </c>
      <c r="AO711" s="23">
        <f>COUNTIF(AN:AN,Data!$AN711)/COUNTA(AN:AN)</f>
        <v>0.27393939393939393</v>
      </c>
      <c r="AP711" s="23">
        <v>45.534162000000002</v>
      </c>
      <c r="AQ711" s="23">
        <v>-122.69670000000001</v>
      </c>
      <c r="AR711" s="23">
        <f>COUNTIF(Data!$P$2:$P$825,Data!$P711)</f>
        <v>32</v>
      </c>
      <c r="AS711" s="23" cm="1">
        <f t="array" ref="AS711">_xlfn.IFS(Data!$E711&lt;12,((Data!$E711/Data!$D711)*60)*1,AND(Data!$E711&gt;=12,Data!$E711&lt;=15),((Data!$E711/Data!$D711)*60)*1.2,AND(Data!$E711&gt;=16,Data!$E711&lt;=19),((Data!$E711/Data!$D711)*60)*1.5,Data!$E711&gt;=20,((Data!$E711/Data!$D711)*60)*1.8)</f>
        <v>27.457627118644069</v>
      </c>
      <c r="AT711" s="23" cm="1">
        <f t="array" ref="AT711">_xlfn.IFS(Data!$F711&lt;600,((Data!$F711/Data!$D711)*60)*1,AND(Data!$F711&gt;=600,Data!$F711&lt;=625),((Data!$F711/Data!$D711)*60)*1.2,AND(Data!$F711&gt;=626,Data!$F711&lt;=650),((Data!$F711/Data!$D711)*60)*1.5,Data!$F711&gt;=651,((Data!$F711/Data!$D711)*60)*1.8)</f>
        <v>1195.3220338983051</v>
      </c>
      <c r="AU711" s="23">
        <f>(Data!$I711*-1.2)+(Data!$J711*-1.1)+(Data!$K711*1.2)+(Data!$L711*1.3)+(Data!$M711*1.5)</f>
        <v>0.19999999999999929</v>
      </c>
      <c r="AV711" s="23">
        <f>(Data!$AS711*0.4)+(Data!$AT711*0.4)+(Data!$AU711*0.2)</f>
        <v>489.15186440677968</v>
      </c>
      <c r="AW711" s="35">
        <f>PERCENTRANK(AV:AV,Data!$AV711)*100</f>
        <v>72.399999999999991</v>
      </c>
      <c r="AX711" s="23" t="str">
        <f>_xlfn.CONCAT(TEXT(C711,"mmm"),"-",Data!$AE711)</f>
        <v>Nov-2024</v>
      </c>
    </row>
    <row r="712" spans="1:50" ht="17" thickTop="1" thickBot="1" x14ac:dyDescent="0.25">
      <c r="A712" s="28">
        <v>711</v>
      </c>
      <c r="B712" s="29">
        <f t="shared" si="90"/>
        <v>14</v>
      </c>
      <c r="C712" s="41">
        <v>45604</v>
      </c>
      <c r="D712" s="30">
        <f>SUM(Data!$I712:$M712)</f>
        <v>59</v>
      </c>
      <c r="E712" s="29">
        <v>15</v>
      </c>
      <c r="F712" s="29">
        <v>637</v>
      </c>
      <c r="G712" s="29">
        <v>165</v>
      </c>
      <c r="H712" s="29">
        <v>123</v>
      </c>
      <c r="I712" s="29">
        <v>20</v>
      </c>
      <c r="J712" s="29">
        <v>12</v>
      </c>
      <c r="K712" s="29">
        <v>12</v>
      </c>
      <c r="L712" s="29">
        <v>14</v>
      </c>
      <c r="M712" s="29">
        <v>1</v>
      </c>
      <c r="N712" s="29" t="s">
        <v>125</v>
      </c>
      <c r="O712" s="29" t="s">
        <v>127</v>
      </c>
      <c r="P712" s="29" t="s">
        <v>210</v>
      </c>
      <c r="Q712" s="29">
        <f t="shared" si="96"/>
        <v>1</v>
      </c>
      <c r="R712" s="29" t="str">
        <f t="shared" si="91"/>
        <v>11-2024</v>
      </c>
      <c r="S712" s="29" t="s">
        <v>104</v>
      </c>
      <c r="T712" s="29" t="str">
        <f t="shared" si="92"/>
        <v>Friday</v>
      </c>
      <c r="U712" s="29">
        <f t="shared" si="93"/>
        <v>1</v>
      </c>
      <c r="V712" s="31">
        <f>IFERROR(Data!$I712/Data!$D712,"")</f>
        <v>0.33898305084745761</v>
      </c>
      <c r="W712" s="31">
        <f>IFERROR(Data!$J712/Data!$D712,"")</f>
        <v>0.20338983050847459</v>
      </c>
      <c r="X712" s="31">
        <f>IFERROR(Data!$K712/Data!$D712,"")</f>
        <v>0.20338983050847459</v>
      </c>
      <c r="Y712" s="31">
        <f>IFERROR(Data!$L712/Data!$D712,"")</f>
        <v>0.23728813559322035</v>
      </c>
      <c r="Z712" s="31">
        <f>IFERROR(Data!$M712/Data!$D712,"")</f>
        <v>1.6949152542372881E-2</v>
      </c>
      <c r="AA712" s="32">
        <v>169</v>
      </c>
      <c r="AB712" s="32">
        <f t="shared" si="89"/>
        <v>12.071428571428571</v>
      </c>
      <c r="AC712" s="29">
        <f t="shared" si="94"/>
        <v>634.21428571428567</v>
      </c>
      <c r="AD712" s="29">
        <f t="shared" si="95"/>
        <v>14.785714285714286</v>
      </c>
      <c r="AE712" s="29">
        <f>YEAR(Data!$C712)</f>
        <v>2024</v>
      </c>
      <c r="AF712" s="29"/>
      <c r="AG712" s="29">
        <v>12</v>
      </c>
      <c r="AH712" s="33">
        <f>Data!$F712/Data!$D712</f>
        <v>10.796610169491526</v>
      </c>
      <c r="AI712" s="17" t="str">
        <f>RIGHT(Data!$O712,2)</f>
        <v>PM</v>
      </c>
      <c r="AJ712" s="29" t="str">
        <f>Data!$R712&amp;"-"&amp;WEEKNUM(Data!$C712,1)-WEEKNUM(DATE(YEAR(Data!$C712),MONTH(Data!$C712),1),1)+1</f>
        <v>11-2024-2</v>
      </c>
      <c r="AK712" s="29">
        <f>MONTH(Data!$C712)</f>
        <v>11</v>
      </c>
      <c r="AL712" s="29">
        <f>IFERROR(Data!$F712/Data!$E712,0)</f>
        <v>42.466666666666669</v>
      </c>
      <c r="AM712" s="29">
        <f>COUNTIF(Data!$N$2:$N$825,Data!$N712)</f>
        <v>182</v>
      </c>
      <c r="AN712" s="29" t="str">
        <f>VLOOKUP(Data!$N712,'Helpful Tables'!A:D,4,FALSE)</f>
        <v>Oregon</v>
      </c>
      <c r="AO712" s="29">
        <f>COUNTIF(AN:AN,Data!$AN712)/COUNTA(AN:AN)</f>
        <v>0.27393939393939393</v>
      </c>
      <c r="AP712" s="29">
        <v>45.534162000000002</v>
      </c>
      <c r="AQ712" s="29">
        <v>-122.69670000000001</v>
      </c>
      <c r="AR712" s="29">
        <f>COUNTIF(Data!$P$2:$P$825,Data!$P712)</f>
        <v>10</v>
      </c>
      <c r="AS712" s="29" cm="1">
        <f t="array" ref="AS712">_xlfn.IFS(Data!$E712&lt;12,((Data!$E712/Data!$D712)*60)*1,AND(Data!$E712&gt;=12,Data!$E712&lt;=15),((Data!$E712/Data!$D712)*60)*1.2,AND(Data!$E712&gt;=16,Data!$E712&lt;=19),((Data!$E712/Data!$D712)*60)*1.5,Data!$E712&gt;=20,((Data!$E712/Data!$D712)*60)*1.8)</f>
        <v>18.305084745762709</v>
      </c>
      <c r="AT712" s="29" cm="1">
        <f t="array" ref="AT712">_xlfn.IFS(Data!$F712&lt;600,((Data!$F712/Data!$D712)*60)*1,AND(Data!$F712&gt;=600,Data!$F712&lt;=625),((Data!$F712/Data!$D712)*60)*1.2,AND(Data!$F712&gt;=626,Data!$F712&lt;=650),((Data!$F712/Data!$D712)*60)*1.5,Data!$F712&gt;=651,((Data!$F712/Data!$D712)*60)*1.8)</f>
        <v>971.69491525423746</v>
      </c>
      <c r="AU712" s="29">
        <f>(Data!$I712*-1.2)+(Data!$J712*-1.1)+(Data!$K712*1.2)+(Data!$L712*1.3)+(Data!$M712*1.5)</f>
        <v>-3.100000000000005</v>
      </c>
      <c r="AV712" s="29">
        <f>(Data!$AS712*0.4)+(Data!$AT712*0.4)+(Data!$AU712*0.2)</f>
        <v>395.38000000000011</v>
      </c>
      <c r="AW712" s="34">
        <f>PERCENTRANK(AV:AV,Data!$AV712)*100</f>
        <v>49.6</v>
      </c>
      <c r="AX712" s="29" t="str">
        <f>_xlfn.CONCAT(TEXT(C712,"mmm"),"-",Data!$AE712)</f>
        <v>Nov-2024</v>
      </c>
    </row>
    <row r="713" spans="1:50" ht="17" thickTop="1" thickBot="1" x14ac:dyDescent="0.25">
      <c r="A713" s="22">
        <v>712</v>
      </c>
      <c r="B713" s="23">
        <f t="shared" si="90"/>
        <v>14</v>
      </c>
      <c r="C713" s="41">
        <v>45606</v>
      </c>
      <c r="D713" s="24">
        <f>SUM(Data!$I713:$M713)</f>
        <v>58</v>
      </c>
      <c r="E713" s="23">
        <v>11</v>
      </c>
      <c r="F713" s="23">
        <v>584</v>
      </c>
      <c r="G713" s="23">
        <v>166</v>
      </c>
      <c r="H713" s="23">
        <v>121</v>
      </c>
      <c r="I713" s="23">
        <v>19</v>
      </c>
      <c r="J713" s="23">
        <v>15</v>
      </c>
      <c r="K713" s="23">
        <v>13</v>
      </c>
      <c r="L713" s="23">
        <v>10</v>
      </c>
      <c r="M713" s="23">
        <v>1</v>
      </c>
      <c r="N713" s="23" t="s">
        <v>125</v>
      </c>
      <c r="O713" s="23" t="s">
        <v>159</v>
      </c>
      <c r="P713" s="23" t="s">
        <v>210</v>
      </c>
      <c r="Q713" s="23">
        <f t="shared" si="96"/>
        <v>2</v>
      </c>
      <c r="R713" s="23" t="str">
        <f t="shared" si="91"/>
        <v>11-2024</v>
      </c>
      <c r="S713" s="23" t="s">
        <v>117</v>
      </c>
      <c r="T713" s="23" t="str">
        <f t="shared" si="92"/>
        <v>Sunday</v>
      </c>
      <c r="U713" s="23">
        <f t="shared" si="93"/>
        <v>0</v>
      </c>
      <c r="V713" s="25">
        <f>IFERROR(Data!$I713/Data!$D713,"")</f>
        <v>0.32758620689655171</v>
      </c>
      <c r="W713" s="25">
        <f>IFERROR(Data!$J713/Data!$D713,"")</f>
        <v>0.25862068965517243</v>
      </c>
      <c r="X713" s="25">
        <f>IFERROR(Data!$K713/Data!$D713,"")</f>
        <v>0.22413793103448276</v>
      </c>
      <c r="Y713" s="25">
        <f>IFERROR(Data!$L713/Data!$D713,"")</f>
        <v>0.17241379310344829</v>
      </c>
      <c r="Z713" s="25">
        <f>IFERROR(Data!$M713/Data!$D713,"")</f>
        <v>1.7241379310344827E-2</v>
      </c>
      <c r="AA713" s="26">
        <v>169</v>
      </c>
      <c r="AB713" s="26">
        <f t="shared" si="89"/>
        <v>12.071428571428571</v>
      </c>
      <c r="AC713" s="23">
        <f t="shared" si="94"/>
        <v>634.21428571428567</v>
      </c>
      <c r="AD713" s="23">
        <f t="shared" si="95"/>
        <v>14.785714285714286</v>
      </c>
      <c r="AE713" s="23">
        <f>YEAR(Data!$C713)</f>
        <v>2024</v>
      </c>
      <c r="AF713" s="23"/>
      <c r="AG713" s="23">
        <v>12</v>
      </c>
      <c r="AH713" s="27">
        <f>Data!$F713/Data!$D713</f>
        <v>10.068965517241379</v>
      </c>
      <c r="AI713" s="17" t="str">
        <f>RIGHT(Data!$O713,2)</f>
        <v>AM</v>
      </c>
      <c r="AJ713" s="23" t="str">
        <f>Data!$R713&amp;"-"&amp;WEEKNUM(Data!$C713,1)-WEEKNUM(DATE(YEAR(Data!$C713),MONTH(Data!$C713),1),1)+1</f>
        <v>11-2024-3</v>
      </c>
      <c r="AK713" s="23">
        <f>MONTH(Data!$C713)</f>
        <v>11</v>
      </c>
      <c r="AL713" s="23">
        <f>IFERROR(Data!$F713/Data!$E713,0)</f>
        <v>53.090909090909093</v>
      </c>
      <c r="AM713" s="23">
        <f>COUNTIF(Data!$N$2:$N$825,Data!$N713)</f>
        <v>182</v>
      </c>
      <c r="AN713" s="23" t="str">
        <f>VLOOKUP(Data!$N713,'Helpful Tables'!A:D,4,FALSE)</f>
        <v>Oregon</v>
      </c>
      <c r="AO713" s="23">
        <f>COUNTIF(AN:AN,Data!$AN713)/COUNTA(AN:AN)</f>
        <v>0.27393939393939393</v>
      </c>
      <c r="AP713" s="23">
        <v>45.534162000000002</v>
      </c>
      <c r="AQ713" s="23">
        <v>-122.69670000000001</v>
      </c>
      <c r="AR713" s="23">
        <f>COUNTIF(Data!$P$2:$P$825,Data!$P713)</f>
        <v>10</v>
      </c>
      <c r="AS713" s="23" cm="1">
        <f t="array" ref="AS713">_xlfn.IFS(Data!$E713&lt;12,((Data!$E713/Data!$D713)*60)*1,AND(Data!$E713&gt;=12,Data!$E713&lt;=15),((Data!$E713/Data!$D713)*60)*1.2,AND(Data!$E713&gt;=16,Data!$E713&lt;=19),((Data!$E713/Data!$D713)*60)*1.5,Data!$E713&gt;=20,((Data!$E713/Data!$D713)*60)*1.8)</f>
        <v>11.379310344827585</v>
      </c>
      <c r="AT713" s="23" cm="1">
        <f t="array" ref="AT713">_xlfn.IFS(Data!$F713&lt;600,((Data!$F713/Data!$D713)*60)*1,AND(Data!$F713&gt;=600,Data!$F713&lt;=625),((Data!$F713/Data!$D713)*60)*1.2,AND(Data!$F713&gt;=626,Data!$F713&lt;=650),((Data!$F713/Data!$D713)*60)*1.5,Data!$F713&gt;=651,((Data!$F713/Data!$D713)*60)*1.8)</f>
        <v>604.13793103448279</v>
      </c>
      <c r="AU713" s="23">
        <f>(Data!$I713*-1.2)+(Data!$J713*-1.1)+(Data!$K713*1.2)+(Data!$L713*1.3)+(Data!$M713*1.5)</f>
        <v>-9.1999999999999957</v>
      </c>
      <c r="AV713" s="23">
        <f>(Data!$AS713*0.4)+(Data!$AT713*0.4)+(Data!$AU713*0.2)</f>
        <v>244.36689655172418</v>
      </c>
      <c r="AW713" s="35">
        <f>PERCENTRANK(AV:AV,Data!$AV713)*100</f>
        <v>14.399999999999999</v>
      </c>
      <c r="AX713" s="23" t="str">
        <f>_xlfn.CONCAT(TEXT(C713,"mmm"),"-",Data!$AE713)</f>
        <v>Nov-2024</v>
      </c>
    </row>
    <row r="714" spans="1:50" ht="17" thickTop="1" thickBot="1" x14ac:dyDescent="0.25">
      <c r="A714" s="28">
        <v>713</v>
      </c>
      <c r="B714" s="29">
        <f t="shared" si="90"/>
        <v>14</v>
      </c>
      <c r="C714" s="41">
        <v>45608</v>
      </c>
      <c r="D714" s="30">
        <f>SUM(Data!$I714:$M714)</f>
        <v>62</v>
      </c>
      <c r="E714" s="29">
        <v>14</v>
      </c>
      <c r="F714" s="29">
        <v>621</v>
      </c>
      <c r="G714" s="29">
        <v>165</v>
      </c>
      <c r="H714" s="29">
        <v>120</v>
      </c>
      <c r="I714" s="29">
        <v>27</v>
      </c>
      <c r="J714" s="29">
        <v>11</v>
      </c>
      <c r="K714" s="29">
        <v>10</v>
      </c>
      <c r="L714" s="29">
        <v>11</v>
      </c>
      <c r="M714" s="29">
        <v>3</v>
      </c>
      <c r="N714" s="29" t="s">
        <v>125</v>
      </c>
      <c r="O714" s="29" t="s">
        <v>127</v>
      </c>
      <c r="P714" s="29" t="s">
        <v>220</v>
      </c>
      <c r="Q714" s="29">
        <f t="shared" si="96"/>
        <v>2</v>
      </c>
      <c r="R714" s="29" t="str">
        <f t="shared" si="91"/>
        <v>11-2024</v>
      </c>
      <c r="S714" s="29" t="s">
        <v>104</v>
      </c>
      <c r="T714" s="29" t="str">
        <f t="shared" si="92"/>
        <v>Tuesday</v>
      </c>
      <c r="U714" s="29">
        <f t="shared" si="93"/>
        <v>1</v>
      </c>
      <c r="V714" s="31">
        <f>IFERROR(Data!$I714/Data!$D714,"")</f>
        <v>0.43548387096774194</v>
      </c>
      <c r="W714" s="31">
        <f>IFERROR(Data!$J714/Data!$D714,"")</f>
        <v>0.17741935483870969</v>
      </c>
      <c r="X714" s="31">
        <f>IFERROR(Data!$K714/Data!$D714,"")</f>
        <v>0.16129032258064516</v>
      </c>
      <c r="Y714" s="31">
        <f>IFERROR(Data!$L714/Data!$D714,"")</f>
        <v>0.17741935483870969</v>
      </c>
      <c r="Z714" s="31">
        <f>IFERROR(Data!$M714/Data!$D714,"")</f>
        <v>4.8387096774193547E-2</v>
      </c>
      <c r="AA714" s="32">
        <v>169</v>
      </c>
      <c r="AB714" s="32">
        <f t="shared" si="89"/>
        <v>12.071428571428571</v>
      </c>
      <c r="AC714" s="29">
        <f t="shared" si="94"/>
        <v>634.21428571428567</v>
      </c>
      <c r="AD714" s="29">
        <f t="shared" si="95"/>
        <v>14.785714285714286</v>
      </c>
      <c r="AE714" s="29">
        <f>YEAR(Data!$C714)</f>
        <v>2024</v>
      </c>
      <c r="AF714" s="29"/>
      <c r="AG714" s="29">
        <v>12</v>
      </c>
      <c r="AH714" s="33">
        <f>Data!$F714/Data!$D714</f>
        <v>10.016129032258064</v>
      </c>
      <c r="AI714" s="17" t="str">
        <f>RIGHT(Data!$O714,2)</f>
        <v>PM</v>
      </c>
      <c r="AJ714" s="29" t="str">
        <f>Data!$R714&amp;"-"&amp;WEEKNUM(Data!$C714,1)-WEEKNUM(DATE(YEAR(Data!$C714),MONTH(Data!$C714),1),1)+1</f>
        <v>11-2024-3</v>
      </c>
      <c r="AK714" s="29">
        <f>MONTH(Data!$C714)</f>
        <v>11</v>
      </c>
      <c r="AL714" s="29">
        <f>IFERROR(Data!$F714/Data!$E714,0)</f>
        <v>44.357142857142854</v>
      </c>
      <c r="AM714" s="29">
        <f>COUNTIF(Data!$N$2:$N$825,Data!$N714)</f>
        <v>182</v>
      </c>
      <c r="AN714" s="29" t="str">
        <f>VLOOKUP(Data!$N714,'Helpful Tables'!A:D,4,FALSE)</f>
        <v>Oregon</v>
      </c>
      <c r="AO714" s="29">
        <f>COUNTIF(AN:AN,Data!$AN714)/COUNTA(AN:AN)</f>
        <v>0.27393939393939393</v>
      </c>
      <c r="AP714" s="29">
        <v>45.534162000000002</v>
      </c>
      <c r="AQ714" s="29">
        <v>-122.69670000000001</v>
      </c>
      <c r="AR714" s="29">
        <f>COUNTIF(Data!$P$2:$P$825,Data!$P714)</f>
        <v>43</v>
      </c>
      <c r="AS714" s="29" cm="1">
        <f t="array" ref="AS714">_xlfn.IFS(Data!$E714&lt;12,((Data!$E714/Data!$D714)*60)*1,AND(Data!$E714&gt;=12,Data!$E714&lt;=15),((Data!$E714/Data!$D714)*60)*1.2,AND(Data!$E714&gt;=16,Data!$E714&lt;=19),((Data!$E714/Data!$D714)*60)*1.5,Data!$E714&gt;=20,((Data!$E714/Data!$D714)*60)*1.8)</f>
        <v>16.258064516129032</v>
      </c>
      <c r="AT714" s="29" cm="1">
        <f t="array" ref="AT714">_xlfn.IFS(Data!$F714&lt;600,((Data!$F714/Data!$D714)*60)*1,AND(Data!$F714&gt;=600,Data!$F714&lt;=625),((Data!$F714/Data!$D714)*60)*1.2,AND(Data!$F714&gt;=626,Data!$F714&lt;=650),((Data!$F714/Data!$D714)*60)*1.5,Data!$F714&gt;=651,((Data!$F714/Data!$D714)*60)*1.8)</f>
        <v>721.16129032258061</v>
      </c>
      <c r="AU714" s="29">
        <f>(Data!$I714*-1.2)+(Data!$J714*-1.1)+(Data!$K714*1.2)+(Data!$L714*1.3)+(Data!$M714*1.5)</f>
        <v>-13.7</v>
      </c>
      <c r="AV714" s="29">
        <f>(Data!$AS714*0.4)+(Data!$AT714*0.4)+(Data!$AU714*0.2)</f>
        <v>292.22774193548383</v>
      </c>
      <c r="AW714" s="34">
        <f>PERCENTRANK(AV:AV,Data!$AV714)*100</f>
        <v>24.5</v>
      </c>
      <c r="AX714" s="29" t="str">
        <f>_xlfn.CONCAT(TEXT(C714,"mmm"),"-",Data!$AE714)</f>
        <v>Nov-2024</v>
      </c>
    </row>
    <row r="715" spans="1:50" ht="17" thickTop="1" thickBot="1" x14ac:dyDescent="0.25">
      <c r="A715" s="22">
        <v>714</v>
      </c>
      <c r="B715" s="23">
        <f t="shared" si="90"/>
        <v>14</v>
      </c>
      <c r="C715" s="41">
        <v>45610</v>
      </c>
      <c r="D715" s="24">
        <f>SUM(Data!$I715:$M715)</f>
        <v>59</v>
      </c>
      <c r="E715" s="23">
        <v>19</v>
      </c>
      <c r="F715" s="23">
        <v>694</v>
      </c>
      <c r="G715" s="23">
        <v>169</v>
      </c>
      <c r="H715" s="23">
        <v>132</v>
      </c>
      <c r="I715" s="23">
        <v>7</v>
      </c>
      <c r="J715" s="23">
        <v>20</v>
      </c>
      <c r="K715" s="23">
        <v>13</v>
      </c>
      <c r="L715" s="23">
        <v>16</v>
      </c>
      <c r="M715" s="23">
        <v>3</v>
      </c>
      <c r="N715" s="23" t="s">
        <v>125</v>
      </c>
      <c r="O715" s="23" t="s">
        <v>127</v>
      </c>
      <c r="P715" s="23" t="s">
        <v>222</v>
      </c>
      <c r="Q715" s="23">
        <f t="shared" si="96"/>
        <v>2</v>
      </c>
      <c r="R715" s="23" t="str">
        <f t="shared" si="91"/>
        <v>11-2024</v>
      </c>
      <c r="S715" s="23" t="s">
        <v>104</v>
      </c>
      <c r="T715" s="23" t="str">
        <f t="shared" si="92"/>
        <v>Thursday</v>
      </c>
      <c r="U715" s="23">
        <f t="shared" si="93"/>
        <v>1</v>
      </c>
      <c r="V715" s="25">
        <f>IFERROR(Data!$I715/Data!$D715,"")</f>
        <v>0.11864406779661017</v>
      </c>
      <c r="W715" s="25">
        <f>IFERROR(Data!$J715/Data!$D715,"")</f>
        <v>0.33898305084745761</v>
      </c>
      <c r="X715" s="25">
        <f>IFERROR(Data!$K715/Data!$D715,"")</f>
        <v>0.22033898305084745</v>
      </c>
      <c r="Y715" s="25">
        <f>IFERROR(Data!$L715/Data!$D715,"")</f>
        <v>0.2711864406779661</v>
      </c>
      <c r="Z715" s="25">
        <f>IFERROR(Data!$M715/Data!$D715,"")</f>
        <v>5.0847457627118647E-2</v>
      </c>
      <c r="AA715" s="26">
        <v>169</v>
      </c>
      <c r="AB715" s="26">
        <f t="shared" si="89"/>
        <v>12.071428571428571</v>
      </c>
      <c r="AC715" s="23">
        <f t="shared" si="94"/>
        <v>634.21428571428567</v>
      </c>
      <c r="AD715" s="23">
        <f t="shared" si="95"/>
        <v>14.785714285714286</v>
      </c>
      <c r="AE715" s="23">
        <f>YEAR(Data!$C715)</f>
        <v>2024</v>
      </c>
      <c r="AF715" s="23"/>
      <c r="AG715" s="23">
        <v>12</v>
      </c>
      <c r="AH715" s="27">
        <f>Data!$F715/Data!$D715</f>
        <v>11.76271186440678</v>
      </c>
      <c r="AI715" s="17" t="str">
        <f>RIGHT(Data!$O715,2)</f>
        <v>PM</v>
      </c>
      <c r="AJ715" s="23" t="str">
        <f>Data!$R715&amp;"-"&amp;WEEKNUM(Data!$C715,1)-WEEKNUM(DATE(YEAR(Data!$C715),MONTH(Data!$C715),1),1)+1</f>
        <v>11-2024-3</v>
      </c>
      <c r="AK715" s="23">
        <f>MONTH(Data!$C715)</f>
        <v>11</v>
      </c>
      <c r="AL715" s="23">
        <f>IFERROR(Data!$F715/Data!$E715,0)</f>
        <v>36.526315789473685</v>
      </c>
      <c r="AM715" s="23">
        <f>COUNTIF(Data!$N$2:$N$825,Data!$N715)</f>
        <v>182</v>
      </c>
      <c r="AN715" s="23" t="str">
        <f>VLOOKUP(Data!$N715,'Helpful Tables'!A:D,4,FALSE)</f>
        <v>Oregon</v>
      </c>
      <c r="AO715" s="23">
        <f>COUNTIF(AN:AN,Data!$AN715)/COUNTA(AN:AN)</f>
        <v>0.27393939393939393</v>
      </c>
      <c r="AP715" s="23">
        <v>45.534162000000002</v>
      </c>
      <c r="AQ715" s="23">
        <v>-122.69670000000001</v>
      </c>
      <c r="AR715" s="23">
        <f>COUNTIF(Data!$P$2:$P$825,Data!$P715)</f>
        <v>32</v>
      </c>
      <c r="AS715" s="23" cm="1">
        <f t="array" ref="AS715">_xlfn.IFS(Data!$E715&lt;12,((Data!$E715/Data!$D715)*60)*1,AND(Data!$E715&gt;=12,Data!$E715&lt;=15),((Data!$E715/Data!$D715)*60)*1.2,AND(Data!$E715&gt;=16,Data!$E715&lt;=19),((Data!$E715/Data!$D715)*60)*1.5,Data!$E715&gt;=20,((Data!$E715/Data!$D715)*60)*1.8)</f>
        <v>28.983050847457626</v>
      </c>
      <c r="AT715" s="23" cm="1">
        <f t="array" ref="AT715">_xlfn.IFS(Data!$F715&lt;600,((Data!$F715/Data!$D715)*60)*1,AND(Data!$F715&gt;=600,Data!$F715&lt;=625),((Data!$F715/Data!$D715)*60)*1.2,AND(Data!$F715&gt;=626,Data!$F715&lt;=650),((Data!$F715/Data!$D715)*60)*1.5,Data!$F715&gt;=651,((Data!$F715/Data!$D715)*60)*1.8)</f>
        <v>1270.3728813559323</v>
      </c>
      <c r="AU715" s="23">
        <f>(Data!$I715*-1.2)+(Data!$J715*-1.1)+(Data!$K715*1.2)+(Data!$L715*1.3)+(Data!$M715*1.5)</f>
        <v>10.500000000000002</v>
      </c>
      <c r="AV715" s="23">
        <f>(Data!$AS715*0.4)+(Data!$AT715*0.4)+(Data!$AU715*0.2)</f>
        <v>521.84237288135603</v>
      </c>
      <c r="AW715" s="35">
        <f>PERCENTRANK(AV:AV,Data!$AV715)*100</f>
        <v>90.3</v>
      </c>
      <c r="AX715" s="23" t="str">
        <f>_xlfn.CONCAT(TEXT(C715,"mmm"),"-",Data!$AE715)</f>
        <v>Nov-2024</v>
      </c>
    </row>
    <row r="716" spans="1:50" ht="17" thickTop="1" thickBot="1" x14ac:dyDescent="0.25">
      <c r="A716" s="28">
        <v>715</v>
      </c>
      <c r="B716" s="29">
        <f t="shared" si="90"/>
        <v>14</v>
      </c>
      <c r="C716" s="41">
        <v>45612</v>
      </c>
      <c r="D716" s="30">
        <f>SUM(Data!$I716:$M716)</f>
        <v>60</v>
      </c>
      <c r="E716" s="29">
        <v>17</v>
      </c>
      <c r="F716" s="29">
        <v>650</v>
      </c>
      <c r="G716" s="29">
        <v>166</v>
      </c>
      <c r="H716" s="29">
        <v>125</v>
      </c>
      <c r="I716" s="29">
        <v>16</v>
      </c>
      <c r="J716" s="29">
        <v>12</v>
      </c>
      <c r="K716" s="29">
        <v>15</v>
      </c>
      <c r="L716" s="29">
        <v>16</v>
      </c>
      <c r="M716" s="29">
        <v>1</v>
      </c>
      <c r="N716" s="29" t="s">
        <v>208</v>
      </c>
      <c r="O716" s="29" t="s">
        <v>76</v>
      </c>
      <c r="P716" s="29" t="s">
        <v>213</v>
      </c>
      <c r="Q716" s="29">
        <f t="shared" si="96"/>
        <v>2</v>
      </c>
      <c r="R716" s="29" t="str">
        <f t="shared" si="91"/>
        <v>11-2024</v>
      </c>
      <c r="S716" s="29" t="s">
        <v>104</v>
      </c>
      <c r="T716" s="29" t="str">
        <f t="shared" si="92"/>
        <v>Saturday</v>
      </c>
      <c r="U716" s="29">
        <f t="shared" si="93"/>
        <v>1</v>
      </c>
      <c r="V716" s="31">
        <f>IFERROR(Data!$I716/Data!$D716,"")</f>
        <v>0.26666666666666666</v>
      </c>
      <c r="W716" s="31">
        <f>IFERROR(Data!$J716/Data!$D716,"")</f>
        <v>0.2</v>
      </c>
      <c r="X716" s="31">
        <f>IFERROR(Data!$K716/Data!$D716,"")</f>
        <v>0.25</v>
      </c>
      <c r="Y716" s="31">
        <f>IFERROR(Data!$L716/Data!$D716,"")</f>
        <v>0.26666666666666666</v>
      </c>
      <c r="Z716" s="31">
        <f>IFERROR(Data!$M716/Data!$D716,"")</f>
        <v>1.6666666666666666E-2</v>
      </c>
      <c r="AA716" s="32">
        <v>169</v>
      </c>
      <c r="AB716" s="32">
        <f t="shared" si="89"/>
        <v>12.071428571428571</v>
      </c>
      <c r="AC716" s="29">
        <f t="shared" si="94"/>
        <v>634.21428571428567</v>
      </c>
      <c r="AD716" s="29">
        <f t="shared" si="95"/>
        <v>14.785714285714286</v>
      </c>
      <c r="AE716" s="29">
        <f>YEAR(Data!$C716)</f>
        <v>2024</v>
      </c>
      <c r="AF716" s="29"/>
      <c r="AG716" s="29">
        <v>12</v>
      </c>
      <c r="AH716" s="33">
        <f>Data!$F716/Data!$D716</f>
        <v>10.833333333333334</v>
      </c>
      <c r="AI716" s="17" t="str">
        <f>RIGHT(Data!$O716,2)</f>
        <v>AM</v>
      </c>
      <c r="AJ716" s="29" t="str">
        <f>Data!$R716&amp;"-"&amp;WEEKNUM(Data!$C716,1)-WEEKNUM(DATE(YEAR(Data!$C716),MONTH(Data!$C716),1),1)+1</f>
        <v>11-2024-3</v>
      </c>
      <c r="AK716" s="29">
        <f>MONTH(Data!$C716)</f>
        <v>11</v>
      </c>
      <c r="AL716" s="29">
        <f>IFERROR(Data!$F716/Data!$E716,0)</f>
        <v>38.235294117647058</v>
      </c>
      <c r="AM716" s="29">
        <f>COUNTIF(Data!$N$2:$N$825,Data!$N716)</f>
        <v>42</v>
      </c>
      <c r="AN716" s="29" t="str">
        <f>VLOOKUP(Data!$N716,'Helpful Tables'!A:D,4,FALSE)</f>
        <v>Oregon</v>
      </c>
      <c r="AO716" s="29">
        <f>COUNTIF(AN:AN,Data!$AN716)/COUNTA(AN:AN)</f>
        <v>0.27393939393939393</v>
      </c>
      <c r="AP716" s="29">
        <v>45.525092999999998</v>
      </c>
      <c r="AQ716" s="29">
        <v>-122.681383</v>
      </c>
      <c r="AR716" s="29">
        <f>COUNTIF(Data!$P$2:$P$825,Data!$P716)</f>
        <v>20</v>
      </c>
      <c r="AS716" s="29" cm="1">
        <f t="array" ref="AS716">_xlfn.IFS(Data!$E716&lt;12,((Data!$E716/Data!$D716)*60)*1,AND(Data!$E716&gt;=12,Data!$E716&lt;=15),((Data!$E716/Data!$D716)*60)*1.2,AND(Data!$E716&gt;=16,Data!$E716&lt;=19),((Data!$E716/Data!$D716)*60)*1.5,Data!$E716&gt;=20,((Data!$E716/Data!$D716)*60)*1.8)</f>
        <v>25.5</v>
      </c>
      <c r="AT716" s="29" cm="1">
        <f t="array" ref="AT716">_xlfn.IFS(Data!$F716&lt;600,((Data!$F716/Data!$D716)*60)*1,AND(Data!$F716&gt;=600,Data!$F716&lt;=625),((Data!$F716/Data!$D716)*60)*1.2,AND(Data!$F716&gt;=626,Data!$F716&lt;=650),((Data!$F716/Data!$D716)*60)*1.5,Data!$F716&gt;=651,((Data!$F716/Data!$D716)*60)*1.8)</f>
        <v>975</v>
      </c>
      <c r="AU716" s="29">
        <f>(Data!$I716*-1.2)+(Data!$J716*-1.1)+(Data!$K716*1.2)+(Data!$L716*1.3)+(Data!$M716*1.5)</f>
        <v>7.9000000000000021</v>
      </c>
      <c r="AV716" s="29">
        <f>(Data!$AS716*0.4)+(Data!$AT716*0.4)+(Data!$AU716*0.2)</f>
        <v>401.78</v>
      </c>
      <c r="AW716" s="34">
        <f>PERCENTRANK(AV:AV,Data!$AV716)*100</f>
        <v>53.5</v>
      </c>
      <c r="AX716" s="29" t="str">
        <f>_xlfn.CONCAT(TEXT(C716,"mmm"),"-",Data!$AE716)</f>
        <v>Nov-2024</v>
      </c>
    </row>
    <row r="717" spans="1:50" ht="17" thickTop="1" thickBot="1" x14ac:dyDescent="0.25">
      <c r="A717" s="22">
        <v>716</v>
      </c>
      <c r="B717" s="23">
        <f t="shared" si="90"/>
        <v>14</v>
      </c>
      <c r="C717" s="41">
        <v>45614</v>
      </c>
      <c r="D717" s="24">
        <f>SUM(Data!$I717:$M717)</f>
        <v>60</v>
      </c>
      <c r="E717" s="23">
        <v>10</v>
      </c>
      <c r="F717" s="23">
        <v>611</v>
      </c>
      <c r="G717" s="23">
        <v>157</v>
      </c>
      <c r="H717" s="23">
        <v>120</v>
      </c>
      <c r="I717" s="23">
        <v>19</v>
      </c>
      <c r="J717" s="23">
        <v>15</v>
      </c>
      <c r="K717" s="23">
        <v>16</v>
      </c>
      <c r="L717" s="23">
        <v>10</v>
      </c>
      <c r="M717" s="23">
        <v>0</v>
      </c>
      <c r="N717" s="23" t="s">
        <v>125</v>
      </c>
      <c r="O717" s="23" t="s">
        <v>127</v>
      </c>
      <c r="P717" s="23" t="s">
        <v>220</v>
      </c>
      <c r="Q717" s="23">
        <f t="shared" si="96"/>
        <v>2</v>
      </c>
      <c r="R717" s="23" t="str">
        <f t="shared" si="91"/>
        <v>11-2024</v>
      </c>
      <c r="S717" s="23" t="s">
        <v>104</v>
      </c>
      <c r="T717" s="23" t="str">
        <f t="shared" si="92"/>
        <v>Monday</v>
      </c>
      <c r="U717" s="23">
        <f t="shared" si="93"/>
        <v>0</v>
      </c>
      <c r="V717" s="25">
        <f>IFERROR(Data!$I717/Data!$D717,"")</f>
        <v>0.31666666666666665</v>
      </c>
      <c r="W717" s="25">
        <f>IFERROR(Data!$J717/Data!$D717,"")</f>
        <v>0.25</v>
      </c>
      <c r="X717" s="25">
        <f>IFERROR(Data!$K717/Data!$D717,"")</f>
        <v>0.26666666666666666</v>
      </c>
      <c r="Y717" s="25">
        <f>IFERROR(Data!$L717/Data!$D717,"")</f>
        <v>0.16666666666666666</v>
      </c>
      <c r="Z717" s="25">
        <f>IFERROR(Data!$M717/Data!$D717,"")</f>
        <v>0</v>
      </c>
      <c r="AA717" s="26">
        <v>169</v>
      </c>
      <c r="AB717" s="26">
        <f t="shared" si="89"/>
        <v>12.071428571428571</v>
      </c>
      <c r="AC717" s="23">
        <f t="shared" si="94"/>
        <v>634.21428571428567</v>
      </c>
      <c r="AD717" s="23">
        <f t="shared" si="95"/>
        <v>14.785714285714286</v>
      </c>
      <c r="AE717" s="23">
        <f>YEAR(Data!$C717)</f>
        <v>2024</v>
      </c>
      <c r="AF717" s="23"/>
      <c r="AG717" s="23">
        <v>12</v>
      </c>
      <c r="AH717" s="27">
        <f>Data!$F717/Data!$D717</f>
        <v>10.183333333333334</v>
      </c>
      <c r="AI717" s="17" t="str">
        <f>RIGHT(Data!$O717,2)</f>
        <v>PM</v>
      </c>
      <c r="AJ717" s="23" t="str">
        <f>Data!$R717&amp;"-"&amp;WEEKNUM(Data!$C717,1)-WEEKNUM(DATE(YEAR(Data!$C717),MONTH(Data!$C717),1),1)+1</f>
        <v>11-2024-4</v>
      </c>
      <c r="AK717" s="23">
        <f>MONTH(Data!$C717)</f>
        <v>11</v>
      </c>
      <c r="AL717" s="23">
        <f>IFERROR(Data!$F717/Data!$E717,0)</f>
        <v>61.1</v>
      </c>
      <c r="AM717" s="23">
        <f>COUNTIF(Data!$N$2:$N$825,Data!$N717)</f>
        <v>182</v>
      </c>
      <c r="AN717" s="23" t="str">
        <f>VLOOKUP(Data!$N717,'Helpful Tables'!A:D,4,FALSE)</f>
        <v>Oregon</v>
      </c>
      <c r="AO717" s="23">
        <f>COUNTIF(AN:AN,Data!$AN717)/COUNTA(AN:AN)</f>
        <v>0.27393939393939393</v>
      </c>
      <c r="AP717" s="23">
        <v>45.534162000000002</v>
      </c>
      <c r="AQ717" s="23">
        <v>-122.69670000000001</v>
      </c>
      <c r="AR717" s="23">
        <f>COUNTIF(Data!$P$2:$P$825,Data!$P717)</f>
        <v>43</v>
      </c>
      <c r="AS717" s="23" cm="1">
        <f t="array" ref="AS717">_xlfn.IFS(Data!$E717&lt;12,((Data!$E717/Data!$D717)*60)*1,AND(Data!$E717&gt;=12,Data!$E717&lt;=15),((Data!$E717/Data!$D717)*60)*1.2,AND(Data!$E717&gt;=16,Data!$E717&lt;=19),((Data!$E717/Data!$D717)*60)*1.5,Data!$E717&gt;=20,((Data!$E717/Data!$D717)*60)*1.8)</f>
        <v>10</v>
      </c>
      <c r="AT717" s="23" cm="1">
        <f t="array" ref="AT717">_xlfn.IFS(Data!$F717&lt;600,((Data!$F717/Data!$D717)*60)*1,AND(Data!$F717&gt;=600,Data!$F717&lt;=625),((Data!$F717/Data!$D717)*60)*1.2,AND(Data!$F717&gt;=626,Data!$F717&lt;=650),((Data!$F717/Data!$D717)*60)*1.5,Data!$F717&gt;=651,((Data!$F717/Data!$D717)*60)*1.8)</f>
        <v>733.19999999999993</v>
      </c>
      <c r="AU717" s="23">
        <f>(Data!$I717*-1.2)+(Data!$J717*-1.1)+(Data!$K717*1.2)+(Data!$L717*1.3)+(Data!$M717*1.5)</f>
        <v>-7.0999999999999979</v>
      </c>
      <c r="AV717" s="23">
        <f>(Data!$AS717*0.4)+(Data!$AT717*0.4)+(Data!$AU717*0.2)</f>
        <v>295.85999999999996</v>
      </c>
      <c r="AW717" s="35">
        <f>PERCENTRANK(AV:AV,Data!$AV717)*100</f>
        <v>25</v>
      </c>
      <c r="AX717" s="23" t="str">
        <f>_xlfn.CONCAT(TEXT(C717,"mmm"),"-",Data!$AE717)</f>
        <v>Nov-2024</v>
      </c>
    </row>
    <row r="718" spans="1:50" ht="17" thickTop="1" thickBot="1" x14ac:dyDescent="0.25">
      <c r="A718" s="28">
        <v>717</v>
      </c>
      <c r="B718" s="29">
        <f t="shared" si="90"/>
        <v>14</v>
      </c>
      <c r="C718" s="41">
        <v>45615</v>
      </c>
      <c r="D718" s="30">
        <f>SUM(Data!$I718:$M718)</f>
        <v>59</v>
      </c>
      <c r="E718" s="29">
        <v>16</v>
      </c>
      <c r="F718" s="29">
        <v>638</v>
      </c>
      <c r="G718" s="29">
        <v>160</v>
      </c>
      <c r="H718" s="29">
        <v>123</v>
      </c>
      <c r="I718" s="29">
        <v>17</v>
      </c>
      <c r="J718" s="29">
        <v>14</v>
      </c>
      <c r="K718" s="29">
        <v>12</v>
      </c>
      <c r="L718" s="29">
        <v>16</v>
      </c>
      <c r="M718" s="29">
        <v>0</v>
      </c>
      <c r="N718" s="29" t="s">
        <v>125</v>
      </c>
      <c r="O718" s="29" t="s">
        <v>127</v>
      </c>
      <c r="P718" s="29" t="s">
        <v>216</v>
      </c>
      <c r="Q718" s="29">
        <f t="shared" si="96"/>
        <v>1</v>
      </c>
      <c r="R718" s="29" t="str">
        <f t="shared" si="91"/>
        <v>11-2024</v>
      </c>
      <c r="S718" s="29" t="s">
        <v>104</v>
      </c>
      <c r="T718" s="29" t="str">
        <f t="shared" si="92"/>
        <v>Tuesday</v>
      </c>
      <c r="U718" s="29">
        <f t="shared" si="93"/>
        <v>1</v>
      </c>
      <c r="V718" s="31">
        <f>IFERROR(Data!$I718/Data!$D718,"")</f>
        <v>0.28813559322033899</v>
      </c>
      <c r="W718" s="31">
        <f>IFERROR(Data!$J718/Data!$D718,"")</f>
        <v>0.23728813559322035</v>
      </c>
      <c r="X718" s="31">
        <f>IFERROR(Data!$K718/Data!$D718,"")</f>
        <v>0.20338983050847459</v>
      </c>
      <c r="Y718" s="31">
        <f>IFERROR(Data!$L718/Data!$D718,"")</f>
        <v>0.2711864406779661</v>
      </c>
      <c r="Z718" s="31">
        <f>IFERROR(Data!$M718/Data!$D718,"")</f>
        <v>0</v>
      </c>
      <c r="AA718" s="32">
        <v>169</v>
      </c>
      <c r="AB718" s="32">
        <f t="shared" si="89"/>
        <v>12.071428571428571</v>
      </c>
      <c r="AC718" s="29">
        <f t="shared" si="94"/>
        <v>634.21428571428567</v>
      </c>
      <c r="AD718" s="29">
        <f t="shared" si="95"/>
        <v>14.785714285714286</v>
      </c>
      <c r="AE718" s="29">
        <f>YEAR(Data!$C718)</f>
        <v>2024</v>
      </c>
      <c r="AF718" s="29"/>
      <c r="AG718" s="29">
        <v>12</v>
      </c>
      <c r="AH718" s="33">
        <f>Data!$F718/Data!$D718</f>
        <v>10.813559322033898</v>
      </c>
      <c r="AI718" s="17" t="str">
        <f>RIGHT(Data!$O718,2)</f>
        <v>PM</v>
      </c>
      <c r="AJ718" s="29" t="str">
        <f>Data!$R718&amp;"-"&amp;WEEKNUM(Data!$C718,1)-WEEKNUM(DATE(YEAR(Data!$C718),MONTH(Data!$C718),1),1)+1</f>
        <v>11-2024-4</v>
      </c>
      <c r="AK718" s="29">
        <f>MONTH(Data!$C718)</f>
        <v>11</v>
      </c>
      <c r="AL718" s="29">
        <f>IFERROR(Data!$F718/Data!$E718,0)</f>
        <v>39.875</v>
      </c>
      <c r="AM718" s="29">
        <f>COUNTIF(Data!$N$2:$N$825,Data!$N718)</f>
        <v>182</v>
      </c>
      <c r="AN718" s="29" t="str">
        <f>VLOOKUP(Data!$N718,'Helpful Tables'!A:D,4,FALSE)</f>
        <v>Oregon</v>
      </c>
      <c r="AO718" s="29">
        <f>COUNTIF(AN:AN,Data!$AN718)/COUNTA(AN:AN)</f>
        <v>0.27393939393939393</v>
      </c>
      <c r="AP718" s="29">
        <v>45.534162000000002</v>
      </c>
      <c r="AQ718" s="29">
        <v>-122.69670000000001</v>
      </c>
      <c r="AR718" s="29">
        <f>COUNTIF(Data!$P$2:$P$825,Data!$P718)</f>
        <v>25</v>
      </c>
      <c r="AS718" s="29" cm="1">
        <f t="array" ref="AS718">_xlfn.IFS(Data!$E718&lt;12,((Data!$E718/Data!$D718)*60)*1,AND(Data!$E718&gt;=12,Data!$E718&lt;=15),((Data!$E718/Data!$D718)*60)*1.2,AND(Data!$E718&gt;=16,Data!$E718&lt;=19),((Data!$E718/Data!$D718)*60)*1.5,Data!$E718&gt;=20,((Data!$E718/Data!$D718)*60)*1.8)</f>
        <v>24.406779661016948</v>
      </c>
      <c r="AT718" s="29" cm="1">
        <f t="array" ref="AT718">_xlfn.IFS(Data!$F718&lt;600,((Data!$F718/Data!$D718)*60)*1,AND(Data!$F718&gt;=600,Data!$F718&lt;=625),((Data!$F718/Data!$D718)*60)*1.2,AND(Data!$F718&gt;=626,Data!$F718&lt;=650),((Data!$F718/Data!$D718)*60)*1.5,Data!$F718&gt;=651,((Data!$F718/Data!$D718)*60)*1.8)</f>
        <v>973.22033898305074</v>
      </c>
      <c r="AU718" s="29">
        <f>(Data!$I718*-1.2)+(Data!$J718*-1.1)+(Data!$K718*1.2)+(Data!$L718*1.3)+(Data!$M718*1.5)</f>
        <v>-0.59999999999999787</v>
      </c>
      <c r="AV718" s="29">
        <f>(Data!$AS718*0.4)+(Data!$AT718*0.4)+(Data!$AU718*0.2)</f>
        <v>398.93084745762707</v>
      </c>
      <c r="AW718" s="34">
        <f>PERCENTRANK(AV:AV,Data!$AV718)*100</f>
        <v>51.9</v>
      </c>
      <c r="AX718" s="29" t="str">
        <f>_xlfn.CONCAT(TEXT(C718,"mmm"),"-",Data!$AE718)</f>
        <v>Nov-2024</v>
      </c>
    </row>
    <row r="719" spans="1:50" ht="17" thickTop="1" thickBot="1" x14ac:dyDescent="0.25">
      <c r="A719" s="22">
        <v>718</v>
      </c>
      <c r="B719" s="23">
        <f t="shared" si="90"/>
        <v>14</v>
      </c>
      <c r="C719" s="41">
        <v>45621</v>
      </c>
      <c r="D719" s="24">
        <f>SUM(Data!$I719:$M719)</f>
        <v>56</v>
      </c>
      <c r="E719" s="23">
        <v>13</v>
      </c>
      <c r="F719" s="23">
        <v>618</v>
      </c>
      <c r="G719" s="23">
        <v>169</v>
      </c>
      <c r="H719" s="23">
        <v>125</v>
      </c>
      <c r="I719" s="23">
        <v>14</v>
      </c>
      <c r="J719" s="23">
        <v>14</v>
      </c>
      <c r="K719" s="23">
        <v>15</v>
      </c>
      <c r="L719" s="23">
        <v>12</v>
      </c>
      <c r="M719" s="23">
        <v>1</v>
      </c>
      <c r="N719" s="23" t="s">
        <v>138</v>
      </c>
      <c r="O719" s="23" t="s">
        <v>76</v>
      </c>
      <c r="P719" s="23" t="s">
        <v>195</v>
      </c>
      <c r="Q719" s="23">
        <f t="shared" si="96"/>
        <v>6</v>
      </c>
      <c r="R719" s="23" t="str">
        <f t="shared" si="91"/>
        <v>11-2024</v>
      </c>
      <c r="S719" s="23" t="s">
        <v>104</v>
      </c>
      <c r="T719" s="23" t="str">
        <f t="shared" si="92"/>
        <v>Monday</v>
      </c>
      <c r="U719" s="23">
        <f t="shared" si="93"/>
        <v>1</v>
      </c>
      <c r="V719" s="25">
        <f>IFERROR(Data!$I719/Data!$D719,"")</f>
        <v>0.25</v>
      </c>
      <c r="W719" s="25">
        <f>IFERROR(Data!$J719/Data!$D719,"")</f>
        <v>0.25</v>
      </c>
      <c r="X719" s="25">
        <f>IFERROR(Data!$K719/Data!$D719,"")</f>
        <v>0.26785714285714285</v>
      </c>
      <c r="Y719" s="25">
        <f>IFERROR(Data!$L719/Data!$D719,"")</f>
        <v>0.21428571428571427</v>
      </c>
      <c r="Z719" s="25">
        <f>IFERROR(Data!$M719/Data!$D719,"")</f>
        <v>1.7857142857142856E-2</v>
      </c>
      <c r="AA719" s="26">
        <v>169</v>
      </c>
      <c r="AB719" s="26">
        <f t="shared" si="89"/>
        <v>12.071428571428571</v>
      </c>
      <c r="AC719" s="23">
        <f t="shared" si="94"/>
        <v>634.21428571428567</v>
      </c>
      <c r="AD719" s="23">
        <f t="shared" si="95"/>
        <v>14.785714285714286</v>
      </c>
      <c r="AE719" s="23">
        <f>YEAR(Data!$C719)</f>
        <v>2024</v>
      </c>
      <c r="AF719" s="23"/>
      <c r="AG719" s="23">
        <v>12</v>
      </c>
      <c r="AH719" s="27">
        <f>Data!$F719/Data!$D719</f>
        <v>11.035714285714286</v>
      </c>
      <c r="AI719" s="17" t="str">
        <f>RIGHT(Data!$O719,2)</f>
        <v>AM</v>
      </c>
      <c r="AJ719" s="23" t="str">
        <f>Data!$R719&amp;"-"&amp;WEEKNUM(Data!$C719,1)-WEEKNUM(DATE(YEAR(Data!$C719),MONTH(Data!$C719),1),1)+1</f>
        <v>11-2024-5</v>
      </c>
      <c r="AK719" s="23">
        <f>MONTH(Data!$C719)</f>
        <v>11</v>
      </c>
      <c r="AL719" s="23">
        <f>IFERROR(Data!$F719/Data!$E719,0)</f>
        <v>47.53846153846154</v>
      </c>
      <c r="AM719" s="23">
        <f>COUNTIF(Data!$N$2:$N$825,Data!$N719)</f>
        <v>11</v>
      </c>
      <c r="AN719" s="23" t="str">
        <f>VLOOKUP(Data!$N719,'Helpful Tables'!A:D,4,FALSE)</f>
        <v>Massachusetts</v>
      </c>
      <c r="AO719" s="23">
        <f>COUNTIF(AN:AN,Data!$AN719)/COUNTA(AN:AN)</f>
        <v>1.9393939393939394E-2</v>
      </c>
      <c r="AP719" s="23">
        <v>42.350487000000001</v>
      </c>
      <c r="AQ719" s="23">
        <v>-71.152720000000002</v>
      </c>
      <c r="AR719" s="23">
        <f>COUNTIF(Data!$P$2:$P$825,Data!$P719)</f>
        <v>2</v>
      </c>
      <c r="AS719" s="23" cm="1">
        <f t="array" ref="AS719">_xlfn.IFS(Data!$E719&lt;12,((Data!$E719/Data!$D719)*60)*1,AND(Data!$E719&gt;=12,Data!$E719&lt;=15),((Data!$E719/Data!$D719)*60)*1.2,AND(Data!$E719&gt;=16,Data!$E719&lt;=19),((Data!$E719/Data!$D719)*60)*1.5,Data!$E719&gt;=20,((Data!$E719/Data!$D719)*60)*1.8)</f>
        <v>16.714285714285715</v>
      </c>
      <c r="AT719" s="23" cm="1">
        <f t="array" ref="AT719">_xlfn.IFS(Data!$F719&lt;600,((Data!$F719/Data!$D719)*60)*1,AND(Data!$F719&gt;=600,Data!$F719&lt;=625),((Data!$F719/Data!$D719)*60)*1.2,AND(Data!$F719&gt;=626,Data!$F719&lt;=650),((Data!$F719/Data!$D719)*60)*1.5,Data!$F719&gt;=651,((Data!$F719/Data!$D719)*60)*1.8)</f>
        <v>794.57142857142867</v>
      </c>
      <c r="AU719" s="23">
        <f>(Data!$I719*-1.2)+(Data!$J719*-1.1)+(Data!$K719*1.2)+(Data!$L719*1.3)+(Data!$M719*1.5)</f>
        <v>2.8999999999999986</v>
      </c>
      <c r="AV719" s="23">
        <f>(Data!$AS719*0.4)+(Data!$AT719*0.4)+(Data!$AU719*0.2)</f>
        <v>325.09428571428577</v>
      </c>
      <c r="AW719" s="35">
        <f>PERCENTRANK(AV:AV,Data!$AV719)*100</f>
        <v>39.6</v>
      </c>
      <c r="AX719" s="23" t="str">
        <f>_xlfn.CONCAT(TEXT(C719,"mmm"),"-",Data!$AE719)</f>
        <v>Nov-2024</v>
      </c>
    </row>
    <row r="720" spans="1:50" ht="17" thickTop="1" thickBot="1" x14ac:dyDescent="0.25">
      <c r="A720" s="28">
        <v>719</v>
      </c>
      <c r="B720" s="29">
        <f t="shared" si="90"/>
        <v>14</v>
      </c>
      <c r="C720" s="41">
        <v>45623</v>
      </c>
      <c r="D720" s="30">
        <f>SUM(Data!$I720:$M720)</f>
        <v>58</v>
      </c>
      <c r="E720" s="29">
        <v>21</v>
      </c>
      <c r="F720" s="29">
        <v>688</v>
      </c>
      <c r="G720" s="29">
        <v>169</v>
      </c>
      <c r="H720" s="29">
        <v>131</v>
      </c>
      <c r="I720" s="29">
        <v>8</v>
      </c>
      <c r="J720" s="29">
        <v>18</v>
      </c>
      <c r="K720" s="29">
        <v>11</v>
      </c>
      <c r="L720" s="29">
        <v>19</v>
      </c>
      <c r="M720" s="29">
        <v>2</v>
      </c>
      <c r="N720" s="29" t="s">
        <v>111</v>
      </c>
      <c r="O720" s="29" t="s">
        <v>88</v>
      </c>
      <c r="P720" s="29" t="s">
        <v>224</v>
      </c>
      <c r="Q720" s="29">
        <f t="shared" si="96"/>
        <v>2</v>
      </c>
      <c r="R720" s="29" t="str">
        <f t="shared" si="91"/>
        <v>11-2024</v>
      </c>
      <c r="S720" s="29" t="s">
        <v>104</v>
      </c>
      <c r="T720" s="29" t="str">
        <f t="shared" si="92"/>
        <v>Wednesday</v>
      </c>
      <c r="U720" s="29">
        <f t="shared" si="93"/>
        <v>1</v>
      </c>
      <c r="V720" s="31">
        <f>IFERROR(Data!$I720/Data!$D720,"")</f>
        <v>0.13793103448275862</v>
      </c>
      <c r="W720" s="31">
        <f>IFERROR(Data!$J720/Data!$D720,"")</f>
        <v>0.31034482758620691</v>
      </c>
      <c r="X720" s="31">
        <f>IFERROR(Data!$K720/Data!$D720,"")</f>
        <v>0.18965517241379309</v>
      </c>
      <c r="Y720" s="31">
        <f>IFERROR(Data!$L720/Data!$D720,"")</f>
        <v>0.32758620689655171</v>
      </c>
      <c r="Z720" s="31">
        <f>IFERROR(Data!$M720/Data!$D720,"")</f>
        <v>3.4482758620689655E-2</v>
      </c>
      <c r="AA720" s="32">
        <v>169</v>
      </c>
      <c r="AB720" s="32">
        <f t="shared" ref="AB720:AB783" si="97">AA720/B720</f>
        <v>12.071428571428571</v>
      </c>
      <c r="AC720" s="29">
        <f t="shared" si="94"/>
        <v>634.21428571428567</v>
      </c>
      <c r="AD720" s="29">
        <f t="shared" si="95"/>
        <v>14.785714285714286</v>
      </c>
      <c r="AE720" s="29">
        <f>YEAR(Data!$C720)</f>
        <v>2024</v>
      </c>
      <c r="AF720" s="29"/>
      <c r="AG720" s="29">
        <v>12</v>
      </c>
      <c r="AH720" s="33">
        <f>Data!$F720/Data!$D720</f>
        <v>11.862068965517242</v>
      </c>
      <c r="AI720" s="17" t="str">
        <f>RIGHT(Data!$O720,2)</f>
        <v>AM</v>
      </c>
      <c r="AJ720" s="29" t="str">
        <f>Data!$R720&amp;"-"&amp;WEEKNUM(Data!$C720,1)-WEEKNUM(DATE(YEAR(Data!$C720),MONTH(Data!$C720),1),1)+1</f>
        <v>11-2024-5</v>
      </c>
      <c r="AK720" s="29">
        <f>MONTH(Data!$C720)</f>
        <v>11</v>
      </c>
      <c r="AL720" s="29">
        <f>IFERROR(Data!$F720/Data!$E720,0)</f>
        <v>32.761904761904759</v>
      </c>
      <c r="AM720" s="29">
        <f>COUNTIF(Data!$N$2:$N$825,Data!$N720)</f>
        <v>3</v>
      </c>
      <c r="AN720" s="29" t="str">
        <f>VLOOKUP(Data!$N720,'Helpful Tables'!A:D,4,FALSE)</f>
        <v>Massachusetts</v>
      </c>
      <c r="AO720" s="29">
        <f>COUNTIF(AN:AN,Data!$AN720)/COUNTA(AN:AN)</f>
        <v>1.9393939393939394E-2</v>
      </c>
      <c r="AP720" s="29">
        <v>42.383611000000002</v>
      </c>
      <c r="AQ720" s="29">
        <v>-71.181432999999998</v>
      </c>
      <c r="AR720" s="29">
        <f>COUNTIF(Data!$P$2:$P$825,Data!$P720)</f>
        <v>1</v>
      </c>
      <c r="AS720" s="29" cm="1">
        <f t="array" ref="AS720">_xlfn.IFS(Data!$E720&lt;12,((Data!$E720/Data!$D720)*60)*1,AND(Data!$E720&gt;=12,Data!$E720&lt;=15),((Data!$E720/Data!$D720)*60)*1.2,AND(Data!$E720&gt;=16,Data!$E720&lt;=19),((Data!$E720/Data!$D720)*60)*1.5,Data!$E720&gt;=20,((Data!$E720/Data!$D720)*60)*1.8)</f>
        <v>39.103448275862071</v>
      </c>
      <c r="AT720" s="29" cm="1">
        <f t="array" ref="AT720">_xlfn.IFS(Data!$F720&lt;600,((Data!$F720/Data!$D720)*60)*1,AND(Data!$F720&gt;=600,Data!$F720&lt;=625),((Data!$F720/Data!$D720)*60)*1.2,AND(Data!$F720&gt;=626,Data!$F720&lt;=650),((Data!$F720/Data!$D720)*60)*1.5,Data!$F720&gt;=651,((Data!$F720/Data!$D720)*60)*1.8)</f>
        <v>1281.1034482758621</v>
      </c>
      <c r="AU720" s="29">
        <f>(Data!$I720*-1.2)+(Data!$J720*-1.1)+(Data!$K720*1.2)+(Data!$L720*1.3)+(Data!$M720*1.5)</f>
        <v>11.5</v>
      </c>
      <c r="AV720" s="29">
        <f>(Data!$AS720*0.4)+(Data!$AT720*0.4)+(Data!$AU720*0.2)</f>
        <v>530.38275862068963</v>
      </c>
      <c r="AW720" s="34">
        <f>PERCENTRANK(AV:AV,Data!$AV720)*100</f>
        <v>93.600000000000009</v>
      </c>
      <c r="AX720" s="29" t="str">
        <f>_xlfn.CONCAT(TEXT(C720,"mmm"),"-",Data!$AE720)</f>
        <v>Nov-2024</v>
      </c>
    </row>
    <row r="721" spans="1:50" ht="17" thickTop="1" thickBot="1" x14ac:dyDescent="0.25">
      <c r="A721" s="22">
        <v>720</v>
      </c>
      <c r="B721" s="23">
        <f t="shared" si="90"/>
        <v>14</v>
      </c>
      <c r="C721" s="41">
        <v>45624</v>
      </c>
      <c r="D721" s="24">
        <f>SUM(Data!$I721:$M721)</f>
        <v>58</v>
      </c>
      <c r="E721" s="23">
        <v>12</v>
      </c>
      <c r="F721" s="23">
        <v>644</v>
      </c>
      <c r="G721" s="23">
        <v>166</v>
      </c>
      <c r="H721" s="23">
        <v>126</v>
      </c>
      <c r="I721" s="23">
        <v>14</v>
      </c>
      <c r="J721" s="23">
        <v>12</v>
      </c>
      <c r="K721" s="23">
        <v>20</v>
      </c>
      <c r="L721" s="23">
        <v>10</v>
      </c>
      <c r="M721" s="23">
        <v>2</v>
      </c>
      <c r="N721" s="23" t="s">
        <v>138</v>
      </c>
      <c r="O721" s="23" t="s">
        <v>76</v>
      </c>
      <c r="P721" s="23" t="s">
        <v>225</v>
      </c>
      <c r="Q721" s="23">
        <f t="shared" si="96"/>
        <v>1</v>
      </c>
      <c r="R721" s="23" t="str">
        <f t="shared" si="91"/>
        <v>11-2024</v>
      </c>
      <c r="S721" s="23" t="s">
        <v>117</v>
      </c>
      <c r="T721" s="23" t="str">
        <f t="shared" si="92"/>
        <v>Thursday</v>
      </c>
      <c r="U721" s="23">
        <f t="shared" si="93"/>
        <v>1</v>
      </c>
      <c r="V721" s="25">
        <f>IFERROR(Data!$I721/Data!$D721,"")</f>
        <v>0.2413793103448276</v>
      </c>
      <c r="W721" s="25">
        <f>IFERROR(Data!$J721/Data!$D721,"")</f>
        <v>0.20689655172413793</v>
      </c>
      <c r="X721" s="25">
        <f>IFERROR(Data!$K721/Data!$D721,"")</f>
        <v>0.34482758620689657</v>
      </c>
      <c r="Y721" s="25">
        <f>IFERROR(Data!$L721/Data!$D721,"")</f>
        <v>0.17241379310344829</v>
      </c>
      <c r="Z721" s="25">
        <f>IFERROR(Data!$M721/Data!$D721,"")</f>
        <v>3.4482758620689655E-2</v>
      </c>
      <c r="AA721" s="26">
        <v>169</v>
      </c>
      <c r="AB721" s="26">
        <f t="shared" si="97"/>
        <v>12.071428571428571</v>
      </c>
      <c r="AC721" s="23">
        <f t="shared" si="94"/>
        <v>634.21428571428567</v>
      </c>
      <c r="AD721" s="23">
        <f t="shared" si="95"/>
        <v>14.785714285714286</v>
      </c>
      <c r="AE721" s="23">
        <f>YEAR(Data!$C721)</f>
        <v>2024</v>
      </c>
      <c r="AF721" s="23"/>
      <c r="AG721" s="23">
        <v>12</v>
      </c>
      <c r="AH721" s="27">
        <f>Data!$F721/Data!$D721</f>
        <v>11.103448275862069</v>
      </c>
      <c r="AI721" s="17" t="str">
        <f>RIGHT(Data!$O721,2)</f>
        <v>AM</v>
      </c>
      <c r="AJ721" s="23" t="str">
        <f>Data!$R721&amp;"-"&amp;WEEKNUM(Data!$C721,1)-WEEKNUM(DATE(YEAR(Data!$C721),MONTH(Data!$C721),1),1)+1</f>
        <v>11-2024-5</v>
      </c>
      <c r="AK721" s="23">
        <f>MONTH(Data!$C721)</f>
        <v>11</v>
      </c>
      <c r="AL721" s="23">
        <f>IFERROR(Data!$F721/Data!$E721,0)</f>
        <v>53.666666666666664</v>
      </c>
      <c r="AM721" s="23">
        <f>COUNTIF(Data!$N$2:$N$825,Data!$N721)</f>
        <v>11</v>
      </c>
      <c r="AN721" s="23" t="str">
        <f>VLOOKUP(Data!$N721,'Helpful Tables'!A:D,4,FALSE)</f>
        <v>Massachusetts</v>
      </c>
      <c r="AO721" s="23">
        <f>COUNTIF(AN:AN,Data!$AN721)/COUNTA(AN:AN)</f>
        <v>1.9393939393939394E-2</v>
      </c>
      <c r="AP721" s="23">
        <v>42.350487000000001</v>
      </c>
      <c r="AQ721" s="23">
        <v>-71.152720000000002</v>
      </c>
      <c r="AR721" s="23">
        <f>COUNTIF(Data!$P$2:$P$825,Data!$P721)</f>
        <v>1</v>
      </c>
      <c r="AS721" s="23" cm="1">
        <f t="array" ref="AS721">_xlfn.IFS(Data!$E721&lt;12,((Data!$E721/Data!$D721)*60)*1,AND(Data!$E721&gt;=12,Data!$E721&lt;=15),((Data!$E721/Data!$D721)*60)*1.2,AND(Data!$E721&gt;=16,Data!$E721&lt;=19),((Data!$E721/Data!$D721)*60)*1.5,Data!$E721&gt;=20,((Data!$E721/Data!$D721)*60)*1.8)</f>
        <v>14.896551724137931</v>
      </c>
      <c r="AT721" s="23" cm="1">
        <f t="array" ref="AT721">_xlfn.IFS(Data!$F721&lt;600,((Data!$F721/Data!$D721)*60)*1,AND(Data!$F721&gt;=600,Data!$F721&lt;=625),((Data!$F721/Data!$D721)*60)*1.2,AND(Data!$F721&gt;=626,Data!$F721&lt;=650),((Data!$F721/Data!$D721)*60)*1.5,Data!$F721&gt;=651,((Data!$F721/Data!$D721)*60)*1.8)</f>
        <v>999.31034482758628</v>
      </c>
      <c r="AU721" s="23">
        <f>(Data!$I721*-1.2)+(Data!$J721*-1.1)+(Data!$K721*1.2)+(Data!$L721*1.3)+(Data!$M721*1.5)</f>
        <v>10</v>
      </c>
      <c r="AV721" s="23">
        <f>(Data!$AS721*0.4)+(Data!$AT721*0.4)+(Data!$AU721*0.2)</f>
        <v>407.6827586206897</v>
      </c>
      <c r="AW721" s="35">
        <f>PERCENTRANK(AV:AV,Data!$AV721)*100</f>
        <v>56.3</v>
      </c>
      <c r="AX721" s="23" t="str">
        <f>_xlfn.CONCAT(TEXT(C721,"mmm"),"-",Data!$AE721)</f>
        <v>Nov-2024</v>
      </c>
    </row>
    <row r="722" spans="1:50" ht="17" thickTop="1" thickBot="1" x14ac:dyDescent="0.25">
      <c r="A722" s="28">
        <v>721</v>
      </c>
      <c r="B722" s="29">
        <f t="shared" si="90"/>
        <v>14</v>
      </c>
      <c r="C722" s="41">
        <v>45626</v>
      </c>
      <c r="D722" s="30">
        <f>SUM(Data!$I722:$M722)</f>
        <v>60</v>
      </c>
      <c r="E722" s="29">
        <v>7</v>
      </c>
      <c r="F722" s="29">
        <v>547</v>
      </c>
      <c r="G722" s="29">
        <v>162</v>
      </c>
      <c r="H722" s="29">
        <v>113</v>
      </c>
      <c r="I722" s="29">
        <v>28</v>
      </c>
      <c r="J722" s="29">
        <v>15</v>
      </c>
      <c r="K722" s="29">
        <v>10</v>
      </c>
      <c r="L722" s="29">
        <v>7</v>
      </c>
      <c r="M722" s="29">
        <v>0</v>
      </c>
      <c r="N722" s="29" t="s">
        <v>125</v>
      </c>
      <c r="O722" s="29" t="s">
        <v>159</v>
      </c>
      <c r="P722" s="29" t="s">
        <v>222</v>
      </c>
      <c r="Q722" s="29">
        <f t="shared" si="96"/>
        <v>2</v>
      </c>
      <c r="R722" s="29" t="str">
        <f t="shared" si="91"/>
        <v>11-2024</v>
      </c>
      <c r="S722" s="29" t="s">
        <v>117</v>
      </c>
      <c r="T722" s="29" t="str">
        <f t="shared" si="92"/>
        <v>Saturday</v>
      </c>
      <c r="U722" s="29">
        <f t="shared" si="93"/>
        <v>0</v>
      </c>
      <c r="V722" s="31">
        <f>IFERROR(Data!$I722/Data!$D722,"")</f>
        <v>0.46666666666666667</v>
      </c>
      <c r="W722" s="31">
        <f>IFERROR(Data!$J722/Data!$D722,"")</f>
        <v>0.25</v>
      </c>
      <c r="X722" s="31">
        <f>IFERROR(Data!$K722/Data!$D722,"")</f>
        <v>0.16666666666666666</v>
      </c>
      <c r="Y722" s="31">
        <f>IFERROR(Data!$L722/Data!$D722,"")</f>
        <v>0.11666666666666667</v>
      </c>
      <c r="Z722" s="31">
        <f>IFERROR(Data!$M722/Data!$D722,"")</f>
        <v>0</v>
      </c>
      <c r="AA722" s="32">
        <v>169</v>
      </c>
      <c r="AB722" s="32">
        <f t="shared" si="97"/>
        <v>12.071428571428571</v>
      </c>
      <c r="AC722" s="29">
        <f t="shared" si="94"/>
        <v>634.21428571428567</v>
      </c>
      <c r="AD722" s="29">
        <f t="shared" si="95"/>
        <v>14.785714285714286</v>
      </c>
      <c r="AE722" s="29">
        <f>YEAR(Data!$C722)</f>
        <v>2024</v>
      </c>
      <c r="AF722" s="29"/>
      <c r="AG722" s="29">
        <v>12</v>
      </c>
      <c r="AH722" s="33">
        <f>Data!$F722/Data!$D722</f>
        <v>9.1166666666666671</v>
      </c>
      <c r="AI722" s="17" t="str">
        <f>RIGHT(Data!$O722,2)</f>
        <v>AM</v>
      </c>
      <c r="AJ722" s="29" t="str">
        <f>Data!$R722&amp;"-"&amp;WEEKNUM(Data!$C722,1)-WEEKNUM(DATE(YEAR(Data!$C722),MONTH(Data!$C722),1),1)+1</f>
        <v>11-2024-5</v>
      </c>
      <c r="AK722" s="29">
        <f>MONTH(Data!$C722)</f>
        <v>11</v>
      </c>
      <c r="AL722" s="29">
        <f>IFERROR(Data!$F722/Data!$E722,0)</f>
        <v>78.142857142857139</v>
      </c>
      <c r="AM722" s="29">
        <f>COUNTIF(Data!$N$2:$N$825,Data!$N722)</f>
        <v>182</v>
      </c>
      <c r="AN722" s="29" t="str">
        <f>VLOOKUP(Data!$N722,'Helpful Tables'!A:D,4,FALSE)</f>
        <v>Oregon</v>
      </c>
      <c r="AO722" s="29">
        <f>COUNTIF(AN:AN,Data!$AN722)/COUNTA(AN:AN)</f>
        <v>0.27393939393939393</v>
      </c>
      <c r="AP722" s="29">
        <v>45.534162000000002</v>
      </c>
      <c r="AQ722" s="29">
        <v>-122.69670000000001</v>
      </c>
      <c r="AR722" s="29">
        <f>COUNTIF(Data!$P$2:$P$825,Data!$P722)</f>
        <v>32</v>
      </c>
      <c r="AS722" s="29" cm="1">
        <f t="array" ref="AS722">_xlfn.IFS(Data!$E722&lt;12,((Data!$E722/Data!$D722)*60)*1,AND(Data!$E722&gt;=12,Data!$E722&lt;=15),((Data!$E722/Data!$D722)*60)*1.2,AND(Data!$E722&gt;=16,Data!$E722&lt;=19),((Data!$E722/Data!$D722)*60)*1.5,Data!$E722&gt;=20,((Data!$E722/Data!$D722)*60)*1.8)</f>
        <v>7</v>
      </c>
      <c r="AT722" s="29" cm="1">
        <f t="array" ref="AT722">_xlfn.IFS(Data!$F722&lt;600,((Data!$F722/Data!$D722)*60)*1,AND(Data!$F722&gt;=600,Data!$F722&lt;=625),((Data!$F722/Data!$D722)*60)*1.2,AND(Data!$F722&gt;=626,Data!$F722&lt;=650),((Data!$F722/Data!$D722)*60)*1.5,Data!$F722&gt;=651,((Data!$F722/Data!$D722)*60)*1.8)</f>
        <v>547</v>
      </c>
      <c r="AU722" s="29">
        <f>(Data!$I722*-1.2)+(Data!$J722*-1.1)+(Data!$K722*1.2)+(Data!$L722*1.3)+(Data!$M722*1.5)</f>
        <v>-29</v>
      </c>
      <c r="AV722" s="29">
        <f>(Data!$AS722*0.4)+(Data!$AT722*0.4)+(Data!$AU722*0.2)</f>
        <v>215.8</v>
      </c>
      <c r="AW722" s="34">
        <f>PERCENTRANK(AV:AV,Data!$AV722)*100</f>
        <v>2.9000000000000004</v>
      </c>
      <c r="AX722" s="29" t="str">
        <f>_xlfn.CONCAT(TEXT(C722,"mmm"),"-",Data!$AE722)</f>
        <v>Nov-2024</v>
      </c>
    </row>
    <row r="723" spans="1:50" ht="17" thickTop="1" thickBot="1" x14ac:dyDescent="0.25">
      <c r="A723" s="22">
        <v>722</v>
      </c>
      <c r="B723" s="23">
        <f t="shared" si="90"/>
        <v>12</v>
      </c>
      <c r="C723" s="41">
        <v>45628</v>
      </c>
      <c r="D723" s="24">
        <f>SUM(Data!$I723:$M723)</f>
        <v>61</v>
      </c>
      <c r="E723" s="23">
        <v>17</v>
      </c>
      <c r="F723" s="23">
        <v>718</v>
      </c>
      <c r="G723" s="23">
        <v>174</v>
      </c>
      <c r="H723" s="23">
        <v>132</v>
      </c>
      <c r="I723" s="23">
        <v>8</v>
      </c>
      <c r="J723" s="23">
        <v>13</v>
      </c>
      <c r="K723" s="23">
        <v>23</v>
      </c>
      <c r="L723" s="23">
        <v>13</v>
      </c>
      <c r="M723" s="23">
        <v>4</v>
      </c>
      <c r="N723" s="23" t="s">
        <v>125</v>
      </c>
      <c r="O723" s="23" t="s">
        <v>127</v>
      </c>
      <c r="P723" s="23" t="s">
        <v>220</v>
      </c>
      <c r="Q723" s="23">
        <f t="shared" si="96"/>
        <v>2</v>
      </c>
      <c r="R723" s="23" t="str">
        <f t="shared" si="91"/>
        <v>12-2024</v>
      </c>
      <c r="S723" s="23" t="s">
        <v>104</v>
      </c>
      <c r="T723" s="23" t="str">
        <f t="shared" si="92"/>
        <v>Monday</v>
      </c>
      <c r="U723" s="23">
        <f t="shared" si="93"/>
        <v>1</v>
      </c>
      <c r="V723" s="25">
        <f>IFERROR(Data!$I723/Data!$D723,"")</f>
        <v>0.13114754098360656</v>
      </c>
      <c r="W723" s="25">
        <f>IFERROR(Data!$J723/Data!$D723,"")</f>
        <v>0.21311475409836064</v>
      </c>
      <c r="X723" s="25">
        <f>IFERROR(Data!$K723/Data!$D723,"")</f>
        <v>0.37704918032786883</v>
      </c>
      <c r="Y723" s="25">
        <f>IFERROR(Data!$L723/Data!$D723,"")</f>
        <v>0.21311475409836064</v>
      </c>
      <c r="Z723" s="25">
        <f>IFERROR(Data!$M723/Data!$D723,"")</f>
        <v>6.5573770491803282E-2</v>
      </c>
      <c r="AA723" s="26">
        <v>169</v>
      </c>
      <c r="AB723" s="26">
        <f t="shared" si="97"/>
        <v>14.083333333333334</v>
      </c>
      <c r="AC723" s="23">
        <f t="shared" si="94"/>
        <v>651.33333333333337</v>
      </c>
      <c r="AD723" s="23">
        <f t="shared" si="95"/>
        <v>14.75</v>
      </c>
      <c r="AE723" s="23">
        <f>YEAR(Data!$C723)</f>
        <v>2024</v>
      </c>
      <c r="AF723" s="23"/>
      <c r="AG723" s="23">
        <v>12</v>
      </c>
      <c r="AH723" s="27">
        <f>Data!$F723/Data!$D723</f>
        <v>11.770491803278688</v>
      </c>
      <c r="AI723" s="17" t="str">
        <f>RIGHT(Data!$O723,2)</f>
        <v>PM</v>
      </c>
      <c r="AJ723" s="23" t="str">
        <f>Data!$R723&amp;"-"&amp;WEEKNUM(Data!$C723,1)-WEEKNUM(DATE(YEAR(Data!$C723),MONTH(Data!$C723),1),1)+1</f>
        <v>12-2024-1</v>
      </c>
      <c r="AK723" s="23">
        <f>MONTH(Data!$C723)</f>
        <v>12</v>
      </c>
      <c r="AL723" s="23">
        <f>IFERROR(Data!$F723/Data!$E723,0)</f>
        <v>42.235294117647058</v>
      </c>
      <c r="AM723" s="23">
        <f>COUNTIF(Data!$N$2:$N$825,Data!$N723)</f>
        <v>182</v>
      </c>
      <c r="AN723" s="23" t="str">
        <f>VLOOKUP(Data!$N723,'Helpful Tables'!A:D,4,FALSE)</f>
        <v>Oregon</v>
      </c>
      <c r="AO723" s="23">
        <f>COUNTIF(AN:AN,Data!$AN723)/COUNTA(AN:AN)</f>
        <v>0.27393939393939393</v>
      </c>
      <c r="AP723" s="23">
        <v>45.534162000000002</v>
      </c>
      <c r="AQ723" s="23">
        <v>-122.69670000000001</v>
      </c>
      <c r="AR723" s="23">
        <f>COUNTIF(Data!$P$2:$P$825,Data!$P723)</f>
        <v>43</v>
      </c>
      <c r="AS723" s="23" cm="1">
        <f t="array" ref="AS723">_xlfn.IFS(Data!$E723&lt;12,((Data!$E723/Data!$D723)*60)*1,AND(Data!$E723&gt;=12,Data!$E723&lt;=15),((Data!$E723/Data!$D723)*60)*1.2,AND(Data!$E723&gt;=16,Data!$E723&lt;=19),((Data!$E723/Data!$D723)*60)*1.5,Data!$E723&gt;=20,((Data!$E723/Data!$D723)*60)*1.8)</f>
        <v>25.081967213114751</v>
      </c>
      <c r="AT723" s="23" cm="1">
        <f t="array" ref="AT723">_xlfn.IFS(Data!$F723&lt;600,((Data!$F723/Data!$D723)*60)*1,AND(Data!$F723&gt;=600,Data!$F723&lt;=625),((Data!$F723/Data!$D723)*60)*1.2,AND(Data!$F723&gt;=626,Data!$F723&lt;=650),((Data!$F723/Data!$D723)*60)*1.5,Data!$F723&gt;=651,((Data!$F723/Data!$D723)*60)*1.8)</f>
        <v>1271.2131147540983</v>
      </c>
      <c r="AU723" s="23">
        <f>(Data!$I723*-1.2)+(Data!$J723*-1.1)+(Data!$K723*1.2)+(Data!$L723*1.3)+(Data!$M723*1.5)</f>
        <v>26.6</v>
      </c>
      <c r="AV723" s="23">
        <f>(Data!$AS723*0.4)+(Data!$AT723*0.4)+(Data!$AU723*0.2)</f>
        <v>523.83803278688526</v>
      </c>
      <c r="AW723" s="35">
        <f>PERCENTRANK(AV:AV,Data!$AV723)*100</f>
        <v>91.3</v>
      </c>
      <c r="AX723" s="23" t="str">
        <f>_xlfn.CONCAT(TEXT(C723,"mmm"),"-",Data!$AE723)</f>
        <v>Dec-2024</v>
      </c>
    </row>
    <row r="724" spans="1:50" ht="17" thickTop="1" thickBot="1" x14ac:dyDescent="0.25">
      <c r="A724" s="28">
        <v>723</v>
      </c>
      <c r="B724" s="29">
        <f t="shared" si="90"/>
        <v>12</v>
      </c>
      <c r="C724" s="41">
        <v>45631</v>
      </c>
      <c r="D724" s="30">
        <f>SUM(Data!$I724:$M724)</f>
        <v>57</v>
      </c>
      <c r="E724" s="29">
        <v>16</v>
      </c>
      <c r="F724" s="29">
        <v>686</v>
      </c>
      <c r="G724" s="29">
        <v>168</v>
      </c>
      <c r="H724" s="29">
        <v>133</v>
      </c>
      <c r="I724" s="29">
        <v>5</v>
      </c>
      <c r="J724" s="29">
        <v>14</v>
      </c>
      <c r="K724" s="29">
        <v>22</v>
      </c>
      <c r="L724" s="29">
        <v>13</v>
      </c>
      <c r="M724" s="29">
        <v>3</v>
      </c>
      <c r="N724" s="29" t="s">
        <v>125</v>
      </c>
      <c r="O724" s="29" t="s">
        <v>127</v>
      </c>
      <c r="P724" s="29" t="s">
        <v>222</v>
      </c>
      <c r="Q724" s="29">
        <f t="shared" si="96"/>
        <v>3</v>
      </c>
      <c r="R724" s="29" t="str">
        <f t="shared" si="91"/>
        <v>12-2024</v>
      </c>
      <c r="S724" s="29" t="s">
        <v>104</v>
      </c>
      <c r="T724" s="29" t="str">
        <f t="shared" si="92"/>
        <v>Thursday</v>
      </c>
      <c r="U724" s="29">
        <f t="shared" si="93"/>
        <v>1</v>
      </c>
      <c r="V724" s="31">
        <f>IFERROR(Data!$I724/Data!$D724,"")</f>
        <v>8.771929824561403E-2</v>
      </c>
      <c r="W724" s="31">
        <f>IFERROR(Data!$J724/Data!$D724,"")</f>
        <v>0.24561403508771928</v>
      </c>
      <c r="X724" s="31">
        <f>IFERROR(Data!$K724/Data!$D724,"")</f>
        <v>0.38596491228070173</v>
      </c>
      <c r="Y724" s="31">
        <f>IFERROR(Data!$L724/Data!$D724,"")</f>
        <v>0.22807017543859648</v>
      </c>
      <c r="Z724" s="31">
        <f>IFERROR(Data!$M724/Data!$D724,"")</f>
        <v>5.2631578947368418E-2</v>
      </c>
      <c r="AA724" s="32">
        <v>169</v>
      </c>
      <c r="AB724" s="32">
        <f t="shared" si="97"/>
        <v>14.083333333333334</v>
      </c>
      <c r="AC724" s="29">
        <f t="shared" si="94"/>
        <v>651.33333333333337</v>
      </c>
      <c r="AD724" s="29">
        <f t="shared" si="95"/>
        <v>14.75</v>
      </c>
      <c r="AE724" s="29">
        <f>YEAR(Data!$C724)</f>
        <v>2024</v>
      </c>
      <c r="AF724" s="29"/>
      <c r="AG724" s="29">
        <v>12</v>
      </c>
      <c r="AH724" s="33">
        <f>Data!$F724/Data!$D724</f>
        <v>12.035087719298245</v>
      </c>
      <c r="AI724" s="17" t="str">
        <f>RIGHT(Data!$O724,2)</f>
        <v>PM</v>
      </c>
      <c r="AJ724" s="29" t="str">
        <f>Data!$R724&amp;"-"&amp;WEEKNUM(Data!$C724,1)-WEEKNUM(DATE(YEAR(Data!$C724),MONTH(Data!$C724),1),1)+1</f>
        <v>12-2024-1</v>
      </c>
      <c r="AK724" s="29">
        <f>MONTH(Data!$C724)</f>
        <v>12</v>
      </c>
      <c r="AL724" s="29">
        <f>IFERROR(Data!$F724/Data!$E724,0)</f>
        <v>42.875</v>
      </c>
      <c r="AM724" s="29">
        <f>COUNTIF(Data!$N$2:$N$825,Data!$N724)</f>
        <v>182</v>
      </c>
      <c r="AN724" s="29" t="str">
        <f>VLOOKUP(Data!$N724,'Helpful Tables'!A:D,4,FALSE)</f>
        <v>Oregon</v>
      </c>
      <c r="AO724" s="29">
        <f>COUNTIF(AN:AN,Data!$AN724)/COUNTA(AN:AN)</f>
        <v>0.27393939393939393</v>
      </c>
      <c r="AP724" s="29">
        <v>45.534162000000002</v>
      </c>
      <c r="AQ724" s="29">
        <v>-122.69670000000001</v>
      </c>
      <c r="AR724" s="29">
        <f>COUNTIF(Data!$P$2:$P$825,Data!$P724)</f>
        <v>32</v>
      </c>
      <c r="AS724" s="29" cm="1">
        <f t="array" ref="AS724">_xlfn.IFS(Data!$E724&lt;12,((Data!$E724/Data!$D724)*60)*1,AND(Data!$E724&gt;=12,Data!$E724&lt;=15),((Data!$E724/Data!$D724)*60)*1.2,AND(Data!$E724&gt;=16,Data!$E724&lt;=19),((Data!$E724/Data!$D724)*60)*1.5,Data!$E724&gt;=20,((Data!$E724/Data!$D724)*60)*1.8)</f>
        <v>25.263157894736842</v>
      </c>
      <c r="AT724" s="29" cm="1">
        <f t="array" ref="AT724">_xlfn.IFS(Data!$F724&lt;600,((Data!$F724/Data!$D724)*60)*1,AND(Data!$F724&gt;=600,Data!$F724&lt;=625),((Data!$F724/Data!$D724)*60)*1.2,AND(Data!$F724&gt;=626,Data!$F724&lt;=650),((Data!$F724/Data!$D724)*60)*1.5,Data!$F724&gt;=651,((Data!$F724/Data!$D724)*60)*1.8)</f>
        <v>1299.7894736842104</v>
      </c>
      <c r="AU724" s="29">
        <f>(Data!$I724*-1.2)+(Data!$J724*-1.1)+(Data!$K724*1.2)+(Data!$L724*1.3)+(Data!$M724*1.5)</f>
        <v>26.4</v>
      </c>
      <c r="AV724" s="29">
        <f>(Data!$AS724*0.4)+(Data!$AT724*0.4)+(Data!$AU724*0.2)</f>
        <v>535.30105263157884</v>
      </c>
      <c r="AW724" s="34">
        <f>PERCENTRANK(AV:AV,Data!$AV724)*100</f>
        <v>95.3</v>
      </c>
      <c r="AX724" s="29" t="str">
        <f>_xlfn.CONCAT(TEXT(C724,"mmm"),"-",Data!$AE724)</f>
        <v>Dec-2024</v>
      </c>
    </row>
    <row r="725" spans="1:50" ht="17" thickTop="1" thickBot="1" x14ac:dyDescent="0.25">
      <c r="A725" s="22">
        <v>724</v>
      </c>
      <c r="B725" s="23">
        <f t="shared" si="90"/>
        <v>12</v>
      </c>
      <c r="C725" s="41">
        <v>45633</v>
      </c>
      <c r="D725" s="24">
        <f>SUM(Data!$I725:$M725)</f>
        <v>61</v>
      </c>
      <c r="E725" s="23">
        <v>9</v>
      </c>
      <c r="F725" s="23">
        <v>562</v>
      </c>
      <c r="G725" s="23">
        <v>165</v>
      </c>
      <c r="H725" s="23">
        <v>115</v>
      </c>
      <c r="I725" s="23">
        <v>26</v>
      </c>
      <c r="J725" s="23">
        <v>15</v>
      </c>
      <c r="K725" s="23">
        <v>11</v>
      </c>
      <c r="L725" s="23">
        <v>8</v>
      </c>
      <c r="M725" s="23">
        <v>1</v>
      </c>
      <c r="N725" s="23" t="s">
        <v>125</v>
      </c>
      <c r="O725" s="23" t="s">
        <v>159</v>
      </c>
      <c r="P725" s="23" t="s">
        <v>220</v>
      </c>
      <c r="Q725" s="23">
        <f t="shared" si="96"/>
        <v>2</v>
      </c>
      <c r="R725" s="23" t="str">
        <f t="shared" si="91"/>
        <v>12-2024</v>
      </c>
      <c r="S725" s="23" t="s">
        <v>117</v>
      </c>
      <c r="T725" s="23" t="str">
        <f t="shared" si="92"/>
        <v>Saturday</v>
      </c>
      <c r="U725" s="23">
        <f t="shared" si="93"/>
        <v>0</v>
      </c>
      <c r="V725" s="25">
        <f>IFERROR(Data!$I725/Data!$D725,"")</f>
        <v>0.42622950819672129</v>
      </c>
      <c r="W725" s="25">
        <f>IFERROR(Data!$J725/Data!$D725,"")</f>
        <v>0.24590163934426229</v>
      </c>
      <c r="X725" s="25">
        <f>IFERROR(Data!$K725/Data!$D725,"")</f>
        <v>0.18032786885245902</v>
      </c>
      <c r="Y725" s="25">
        <f>IFERROR(Data!$L725/Data!$D725,"")</f>
        <v>0.13114754098360656</v>
      </c>
      <c r="Z725" s="25">
        <f>IFERROR(Data!$M725/Data!$D725,"")</f>
        <v>1.6393442622950821E-2</v>
      </c>
      <c r="AA725" s="26">
        <v>169</v>
      </c>
      <c r="AB725" s="26">
        <f t="shared" si="97"/>
        <v>14.083333333333334</v>
      </c>
      <c r="AC725" s="23">
        <f t="shared" si="94"/>
        <v>651.33333333333337</v>
      </c>
      <c r="AD725" s="23">
        <f t="shared" si="95"/>
        <v>14.75</v>
      </c>
      <c r="AE725" s="23">
        <f>YEAR(Data!$C725)</f>
        <v>2024</v>
      </c>
      <c r="AF725" s="23"/>
      <c r="AG725" s="23">
        <v>12</v>
      </c>
      <c r="AH725" s="27">
        <f>Data!$F725/Data!$D725</f>
        <v>9.2131147540983598</v>
      </c>
      <c r="AI725" s="17" t="str">
        <f>RIGHT(Data!$O725,2)</f>
        <v>AM</v>
      </c>
      <c r="AJ725" s="23" t="str">
        <f>Data!$R725&amp;"-"&amp;WEEKNUM(Data!$C725,1)-WEEKNUM(DATE(YEAR(Data!$C725),MONTH(Data!$C725),1),1)+1</f>
        <v>12-2024-1</v>
      </c>
      <c r="AK725" s="23">
        <f>MONTH(Data!$C725)</f>
        <v>12</v>
      </c>
      <c r="AL725" s="23">
        <f>IFERROR(Data!$F725/Data!$E725,0)</f>
        <v>62.444444444444443</v>
      </c>
      <c r="AM725" s="23">
        <f>COUNTIF(Data!$N$2:$N$825,Data!$N725)</f>
        <v>182</v>
      </c>
      <c r="AN725" s="23" t="str">
        <f>VLOOKUP(Data!$N725,'Helpful Tables'!A:D,4,FALSE)</f>
        <v>Oregon</v>
      </c>
      <c r="AO725" s="23">
        <f>COUNTIF(AN:AN,Data!$AN725)/COUNTA(AN:AN)</f>
        <v>0.27393939393939393</v>
      </c>
      <c r="AP725" s="23">
        <v>45.534162000000002</v>
      </c>
      <c r="AQ725" s="23">
        <v>-122.69670000000001</v>
      </c>
      <c r="AR725" s="23">
        <f>COUNTIF(Data!$P$2:$P$825,Data!$P725)</f>
        <v>43</v>
      </c>
      <c r="AS725" s="23" cm="1">
        <f t="array" ref="AS725">_xlfn.IFS(Data!$E725&lt;12,((Data!$E725/Data!$D725)*60)*1,AND(Data!$E725&gt;=12,Data!$E725&lt;=15),((Data!$E725/Data!$D725)*60)*1.2,AND(Data!$E725&gt;=16,Data!$E725&lt;=19),((Data!$E725/Data!$D725)*60)*1.5,Data!$E725&gt;=20,((Data!$E725/Data!$D725)*60)*1.8)</f>
        <v>8.8524590163934427</v>
      </c>
      <c r="AT725" s="23" cm="1">
        <f t="array" ref="AT725">_xlfn.IFS(Data!$F725&lt;600,((Data!$F725/Data!$D725)*60)*1,AND(Data!$F725&gt;=600,Data!$F725&lt;=625),((Data!$F725/Data!$D725)*60)*1.2,AND(Data!$F725&gt;=626,Data!$F725&lt;=650),((Data!$F725/Data!$D725)*60)*1.5,Data!$F725&gt;=651,((Data!$F725/Data!$D725)*60)*1.8)</f>
        <v>552.78688524590154</v>
      </c>
      <c r="AU725" s="23">
        <f>(Data!$I725*-1.2)+(Data!$J725*-1.1)+(Data!$K725*1.2)+(Data!$L725*1.3)+(Data!$M725*1.5)</f>
        <v>-22.6</v>
      </c>
      <c r="AV725" s="23">
        <f>(Data!$AS725*0.4)+(Data!$AT725*0.4)+(Data!$AU725*0.2)</f>
        <v>220.135737704918</v>
      </c>
      <c r="AW725" s="35">
        <f>PERCENTRANK(AV:AV,Data!$AV725)*100</f>
        <v>3.6999999999999997</v>
      </c>
      <c r="AX725" s="23" t="str">
        <f>_xlfn.CONCAT(TEXT(C725,"mmm"),"-",Data!$AE725)</f>
        <v>Dec-2024</v>
      </c>
    </row>
    <row r="726" spans="1:50" ht="17" thickTop="1" thickBot="1" x14ac:dyDescent="0.25">
      <c r="A726" s="28">
        <v>725</v>
      </c>
      <c r="B726" s="29">
        <f t="shared" si="90"/>
        <v>12</v>
      </c>
      <c r="C726" s="41">
        <v>45635</v>
      </c>
      <c r="D726" s="30">
        <f>SUM(Data!$I726:$M726)</f>
        <v>61</v>
      </c>
      <c r="E726" s="29">
        <v>15</v>
      </c>
      <c r="F726" s="29">
        <v>660</v>
      </c>
      <c r="G726" s="29">
        <v>166</v>
      </c>
      <c r="H726" s="29">
        <v>126</v>
      </c>
      <c r="I726" s="29">
        <v>15</v>
      </c>
      <c r="J726" s="29">
        <v>13</v>
      </c>
      <c r="K726" s="29">
        <v>18</v>
      </c>
      <c r="L726" s="29">
        <v>13</v>
      </c>
      <c r="M726" s="29">
        <v>2</v>
      </c>
      <c r="N726" s="29" t="s">
        <v>125</v>
      </c>
      <c r="O726" s="29" t="s">
        <v>215</v>
      </c>
      <c r="P726" s="29" t="s">
        <v>220</v>
      </c>
      <c r="Q726" s="29">
        <f t="shared" si="96"/>
        <v>2</v>
      </c>
      <c r="R726" s="29" t="str">
        <f t="shared" si="91"/>
        <v>12-2024</v>
      </c>
      <c r="S726" s="29" t="s">
        <v>117</v>
      </c>
      <c r="T726" s="29" t="str">
        <f t="shared" si="92"/>
        <v>Monday</v>
      </c>
      <c r="U726" s="29">
        <f t="shared" si="93"/>
        <v>1</v>
      </c>
      <c r="V726" s="31">
        <f>IFERROR(Data!$I726/Data!$D726,"")</f>
        <v>0.24590163934426229</v>
      </c>
      <c r="W726" s="31">
        <f>IFERROR(Data!$J726/Data!$D726,"")</f>
        <v>0.21311475409836064</v>
      </c>
      <c r="X726" s="31">
        <f>IFERROR(Data!$K726/Data!$D726,"")</f>
        <v>0.29508196721311475</v>
      </c>
      <c r="Y726" s="31">
        <f>IFERROR(Data!$L726/Data!$D726,"")</f>
        <v>0.21311475409836064</v>
      </c>
      <c r="Z726" s="31">
        <f>IFERROR(Data!$M726/Data!$D726,"")</f>
        <v>3.2786885245901641E-2</v>
      </c>
      <c r="AA726" s="32">
        <v>169</v>
      </c>
      <c r="AB726" s="32">
        <f t="shared" si="97"/>
        <v>14.083333333333334</v>
      </c>
      <c r="AC726" s="29">
        <f t="shared" si="94"/>
        <v>651.33333333333337</v>
      </c>
      <c r="AD726" s="29">
        <f t="shared" si="95"/>
        <v>14.75</v>
      </c>
      <c r="AE726" s="29">
        <f>YEAR(Data!$C726)</f>
        <v>2024</v>
      </c>
      <c r="AF726" s="29"/>
      <c r="AG726" s="29">
        <v>12</v>
      </c>
      <c r="AH726" s="33">
        <f>Data!$F726/Data!$D726</f>
        <v>10.819672131147541</v>
      </c>
      <c r="AI726" s="17" t="str">
        <f>RIGHT(Data!$O726,2)</f>
        <v>PM</v>
      </c>
      <c r="AJ726" s="29" t="str">
        <f>Data!$R726&amp;"-"&amp;WEEKNUM(Data!$C726,1)-WEEKNUM(DATE(YEAR(Data!$C726),MONTH(Data!$C726),1),1)+1</f>
        <v>12-2024-2</v>
      </c>
      <c r="AK726" s="29">
        <f>MONTH(Data!$C726)</f>
        <v>12</v>
      </c>
      <c r="AL726" s="29">
        <f>IFERROR(Data!$F726/Data!$E726,0)</f>
        <v>44</v>
      </c>
      <c r="AM726" s="29">
        <f>COUNTIF(Data!$N$2:$N$825,Data!$N726)</f>
        <v>182</v>
      </c>
      <c r="AN726" s="29" t="str">
        <f>VLOOKUP(Data!$N726,'Helpful Tables'!A:D,4,FALSE)</f>
        <v>Oregon</v>
      </c>
      <c r="AO726" s="29">
        <f>COUNTIF(AN:AN,Data!$AN726)/COUNTA(AN:AN)</f>
        <v>0.27393939393939393</v>
      </c>
      <c r="AP726" s="29">
        <v>45.534162000000002</v>
      </c>
      <c r="AQ726" s="29">
        <v>-122.69670000000001</v>
      </c>
      <c r="AR726" s="29">
        <f>COUNTIF(Data!$P$2:$P$825,Data!$P726)</f>
        <v>43</v>
      </c>
      <c r="AS726" s="29" cm="1">
        <f t="array" ref="AS726">_xlfn.IFS(Data!$E726&lt;12,((Data!$E726/Data!$D726)*60)*1,AND(Data!$E726&gt;=12,Data!$E726&lt;=15),((Data!$E726/Data!$D726)*60)*1.2,AND(Data!$E726&gt;=16,Data!$E726&lt;=19),((Data!$E726/Data!$D726)*60)*1.5,Data!$E726&gt;=20,((Data!$E726/Data!$D726)*60)*1.8)</f>
        <v>17.704918032786885</v>
      </c>
      <c r="AT726" s="29" cm="1">
        <f t="array" ref="AT726">_xlfn.IFS(Data!$F726&lt;600,((Data!$F726/Data!$D726)*60)*1,AND(Data!$F726&gt;=600,Data!$F726&lt;=625),((Data!$F726/Data!$D726)*60)*1.2,AND(Data!$F726&gt;=626,Data!$F726&lt;=650),((Data!$F726/Data!$D726)*60)*1.5,Data!$F726&gt;=651,((Data!$F726/Data!$D726)*60)*1.8)</f>
        <v>1168.5245901639346</v>
      </c>
      <c r="AU726" s="29">
        <f>(Data!$I726*-1.2)+(Data!$J726*-1.1)+(Data!$K726*1.2)+(Data!$L726*1.3)+(Data!$M726*1.5)</f>
        <v>9.2000000000000028</v>
      </c>
      <c r="AV726" s="29">
        <f>(Data!$AS726*0.4)+(Data!$AT726*0.4)+(Data!$AU726*0.2)</f>
        <v>476.3318032786886</v>
      </c>
      <c r="AW726" s="34">
        <f>PERCENTRANK(AV:AV,Data!$AV726)*100</f>
        <v>67.800000000000011</v>
      </c>
      <c r="AX726" s="29" t="str">
        <f>_xlfn.CONCAT(TEXT(C726,"mmm"),"-",Data!$AE726)</f>
        <v>Dec-2024</v>
      </c>
    </row>
    <row r="727" spans="1:50" ht="17" thickTop="1" thickBot="1" x14ac:dyDescent="0.25">
      <c r="A727" s="22">
        <v>726</v>
      </c>
      <c r="B727" s="23">
        <f t="shared" si="90"/>
        <v>12</v>
      </c>
      <c r="C727" s="41">
        <v>45637</v>
      </c>
      <c r="D727" s="24">
        <f>SUM(Data!$I727:$M727)</f>
        <v>60</v>
      </c>
      <c r="E727" s="23">
        <v>17</v>
      </c>
      <c r="F727" s="23">
        <v>652</v>
      </c>
      <c r="G727" s="23">
        <v>171</v>
      </c>
      <c r="H727" s="23">
        <v>126</v>
      </c>
      <c r="I727" s="23">
        <v>13</v>
      </c>
      <c r="J727" s="23">
        <v>21</v>
      </c>
      <c r="K727" s="23">
        <v>9</v>
      </c>
      <c r="L727" s="23">
        <v>13</v>
      </c>
      <c r="M727" s="23">
        <v>4</v>
      </c>
      <c r="N727" s="23" t="s">
        <v>125</v>
      </c>
      <c r="O727" s="23" t="s">
        <v>127</v>
      </c>
      <c r="P727" s="23" t="s">
        <v>216</v>
      </c>
      <c r="Q727" s="23">
        <f t="shared" si="96"/>
        <v>2</v>
      </c>
      <c r="R727" s="23" t="str">
        <f t="shared" si="91"/>
        <v>12-2024</v>
      </c>
      <c r="S727" s="23" t="s">
        <v>104</v>
      </c>
      <c r="T727" s="23" t="str">
        <f t="shared" si="92"/>
        <v>Wednesday</v>
      </c>
      <c r="U727" s="23">
        <f t="shared" si="93"/>
        <v>1</v>
      </c>
      <c r="V727" s="25">
        <f>IFERROR(Data!$I727/Data!$D727,"")</f>
        <v>0.21666666666666667</v>
      </c>
      <c r="W727" s="25">
        <f>IFERROR(Data!$J727/Data!$D727,"")</f>
        <v>0.35</v>
      </c>
      <c r="X727" s="25">
        <f>IFERROR(Data!$K727/Data!$D727,"")</f>
        <v>0.15</v>
      </c>
      <c r="Y727" s="25">
        <f>IFERROR(Data!$L727/Data!$D727,"")</f>
        <v>0.21666666666666667</v>
      </c>
      <c r="Z727" s="25">
        <f>IFERROR(Data!$M727/Data!$D727,"")</f>
        <v>6.6666666666666666E-2</v>
      </c>
      <c r="AA727" s="26">
        <v>169</v>
      </c>
      <c r="AB727" s="26">
        <f t="shared" si="97"/>
        <v>14.083333333333334</v>
      </c>
      <c r="AC727" s="23">
        <f t="shared" si="94"/>
        <v>651.33333333333337</v>
      </c>
      <c r="AD727" s="23">
        <f t="shared" si="95"/>
        <v>14.75</v>
      </c>
      <c r="AE727" s="23">
        <f>YEAR(Data!$C727)</f>
        <v>2024</v>
      </c>
      <c r="AF727" s="23"/>
      <c r="AG727" s="23">
        <v>12</v>
      </c>
      <c r="AH727" s="27">
        <f>Data!$F727/Data!$D727</f>
        <v>10.866666666666667</v>
      </c>
      <c r="AI727" s="17" t="str">
        <f>RIGHT(Data!$O727,2)</f>
        <v>PM</v>
      </c>
      <c r="AJ727" s="23" t="str">
        <f>Data!$R727&amp;"-"&amp;WEEKNUM(Data!$C727,1)-WEEKNUM(DATE(YEAR(Data!$C727),MONTH(Data!$C727),1),1)+1</f>
        <v>12-2024-2</v>
      </c>
      <c r="AK727" s="23">
        <f>MONTH(Data!$C727)</f>
        <v>12</v>
      </c>
      <c r="AL727" s="23">
        <f>IFERROR(Data!$F727/Data!$E727,0)</f>
        <v>38.352941176470587</v>
      </c>
      <c r="AM727" s="23">
        <f>COUNTIF(Data!$N$2:$N$825,Data!$N727)</f>
        <v>182</v>
      </c>
      <c r="AN727" s="23" t="str">
        <f>VLOOKUP(Data!$N727,'Helpful Tables'!A:D,4,FALSE)</f>
        <v>Oregon</v>
      </c>
      <c r="AO727" s="23">
        <f>COUNTIF(AN:AN,Data!$AN727)/COUNTA(AN:AN)</f>
        <v>0.27393939393939393</v>
      </c>
      <c r="AP727" s="23">
        <v>45.534162000000002</v>
      </c>
      <c r="AQ727" s="23">
        <v>-122.69670000000001</v>
      </c>
      <c r="AR727" s="23">
        <f>COUNTIF(Data!$P$2:$P$825,Data!$P727)</f>
        <v>25</v>
      </c>
      <c r="AS727" s="23" cm="1">
        <f t="array" ref="AS727">_xlfn.IFS(Data!$E727&lt;12,((Data!$E727/Data!$D727)*60)*1,AND(Data!$E727&gt;=12,Data!$E727&lt;=15),((Data!$E727/Data!$D727)*60)*1.2,AND(Data!$E727&gt;=16,Data!$E727&lt;=19),((Data!$E727/Data!$D727)*60)*1.5,Data!$E727&gt;=20,((Data!$E727/Data!$D727)*60)*1.8)</f>
        <v>25.5</v>
      </c>
      <c r="AT727" s="23" cm="1">
        <f t="array" ref="AT727">_xlfn.IFS(Data!$F727&lt;600,((Data!$F727/Data!$D727)*60)*1,AND(Data!$F727&gt;=600,Data!$F727&lt;=625),((Data!$F727/Data!$D727)*60)*1.2,AND(Data!$F727&gt;=626,Data!$F727&lt;=650),((Data!$F727/Data!$D727)*60)*1.5,Data!$F727&gt;=651,((Data!$F727/Data!$D727)*60)*1.8)</f>
        <v>1173.6000000000001</v>
      </c>
      <c r="AU727" s="23">
        <f>(Data!$I727*-1.2)+(Data!$J727*-1.1)+(Data!$K727*1.2)+(Data!$L727*1.3)+(Data!$M727*1.5)</f>
        <v>-5.0000000000000036</v>
      </c>
      <c r="AV727" s="23">
        <f>(Data!$AS727*0.4)+(Data!$AT727*0.4)+(Data!$AU727*0.2)</f>
        <v>478.64000000000004</v>
      </c>
      <c r="AW727" s="35">
        <f>PERCENTRANK(AV:AV,Data!$AV727)*100</f>
        <v>68.5</v>
      </c>
      <c r="AX727" s="23" t="str">
        <f>_xlfn.CONCAT(TEXT(C727,"mmm"),"-",Data!$AE727)</f>
        <v>Dec-2024</v>
      </c>
    </row>
    <row r="728" spans="1:50" ht="17" thickTop="1" thickBot="1" x14ac:dyDescent="0.25">
      <c r="A728" s="28">
        <v>727</v>
      </c>
      <c r="B728" s="29">
        <f t="shared" si="90"/>
        <v>12</v>
      </c>
      <c r="C728" s="41">
        <v>45639</v>
      </c>
      <c r="D728" s="30">
        <f>SUM(Data!$I728:$M728)</f>
        <v>57</v>
      </c>
      <c r="E728" s="29">
        <v>14</v>
      </c>
      <c r="F728" s="29">
        <v>625</v>
      </c>
      <c r="G728" s="29">
        <v>167</v>
      </c>
      <c r="H728" s="29">
        <v>125</v>
      </c>
      <c r="I728" s="29">
        <v>20</v>
      </c>
      <c r="J728" s="29">
        <v>8</v>
      </c>
      <c r="K728" s="29">
        <v>15</v>
      </c>
      <c r="L728" s="29">
        <v>12</v>
      </c>
      <c r="M728" s="29">
        <v>2</v>
      </c>
      <c r="N728" s="29" t="s">
        <v>125</v>
      </c>
      <c r="O728" s="29" t="s">
        <v>127</v>
      </c>
      <c r="P728" s="29" t="s">
        <v>222</v>
      </c>
      <c r="Q728" s="29">
        <f t="shared" si="96"/>
        <v>2</v>
      </c>
      <c r="R728" s="29" t="str">
        <f t="shared" si="91"/>
        <v>12-2024</v>
      </c>
      <c r="S728" s="29" t="s">
        <v>104</v>
      </c>
      <c r="T728" s="29" t="str">
        <f t="shared" si="92"/>
        <v>Friday</v>
      </c>
      <c r="U728" s="29">
        <f t="shared" si="93"/>
        <v>1</v>
      </c>
      <c r="V728" s="31">
        <f>IFERROR(Data!$I728/Data!$D728,"")</f>
        <v>0.35087719298245612</v>
      </c>
      <c r="W728" s="31">
        <f>IFERROR(Data!$J728/Data!$D728,"")</f>
        <v>0.14035087719298245</v>
      </c>
      <c r="X728" s="31">
        <f>IFERROR(Data!$K728/Data!$D728,"")</f>
        <v>0.26315789473684209</v>
      </c>
      <c r="Y728" s="31">
        <f>IFERROR(Data!$L728/Data!$D728,"")</f>
        <v>0.21052631578947367</v>
      </c>
      <c r="Z728" s="31">
        <f>IFERROR(Data!$M728/Data!$D728,"")</f>
        <v>3.5087719298245612E-2</v>
      </c>
      <c r="AA728" s="32">
        <v>169</v>
      </c>
      <c r="AB728" s="32">
        <f t="shared" si="97"/>
        <v>14.083333333333334</v>
      </c>
      <c r="AC728" s="29">
        <f t="shared" si="94"/>
        <v>651.33333333333337</v>
      </c>
      <c r="AD728" s="29">
        <f t="shared" si="95"/>
        <v>14.75</v>
      </c>
      <c r="AE728" s="29">
        <f>YEAR(Data!$C728)</f>
        <v>2024</v>
      </c>
      <c r="AF728" s="29"/>
      <c r="AG728" s="29">
        <v>12</v>
      </c>
      <c r="AH728" s="33">
        <f>Data!$F728/Data!$D728</f>
        <v>10.964912280701755</v>
      </c>
      <c r="AI728" s="17" t="str">
        <f>RIGHT(Data!$O728,2)</f>
        <v>PM</v>
      </c>
      <c r="AJ728" s="29" t="str">
        <f>Data!$R728&amp;"-"&amp;WEEKNUM(Data!$C728,1)-WEEKNUM(DATE(YEAR(Data!$C728),MONTH(Data!$C728),1),1)+1</f>
        <v>12-2024-2</v>
      </c>
      <c r="AK728" s="29">
        <f>MONTH(Data!$C728)</f>
        <v>12</v>
      </c>
      <c r="AL728" s="29">
        <f>IFERROR(Data!$F728/Data!$E728,0)</f>
        <v>44.642857142857146</v>
      </c>
      <c r="AM728" s="29">
        <f>COUNTIF(Data!$N$2:$N$825,Data!$N728)</f>
        <v>182</v>
      </c>
      <c r="AN728" s="29" t="str">
        <f>VLOOKUP(Data!$N728,'Helpful Tables'!A:D,4,FALSE)</f>
        <v>Oregon</v>
      </c>
      <c r="AO728" s="29">
        <f>COUNTIF(AN:AN,Data!$AN728)/COUNTA(AN:AN)</f>
        <v>0.27393939393939393</v>
      </c>
      <c r="AP728" s="29">
        <v>45.534162000000002</v>
      </c>
      <c r="AQ728" s="29">
        <v>-122.69670000000001</v>
      </c>
      <c r="AR728" s="29">
        <f>COUNTIF(Data!$P$2:$P$825,Data!$P728)</f>
        <v>32</v>
      </c>
      <c r="AS728" s="29" cm="1">
        <f t="array" ref="AS728">_xlfn.IFS(Data!$E728&lt;12,((Data!$E728/Data!$D728)*60)*1,AND(Data!$E728&gt;=12,Data!$E728&lt;=15),((Data!$E728/Data!$D728)*60)*1.2,AND(Data!$E728&gt;=16,Data!$E728&lt;=19),((Data!$E728/Data!$D728)*60)*1.5,Data!$E728&gt;=20,((Data!$E728/Data!$D728)*60)*1.8)</f>
        <v>17.684210526315788</v>
      </c>
      <c r="AT728" s="29" cm="1">
        <f t="array" ref="AT728">_xlfn.IFS(Data!$F728&lt;600,((Data!$F728/Data!$D728)*60)*1,AND(Data!$F728&gt;=600,Data!$F728&lt;=625),((Data!$F728/Data!$D728)*60)*1.2,AND(Data!$F728&gt;=626,Data!$F728&lt;=650),((Data!$F728/Data!$D728)*60)*1.5,Data!$F728&gt;=651,((Data!$F728/Data!$D728)*60)*1.8)</f>
        <v>789.47368421052636</v>
      </c>
      <c r="AU728" s="29">
        <f>(Data!$I728*-1.2)+(Data!$J728*-1.1)+(Data!$K728*1.2)+(Data!$L728*1.3)+(Data!$M728*1.5)</f>
        <v>3.8000000000000043</v>
      </c>
      <c r="AV728" s="29">
        <f>(Data!$AS728*0.4)+(Data!$AT728*0.4)+(Data!$AU728*0.2)</f>
        <v>323.62315789473689</v>
      </c>
      <c r="AW728" s="34">
        <f>PERCENTRANK(AV:AV,Data!$AV728)*100</f>
        <v>39.200000000000003</v>
      </c>
      <c r="AX728" s="29" t="str">
        <f>_xlfn.CONCAT(TEXT(C728,"mmm"),"-",Data!$AE728)</f>
        <v>Dec-2024</v>
      </c>
    </row>
    <row r="729" spans="1:50" ht="17" thickTop="1" thickBot="1" x14ac:dyDescent="0.25">
      <c r="A729" s="22">
        <v>728</v>
      </c>
      <c r="B729" s="23">
        <f t="shared" si="90"/>
        <v>12</v>
      </c>
      <c r="C729" s="41">
        <v>45640</v>
      </c>
      <c r="D729" s="24">
        <f>SUM(Data!$I729:$M729)</f>
        <v>58</v>
      </c>
      <c r="E729" s="23">
        <v>18</v>
      </c>
      <c r="F729" s="23">
        <v>669</v>
      </c>
      <c r="G729" s="23">
        <v>169</v>
      </c>
      <c r="H729" s="23">
        <v>129</v>
      </c>
      <c r="I729" s="23">
        <v>10</v>
      </c>
      <c r="J729" s="23">
        <v>18</v>
      </c>
      <c r="K729" s="23">
        <v>12</v>
      </c>
      <c r="L729" s="23">
        <v>15</v>
      </c>
      <c r="M729" s="23">
        <v>3</v>
      </c>
      <c r="N729" s="23" t="s">
        <v>208</v>
      </c>
      <c r="O729" s="23" t="s">
        <v>76</v>
      </c>
      <c r="P729" s="23" t="s">
        <v>213</v>
      </c>
      <c r="Q729" s="23">
        <f t="shared" si="96"/>
        <v>1</v>
      </c>
      <c r="R729" s="23" t="str">
        <f t="shared" si="91"/>
        <v>12-2024</v>
      </c>
      <c r="S729" s="23" t="s">
        <v>104</v>
      </c>
      <c r="T729" s="23" t="str">
        <f t="shared" si="92"/>
        <v>Saturday</v>
      </c>
      <c r="U729" s="23">
        <f t="shared" si="93"/>
        <v>1</v>
      </c>
      <c r="V729" s="25">
        <f>IFERROR(Data!$I729/Data!$D729,"")</f>
        <v>0.17241379310344829</v>
      </c>
      <c r="W729" s="25">
        <f>IFERROR(Data!$J729/Data!$D729,"")</f>
        <v>0.31034482758620691</v>
      </c>
      <c r="X729" s="25">
        <f>IFERROR(Data!$K729/Data!$D729,"")</f>
        <v>0.20689655172413793</v>
      </c>
      <c r="Y729" s="25">
        <f>IFERROR(Data!$L729/Data!$D729,"")</f>
        <v>0.25862068965517243</v>
      </c>
      <c r="Z729" s="25">
        <f>IFERROR(Data!$M729/Data!$D729,"")</f>
        <v>5.1724137931034482E-2</v>
      </c>
      <c r="AA729" s="26">
        <v>169</v>
      </c>
      <c r="AB729" s="26">
        <f t="shared" si="97"/>
        <v>14.083333333333334</v>
      </c>
      <c r="AC729" s="23">
        <f t="shared" si="94"/>
        <v>651.33333333333337</v>
      </c>
      <c r="AD729" s="23">
        <f t="shared" si="95"/>
        <v>14.75</v>
      </c>
      <c r="AE729" s="23">
        <f>YEAR(Data!$C729)</f>
        <v>2024</v>
      </c>
      <c r="AF729" s="23"/>
      <c r="AG729" s="23">
        <v>12</v>
      </c>
      <c r="AH729" s="27">
        <f>Data!$F729/Data!$D729</f>
        <v>11.53448275862069</v>
      </c>
      <c r="AI729" s="17" t="str">
        <f>RIGHT(Data!$O729,2)</f>
        <v>AM</v>
      </c>
      <c r="AJ729" s="23" t="str">
        <f>Data!$R729&amp;"-"&amp;WEEKNUM(Data!$C729,1)-WEEKNUM(DATE(YEAR(Data!$C729),MONTH(Data!$C729),1),1)+1</f>
        <v>12-2024-2</v>
      </c>
      <c r="AK729" s="23">
        <f>MONTH(Data!$C729)</f>
        <v>12</v>
      </c>
      <c r="AL729" s="23">
        <f>IFERROR(Data!$F729/Data!$E729,0)</f>
        <v>37.166666666666664</v>
      </c>
      <c r="AM729" s="23">
        <f>COUNTIF(Data!$N$2:$N$825,Data!$N729)</f>
        <v>42</v>
      </c>
      <c r="AN729" s="23" t="str">
        <f>VLOOKUP(Data!$N729,'Helpful Tables'!A:D,4,FALSE)</f>
        <v>Oregon</v>
      </c>
      <c r="AO729" s="23">
        <f>COUNTIF(AN:AN,Data!$AN729)/COUNTA(AN:AN)</f>
        <v>0.27393939393939393</v>
      </c>
      <c r="AP729" s="23">
        <v>45.525092999999998</v>
      </c>
      <c r="AQ729" s="23">
        <v>-122.681383</v>
      </c>
      <c r="AR729" s="23">
        <f>COUNTIF(Data!$P$2:$P$825,Data!$P729)</f>
        <v>20</v>
      </c>
      <c r="AS729" s="23" cm="1">
        <f t="array" ref="AS729">_xlfn.IFS(Data!$E729&lt;12,((Data!$E729/Data!$D729)*60)*1,AND(Data!$E729&gt;=12,Data!$E729&lt;=15),((Data!$E729/Data!$D729)*60)*1.2,AND(Data!$E729&gt;=16,Data!$E729&lt;=19),((Data!$E729/Data!$D729)*60)*1.5,Data!$E729&gt;=20,((Data!$E729/Data!$D729)*60)*1.8)</f>
        <v>27.931034482758619</v>
      </c>
      <c r="AT729" s="23" cm="1">
        <f t="array" ref="AT729">_xlfn.IFS(Data!$F729&lt;600,((Data!$F729/Data!$D729)*60)*1,AND(Data!$F729&gt;=600,Data!$F729&lt;=625),((Data!$F729/Data!$D729)*60)*1.2,AND(Data!$F729&gt;=626,Data!$F729&lt;=650),((Data!$F729/Data!$D729)*60)*1.5,Data!$F729&gt;=651,((Data!$F729/Data!$D729)*60)*1.8)</f>
        <v>1245.7241379310346</v>
      </c>
      <c r="AU729" s="23">
        <f>(Data!$I729*-1.2)+(Data!$J729*-1.1)+(Data!$K729*1.2)+(Data!$L729*1.3)+(Data!$M729*1.5)</f>
        <v>6.5999999999999979</v>
      </c>
      <c r="AV729" s="23">
        <f>(Data!$AS729*0.4)+(Data!$AT729*0.4)+(Data!$AU729*0.2)</f>
        <v>510.78206896551728</v>
      </c>
      <c r="AW729" s="35">
        <f>PERCENTRANK(AV:AV,Data!$AV729)*100</f>
        <v>84.899999999999991</v>
      </c>
      <c r="AX729" s="23" t="str">
        <f>_xlfn.CONCAT(TEXT(C729,"mmm"),"-",Data!$AE729)</f>
        <v>Dec-2024</v>
      </c>
    </row>
    <row r="730" spans="1:50" ht="17" thickTop="1" thickBot="1" x14ac:dyDescent="0.25">
      <c r="A730" s="28">
        <v>729</v>
      </c>
      <c r="B730" s="29">
        <f t="shared" si="90"/>
        <v>12</v>
      </c>
      <c r="C730" s="41">
        <v>45642</v>
      </c>
      <c r="D730" s="30">
        <f>SUM(Data!$I730:$M730)</f>
        <v>61</v>
      </c>
      <c r="E730" s="29">
        <v>13</v>
      </c>
      <c r="F730" s="29">
        <v>656</v>
      </c>
      <c r="G730" s="29">
        <v>158</v>
      </c>
      <c r="H730" s="29">
        <v>124</v>
      </c>
      <c r="I730" s="29">
        <v>15</v>
      </c>
      <c r="J730" s="29">
        <v>17</v>
      </c>
      <c r="K730" s="29">
        <v>16</v>
      </c>
      <c r="L730" s="29">
        <v>13</v>
      </c>
      <c r="M730" s="29">
        <v>0</v>
      </c>
      <c r="N730" s="29" t="s">
        <v>125</v>
      </c>
      <c r="O730" s="29" t="s">
        <v>127</v>
      </c>
      <c r="P730" s="29" t="s">
        <v>220</v>
      </c>
      <c r="Q730" s="29">
        <f t="shared" si="96"/>
        <v>2</v>
      </c>
      <c r="R730" s="29" t="str">
        <f t="shared" si="91"/>
        <v>12-2024</v>
      </c>
      <c r="S730" s="29" t="s">
        <v>104</v>
      </c>
      <c r="T730" s="29" t="str">
        <f t="shared" si="92"/>
        <v>Monday</v>
      </c>
      <c r="U730" s="29">
        <f t="shared" si="93"/>
        <v>1</v>
      </c>
      <c r="V730" s="31">
        <f>IFERROR(Data!$I730/Data!$D730,"")</f>
        <v>0.24590163934426229</v>
      </c>
      <c r="W730" s="31">
        <f>IFERROR(Data!$J730/Data!$D730,"")</f>
        <v>0.27868852459016391</v>
      </c>
      <c r="X730" s="31">
        <f>IFERROR(Data!$K730/Data!$D730,"")</f>
        <v>0.26229508196721313</v>
      </c>
      <c r="Y730" s="31">
        <f>IFERROR(Data!$L730/Data!$D730,"")</f>
        <v>0.21311475409836064</v>
      </c>
      <c r="Z730" s="31">
        <f>IFERROR(Data!$M730/Data!$D730,"")</f>
        <v>0</v>
      </c>
      <c r="AA730" s="32">
        <v>169</v>
      </c>
      <c r="AB730" s="32">
        <f t="shared" si="97"/>
        <v>14.083333333333334</v>
      </c>
      <c r="AC730" s="29">
        <f t="shared" si="94"/>
        <v>651.33333333333337</v>
      </c>
      <c r="AD730" s="29">
        <f t="shared" si="95"/>
        <v>14.75</v>
      </c>
      <c r="AE730" s="29">
        <f>YEAR(Data!$C730)</f>
        <v>2024</v>
      </c>
      <c r="AF730" s="29"/>
      <c r="AG730" s="29">
        <v>12</v>
      </c>
      <c r="AH730" s="33">
        <f>Data!$F730/Data!$D730</f>
        <v>10.754098360655737</v>
      </c>
      <c r="AI730" s="17" t="str">
        <f>RIGHT(Data!$O730,2)</f>
        <v>PM</v>
      </c>
      <c r="AJ730" s="29" t="str">
        <f>Data!$R730&amp;"-"&amp;WEEKNUM(Data!$C730,1)-WEEKNUM(DATE(YEAR(Data!$C730),MONTH(Data!$C730),1),1)+1</f>
        <v>12-2024-3</v>
      </c>
      <c r="AK730" s="29">
        <f>MONTH(Data!$C730)</f>
        <v>12</v>
      </c>
      <c r="AL730" s="29">
        <f>IFERROR(Data!$F730/Data!$E730,0)</f>
        <v>50.46153846153846</v>
      </c>
      <c r="AM730" s="29">
        <f>COUNTIF(Data!$N$2:$N$825,Data!$N730)</f>
        <v>182</v>
      </c>
      <c r="AN730" s="29" t="str">
        <f>VLOOKUP(Data!$N730,'Helpful Tables'!A:D,4,FALSE)</f>
        <v>Oregon</v>
      </c>
      <c r="AO730" s="29">
        <f>COUNTIF(AN:AN,Data!$AN730)/COUNTA(AN:AN)</f>
        <v>0.27393939393939393</v>
      </c>
      <c r="AP730" s="29">
        <v>45.534162000000002</v>
      </c>
      <c r="AQ730" s="29">
        <v>-122.69670000000001</v>
      </c>
      <c r="AR730" s="29">
        <f>COUNTIF(Data!$P$2:$P$825,Data!$P730)</f>
        <v>43</v>
      </c>
      <c r="AS730" s="29" cm="1">
        <f t="array" ref="AS730">_xlfn.IFS(Data!$E730&lt;12,((Data!$E730/Data!$D730)*60)*1,AND(Data!$E730&gt;=12,Data!$E730&lt;=15),((Data!$E730/Data!$D730)*60)*1.2,AND(Data!$E730&gt;=16,Data!$E730&lt;=19),((Data!$E730/Data!$D730)*60)*1.5,Data!$E730&gt;=20,((Data!$E730/Data!$D730)*60)*1.8)</f>
        <v>15.344262295081965</v>
      </c>
      <c r="AT730" s="29" cm="1">
        <f t="array" ref="AT730">_xlfn.IFS(Data!$F730&lt;600,((Data!$F730/Data!$D730)*60)*1,AND(Data!$F730&gt;=600,Data!$F730&lt;=625),((Data!$F730/Data!$D730)*60)*1.2,AND(Data!$F730&gt;=626,Data!$F730&lt;=650),((Data!$F730/Data!$D730)*60)*1.5,Data!$F730&gt;=651,((Data!$F730/Data!$D730)*60)*1.8)</f>
        <v>1161.4426229508197</v>
      </c>
      <c r="AU730" s="29">
        <f>(Data!$I730*-1.2)+(Data!$J730*-1.1)+(Data!$K730*1.2)+(Data!$L730*1.3)+(Data!$M730*1.5)</f>
        <v>-0.60000000000000142</v>
      </c>
      <c r="AV730" s="29">
        <f>(Data!$AS730*0.4)+(Data!$AT730*0.4)+(Data!$AU730*0.2)</f>
        <v>470.59475409836068</v>
      </c>
      <c r="AW730" s="34">
        <f>PERCENTRANK(AV:AV,Data!$AV730)*100</f>
        <v>67.100000000000009</v>
      </c>
      <c r="AX730" s="29" t="str">
        <f>_xlfn.CONCAT(TEXT(C730,"mmm"),"-",Data!$AE730)</f>
        <v>Dec-2024</v>
      </c>
    </row>
    <row r="731" spans="1:50" ht="17" thickTop="1" thickBot="1" x14ac:dyDescent="0.25">
      <c r="A731" s="22">
        <v>730</v>
      </c>
      <c r="B731" s="23">
        <f t="shared" si="90"/>
        <v>12</v>
      </c>
      <c r="C731" s="41">
        <v>45643</v>
      </c>
      <c r="D731" s="24">
        <f>SUM(Data!$I731:$M731)</f>
        <v>61</v>
      </c>
      <c r="E731" s="23">
        <v>17</v>
      </c>
      <c r="F731" s="23">
        <v>670</v>
      </c>
      <c r="G731" s="23">
        <v>166</v>
      </c>
      <c r="H731" s="23">
        <v>127</v>
      </c>
      <c r="I731" s="23">
        <v>12</v>
      </c>
      <c r="J731" s="23">
        <v>18</v>
      </c>
      <c r="K731" s="23">
        <v>14</v>
      </c>
      <c r="L731" s="23">
        <v>16</v>
      </c>
      <c r="M731" s="23">
        <v>1</v>
      </c>
      <c r="N731" s="23" t="s">
        <v>125</v>
      </c>
      <c r="O731" s="23" t="s">
        <v>127</v>
      </c>
      <c r="P731" s="23" t="s">
        <v>220</v>
      </c>
      <c r="Q731" s="23">
        <f t="shared" si="96"/>
        <v>1</v>
      </c>
      <c r="R731" s="23" t="str">
        <f t="shared" si="91"/>
        <v>12-2024</v>
      </c>
      <c r="S731" s="23" t="s">
        <v>104</v>
      </c>
      <c r="T731" s="23" t="str">
        <f t="shared" si="92"/>
        <v>Tuesday</v>
      </c>
      <c r="U731" s="23">
        <f t="shared" si="93"/>
        <v>1</v>
      </c>
      <c r="V731" s="25">
        <f>IFERROR(Data!$I731/Data!$D731,"")</f>
        <v>0.19672131147540983</v>
      </c>
      <c r="W731" s="25">
        <f>IFERROR(Data!$J731/Data!$D731,"")</f>
        <v>0.29508196721311475</v>
      </c>
      <c r="X731" s="25">
        <f>IFERROR(Data!$K731/Data!$D731,"")</f>
        <v>0.22950819672131148</v>
      </c>
      <c r="Y731" s="25">
        <f>IFERROR(Data!$L731/Data!$D731,"")</f>
        <v>0.26229508196721313</v>
      </c>
      <c r="Z731" s="25">
        <f>IFERROR(Data!$M731/Data!$D731,"")</f>
        <v>1.6393442622950821E-2</v>
      </c>
      <c r="AA731" s="26">
        <v>169</v>
      </c>
      <c r="AB731" s="26">
        <f t="shared" si="97"/>
        <v>14.083333333333334</v>
      </c>
      <c r="AC731" s="23">
        <f t="shared" si="94"/>
        <v>651.33333333333337</v>
      </c>
      <c r="AD731" s="23">
        <f t="shared" si="95"/>
        <v>14.75</v>
      </c>
      <c r="AE731" s="23">
        <f>YEAR(Data!$C731)</f>
        <v>2024</v>
      </c>
      <c r="AF731" s="23"/>
      <c r="AG731" s="23">
        <v>12</v>
      </c>
      <c r="AH731" s="27">
        <f>Data!$F731/Data!$D731</f>
        <v>10.983606557377049</v>
      </c>
      <c r="AI731" s="17" t="str">
        <f>RIGHT(Data!$O731,2)</f>
        <v>PM</v>
      </c>
      <c r="AJ731" s="23" t="str">
        <f>Data!$R731&amp;"-"&amp;WEEKNUM(Data!$C731,1)-WEEKNUM(DATE(YEAR(Data!$C731),MONTH(Data!$C731),1),1)+1</f>
        <v>12-2024-3</v>
      </c>
      <c r="AK731" s="23">
        <f>MONTH(Data!$C731)</f>
        <v>12</v>
      </c>
      <c r="AL731" s="23">
        <f>IFERROR(Data!$F731/Data!$E731,0)</f>
        <v>39.411764705882355</v>
      </c>
      <c r="AM731" s="23">
        <f>COUNTIF(Data!$N$2:$N$825,Data!$N731)</f>
        <v>182</v>
      </c>
      <c r="AN731" s="23" t="str">
        <f>VLOOKUP(Data!$N731,'Helpful Tables'!A:D,4,FALSE)</f>
        <v>Oregon</v>
      </c>
      <c r="AO731" s="23">
        <f>COUNTIF(AN:AN,Data!$AN731)/COUNTA(AN:AN)</f>
        <v>0.27393939393939393</v>
      </c>
      <c r="AP731" s="23">
        <v>45.534162000000002</v>
      </c>
      <c r="AQ731" s="23">
        <v>-122.69670000000001</v>
      </c>
      <c r="AR731" s="23">
        <f>COUNTIF(Data!$P$2:$P$825,Data!$P731)</f>
        <v>43</v>
      </c>
      <c r="AS731" s="23" cm="1">
        <f t="array" ref="AS731">_xlfn.IFS(Data!$E731&lt;12,((Data!$E731/Data!$D731)*60)*1,AND(Data!$E731&gt;=12,Data!$E731&lt;=15),((Data!$E731/Data!$D731)*60)*1.2,AND(Data!$E731&gt;=16,Data!$E731&lt;=19),((Data!$E731/Data!$D731)*60)*1.5,Data!$E731&gt;=20,((Data!$E731/Data!$D731)*60)*1.8)</f>
        <v>25.081967213114751</v>
      </c>
      <c r="AT731" s="23" cm="1">
        <f t="array" ref="AT731">_xlfn.IFS(Data!$F731&lt;600,((Data!$F731/Data!$D731)*60)*1,AND(Data!$F731&gt;=600,Data!$F731&lt;=625),((Data!$F731/Data!$D731)*60)*1.2,AND(Data!$F731&gt;=626,Data!$F731&lt;=650),((Data!$F731/Data!$D731)*60)*1.5,Data!$F731&gt;=651,((Data!$F731/Data!$D731)*60)*1.8)</f>
        <v>1186.2295081967213</v>
      </c>
      <c r="AU731" s="23">
        <f>(Data!$I731*-1.2)+(Data!$J731*-1.1)+(Data!$K731*1.2)+(Data!$L731*1.3)+(Data!$M731*1.5)</f>
        <v>4.8999999999999986</v>
      </c>
      <c r="AV731" s="23">
        <f>(Data!$AS731*0.4)+(Data!$AT731*0.4)+(Data!$AU731*0.2)</f>
        <v>485.50459016393449</v>
      </c>
      <c r="AW731" s="35">
        <f>PERCENTRANK(AV:AV,Data!$AV731)*100</f>
        <v>70.599999999999994</v>
      </c>
      <c r="AX731" s="23" t="str">
        <f>_xlfn.CONCAT(TEXT(C731,"mmm"),"-",Data!$AE731)</f>
        <v>Dec-2024</v>
      </c>
    </row>
    <row r="732" spans="1:50" ht="17" thickTop="1" thickBot="1" x14ac:dyDescent="0.25">
      <c r="A732" s="28">
        <v>731</v>
      </c>
      <c r="B732" s="29">
        <f t="shared" si="90"/>
        <v>12</v>
      </c>
      <c r="C732" s="41">
        <v>45645</v>
      </c>
      <c r="D732" s="30">
        <f>SUM(Data!$I732:$M732)</f>
        <v>58</v>
      </c>
      <c r="E732" s="29">
        <v>15</v>
      </c>
      <c r="F732" s="29">
        <v>632</v>
      </c>
      <c r="G732" s="29">
        <v>164</v>
      </c>
      <c r="H732" s="29">
        <v>125</v>
      </c>
      <c r="I732" s="29">
        <v>14</v>
      </c>
      <c r="J732" s="29">
        <v>14</v>
      </c>
      <c r="K732" s="29">
        <v>15</v>
      </c>
      <c r="L732" s="29">
        <v>14</v>
      </c>
      <c r="M732" s="29">
        <v>1</v>
      </c>
      <c r="N732" s="29" t="s">
        <v>125</v>
      </c>
      <c r="O732" s="29" t="s">
        <v>127</v>
      </c>
      <c r="P732" s="29" t="s">
        <v>222</v>
      </c>
      <c r="Q732" s="29">
        <f t="shared" si="96"/>
        <v>2</v>
      </c>
      <c r="R732" s="29" t="str">
        <f t="shared" si="91"/>
        <v>12-2024</v>
      </c>
      <c r="S732" s="29" t="s">
        <v>104</v>
      </c>
      <c r="T732" s="29" t="str">
        <f t="shared" si="92"/>
        <v>Thursday</v>
      </c>
      <c r="U732" s="29">
        <f t="shared" si="93"/>
        <v>1</v>
      </c>
      <c r="V732" s="31">
        <f>IFERROR(Data!$I732/Data!$D732,"")</f>
        <v>0.2413793103448276</v>
      </c>
      <c r="W732" s="31">
        <f>IFERROR(Data!$J732/Data!$D732,"")</f>
        <v>0.2413793103448276</v>
      </c>
      <c r="X732" s="31">
        <f>IFERROR(Data!$K732/Data!$D732,"")</f>
        <v>0.25862068965517243</v>
      </c>
      <c r="Y732" s="31">
        <f>IFERROR(Data!$L732/Data!$D732,"")</f>
        <v>0.2413793103448276</v>
      </c>
      <c r="Z732" s="31">
        <f>IFERROR(Data!$M732/Data!$D732,"")</f>
        <v>1.7241379310344827E-2</v>
      </c>
      <c r="AA732" s="32">
        <v>169</v>
      </c>
      <c r="AB732" s="32">
        <f t="shared" si="97"/>
        <v>14.083333333333334</v>
      </c>
      <c r="AC732" s="29">
        <f t="shared" si="94"/>
        <v>651.33333333333337</v>
      </c>
      <c r="AD732" s="29">
        <f t="shared" si="95"/>
        <v>14.75</v>
      </c>
      <c r="AE732" s="29">
        <f>YEAR(Data!$C732)</f>
        <v>2024</v>
      </c>
      <c r="AF732" s="29"/>
      <c r="AG732" s="29">
        <v>12</v>
      </c>
      <c r="AH732" s="33">
        <f>Data!$F732/Data!$D732</f>
        <v>10.896551724137931</v>
      </c>
      <c r="AI732" s="17" t="str">
        <f>RIGHT(Data!$O732,2)</f>
        <v>PM</v>
      </c>
      <c r="AJ732" s="29" t="str">
        <f>Data!$R732&amp;"-"&amp;WEEKNUM(Data!$C732,1)-WEEKNUM(DATE(YEAR(Data!$C732),MONTH(Data!$C732),1),1)+1</f>
        <v>12-2024-3</v>
      </c>
      <c r="AK732" s="29">
        <f>MONTH(Data!$C732)</f>
        <v>12</v>
      </c>
      <c r="AL732" s="29">
        <f>IFERROR(Data!$F732/Data!$E732,0)</f>
        <v>42.133333333333333</v>
      </c>
      <c r="AM732" s="29">
        <f>COUNTIF(Data!$N$2:$N$825,Data!$N732)</f>
        <v>182</v>
      </c>
      <c r="AN732" s="29" t="str">
        <f>VLOOKUP(Data!$N732,'Helpful Tables'!A:D,4,FALSE)</f>
        <v>Oregon</v>
      </c>
      <c r="AO732" s="29">
        <f>COUNTIF(AN:AN,Data!$AN732)/COUNTA(AN:AN)</f>
        <v>0.27393939393939393</v>
      </c>
      <c r="AP732" s="29">
        <v>45.534162000000002</v>
      </c>
      <c r="AQ732" s="29">
        <v>-122.69670000000001</v>
      </c>
      <c r="AR732" s="29">
        <f>COUNTIF(Data!$P$2:$P$825,Data!$P732)</f>
        <v>32</v>
      </c>
      <c r="AS732" s="29" cm="1">
        <f t="array" ref="AS732">_xlfn.IFS(Data!$E732&lt;12,((Data!$E732/Data!$D732)*60)*1,AND(Data!$E732&gt;=12,Data!$E732&lt;=15),((Data!$E732/Data!$D732)*60)*1.2,AND(Data!$E732&gt;=16,Data!$E732&lt;=19),((Data!$E732/Data!$D732)*60)*1.5,Data!$E732&gt;=20,((Data!$E732/Data!$D732)*60)*1.8)</f>
        <v>18.620689655172413</v>
      </c>
      <c r="AT732" s="29" cm="1">
        <f t="array" ref="AT732">_xlfn.IFS(Data!$F732&lt;600,((Data!$F732/Data!$D732)*60)*1,AND(Data!$F732&gt;=600,Data!$F732&lt;=625),((Data!$F732/Data!$D732)*60)*1.2,AND(Data!$F732&gt;=626,Data!$F732&lt;=650),((Data!$F732/Data!$D732)*60)*1.5,Data!$F732&gt;=651,((Data!$F732/Data!$D732)*60)*1.8)</f>
        <v>980.68965517241372</v>
      </c>
      <c r="AU732" s="29">
        <f>(Data!$I732*-1.2)+(Data!$J732*-1.1)+(Data!$K732*1.2)+(Data!$L732*1.3)+(Data!$M732*1.5)</f>
        <v>5.4999999999999964</v>
      </c>
      <c r="AV732" s="29">
        <f>(Data!$AS732*0.4)+(Data!$AT732*0.4)+(Data!$AU732*0.2)</f>
        <v>400.8241379310345</v>
      </c>
      <c r="AW732" s="34">
        <f>PERCENTRANK(AV:AV,Data!$AV732)*100</f>
        <v>52.900000000000006</v>
      </c>
      <c r="AX732" s="29" t="str">
        <f>_xlfn.CONCAT(TEXT(C732,"mmm"),"-",Data!$AE732)</f>
        <v>Dec-2024</v>
      </c>
    </row>
    <row r="733" spans="1:50" ht="17" thickTop="1" thickBot="1" x14ac:dyDescent="0.25">
      <c r="A733" s="22">
        <v>732</v>
      </c>
      <c r="B733" s="23">
        <f t="shared" si="90"/>
        <v>12</v>
      </c>
      <c r="C733" s="41">
        <v>45655</v>
      </c>
      <c r="D733" s="24">
        <f>SUM(Data!$I733:$M733)</f>
        <v>59</v>
      </c>
      <c r="E733" s="23">
        <v>12</v>
      </c>
      <c r="F733" s="23">
        <v>621</v>
      </c>
      <c r="G733" s="23">
        <v>166</v>
      </c>
      <c r="H733" s="23">
        <v>123</v>
      </c>
      <c r="I733" s="23">
        <v>19</v>
      </c>
      <c r="J733" s="23">
        <v>10</v>
      </c>
      <c r="K733" s="23">
        <v>18</v>
      </c>
      <c r="L733" s="23">
        <v>10</v>
      </c>
      <c r="M733" s="23">
        <v>2</v>
      </c>
      <c r="N733" s="23" t="s">
        <v>125</v>
      </c>
      <c r="O733" s="23" t="s">
        <v>79</v>
      </c>
      <c r="P733" s="23" t="s">
        <v>222</v>
      </c>
      <c r="Q733" s="23">
        <f t="shared" si="96"/>
        <v>10</v>
      </c>
      <c r="R733" s="23" t="str">
        <f t="shared" si="91"/>
        <v>12-2024</v>
      </c>
      <c r="S733" s="23" t="s">
        <v>117</v>
      </c>
      <c r="T733" s="23" t="str">
        <f t="shared" si="92"/>
        <v>Sunday</v>
      </c>
      <c r="U733" s="23">
        <f t="shared" si="93"/>
        <v>1</v>
      </c>
      <c r="V733" s="25">
        <f>IFERROR(Data!$I733/Data!$D733,"")</f>
        <v>0.32203389830508472</v>
      </c>
      <c r="W733" s="25">
        <f>IFERROR(Data!$J733/Data!$D733,"")</f>
        <v>0.16949152542372881</v>
      </c>
      <c r="X733" s="25">
        <f>IFERROR(Data!$K733/Data!$D733,"")</f>
        <v>0.30508474576271188</v>
      </c>
      <c r="Y733" s="25">
        <f>IFERROR(Data!$L733/Data!$D733,"")</f>
        <v>0.16949152542372881</v>
      </c>
      <c r="Z733" s="25">
        <f>IFERROR(Data!$M733/Data!$D733,"")</f>
        <v>3.3898305084745763E-2</v>
      </c>
      <c r="AA733" s="26">
        <v>169</v>
      </c>
      <c r="AB733" s="26">
        <f t="shared" si="97"/>
        <v>14.083333333333334</v>
      </c>
      <c r="AC733" s="23">
        <f t="shared" si="94"/>
        <v>651.33333333333337</v>
      </c>
      <c r="AD733" s="23">
        <f t="shared" si="95"/>
        <v>14.75</v>
      </c>
      <c r="AE733" s="23">
        <f>YEAR(Data!$C733)</f>
        <v>2024</v>
      </c>
      <c r="AF733" s="23"/>
      <c r="AG733" s="23">
        <v>12</v>
      </c>
      <c r="AH733" s="27">
        <f>Data!$F733/Data!$D733</f>
        <v>10.525423728813559</v>
      </c>
      <c r="AI733" s="17" t="str">
        <f>RIGHT(Data!$O733,2)</f>
        <v>AM</v>
      </c>
      <c r="AJ733" s="23" t="str">
        <f>Data!$R733&amp;"-"&amp;WEEKNUM(Data!$C733,1)-WEEKNUM(DATE(YEAR(Data!$C733),MONTH(Data!$C733),1),1)+1</f>
        <v>12-2024-5</v>
      </c>
      <c r="AK733" s="23">
        <f>MONTH(Data!$C733)</f>
        <v>12</v>
      </c>
      <c r="AL733" s="23">
        <f>IFERROR(Data!$F733/Data!$E733,0)</f>
        <v>51.75</v>
      </c>
      <c r="AM733" s="23">
        <f>COUNTIF(Data!$N$2:$N$825,Data!$N733)</f>
        <v>182</v>
      </c>
      <c r="AN733" s="23" t="str">
        <f>VLOOKUP(Data!$N733,'Helpful Tables'!A:D,4,FALSE)</f>
        <v>Oregon</v>
      </c>
      <c r="AO733" s="23">
        <f>COUNTIF(AN:AN,Data!$AN733)/COUNTA(AN:AN)</f>
        <v>0.27393939393939393</v>
      </c>
      <c r="AP733" s="23">
        <v>45.534162000000002</v>
      </c>
      <c r="AQ733" s="23">
        <v>-122.69670000000001</v>
      </c>
      <c r="AR733" s="23">
        <f>COUNTIF(Data!$P$2:$P$825,Data!$P733)</f>
        <v>32</v>
      </c>
      <c r="AS733" s="23" cm="1">
        <f t="array" ref="AS733">_xlfn.IFS(Data!$E733&lt;12,((Data!$E733/Data!$D733)*60)*1,AND(Data!$E733&gt;=12,Data!$E733&lt;=15),((Data!$E733/Data!$D733)*60)*1.2,AND(Data!$E733&gt;=16,Data!$E733&lt;=19),((Data!$E733/Data!$D733)*60)*1.5,Data!$E733&gt;=20,((Data!$E733/Data!$D733)*60)*1.8)</f>
        <v>14.64406779661017</v>
      </c>
      <c r="AT733" s="23" cm="1">
        <f t="array" ref="AT733">_xlfn.IFS(Data!$F733&lt;600,((Data!$F733/Data!$D733)*60)*1,AND(Data!$F733&gt;=600,Data!$F733&lt;=625),((Data!$F733/Data!$D733)*60)*1.2,AND(Data!$F733&gt;=626,Data!$F733&lt;=650),((Data!$F733/Data!$D733)*60)*1.5,Data!$F733&gt;=651,((Data!$F733/Data!$D733)*60)*1.8)</f>
        <v>757.83050847457616</v>
      </c>
      <c r="AU733" s="23">
        <f>(Data!$I733*-1.2)+(Data!$J733*-1.1)+(Data!$K733*1.2)+(Data!$L733*1.3)+(Data!$M733*1.5)</f>
        <v>3.8000000000000007</v>
      </c>
      <c r="AV733" s="23">
        <f>(Data!$AS733*0.4)+(Data!$AT733*0.4)+(Data!$AU733*0.2)</f>
        <v>309.74983050847453</v>
      </c>
      <c r="AW733" s="35">
        <f>PERCENTRANK(AV:AV,Data!$AV733)*100</f>
        <v>31.2</v>
      </c>
      <c r="AX733" s="23" t="str">
        <f>_xlfn.CONCAT(TEXT(C733,"mmm"),"-",Data!$AE733)</f>
        <v>Dec-2024</v>
      </c>
    </row>
    <row r="734" spans="1:50" ht="17" thickTop="1" thickBot="1" x14ac:dyDescent="0.25">
      <c r="A734" s="28">
        <v>733</v>
      </c>
      <c r="B734" s="29">
        <f t="shared" si="90"/>
        <v>12</v>
      </c>
      <c r="C734" s="41">
        <v>45657</v>
      </c>
      <c r="D734" s="30">
        <f>SUM(Data!$I734:$M734)</f>
        <v>59</v>
      </c>
      <c r="E734" s="29">
        <v>14</v>
      </c>
      <c r="F734" s="29">
        <v>665</v>
      </c>
      <c r="G734" s="29">
        <v>167</v>
      </c>
      <c r="H734" s="29">
        <v>128</v>
      </c>
      <c r="I734" s="29">
        <v>14</v>
      </c>
      <c r="J734" s="29">
        <v>7</v>
      </c>
      <c r="K734" s="29">
        <v>24</v>
      </c>
      <c r="L734" s="29">
        <v>12</v>
      </c>
      <c r="M734" s="29">
        <v>2</v>
      </c>
      <c r="N734" s="29" t="s">
        <v>208</v>
      </c>
      <c r="O734" s="29" t="s">
        <v>76</v>
      </c>
      <c r="P734" s="29" t="s">
        <v>209</v>
      </c>
      <c r="Q734" s="29">
        <f t="shared" si="96"/>
        <v>2</v>
      </c>
      <c r="R734" s="29" t="str">
        <f t="shared" si="91"/>
        <v>12-2024</v>
      </c>
      <c r="S734" s="29" t="s">
        <v>117</v>
      </c>
      <c r="T734" s="29" t="str">
        <f t="shared" si="92"/>
        <v>Tuesday</v>
      </c>
      <c r="U734" s="29">
        <f t="shared" si="93"/>
        <v>1</v>
      </c>
      <c r="V734" s="31">
        <f>IFERROR(Data!$I734/Data!$D734,"")</f>
        <v>0.23728813559322035</v>
      </c>
      <c r="W734" s="31">
        <f>IFERROR(Data!$J734/Data!$D734,"")</f>
        <v>0.11864406779661017</v>
      </c>
      <c r="X734" s="31">
        <f>IFERROR(Data!$K734/Data!$D734,"")</f>
        <v>0.40677966101694918</v>
      </c>
      <c r="Y734" s="31">
        <f>IFERROR(Data!$L734/Data!$D734,"")</f>
        <v>0.20338983050847459</v>
      </c>
      <c r="Z734" s="31">
        <f>IFERROR(Data!$M734/Data!$D734,"")</f>
        <v>3.3898305084745763E-2</v>
      </c>
      <c r="AA734" s="32">
        <v>169</v>
      </c>
      <c r="AB734" s="32">
        <f t="shared" si="97"/>
        <v>14.083333333333334</v>
      </c>
      <c r="AC734" s="29">
        <f t="shared" si="94"/>
        <v>651.33333333333337</v>
      </c>
      <c r="AD734" s="29">
        <f t="shared" si="95"/>
        <v>14.75</v>
      </c>
      <c r="AE734" s="29">
        <f>YEAR(Data!$C734)</f>
        <v>2024</v>
      </c>
      <c r="AF734" s="29"/>
      <c r="AG734" s="29">
        <v>12</v>
      </c>
      <c r="AH734" s="33">
        <f>Data!$F734/Data!$D734</f>
        <v>11.271186440677965</v>
      </c>
      <c r="AI734" s="17" t="str">
        <f>RIGHT(Data!$O734,2)</f>
        <v>AM</v>
      </c>
      <c r="AJ734" s="29" t="str">
        <f>Data!$R734&amp;"-"&amp;WEEKNUM(Data!$C734,1)-WEEKNUM(DATE(YEAR(Data!$C734),MONTH(Data!$C734),1),1)+1</f>
        <v>12-2024-5</v>
      </c>
      <c r="AK734" s="29">
        <f>MONTH(Data!$C734)</f>
        <v>12</v>
      </c>
      <c r="AL734" s="29">
        <f>IFERROR(Data!$F734/Data!$E734,0)</f>
        <v>47.5</v>
      </c>
      <c r="AM734" s="29">
        <f>COUNTIF(Data!$N$2:$N$825,Data!$N734)</f>
        <v>42</v>
      </c>
      <c r="AN734" s="29" t="str">
        <f>VLOOKUP(Data!$N734,'Helpful Tables'!A:D,4,FALSE)</f>
        <v>Oregon</v>
      </c>
      <c r="AO734" s="29">
        <f>COUNTIF(AN:AN,Data!$AN734)/COUNTA(AN:AN)</f>
        <v>0.27393939393939393</v>
      </c>
      <c r="AP734" s="29">
        <v>45.525092999999998</v>
      </c>
      <c r="AQ734" s="29">
        <v>-122.681383</v>
      </c>
      <c r="AR734" s="29">
        <f>COUNTIF(Data!$P$2:$P$825,Data!$P734)</f>
        <v>18</v>
      </c>
      <c r="AS734" s="29" cm="1">
        <f t="array" ref="AS734">_xlfn.IFS(Data!$E734&lt;12,((Data!$E734/Data!$D734)*60)*1,AND(Data!$E734&gt;=12,Data!$E734&lt;=15),((Data!$E734/Data!$D734)*60)*1.2,AND(Data!$E734&gt;=16,Data!$E734&lt;=19),((Data!$E734/Data!$D734)*60)*1.5,Data!$E734&gt;=20,((Data!$E734/Data!$D734)*60)*1.8)</f>
        <v>17.084745762711865</v>
      </c>
      <c r="AT734" s="29" cm="1">
        <f t="array" ref="AT734">_xlfn.IFS(Data!$F734&lt;600,((Data!$F734/Data!$D734)*60)*1,AND(Data!$F734&gt;=600,Data!$F734&lt;=625),((Data!$F734/Data!$D734)*60)*1.2,AND(Data!$F734&gt;=626,Data!$F734&lt;=650),((Data!$F734/Data!$D734)*60)*1.5,Data!$F734&gt;=651,((Data!$F734/Data!$D734)*60)*1.8)</f>
        <v>1217.2881355932202</v>
      </c>
      <c r="AU734" s="29">
        <f>(Data!$I734*-1.2)+(Data!$J734*-1.1)+(Data!$K734*1.2)+(Data!$L734*1.3)+(Data!$M734*1.5)</f>
        <v>22.9</v>
      </c>
      <c r="AV734" s="29">
        <f>(Data!$AS734*0.4)+(Data!$AT734*0.4)+(Data!$AU734*0.2)</f>
        <v>498.32915254237281</v>
      </c>
      <c r="AW734" s="34">
        <f>PERCENTRANK(AV:AV,Data!$AV734)*100</f>
        <v>77.2</v>
      </c>
      <c r="AX734" s="29" t="str">
        <f>_xlfn.CONCAT(TEXT(C734,"mmm"),"-",Data!$AE734)</f>
        <v>Dec-2024</v>
      </c>
    </row>
    <row r="735" spans="1:50" ht="17" thickTop="1" thickBot="1" x14ac:dyDescent="0.25">
      <c r="A735" s="22">
        <v>734</v>
      </c>
      <c r="B735" s="23">
        <f t="shared" si="90"/>
        <v>16</v>
      </c>
      <c r="C735" s="41">
        <v>45658</v>
      </c>
      <c r="D735" s="24">
        <f>SUM(Data!$I735:$M735)</f>
        <v>60</v>
      </c>
      <c r="E735" s="23">
        <v>22</v>
      </c>
      <c r="F735" s="23">
        <v>609</v>
      </c>
      <c r="G735" s="23">
        <v>172</v>
      </c>
      <c r="H735" s="23">
        <v>119</v>
      </c>
      <c r="I735" s="23">
        <v>28</v>
      </c>
      <c r="J735" s="23">
        <v>4</v>
      </c>
      <c r="K735" s="23">
        <v>6</v>
      </c>
      <c r="L735" s="23">
        <v>17</v>
      </c>
      <c r="M735" s="23">
        <v>5</v>
      </c>
      <c r="N735" s="23" t="s">
        <v>125</v>
      </c>
      <c r="O735" s="23" t="s">
        <v>83</v>
      </c>
      <c r="P735" s="23" t="s">
        <v>220</v>
      </c>
      <c r="Q735" s="23">
        <f t="shared" si="96"/>
        <v>1</v>
      </c>
      <c r="R735" s="23" t="str">
        <f t="shared" si="91"/>
        <v>1-2025</v>
      </c>
      <c r="S735" s="23" t="s">
        <v>104</v>
      </c>
      <c r="T735" s="23" t="str">
        <f t="shared" si="92"/>
        <v>Wednesday</v>
      </c>
      <c r="U735" s="23">
        <f t="shared" si="93"/>
        <v>1</v>
      </c>
      <c r="V735" s="25">
        <f>IFERROR(Data!$I735/Data!$D735,"")</f>
        <v>0.46666666666666667</v>
      </c>
      <c r="W735" s="25">
        <f>IFERROR(Data!$J735/Data!$D735,"")</f>
        <v>6.6666666666666666E-2</v>
      </c>
      <c r="X735" s="25">
        <f>IFERROR(Data!$K735/Data!$D735,"")</f>
        <v>0.1</v>
      </c>
      <c r="Y735" s="25">
        <f>IFERROR(Data!$L735/Data!$D735,"")</f>
        <v>0.28333333333333333</v>
      </c>
      <c r="Z735" s="25">
        <f>IFERROR(Data!$M735/Data!$D735,"")</f>
        <v>8.3333333333333329E-2</v>
      </c>
      <c r="AA735" s="26">
        <v>169</v>
      </c>
      <c r="AB735" s="26">
        <f t="shared" si="97"/>
        <v>10.5625</v>
      </c>
      <c r="AC735" s="23">
        <f t="shared" si="94"/>
        <v>639.0625</v>
      </c>
      <c r="AD735" s="23">
        <f t="shared" si="95"/>
        <v>13.875</v>
      </c>
      <c r="AE735" s="23">
        <f>YEAR(Data!$C735)</f>
        <v>2025</v>
      </c>
      <c r="AF735" s="23"/>
      <c r="AG735" s="23">
        <v>12</v>
      </c>
      <c r="AH735" s="27">
        <f>Data!$F735/Data!$D735</f>
        <v>10.15</v>
      </c>
      <c r="AI735" s="17" t="str">
        <f>RIGHT(Data!$O735,2)</f>
        <v>PM</v>
      </c>
      <c r="AJ735" s="23" t="str">
        <f>Data!$R735&amp;"-"&amp;WEEKNUM(Data!$C735,1)-WEEKNUM(DATE(YEAR(Data!$C735),MONTH(Data!$C735),1),1)+1</f>
        <v>1-2025-1</v>
      </c>
      <c r="AK735" s="23">
        <f>MONTH(Data!$C735)</f>
        <v>1</v>
      </c>
      <c r="AL735" s="23">
        <f>IFERROR(Data!$F735/Data!$E735,0)</f>
        <v>27.681818181818183</v>
      </c>
      <c r="AM735" s="23">
        <f>COUNTIF(Data!$N$2:$N$825,Data!$N735)</f>
        <v>182</v>
      </c>
      <c r="AN735" s="23" t="str">
        <f>VLOOKUP(Data!$N735,'Helpful Tables'!A:D,4,FALSE)</f>
        <v>Oregon</v>
      </c>
      <c r="AO735" s="23">
        <f>COUNTIF(AN:AN,Data!$AN735)/COUNTA(AN:AN)</f>
        <v>0.27393939393939393</v>
      </c>
      <c r="AP735" s="23">
        <v>45.534162000000002</v>
      </c>
      <c r="AQ735" s="23">
        <v>-122.69670000000001</v>
      </c>
      <c r="AR735" s="23">
        <f>COUNTIF(Data!$P$2:$P$825,Data!$P735)</f>
        <v>43</v>
      </c>
      <c r="AS735" s="23" cm="1">
        <f t="array" ref="AS735">_xlfn.IFS(Data!$E735&lt;12,((Data!$E735/Data!$D735)*60)*1,AND(Data!$E735&gt;=12,Data!$E735&lt;=15),((Data!$E735/Data!$D735)*60)*1.2,AND(Data!$E735&gt;=16,Data!$E735&lt;=19),((Data!$E735/Data!$D735)*60)*1.5,Data!$E735&gt;=20,((Data!$E735/Data!$D735)*60)*1.8)</f>
        <v>39.6</v>
      </c>
      <c r="AT735" s="23" cm="1">
        <f t="array" ref="AT735">_xlfn.IFS(Data!$F735&lt;600,((Data!$F735/Data!$D735)*60)*1,AND(Data!$F735&gt;=600,Data!$F735&lt;=625),((Data!$F735/Data!$D735)*60)*1.2,AND(Data!$F735&gt;=626,Data!$F735&lt;=650),((Data!$F735/Data!$D735)*60)*1.5,Data!$F735&gt;=651,((Data!$F735/Data!$D735)*60)*1.8)</f>
        <v>730.8</v>
      </c>
      <c r="AU735" s="23">
        <f>(Data!$I735*-1.2)+(Data!$J735*-1.1)+(Data!$K735*1.2)+(Data!$L735*1.3)+(Data!$M735*1.5)</f>
        <v>-1.1999999999999993</v>
      </c>
      <c r="AV735" s="23">
        <f>(Data!$AS735*0.4)+(Data!$AT735*0.4)+(Data!$AU735*0.2)</f>
        <v>307.91999999999996</v>
      </c>
      <c r="AW735" s="35">
        <f>PERCENTRANK(AV:AV,Data!$AV735)*100</f>
        <v>29.9</v>
      </c>
      <c r="AX735" s="23" t="str">
        <f>_xlfn.CONCAT(TEXT(C735,"mmm"),"-",Data!$AE735)</f>
        <v>Jan-2025</v>
      </c>
    </row>
    <row r="736" spans="1:50" ht="17" thickTop="1" thickBot="1" x14ac:dyDescent="0.25">
      <c r="A736" s="28">
        <v>735</v>
      </c>
      <c r="B736" s="29">
        <f t="shared" si="90"/>
        <v>16</v>
      </c>
      <c r="C736" s="41">
        <v>45661</v>
      </c>
      <c r="D736" s="30">
        <f>SUM(Data!$I736:$M736)</f>
        <v>57</v>
      </c>
      <c r="E736" s="29">
        <v>12</v>
      </c>
      <c r="F736" s="29">
        <v>624</v>
      </c>
      <c r="G736" s="29">
        <v>168</v>
      </c>
      <c r="H736" s="29">
        <v>125</v>
      </c>
      <c r="I736" s="29">
        <v>11</v>
      </c>
      <c r="J736" s="29">
        <v>19</v>
      </c>
      <c r="K736" s="29">
        <v>15</v>
      </c>
      <c r="L736" s="29">
        <v>11</v>
      </c>
      <c r="M736" s="29">
        <v>1</v>
      </c>
      <c r="N736" s="29" t="s">
        <v>125</v>
      </c>
      <c r="O736" s="29" t="s">
        <v>159</v>
      </c>
      <c r="P736" s="29" t="s">
        <v>226</v>
      </c>
      <c r="Q736" s="29">
        <f t="shared" si="96"/>
        <v>3</v>
      </c>
      <c r="R736" s="29" t="str">
        <f t="shared" si="91"/>
        <v>1-2025</v>
      </c>
      <c r="S736" s="29" t="s">
        <v>117</v>
      </c>
      <c r="T736" s="29" t="str">
        <f t="shared" si="92"/>
        <v>Saturday</v>
      </c>
      <c r="U736" s="29">
        <f t="shared" si="93"/>
        <v>1</v>
      </c>
      <c r="V736" s="31">
        <f>IFERROR(Data!$I736/Data!$D736,"")</f>
        <v>0.19298245614035087</v>
      </c>
      <c r="W736" s="31">
        <f>IFERROR(Data!$J736/Data!$D736,"")</f>
        <v>0.33333333333333331</v>
      </c>
      <c r="X736" s="31">
        <f>IFERROR(Data!$K736/Data!$D736,"")</f>
        <v>0.26315789473684209</v>
      </c>
      <c r="Y736" s="31">
        <f>IFERROR(Data!$L736/Data!$D736,"")</f>
        <v>0.19298245614035087</v>
      </c>
      <c r="Z736" s="31">
        <f>IFERROR(Data!$M736/Data!$D736,"")</f>
        <v>1.7543859649122806E-2</v>
      </c>
      <c r="AA736" s="32">
        <v>169</v>
      </c>
      <c r="AB736" s="32">
        <f t="shared" si="97"/>
        <v>10.5625</v>
      </c>
      <c r="AC736" s="29">
        <f t="shared" si="94"/>
        <v>639.0625</v>
      </c>
      <c r="AD736" s="29">
        <f t="shared" si="95"/>
        <v>13.875</v>
      </c>
      <c r="AE736" s="29">
        <f>YEAR(Data!$C736)</f>
        <v>2025</v>
      </c>
      <c r="AF736" s="29"/>
      <c r="AG736" s="29">
        <v>12</v>
      </c>
      <c r="AH736" s="33">
        <f>Data!$F736/Data!$D736</f>
        <v>10.947368421052632</v>
      </c>
      <c r="AI736" s="17" t="str">
        <f>RIGHT(Data!$O736,2)</f>
        <v>AM</v>
      </c>
      <c r="AJ736" s="29" t="str">
        <f>Data!$R736&amp;"-"&amp;WEEKNUM(Data!$C736,1)-WEEKNUM(DATE(YEAR(Data!$C736),MONTH(Data!$C736),1),1)+1</f>
        <v>1-2025-1</v>
      </c>
      <c r="AK736" s="29">
        <f>MONTH(Data!$C736)</f>
        <v>1</v>
      </c>
      <c r="AL736" s="29">
        <f>IFERROR(Data!$F736/Data!$E736,0)</f>
        <v>52</v>
      </c>
      <c r="AM736" s="29">
        <f>COUNTIF(Data!$N$2:$N$825,Data!$N736)</f>
        <v>182</v>
      </c>
      <c r="AN736" s="29" t="str">
        <f>VLOOKUP(Data!$N736,'Helpful Tables'!A:D,4,FALSE)</f>
        <v>Oregon</v>
      </c>
      <c r="AO736" s="29">
        <f>COUNTIF(AN:AN,Data!$AN736)/COUNTA(AN:AN)</f>
        <v>0.27393939393939393</v>
      </c>
      <c r="AP736" s="29">
        <v>45.534162000000002</v>
      </c>
      <c r="AQ736" s="29">
        <v>-122.69670000000001</v>
      </c>
      <c r="AR736" s="29">
        <f>COUNTIF(Data!$P$2:$P$825,Data!$P736)</f>
        <v>1</v>
      </c>
      <c r="AS736" s="29" cm="1">
        <f t="array" ref="AS736">_xlfn.IFS(Data!$E736&lt;12,((Data!$E736/Data!$D736)*60)*1,AND(Data!$E736&gt;=12,Data!$E736&lt;=15),((Data!$E736/Data!$D736)*60)*1.2,AND(Data!$E736&gt;=16,Data!$E736&lt;=19),((Data!$E736/Data!$D736)*60)*1.5,Data!$E736&gt;=20,((Data!$E736/Data!$D736)*60)*1.8)</f>
        <v>15.157894736842104</v>
      </c>
      <c r="AT736" s="29" cm="1">
        <f t="array" ref="AT736">_xlfn.IFS(Data!$F736&lt;600,((Data!$F736/Data!$D736)*60)*1,AND(Data!$F736&gt;=600,Data!$F736&lt;=625),((Data!$F736/Data!$D736)*60)*1.2,AND(Data!$F736&gt;=626,Data!$F736&lt;=650),((Data!$F736/Data!$D736)*60)*1.5,Data!$F736&gt;=651,((Data!$F736/Data!$D736)*60)*1.8)</f>
        <v>788.21052631578948</v>
      </c>
      <c r="AU736" s="29">
        <f>(Data!$I736*-1.2)+(Data!$J736*-1.1)+(Data!$K736*1.2)+(Data!$L736*1.3)+(Data!$M736*1.5)</f>
        <v>-0.30000000000000071</v>
      </c>
      <c r="AV736" s="29">
        <f>(Data!$AS736*0.4)+(Data!$AT736*0.4)+(Data!$AU736*0.2)</f>
        <v>321.28736842105263</v>
      </c>
      <c r="AW736" s="34">
        <f>PERCENTRANK(AV:AV,Data!$AV736)*100</f>
        <v>37.799999999999997</v>
      </c>
      <c r="AX736" s="29" t="str">
        <f>_xlfn.CONCAT(TEXT(C736,"mmm"),"-",Data!$AE736)</f>
        <v>Jan-2025</v>
      </c>
    </row>
    <row r="737" spans="1:50" ht="17" thickTop="1" thickBot="1" x14ac:dyDescent="0.25">
      <c r="A737" s="22">
        <v>736</v>
      </c>
      <c r="B737" s="23">
        <f t="shared" si="90"/>
        <v>16</v>
      </c>
      <c r="C737" s="41">
        <v>45663</v>
      </c>
      <c r="D737" s="24">
        <f>SUM(Data!$I737:$M737)</f>
        <v>61</v>
      </c>
      <c r="E737" s="23">
        <v>10</v>
      </c>
      <c r="F737" s="23">
        <v>650</v>
      </c>
      <c r="G737" s="23">
        <v>167</v>
      </c>
      <c r="H737" s="23">
        <v>124</v>
      </c>
      <c r="I737" s="23">
        <v>14</v>
      </c>
      <c r="J737" s="23">
        <v>19</v>
      </c>
      <c r="K737" s="23">
        <v>18</v>
      </c>
      <c r="L737" s="23">
        <v>9</v>
      </c>
      <c r="M737" s="23">
        <v>1</v>
      </c>
      <c r="N737" s="23" t="s">
        <v>125</v>
      </c>
      <c r="O737" s="23" t="s">
        <v>127</v>
      </c>
      <c r="P737" s="23" t="s">
        <v>220</v>
      </c>
      <c r="Q737" s="23">
        <f t="shared" si="96"/>
        <v>2</v>
      </c>
      <c r="R737" s="23" t="str">
        <f t="shared" si="91"/>
        <v>1-2025</v>
      </c>
      <c r="S737" s="23" t="s">
        <v>104</v>
      </c>
      <c r="T737" s="23" t="str">
        <f t="shared" si="92"/>
        <v>Monday</v>
      </c>
      <c r="U737" s="23">
        <f t="shared" si="93"/>
        <v>0</v>
      </c>
      <c r="V737" s="25">
        <f>IFERROR(Data!$I737/Data!$D737,"")</f>
        <v>0.22950819672131148</v>
      </c>
      <c r="W737" s="25">
        <f>IFERROR(Data!$J737/Data!$D737,"")</f>
        <v>0.31147540983606559</v>
      </c>
      <c r="X737" s="25">
        <f>IFERROR(Data!$K737/Data!$D737,"")</f>
        <v>0.29508196721311475</v>
      </c>
      <c r="Y737" s="25">
        <f>IFERROR(Data!$L737/Data!$D737,"")</f>
        <v>0.14754098360655737</v>
      </c>
      <c r="Z737" s="25">
        <f>IFERROR(Data!$M737/Data!$D737,"")</f>
        <v>1.6393442622950821E-2</v>
      </c>
      <c r="AA737" s="26">
        <v>169</v>
      </c>
      <c r="AB737" s="26">
        <f t="shared" si="97"/>
        <v>10.5625</v>
      </c>
      <c r="AC737" s="23">
        <f t="shared" si="94"/>
        <v>639.0625</v>
      </c>
      <c r="AD737" s="23">
        <f t="shared" si="95"/>
        <v>13.875</v>
      </c>
      <c r="AE737" s="23">
        <f>YEAR(Data!$C737)</f>
        <v>2025</v>
      </c>
      <c r="AF737" s="23"/>
      <c r="AG737" s="23">
        <v>12</v>
      </c>
      <c r="AH737" s="27">
        <f>Data!$F737/Data!$D737</f>
        <v>10.655737704918034</v>
      </c>
      <c r="AI737" s="17" t="str">
        <f>RIGHT(Data!$O737,2)</f>
        <v>PM</v>
      </c>
      <c r="AJ737" s="23" t="str">
        <f>Data!$R737&amp;"-"&amp;WEEKNUM(Data!$C737,1)-WEEKNUM(DATE(YEAR(Data!$C737),MONTH(Data!$C737),1),1)+1</f>
        <v>1-2025-2</v>
      </c>
      <c r="AK737" s="23">
        <f>MONTH(Data!$C737)</f>
        <v>1</v>
      </c>
      <c r="AL737" s="23">
        <f>IFERROR(Data!$F737/Data!$E737,0)</f>
        <v>65</v>
      </c>
      <c r="AM737" s="23">
        <f>COUNTIF(Data!$N$2:$N$825,Data!$N737)</f>
        <v>182</v>
      </c>
      <c r="AN737" s="23" t="str">
        <f>VLOOKUP(Data!$N737,'Helpful Tables'!A:D,4,FALSE)</f>
        <v>Oregon</v>
      </c>
      <c r="AO737" s="23">
        <f>COUNTIF(AN:AN,Data!$AN737)/COUNTA(AN:AN)</f>
        <v>0.27393939393939393</v>
      </c>
      <c r="AP737" s="23">
        <v>45.534162000000002</v>
      </c>
      <c r="AQ737" s="23">
        <v>-122.69670000000001</v>
      </c>
      <c r="AR737" s="23">
        <f>COUNTIF(Data!$P$2:$P$825,Data!$P737)</f>
        <v>43</v>
      </c>
      <c r="AS737" s="23" cm="1">
        <f t="array" ref="AS737">_xlfn.IFS(Data!$E737&lt;12,((Data!$E737/Data!$D737)*60)*1,AND(Data!$E737&gt;=12,Data!$E737&lt;=15),((Data!$E737/Data!$D737)*60)*1.2,AND(Data!$E737&gt;=16,Data!$E737&lt;=19),((Data!$E737/Data!$D737)*60)*1.5,Data!$E737&gt;=20,((Data!$E737/Data!$D737)*60)*1.8)</f>
        <v>9.8360655737704903</v>
      </c>
      <c r="AT737" s="23" cm="1">
        <f t="array" ref="AT737">_xlfn.IFS(Data!$F737&lt;600,((Data!$F737/Data!$D737)*60)*1,AND(Data!$F737&gt;=600,Data!$F737&lt;=625),((Data!$F737/Data!$D737)*60)*1.2,AND(Data!$F737&gt;=626,Data!$F737&lt;=650),((Data!$F737/Data!$D737)*60)*1.5,Data!$F737&gt;=651,((Data!$F737/Data!$D737)*60)*1.8)</f>
        <v>959.01639344262298</v>
      </c>
      <c r="AU737" s="23">
        <f>(Data!$I737*-1.2)+(Data!$J737*-1.1)+(Data!$K737*1.2)+(Data!$L737*1.3)+(Data!$M737*1.5)</f>
        <v>-2.9000000000000039</v>
      </c>
      <c r="AV737" s="23">
        <f>(Data!$AS737*0.4)+(Data!$AT737*0.4)+(Data!$AU737*0.2)</f>
        <v>386.96098360655742</v>
      </c>
      <c r="AW737" s="35">
        <f>PERCENTRANK(AV:AV,Data!$AV737)*100</f>
        <v>46.9</v>
      </c>
      <c r="AX737" s="23" t="str">
        <f>_xlfn.CONCAT(TEXT(C737,"mmm"),"-",Data!$AE737)</f>
        <v>Jan-2025</v>
      </c>
    </row>
    <row r="738" spans="1:50" ht="17" thickTop="1" thickBot="1" x14ac:dyDescent="0.25">
      <c r="A738" s="28">
        <v>737</v>
      </c>
      <c r="B738" s="29">
        <f t="shared" si="90"/>
        <v>16</v>
      </c>
      <c r="C738" s="41">
        <v>45665</v>
      </c>
      <c r="D738" s="30">
        <f>SUM(Data!$I738:$M738)</f>
        <v>59</v>
      </c>
      <c r="E738" s="29">
        <v>14</v>
      </c>
      <c r="F738" s="29">
        <v>636</v>
      </c>
      <c r="G738" s="29">
        <v>165</v>
      </c>
      <c r="H738" s="29">
        <v>125</v>
      </c>
      <c r="I738" s="29">
        <v>16</v>
      </c>
      <c r="J738" s="29">
        <v>13</v>
      </c>
      <c r="K738" s="29">
        <v>16</v>
      </c>
      <c r="L738" s="29">
        <v>11</v>
      </c>
      <c r="M738" s="29">
        <v>3</v>
      </c>
      <c r="N738" s="29" t="s">
        <v>125</v>
      </c>
      <c r="O738" s="29" t="s">
        <v>127</v>
      </c>
      <c r="P738" s="29" t="s">
        <v>222</v>
      </c>
      <c r="Q738" s="29">
        <f t="shared" si="96"/>
        <v>2</v>
      </c>
      <c r="R738" s="29" t="str">
        <f t="shared" si="91"/>
        <v>1-2025</v>
      </c>
      <c r="S738" s="29" t="s">
        <v>104</v>
      </c>
      <c r="T738" s="29" t="str">
        <f t="shared" si="92"/>
        <v>Wednesday</v>
      </c>
      <c r="U738" s="29">
        <f t="shared" si="93"/>
        <v>1</v>
      </c>
      <c r="V738" s="31">
        <f>IFERROR(Data!$I738/Data!$D738,"")</f>
        <v>0.2711864406779661</v>
      </c>
      <c r="W738" s="31">
        <f>IFERROR(Data!$J738/Data!$D738,"")</f>
        <v>0.22033898305084745</v>
      </c>
      <c r="X738" s="31">
        <f>IFERROR(Data!$K738/Data!$D738,"")</f>
        <v>0.2711864406779661</v>
      </c>
      <c r="Y738" s="31">
        <f>IFERROR(Data!$L738/Data!$D738,"")</f>
        <v>0.1864406779661017</v>
      </c>
      <c r="Z738" s="31">
        <f>IFERROR(Data!$M738/Data!$D738,"")</f>
        <v>5.0847457627118647E-2</v>
      </c>
      <c r="AA738" s="32">
        <v>169</v>
      </c>
      <c r="AB738" s="32">
        <f t="shared" si="97"/>
        <v>10.5625</v>
      </c>
      <c r="AC738" s="29">
        <f t="shared" si="94"/>
        <v>639.0625</v>
      </c>
      <c r="AD738" s="29">
        <f t="shared" si="95"/>
        <v>13.875</v>
      </c>
      <c r="AE738" s="29">
        <f>YEAR(Data!$C738)</f>
        <v>2025</v>
      </c>
      <c r="AF738" s="29"/>
      <c r="AG738" s="29">
        <v>12</v>
      </c>
      <c r="AH738" s="33">
        <f>Data!$F738/Data!$D738</f>
        <v>10.779661016949152</v>
      </c>
      <c r="AI738" s="17" t="str">
        <f>RIGHT(Data!$O738,2)</f>
        <v>PM</v>
      </c>
      <c r="AJ738" s="29" t="str">
        <f>Data!$R738&amp;"-"&amp;WEEKNUM(Data!$C738,1)-WEEKNUM(DATE(YEAR(Data!$C738),MONTH(Data!$C738),1),1)+1</f>
        <v>1-2025-2</v>
      </c>
      <c r="AK738" s="29">
        <f>MONTH(Data!$C738)</f>
        <v>1</v>
      </c>
      <c r="AL738" s="29">
        <f>IFERROR(Data!$F738/Data!$E738,0)</f>
        <v>45.428571428571431</v>
      </c>
      <c r="AM738" s="29">
        <f>COUNTIF(Data!$N$2:$N$825,Data!$N738)</f>
        <v>182</v>
      </c>
      <c r="AN738" s="29" t="str">
        <f>VLOOKUP(Data!$N738,'Helpful Tables'!A:D,4,FALSE)</f>
        <v>Oregon</v>
      </c>
      <c r="AO738" s="29">
        <f>COUNTIF(AN:AN,Data!$AN738)/COUNTA(AN:AN)</f>
        <v>0.27393939393939393</v>
      </c>
      <c r="AP738" s="29">
        <v>45.534162000000002</v>
      </c>
      <c r="AQ738" s="29">
        <v>-122.69670000000001</v>
      </c>
      <c r="AR738" s="29">
        <f>COUNTIF(Data!$P$2:$P$825,Data!$P738)</f>
        <v>32</v>
      </c>
      <c r="AS738" s="29" cm="1">
        <f t="array" ref="AS738">_xlfn.IFS(Data!$E738&lt;12,((Data!$E738/Data!$D738)*60)*1,AND(Data!$E738&gt;=12,Data!$E738&lt;=15),((Data!$E738/Data!$D738)*60)*1.2,AND(Data!$E738&gt;=16,Data!$E738&lt;=19),((Data!$E738/Data!$D738)*60)*1.5,Data!$E738&gt;=20,((Data!$E738/Data!$D738)*60)*1.8)</f>
        <v>17.084745762711865</v>
      </c>
      <c r="AT738" s="29" cm="1">
        <f t="array" ref="AT738">_xlfn.IFS(Data!$F738&lt;600,((Data!$F738/Data!$D738)*60)*1,AND(Data!$F738&gt;=600,Data!$F738&lt;=625),((Data!$F738/Data!$D738)*60)*1.2,AND(Data!$F738&gt;=626,Data!$F738&lt;=650),((Data!$F738/Data!$D738)*60)*1.5,Data!$F738&gt;=651,((Data!$F738/Data!$D738)*60)*1.8)</f>
        <v>970.16949152542372</v>
      </c>
      <c r="AU738" s="29">
        <f>(Data!$I738*-1.2)+(Data!$J738*-1.1)+(Data!$K738*1.2)+(Data!$L738*1.3)+(Data!$M738*1.5)</f>
        <v>4.5</v>
      </c>
      <c r="AV738" s="29">
        <f>(Data!$AS738*0.4)+(Data!$AT738*0.4)+(Data!$AU738*0.2)</f>
        <v>395.80169491525425</v>
      </c>
      <c r="AW738" s="34">
        <f>PERCENTRANK(AV:AV,Data!$AV738)*100</f>
        <v>50.1</v>
      </c>
      <c r="AX738" s="29" t="str">
        <f>_xlfn.CONCAT(TEXT(C738,"mmm"),"-",Data!$AE738)</f>
        <v>Jan-2025</v>
      </c>
    </row>
    <row r="739" spans="1:50" ht="17" thickTop="1" thickBot="1" x14ac:dyDescent="0.25">
      <c r="A739" s="22">
        <v>738</v>
      </c>
      <c r="B739" s="23">
        <f t="shared" si="90"/>
        <v>16</v>
      </c>
      <c r="C739" s="41">
        <v>45666</v>
      </c>
      <c r="D739" s="24">
        <f>SUM(Data!$I739:$M739)</f>
        <v>56</v>
      </c>
      <c r="E739" s="23">
        <v>13</v>
      </c>
      <c r="F739" s="23">
        <v>590</v>
      </c>
      <c r="G739" s="23">
        <v>160</v>
      </c>
      <c r="H739" s="23">
        <v>122</v>
      </c>
      <c r="I739" s="23">
        <v>16</v>
      </c>
      <c r="J739" s="23">
        <v>19</v>
      </c>
      <c r="K739" s="23">
        <v>8</v>
      </c>
      <c r="L739" s="23">
        <v>13</v>
      </c>
      <c r="M739" s="23">
        <v>0</v>
      </c>
      <c r="N739" s="23" t="s">
        <v>208</v>
      </c>
      <c r="O739" s="23" t="s">
        <v>53</v>
      </c>
      <c r="P739" s="23" t="s">
        <v>227</v>
      </c>
      <c r="Q739" s="23">
        <f t="shared" si="96"/>
        <v>1</v>
      </c>
      <c r="R739" s="23" t="str">
        <f t="shared" si="91"/>
        <v>1-2025</v>
      </c>
      <c r="S739" s="23" t="s">
        <v>104</v>
      </c>
      <c r="T739" s="23" t="str">
        <f t="shared" si="92"/>
        <v>Thursday</v>
      </c>
      <c r="U739" s="23">
        <f t="shared" si="93"/>
        <v>1</v>
      </c>
      <c r="V739" s="25">
        <f>IFERROR(Data!$I739/Data!$D739,"")</f>
        <v>0.2857142857142857</v>
      </c>
      <c r="W739" s="25">
        <f>IFERROR(Data!$J739/Data!$D739,"")</f>
        <v>0.3392857142857143</v>
      </c>
      <c r="X739" s="25">
        <f>IFERROR(Data!$K739/Data!$D739,"")</f>
        <v>0.14285714285714285</v>
      </c>
      <c r="Y739" s="25">
        <f>IFERROR(Data!$L739/Data!$D739,"")</f>
        <v>0.23214285714285715</v>
      </c>
      <c r="Z739" s="25">
        <f>IFERROR(Data!$M739/Data!$D739,"")</f>
        <v>0</v>
      </c>
      <c r="AA739" s="26">
        <v>169</v>
      </c>
      <c r="AB739" s="26">
        <f t="shared" si="97"/>
        <v>10.5625</v>
      </c>
      <c r="AC739" s="23">
        <f t="shared" si="94"/>
        <v>639.0625</v>
      </c>
      <c r="AD739" s="23">
        <f t="shared" si="95"/>
        <v>13.875</v>
      </c>
      <c r="AE739" s="23">
        <f>YEAR(Data!$C739)</f>
        <v>2025</v>
      </c>
      <c r="AF739" s="23"/>
      <c r="AG739" s="23">
        <v>12</v>
      </c>
      <c r="AH739" s="27">
        <f>Data!$F739/Data!$D739</f>
        <v>10.535714285714286</v>
      </c>
      <c r="AI739" s="17" t="str">
        <f>RIGHT(Data!$O739,2)</f>
        <v>PM</v>
      </c>
      <c r="AJ739" s="23" t="str">
        <f>Data!$R739&amp;"-"&amp;WEEKNUM(Data!$C739,1)-WEEKNUM(DATE(YEAR(Data!$C739),MONTH(Data!$C739),1),1)+1</f>
        <v>1-2025-2</v>
      </c>
      <c r="AK739" s="23">
        <f>MONTH(Data!$C739)</f>
        <v>1</v>
      </c>
      <c r="AL739" s="23">
        <f>IFERROR(Data!$F739/Data!$E739,0)</f>
        <v>45.384615384615387</v>
      </c>
      <c r="AM739" s="23">
        <f>COUNTIF(Data!$N$2:$N$825,Data!$N739)</f>
        <v>42</v>
      </c>
      <c r="AN739" s="23" t="str">
        <f>VLOOKUP(Data!$N739,'Helpful Tables'!A:D,4,FALSE)</f>
        <v>Oregon</v>
      </c>
      <c r="AO739" s="23">
        <f>COUNTIF(AN:AN,Data!$AN739)/COUNTA(AN:AN)</f>
        <v>0.27393939393939393</v>
      </c>
      <c r="AP739" s="23">
        <v>45.525092999999998</v>
      </c>
      <c r="AQ739" s="23">
        <v>-122.681383</v>
      </c>
      <c r="AR739" s="23">
        <f>COUNTIF(Data!$P$2:$P$825,Data!$P739)</f>
        <v>2</v>
      </c>
      <c r="AS739" s="23" cm="1">
        <f t="array" ref="AS739">_xlfn.IFS(Data!$E739&lt;12,((Data!$E739/Data!$D739)*60)*1,AND(Data!$E739&gt;=12,Data!$E739&lt;=15),((Data!$E739/Data!$D739)*60)*1.2,AND(Data!$E739&gt;=16,Data!$E739&lt;=19),((Data!$E739/Data!$D739)*60)*1.5,Data!$E739&gt;=20,((Data!$E739/Data!$D739)*60)*1.8)</f>
        <v>16.714285714285715</v>
      </c>
      <c r="AT739" s="23" cm="1">
        <f t="array" ref="AT739">_xlfn.IFS(Data!$F739&lt;600,((Data!$F739/Data!$D739)*60)*1,AND(Data!$F739&gt;=600,Data!$F739&lt;=625),((Data!$F739/Data!$D739)*60)*1.2,AND(Data!$F739&gt;=626,Data!$F739&lt;=650),((Data!$F739/Data!$D739)*60)*1.5,Data!$F739&gt;=651,((Data!$F739/Data!$D739)*60)*1.8)</f>
        <v>632.14285714285722</v>
      </c>
      <c r="AU739" s="23">
        <f>(Data!$I739*-1.2)+(Data!$J739*-1.1)+(Data!$K739*1.2)+(Data!$L739*1.3)+(Data!$M739*1.5)</f>
        <v>-13.599999999999998</v>
      </c>
      <c r="AV739" s="23">
        <f>(Data!$AS739*0.4)+(Data!$AT739*0.4)+(Data!$AU739*0.2)</f>
        <v>256.82285714285717</v>
      </c>
      <c r="AW739" s="35">
        <f>PERCENTRANK(AV:AV,Data!$AV739)*100</f>
        <v>19.900000000000002</v>
      </c>
      <c r="AX739" s="23" t="str">
        <f>_xlfn.CONCAT(TEXT(C739,"mmm"),"-",Data!$AE739)</f>
        <v>Jan-2025</v>
      </c>
    </row>
    <row r="740" spans="1:50" ht="17" thickTop="1" thickBot="1" x14ac:dyDescent="0.25">
      <c r="A740" s="28">
        <v>739</v>
      </c>
      <c r="B740" s="29">
        <f t="shared" si="90"/>
        <v>16</v>
      </c>
      <c r="C740" s="41">
        <v>45669</v>
      </c>
      <c r="D740" s="30">
        <f>SUM(Data!$I740:$M740)</f>
        <v>60</v>
      </c>
      <c r="E740" s="29">
        <v>13</v>
      </c>
      <c r="F740" s="29">
        <v>615</v>
      </c>
      <c r="G740" s="29">
        <v>165</v>
      </c>
      <c r="H740" s="29">
        <v>120</v>
      </c>
      <c r="I740" s="29">
        <v>20</v>
      </c>
      <c r="J740" s="29">
        <v>19</v>
      </c>
      <c r="K740" s="29">
        <v>8</v>
      </c>
      <c r="L740" s="29">
        <v>11</v>
      </c>
      <c r="M740" s="29">
        <v>2</v>
      </c>
      <c r="N740" s="29" t="s">
        <v>125</v>
      </c>
      <c r="O740" s="29" t="s">
        <v>159</v>
      </c>
      <c r="P740" s="29" t="s">
        <v>222</v>
      </c>
      <c r="Q740" s="29">
        <f t="shared" si="96"/>
        <v>3</v>
      </c>
      <c r="R740" s="29" t="str">
        <f t="shared" si="91"/>
        <v>1-2025</v>
      </c>
      <c r="S740" s="29" t="s">
        <v>117</v>
      </c>
      <c r="T740" s="29" t="str">
        <f t="shared" si="92"/>
        <v>Sunday</v>
      </c>
      <c r="U740" s="29">
        <f t="shared" si="93"/>
        <v>1</v>
      </c>
      <c r="V740" s="31">
        <f>IFERROR(Data!$I740/Data!$D740,"")</f>
        <v>0.33333333333333331</v>
      </c>
      <c r="W740" s="31">
        <f>IFERROR(Data!$J740/Data!$D740,"")</f>
        <v>0.31666666666666665</v>
      </c>
      <c r="X740" s="31">
        <f>IFERROR(Data!$K740/Data!$D740,"")</f>
        <v>0.13333333333333333</v>
      </c>
      <c r="Y740" s="31">
        <f>IFERROR(Data!$L740/Data!$D740,"")</f>
        <v>0.18333333333333332</v>
      </c>
      <c r="Z740" s="31">
        <f>IFERROR(Data!$M740/Data!$D740,"")</f>
        <v>3.3333333333333333E-2</v>
      </c>
      <c r="AA740" s="32">
        <v>169</v>
      </c>
      <c r="AB740" s="32">
        <f t="shared" si="97"/>
        <v>10.5625</v>
      </c>
      <c r="AC740" s="29">
        <f t="shared" si="94"/>
        <v>639.0625</v>
      </c>
      <c r="AD740" s="29">
        <f t="shared" si="95"/>
        <v>13.875</v>
      </c>
      <c r="AE740" s="29">
        <f>YEAR(Data!$C740)</f>
        <v>2025</v>
      </c>
      <c r="AF740" s="29"/>
      <c r="AG740" s="29">
        <v>12</v>
      </c>
      <c r="AH740" s="33">
        <f>Data!$F740/Data!$D740</f>
        <v>10.25</v>
      </c>
      <c r="AI740" s="17" t="str">
        <f>RIGHT(Data!$O740,2)</f>
        <v>AM</v>
      </c>
      <c r="AJ740" s="29" t="str">
        <f>Data!$R740&amp;"-"&amp;WEEKNUM(Data!$C740,1)-WEEKNUM(DATE(YEAR(Data!$C740),MONTH(Data!$C740),1),1)+1</f>
        <v>1-2025-3</v>
      </c>
      <c r="AK740" s="29">
        <f>MONTH(Data!$C740)</f>
        <v>1</v>
      </c>
      <c r="AL740" s="29">
        <f>IFERROR(Data!$F740/Data!$E740,0)</f>
        <v>47.307692307692307</v>
      </c>
      <c r="AM740" s="29">
        <f>COUNTIF(Data!$N$2:$N$825,Data!$N740)</f>
        <v>182</v>
      </c>
      <c r="AN740" s="29" t="str">
        <f>VLOOKUP(Data!$N740,'Helpful Tables'!A:D,4,FALSE)</f>
        <v>Oregon</v>
      </c>
      <c r="AO740" s="29">
        <f>COUNTIF(AN:AN,Data!$AN740)/COUNTA(AN:AN)</f>
        <v>0.27393939393939393</v>
      </c>
      <c r="AP740" s="29">
        <v>45.534162000000002</v>
      </c>
      <c r="AQ740" s="29">
        <v>-122.69670000000001</v>
      </c>
      <c r="AR740" s="29">
        <f>COUNTIF(Data!$P$2:$P$825,Data!$P740)</f>
        <v>32</v>
      </c>
      <c r="AS740" s="29" cm="1">
        <f t="array" ref="AS740">_xlfn.IFS(Data!$E740&lt;12,((Data!$E740/Data!$D740)*60)*1,AND(Data!$E740&gt;=12,Data!$E740&lt;=15),((Data!$E740/Data!$D740)*60)*1.2,AND(Data!$E740&gt;=16,Data!$E740&lt;=19),((Data!$E740/Data!$D740)*60)*1.5,Data!$E740&gt;=20,((Data!$E740/Data!$D740)*60)*1.8)</f>
        <v>15.6</v>
      </c>
      <c r="AT740" s="29" cm="1">
        <f t="array" ref="AT740">_xlfn.IFS(Data!$F740&lt;600,((Data!$F740/Data!$D740)*60)*1,AND(Data!$F740&gt;=600,Data!$F740&lt;=625),((Data!$F740/Data!$D740)*60)*1.2,AND(Data!$F740&gt;=626,Data!$F740&lt;=650),((Data!$F740/Data!$D740)*60)*1.5,Data!$F740&gt;=651,((Data!$F740/Data!$D740)*60)*1.8)</f>
        <v>738</v>
      </c>
      <c r="AU740" s="29">
        <f>(Data!$I740*-1.2)+(Data!$J740*-1.1)+(Data!$K740*1.2)+(Data!$L740*1.3)+(Data!$M740*1.5)</f>
        <v>-18.000000000000004</v>
      </c>
      <c r="AV740" s="29">
        <f>(Data!$AS740*0.4)+(Data!$AT740*0.4)+(Data!$AU740*0.2)</f>
        <v>297.83999999999997</v>
      </c>
      <c r="AW740" s="34">
        <f>PERCENTRANK(AV:AV,Data!$AV740)*100</f>
        <v>25.6</v>
      </c>
      <c r="AX740" s="29" t="str">
        <f>_xlfn.CONCAT(TEXT(C740,"mmm"),"-",Data!$AE740)</f>
        <v>Jan-2025</v>
      </c>
    </row>
    <row r="741" spans="1:50" ht="17" thickTop="1" thickBot="1" x14ac:dyDescent="0.25">
      <c r="A741" s="22">
        <v>740</v>
      </c>
      <c r="B741" s="23">
        <f t="shared" si="90"/>
        <v>16</v>
      </c>
      <c r="C741" s="41">
        <v>45671</v>
      </c>
      <c r="D741" s="24">
        <f>SUM(Data!$I741:$M741)</f>
        <v>59</v>
      </c>
      <c r="E741" s="23">
        <v>16</v>
      </c>
      <c r="F741" s="23">
        <v>676</v>
      </c>
      <c r="G741" s="23">
        <v>171</v>
      </c>
      <c r="H741" s="23">
        <v>130</v>
      </c>
      <c r="I741" s="23">
        <v>8</v>
      </c>
      <c r="J741" s="23">
        <v>19</v>
      </c>
      <c r="K741" s="23">
        <v>16</v>
      </c>
      <c r="L741" s="23">
        <v>11</v>
      </c>
      <c r="M741" s="23">
        <v>5</v>
      </c>
      <c r="N741" s="23" t="s">
        <v>125</v>
      </c>
      <c r="O741" s="23" t="s">
        <v>127</v>
      </c>
      <c r="P741" s="23" t="s">
        <v>222</v>
      </c>
      <c r="Q741" s="23">
        <f t="shared" si="96"/>
        <v>2</v>
      </c>
      <c r="R741" s="23" t="str">
        <f t="shared" si="91"/>
        <v>1-2025</v>
      </c>
      <c r="S741" s="23" t="s">
        <v>104</v>
      </c>
      <c r="T741" s="23" t="str">
        <f t="shared" si="92"/>
        <v>Tuesday</v>
      </c>
      <c r="U741" s="23">
        <f t="shared" si="93"/>
        <v>1</v>
      </c>
      <c r="V741" s="25">
        <f>IFERROR(Data!$I741/Data!$D741,"")</f>
        <v>0.13559322033898305</v>
      </c>
      <c r="W741" s="25">
        <f>IFERROR(Data!$J741/Data!$D741,"")</f>
        <v>0.32203389830508472</v>
      </c>
      <c r="X741" s="25">
        <f>IFERROR(Data!$K741/Data!$D741,"")</f>
        <v>0.2711864406779661</v>
      </c>
      <c r="Y741" s="25">
        <f>IFERROR(Data!$L741/Data!$D741,"")</f>
        <v>0.1864406779661017</v>
      </c>
      <c r="Z741" s="25">
        <f>IFERROR(Data!$M741/Data!$D741,"")</f>
        <v>8.4745762711864403E-2</v>
      </c>
      <c r="AA741" s="26">
        <v>169</v>
      </c>
      <c r="AB741" s="26">
        <f t="shared" si="97"/>
        <v>10.5625</v>
      </c>
      <c r="AC741" s="23">
        <f t="shared" si="94"/>
        <v>639.0625</v>
      </c>
      <c r="AD741" s="23">
        <f t="shared" si="95"/>
        <v>13.875</v>
      </c>
      <c r="AE741" s="23">
        <f>YEAR(Data!$C741)</f>
        <v>2025</v>
      </c>
      <c r="AF741" s="23"/>
      <c r="AG741" s="23">
        <v>12</v>
      </c>
      <c r="AH741" s="27">
        <f>Data!$F741/Data!$D741</f>
        <v>11.457627118644067</v>
      </c>
      <c r="AI741" s="17" t="str">
        <f>RIGHT(Data!$O741,2)</f>
        <v>PM</v>
      </c>
      <c r="AJ741" s="23" t="str">
        <f>Data!$R741&amp;"-"&amp;WEEKNUM(Data!$C741,1)-WEEKNUM(DATE(YEAR(Data!$C741),MONTH(Data!$C741),1),1)+1</f>
        <v>1-2025-3</v>
      </c>
      <c r="AK741" s="23">
        <f>MONTH(Data!$C741)</f>
        <v>1</v>
      </c>
      <c r="AL741" s="23">
        <f>IFERROR(Data!$F741/Data!$E741,0)</f>
        <v>42.25</v>
      </c>
      <c r="AM741" s="23">
        <f>COUNTIF(Data!$N$2:$N$825,Data!$N741)</f>
        <v>182</v>
      </c>
      <c r="AN741" s="23" t="str">
        <f>VLOOKUP(Data!$N741,'Helpful Tables'!A:D,4,FALSE)</f>
        <v>Oregon</v>
      </c>
      <c r="AO741" s="23">
        <f>COUNTIF(AN:AN,Data!$AN741)/COUNTA(AN:AN)</f>
        <v>0.27393939393939393</v>
      </c>
      <c r="AP741" s="23">
        <v>45.534162000000002</v>
      </c>
      <c r="AQ741" s="23">
        <v>-122.69670000000001</v>
      </c>
      <c r="AR741" s="23">
        <f>COUNTIF(Data!$P$2:$P$825,Data!$P741)</f>
        <v>32</v>
      </c>
      <c r="AS741" s="23" cm="1">
        <f t="array" ref="AS741">_xlfn.IFS(Data!$E741&lt;12,((Data!$E741/Data!$D741)*60)*1,AND(Data!$E741&gt;=12,Data!$E741&lt;=15),((Data!$E741/Data!$D741)*60)*1.2,AND(Data!$E741&gt;=16,Data!$E741&lt;=19),((Data!$E741/Data!$D741)*60)*1.5,Data!$E741&gt;=20,((Data!$E741/Data!$D741)*60)*1.8)</f>
        <v>24.406779661016948</v>
      </c>
      <c r="AT741" s="23" cm="1">
        <f t="array" ref="AT741">_xlfn.IFS(Data!$F741&lt;600,((Data!$F741/Data!$D741)*60)*1,AND(Data!$F741&gt;=600,Data!$F741&lt;=625),((Data!$F741/Data!$D741)*60)*1.2,AND(Data!$F741&gt;=626,Data!$F741&lt;=650),((Data!$F741/Data!$D741)*60)*1.5,Data!$F741&gt;=651,((Data!$F741/Data!$D741)*60)*1.8)</f>
        <v>1237.4237288135594</v>
      </c>
      <c r="AU741" s="23">
        <f>(Data!$I741*-1.2)+(Data!$J741*-1.1)+(Data!$K741*1.2)+(Data!$L741*1.3)+(Data!$M741*1.5)</f>
        <v>10.5</v>
      </c>
      <c r="AV741" s="23">
        <f>(Data!$AS741*0.4)+(Data!$AT741*0.4)+(Data!$AU741*0.2)</f>
        <v>506.83220338983057</v>
      </c>
      <c r="AW741" s="35">
        <f>PERCENTRANK(AV:AV,Data!$AV741)*100</f>
        <v>82.3</v>
      </c>
      <c r="AX741" s="23" t="str">
        <f>_xlfn.CONCAT(TEXT(C741,"mmm"),"-",Data!$AE741)</f>
        <v>Jan-2025</v>
      </c>
    </row>
    <row r="742" spans="1:50" ht="17" thickTop="1" thickBot="1" x14ac:dyDescent="0.25">
      <c r="A742" s="28">
        <v>741</v>
      </c>
      <c r="B742" s="29">
        <f t="shared" si="90"/>
        <v>16</v>
      </c>
      <c r="C742" s="41">
        <v>45673</v>
      </c>
      <c r="D742" s="30">
        <f>SUM(Data!$I742:$M742)</f>
        <v>59</v>
      </c>
      <c r="E742" s="29">
        <v>15</v>
      </c>
      <c r="F742" s="29">
        <v>674</v>
      </c>
      <c r="G742" s="29">
        <v>168</v>
      </c>
      <c r="H742" s="29">
        <v>128</v>
      </c>
      <c r="I742" s="29">
        <v>8</v>
      </c>
      <c r="J742" s="29">
        <v>16</v>
      </c>
      <c r="K742" s="29">
        <v>20</v>
      </c>
      <c r="L742" s="29">
        <v>14</v>
      </c>
      <c r="M742" s="29">
        <v>1</v>
      </c>
      <c r="N742" s="29" t="s">
        <v>125</v>
      </c>
      <c r="O742" s="29" t="s">
        <v>215</v>
      </c>
      <c r="P742" s="29" t="s">
        <v>222</v>
      </c>
      <c r="Q742" s="29">
        <f t="shared" si="96"/>
        <v>2</v>
      </c>
      <c r="R742" s="29" t="str">
        <f t="shared" si="91"/>
        <v>1-2025</v>
      </c>
      <c r="S742" s="29" t="s">
        <v>117</v>
      </c>
      <c r="T742" s="29" t="str">
        <f t="shared" si="92"/>
        <v>Thursday</v>
      </c>
      <c r="U742" s="29">
        <f t="shared" si="93"/>
        <v>1</v>
      </c>
      <c r="V742" s="31">
        <f>IFERROR(Data!$I742/Data!$D742,"")</f>
        <v>0.13559322033898305</v>
      </c>
      <c r="W742" s="31">
        <f>IFERROR(Data!$J742/Data!$D742,"")</f>
        <v>0.2711864406779661</v>
      </c>
      <c r="X742" s="31">
        <f>IFERROR(Data!$K742/Data!$D742,"")</f>
        <v>0.33898305084745761</v>
      </c>
      <c r="Y742" s="31">
        <f>IFERROR(Data!$L742/Data!$D742,"")</f>
        <v>0.23728813559322035</v>
      </c>
      <c r="Z742" s="31">
        <f>IFERROR(Data!$M742/Data!$D742,"")</f>
        <v>1.6949152542372881E-2</v>
      </c>
      <c r="AA742" s="32">
        <v>169</v>
      </c>
      <c r="AB742" s="32">
        <f t="shared" si="97"/>
        <v>10.5625</v>
      </c>
      <c r="AC742" s="29">
        <f t="shared" si="94"/>
        <v>639.0625</v>
      </c>
      <c r="AD742" s="29">
        <f t="shared" si="95"/>
        <v>13.875</v>
      </c>
      <c r="AE742" s="29">
        <f>YEAR(Data!$C742)</f>
        <v>2025</v>
      </c>
      <c r="AF742" s="29"/>
      <c r="AG742" s="29">
        <v>12</v>
      </c>
      <c r="AH742" s="33">
        <f>Data!$F742/Data!$D742</f>
        <v>11.423728813559322</v>
      </c>
      <c r="AI742" s="17" t="str">
        <f>RIGHT(Data!$O742,2)</f>
        <v>PM</v>
      </c>
      <c r="AJ742" s="29" t="str">
        <f>Data!$R742&amp;"-"&amp;WEEKNUM(Data!$C742,1)-WEEKNUM(DATE(YEAR(Data!$C742),MONTH(Data!$C742),1),1)+1</f>
        <v>1-2025-3</v>
      </c>
      <c r="AK742" s="29">
        <f>MONTH(Data!$C742)</f>
        <v>1</v>
      </c>
      <c r="AL742" s="29">
        <f>IFERROR(Data!$F742/Data!$E742,0)</f>
        <v>44.93333333333333</v>
      </c>
      <c r="AM742" s="29">
        <f>COUNTIF(Data!$N$2:$N$825,Data!$N742)</f>
        <v>182</v>
      </c>
      <c r="AN742" s="29" t="str">
        <f>VLOOKUP(Data!$N742,'Helpful Tables'!A:D,4,FALSE)</f>
        <v>Oregon</v>
      </c>
      <c r="AO742" s="29">
        <f>COUNTIF(AN:AN,Data!$AN742)/COUNTA(AN:AN)</f>
        <v>0.27393939393939393</v>
      </c>
      <c r="AP742" s="29">
        <v>45.534162000000002</v>
      </c>
      <c r="AQ742" s="29">
        <v>-122.69670000000001</v>
      </c>
      <c r="AR742" s="29">
        <f>COUNTIF(Data!$P$2:$P$825,Data!$P742)</f>
        <v>32</v>
      </c>
      <c r="AS742" s="29" cm="1">
        <f t="array" ref="AS742">_xlfn.IFS(Data!$E742&lt;12,((Data!$E742/Data!$D742)*60)*1,AND(Data!$E742&gt;=12,Data!$E742&lt;=15),((Data!$E742/Data!$D742)*60)*1.2,AND(Data!$E742&gt;=16,Data!$E742&lt;=19),((Data!$E742/Data!$D742)*60)*1.5,Data!$E742&gt;=20,((Data!$E742/Data!$D742)*60)*1.8)</f>
        <v>18.305084745762709</v>
      </c>
      <c r="AT742" s="29" cm="1">
        <f t="array" ref="AT742">_xlfn.IFS(Data!$F742&lt;600,((Data!$F742/Data!$D742)*60)*1,AND(Data!$F742&gt;=600,Data!$F742&lt;=625),((Data!$F742/Data!$D742)*60)*1.2,AND(Data!$F742&gt;=626,Data!$F742&lt;=650),((Data!$F742/Data!$D742)*60)*1.5,Data!$F742&gt;=651,((Data!$F742/Data!$D742)*60)*1.8)</f>
        <v>1233.7627118644068</v>
      </c>
      <c r="AU742" s="29">
        <f>(Data!$I742*-1.2)+(Data!$J742*-1.1)+(Data!$K742*1.2)+(Data!$L742*1.3)+(Data!$M742*1.5)</f>
        <v>16.499999999999996</v>
      </c>
      <c r="AV742" s="29">
        <f>(Data!$AS742*0.4)+(Data!$AT742*0.4)+(Data!$AU742*0.2)</f>
        <v>504.12711864406788</v>
      </c>
      <c r="AW742" s="34">
        <f>PERCENTRANK(AV:AV,Data!$AV742)*100</f>
        <v>80.600000000000009</v>
      </c>
      <c r="AX742" s="29" t="str">
        <f>_xlfn.CONCAT(TEXT(C742,"mmm"),"-",Data!$AE742)</f>
        <v>Jan-2025</v>
      </c>
    </row>
    <row r="743" spans="1:50" ht="17" thickTop="1" thickBot="1" x14ac:dyDescent="0.25">
      <c r="A743" s="22">
        <v>742</v>
      </c>
      <c r="B743" s="23">
        <f t="shared" si="90"/>
        <v>16</v>
      </c>
      <c r="C743" s="41">
        <v>45674</v>
      </c>
      <c r="D743" s="24">
        <f>SUM(Data!$I743:$M743)</f>
        <v>58</v>
      </c>
      <c r="E743" s="23">
        <v>15</v>
      </c>
      <c r="F743" s="23">
        <v>657</v>
      </c>
      <c r="G743" s="23">
        <v>160</v>
      </c>
      <c r="H743" s="23">
        <v>127</v>
      </c>
      <c r="I743" s="23">
        <v>9</v>
      </c>
      <c r="J743" s="23">
        <v>20</v>
      </c>
      <c r="K743" s="23">
        <v>14</v>
      </c>
      <c r="L743" s="23">
        <v>15</v>
      </c>
      <c r="M743" s="23">
        <v>0</v>
      </c>
      <c r="N743" s="23" t="s">
        <v>208</v>
      </c>
      <c r="O743" s="23" t="s">
        <v>53</v>
      </c>
      <c r="P743" s="23" t="s">
        <v>209</v>
      </c>
      <c r="Q743" s="23">
        <f t="shared" si="96"/>
        <v>1</v>
      </c>
      <c r="R743" s="23" t="str">
        <f t="shared" si="91"/>
        <v>1-2025</v>
      </c>
      <c r="S743" s="23" t="s">
        <v>104</v>
      </c>
      <c r="T743" s="23" t="str">
        <f t="shared" si="92"/>
        <v>Friday</v>
      </c>
      <c r="U743" s="23">
        <f t="shared" si="93"/>
        <v>1</v>
      </c>
      <c r="V743" s="25">
        <f>IFERROR(Data!$I743/Data!$D743,"")</f>
        <v>0.15517241379310345</v>
      </c>
      <c r="W743" s="25">
        <f>IFERROR(Data!$J743/Data!$D743,"")</f>
        <v>0.34482758620689657</v>
      </c>
      <c r="X743" s="25">
        <f>IFERROR(Data!$K743/Data!$D743,"")</f>
        <v>0.2413793103448276</v>
      </c>
      <c r="Y743" s="25">
        <f>IFERROR(Data!$L743/Data!$D743,"")</f>
        <v>0.25862068965517243</v>
      </c>
      <c r="Z743" s="25">
        <f>IFERROR(Data!$M743/Data!$D743,"")</f>
        <v>0</v>
      </c>
      <c r="AA743" s="26">
        <v>169</v>
      </c>
      <c r="AB743" s="26">
        <f t="shared" si="97"/>
        <v>10.5625</v>
      </c>
      <c r="AC743" s="23">
        <f t="shared" si="94"/>
        <v>639.0625</v>
      </c>
      <c r="AD743" s="23">
        <f t="shared" si="95"/>
        <v>13.875</v>
      </c>
      <c r="AE743" s="23">
        <f>YEAR(Data!$C743)</f>
        <v>2025</v>
      </c>
      <c r="AF743" s="23"/>
      <c r="AG743" s="23">
        <v>12</v>
      </c>
      <c r="AH743" s="27">
        <f>Data!$F743/Data!$D743</f>
        <v>11.327586206896552</v>
      </c>
      <c r="AI743" s="17" t="str">
        <f>RIGHT(Data!$O743,2)</f>
        <v>PM</v>
      </c>
      <c r="AJ743" s="23" t="str">
        <f>Data!$R743&amp;"-"&amp;WEEKNUM(Data!$C743,1)-WEEKNUM(DATE(YEAR(Data!$C743),MONTH(Data!$C743),1),1)+1</f>
        <v>1-2025-3</v>
      </c>
      <c r="AK743" s="23">
        <f>MONTH(Data!$C743)</f>
        <v>1</v>
      </c>
      <c r="AL743" s="23">
        <f>IFERROR(Data!$F743/Data!$E743,0)</f>
        <v>43.8</v>
      </c>
      <c r="AM743" s="23">
        <f>COUNTIF(Data!$N$2:$N$825,Data!$N743)</f>
        <v>42</v>
      </c>
      <c r="AN743" s="23" t="str">
        <f>VLOOKUP(Data!$N743,'Helpful Tables'!A:D,4,FALSE)</f>
        <v>Oregon</v>
      </c>
      <c r="AO743" s="23">
        <f>COUNTIF(AN:AN,Data!$AN743)/COUNTA(AN:AN)</f>
        <v>0.27393939393939393</v>
      </c>
      <c r="AP743" s="23">
        <v>45.525092999999998</v>
      </c>
      <c r="AQ743" s="23">
        <v>-122.681383</v>
      </c>
      <c r="AR743" s="23">
        <f>COUNTIF(Data!$P$2:$P$825,Data!$P743)</f>
        <v>18</v>
      </c>
      <c r="AS743" s="23" cm="1">
        <f t="array" ref="AS743">_xlfn.IFS(Data!$E743&lt;12,((Data!$E743/Data!$D743)*60)*1,AND(Data!$E743&gt;=12,Data!$E743&lt;=15),((Data!$E743/Data!$D743)*60)*1.2,AND(Data!$E743&gt;=16,Data!$E743&lt;=19),((Data!$E743/Data!$D743)*60)*1.5,Data!$E743&gt;=20,((Data!$E743/Data!$D743)*60)*1.8)</f>
        <v>18.620689655172413</v>
      </c>
      <c r="AT743" s="23" cm="1">
        <f t="array" ref="AT743">_xlfn.IFS(Data!$F743&lt;600,((Data!$F743/Data!$D743)*60)*1,AND(Data!$F743&gt;=600,Data!$F743&lt;=625),((Data!$F743/Data!$D743)*60)*1.2,AND(Data!$F743&gt;=626,Data!$F743&lt;=650),((Data!$F743/Data!$D743)*60)*1.5,Data!$F743&gt;=651,((Data!$F743/Data!$D743)*60)*1.8)</f>
        <v>1223.3793103448277</v>
      </c>
      <c r="AU743" s="23">
        <f>(Data!$I743*-1.2)+(Data!$J743*-1.1)+(Data!$K743*1.2)+(Data!$L743*1.3)+(Data!$M743*1.5)</f>
        <v>3.5000000000000036</v>
      </c>
      <c r="AV743" s="23">
        <f>(Data!$AS743*0.4)+(Data!$AT743*0.4)+(Data!$AU743*0.2)</f>
        <v>497.50000000000006</v>
      </c>
      <c r="AW743" s="35">
        <f>PERCENTRANK(AV:AV,Data!$AV743)*100</f>
        <v>76.400000000000006</v>
      </c>
      <c r="AX743" s="23" t="str">
        <f>_xlfn.CONCAT(TEXT(C743,"mmm"),"-",Data!$AE743)</f>
        <v>Jan-2025</v>
      </c>
    </row>
    <row r="744" spans="1:50" ht="17" thickTop="1" thickBot="1" x14ac:dyDescent="0.25">
      <c r="A744" s="28">
        <v>743</v>
      </c>
      <c r="B744" s="29">
        <f t="shared" si="90"/>
        <v>16</v>
      </c>
      <c r="C744" s="41">
        <v>45676</v>
      </c>
      <c r="D744" s="30">
        <f>SUM(Data!$I744:$M744)</f>
        <v>58</v>
      </c>
      <c r="E744" s="29">
        <v>4</v>
      </c>
      <c r="F744" s="29">
        <v>532</v>
      </c>
      <c r="G744" s="29">
        <v>157</v>
      </c>
      <c r="H744" s="29">
        <v>114</v>
      </c>
      <c r="I744" s="29">
        <v>29</v>
      </c>
      <c r="J744" s="29">
        <v>10</v>
      </c>
      <c r="K744" s="29">
        <v>15</v>
      </c>
      <c r="L744" s="29">
        <v>4</v>
      </c>
      <c r="M744" s="29">
        <v>0</v>
      </c>
      <c r="N744" s="29" t="s">
        <v>125</v>
      </c>
      <c r="O744" s="29" t="s">
        <v>79</v>
      </c>
      <c r="P744" s="29" t="s">
        <v>222</v>
      </c>
      <c r="Q744" s="29">
        <f t="shared" si="96"/>
        <v>2</v>
      </c>
      <c r="R744" s="29" t="str">
        <f t="shared" si="91"/>
        <v>1-2025</v>
      </c>
      <c r="S744" s="29" t="s">
        <v>117</v>
      </c>
      <c r="T744" s="29" t="str">
        <f t="shared" si="92"/>
        <v>Sunday</v>
      </c>
      <c r="U744" s="29">
        <f t="shared" si="93"/>
        <v>0</v>
      </c>
      <c r="V744" s="31">
        <f>IFERROR(Data!$I744/Data!$D744,"")</f>
        <v>0.5</v>
      </c>
      <c r="W744" s="31">
        <f>IFERROR(Data!$J744/Data!$D744,"")</f>
        <v>0.17241379310344829</v>
      </c>
      <c r="X744" s="31">
        <f>IFERROR(Data!$K744/Data!$D744,"")</f>
        <v>0.25862068965517243</v>
      </c>
      <c r="Y744" s="31">
        <f>IFERROR(Data!$L744/Data!$D744,"")</f>
        <v>6.8965517241379309E-2</v>
      </c>
      <c r="Z744" s="31">
        <f>IFERROR(Data!$M744/Data!$D744,"")</f>
        <v>0</v>
      </c>
      <c r="AA744" s="32">
        <v>169</v>
      </c>
      <c r="AB744" s="32">
        <f t="shared" si="97"/>
        <v>10.5625</v>
      </c>
      <c r="AC744" s="29">
        <f t="shared" si="94"/>
        <v>639.0625</v>
      </c>
      <c r="AD744" s="29">
        <f t="shared" si="95"/>
        <v>13.875</v>
      </c>
      <c r="AE744" s="29">
        <f>YEAR(Data!$C744)</f>
        <v>2025</v>
      </c>
      <c r="AF744" s="29"/>
      <c r="AG744" s="29">
        <v>12</v>
      </c>
      <c r="AH744" s="33">
        <f>Data!$F744/Data!$D744</f>
        <v>9.1724137931034484</v>
      </c>
      <c r="AI744" s="17" t="str">
        <f>RIGHT(Data!$O744,2)</f>
        <v>AM</v>
      </c>
      <c r="AJ744" s="29" t="str">
        <f>Data!$R744&amp;"-"&amp;WEEKNUM(Data!$C744,1)-WEEKNUM(DATE(YEAR(Data!$C744),MONTH(Data!$C744),1),1)+1</f>
        <v>1-2025-4</v>
      </c>
      <c r="AK744" s="29">
        <f>MONTH(Data!$C744)</f>
        <v>1</v>
      </c>
      <c r="AL744" s="29">
        <f>IFERROR(Data!$F744/Data!$E744,0)</f>
        <v>133</v>
      </c>
      <c r="AM744" s="29">
        <f>COUNTIF(Data!$N$2:$N$825,Data!$N744)</f>
        <v>182</v>
      </c>
      <c r="AN744" s="29" t="str">
        <f>VLOOKUP(Data!$N744,'Helpful Tables'!A:D,4,FALSE)</f>
        <v>Oregon</v>
      </c>
      <c r="AO744" s="29">
        <f>COUNTIF(AN:AN,Data!$AN744)/COUNTA(AN:AN)</f>
        <v>0.27393939393939393</v>
      </c>
      <c r="AP744" s="29">
        <v>45.534162000000002</v>
      </c>
      <c r="AQ744" s="29">
        <v>-122.69670000000001</v>
      </c>
      <c r="AR744" s="29">
        <f>COUNTIF(Data!$P$2:$P$825,Data!$P744)</f>
        <v>32</v>
      </c>
      <c r="AS744" s="29" cm="1">
        <f t="array" ref="AS744">_xlfn.IFS(Data!$E744&lt;12,((Data!$E744/Data!$D744)*60)*1,AND(Data!$E744&gt;=12,Data!$E744&lt;=15),((Data!$E744/Data!$D744)*60)*1.2,AND(Data!$E744&gt;=16,Data!$E744&lt;=19),((Data!$E744/Data!$D744)*60)*1.5,Data!$E744&gt;=20,((Data!$E744/Data!$D744)*60)*1.8)</f>
        <v>4.1379310344827589</v>
      </c>
      <c r="AT744" s="29" cm="1">
        <f t="array" ref="AT744">_xlfn.IFS(Data!$F744&lt;600,((Data!$F744/Data!$D744)*60)*1,AND(Data!$F744&gt;=600,Data!$F744&lt;=625),((Data!$F744/Data!$D744)*60)*1.2,AND(Data!$F744&gt;=626,Data!$F744&lt;=650),((Data!$F744/Data!$D744)*60)*1.5,Data!$F744&gt;=651,((Data!$F744/Data!$D744)*60)*1.8)</f>
        <v>550.34482758620686</v>
      </c>
      <c r="AU744" s="29">
        <f>(Data!$I744*-1.2)+(Data!$J744*-1.1)+(Data!$K744*1.2)+(Data!$L744*1.3)+(Data!$M744*1.5)</f>
        <v>-22.599999999999998</v>
      </c>
      <c r="AV744" s="29">
        <f>(Data!$AS744*0.4)+(Data!$AT744*0.4)+(Data!$AU744*0.2)</f>
        <v>217.27310344827586</v>
      </c>
      <c r="AW744" s="34">
        <f>PERCENTRANK(AV:AV,Data!$AV744)*100</f>
        <v>3.3000000000000003</v>
      </c>
      <c r="AX744" s="29" t="str">
        <f>_xlfn.CONCAT(TEXT(C744,"mmm"),"-",Data!$AE744)</f>
        <v>Jan-2025</v>
      </c>
    </row>
    <row r="745" spans="1:50" ht="17" thickTop="1" thickBot="1" x14ac:dyDescent="0.25">
      <c r="A745" s="22">
        <v>744</v>
      </c>
      <c r="B745" s="23">
        <f t="shared" si="90"/>
        <v>16</v>
      </c>
      <c r="C745" s="41">
        <v>45678</v>
      </c>
      <c r="D745" s="24">
        <f>SUM(Data!$I745:$M745)</f>
        <v>58</v>
      </c>
      <c r="E745" s="23">
        <v>12</v>
      </c>
      <c r="F745" s="23">
        <v>563</v>
      </c>
      <c r="G745" s="23">
        <v>168</v>
      </c>
      <c r="H745" s="23">
        <v>116</v>
      </c>
      <c r="I745" s="23">
        <v>23</v>
      </c>
      <c r="J745" s="23">
        <v>16</v>
      </c>
      <c r="K745" s="23">
        <v>7</v>
      </c>
      <c r="L745" s="23">
        <v>11</v>
      </c>
      <c r="M745" s="23">
        <v>1</v>
      </c>
      <c r="N745" s="23" t="s">
        <v>228</v>
      </c>
      <c r="O745" s="23" t="s">
        <v>39</v>
      </c>
      <c r="P745" s="23" t="s">
        <v>217</v>
      </c>
      <c r="Q745" s="23">
        <f t="shared" si="96"/>
        <v>2</v>
      </c>
      <c r="R745" s="23" t="str">
        <f t="shared" si="91"/>
        <v>1-2025</v>
      </c>
      <c r="S745" s="23" t="s">
        <v>117</v>
      </c>
      <c r="T745" s="23" t="str">
        <f t="shared" si="92"/>
        <v>Tuesday</v>
      </c>
      <c r="U745" s="23">
        <f t="shared" si="93"/>
        <v>1</v>
      </c>
      <c r="V745" s="25">
        <f>IFERROR(Data!$I745/Data!$D745,"")</f>
        <v>0.39655172413793105</v>
      </c>
      <c r="W745" s="25">
        <f>IFERROR(Data!$J745/Data!$D745,"")</f>
        <v>0.27586206896551724</v>
      </c>
      <c r="X745" s="25">
        <f>IFERROR(Data!$K745/Data!$D745,"")</f>
        <v>0.1206896551724138</v>
      </c>
      <c r="Y745" s="25">
        <f>IFERROR(Data!$L745/Data!$D745,"")</f>
        <v>0.18965517241379309</v>
      </c>
      <c r="Z745" s="25">
        <f>IFERROR(Data!$M745/Data!$D745,"")</f>
        <v>1.7241379310344827E-2</v>
      </c>
      <c r="AA745" s="26">
        <v>169</v>
      </c>
      <c r="AB745" s="26">
        <f t="shared" si="97"/>
        <v>10.5625</v>
      </c>
      <c r="AC745" s="23">
        <f t="shared" si="94"/>
        <v>639.0625</v>
      </c>
      <c r="AD745" s="23">
        <f t="shared" si="95"/>
        <v>13.875</v>
      </c>
      <c r="AE745" s="23">
        <f>YEAR(Data!$C745)</f>
        <v>2025</v>
      </c>
      <c r="AF745" s="23"/>
      <c r="AG745" s="23">
        <v>12</v>
      </c>
      <c r="AH745" s="27">
        <f>Data!$F745/Data!$D745</f>
        <v>9.7068965517241388</v>
      </c>
      <c r="AI745" s="17" t="str">
        <f>RIGHT(Data!$O745,2)</f>
        <v>PM</v>
      </c>
      <c r="AJ745" s="23" t="str">
        <f>Data!$R745&amp;"-"&amp;WEEKNUM(Data!$C745,1)-WEEKNUM(DATE(YEAR(Data!$C745),MONTH(Data!$C745),1),1)+1</f>
        <v>1-2025-4</v>
      </c>
      <c r="AK745" s="23">
        <f>MONTH(Data!$C745)</f>
        <v>1</v>
      </c>
      <c r="AL745" s="23">
        <f>IFERROR(Data!$F745/Data!$E745,0)</f>
        <v>46.916666666666664</v>
      </c>
      <c r="AM745" s="23">
        <f>COUNTIF(Data!$N$2:$N$825,Data!$N745)</f>
        <v>1</v>
      </c>
      <c r="AN745" s="23" t="str">
        <f>VLOOKUP(Data!$N745,'Helpful Tables'!A:D,4,FALSE)</f>
        <v>Washington</v>
      </c>
      <c r="AO745" s="23">
        <f>COUNTIF(AN:AN,Data!$AN745)/COUNTA(AN:AN)</f>
        <v>2.4242424242424242E-3</v>
      </c>
      <c r="AP745" s="23">
        <v>45.679749999999999</v>
      </c>
      <c r="AQ745" s="23">
        <v>-122.667</v>
      </c>
      <c r="AR745" s="23">
        <f>COUNTIF(Data!$P$2:$P$825,Data!$P745)</f>
        <v>7</v>
      </c>
      <c r="AS745" s="23" cm="1">
        <f t="array" ref="AS745">_xlfn.IFS(Data!$E745&lt;12,((Data!$E745/Data!$D745)*60)*1,AND(Data!$E745&gt;=12,Data!$E745&lt;=15),((Data!$E745/Data!$D745)*60)*1.2,AND(Data!$E745&gt;=16,Data!$E745&lt;=19),((Data!$E745/Data!$D745)*60)*1.5,Data!$E745&gt;=20,((Data!$E745/Data!$D745)*60)*1.8)</f>
        <v>14.896551724137931</v>
      </c>
      <c r="AT745" s="23" cm="1">
        <f t="array" ref="AT745">_xlfn.IFS(Data!$F745&lt;600,((Data!$F745/Data!$D745)*60)*1,AND(Data!$F745&gt;=600,Data!$F745&lt;=625),((Data!$F745/Data!$D745)*60)*1.2,AND(Data!$F745&gt;=626,Data!$F745&lt;=650),((Data!$F745/Data!$D745)*60)*1.5,Data!$F745&gt;=651,((Data!$F745/Data!$D745)*60)*1.8)</f>
        <v>582.41379310344837</v>
      </c>
      <c r="AU745" s="23">
        <f>(Data!$I745*-1.2)+(Data!$J745*-1.1)+(Data!$K745*1.2)+(Data!$L745*1.3)+(Data!$M745*1.5)</f>
        <v>-21.000000000000004</v>
      </c>
      <c r="AV745" s="23">
        <f>(Data!$AS745*0.4)+(Data!$AT745*0.4)+(Data!$AU745*0.2)</f>
        <v>234.72413793103453</v>
      </c>
      <c r="AW745" s="35">
        <f>PERCENTRANK(AV:AV,Data!$AV745)*100</f>
        <v>9.5</v>
      </c>
      <c r="AX745" s="23" t="str">
        <f>_xlfn.CONCAT(TEXT(C745,"mmm"),"-",Data!$AE745)</f>
        <v>Jan-2025</v>
      </c>
    </row>
    <row r="746" spans="1:50" ht="17" thickTop="1" thickBot="1" x14ac:dyDescent="0.25">
      <c r="A746" s="28">
        <v>745</v>
      </c>
      <c r="B746" s="29">
        <f t="shared" si="90"/>
        <v>16</v>
      </c>
      <c r="C746" s="41">
        <v>45680</v>
      </c>
      <c r="D746" s="30">
        <f>SUM(Data!$I746:$M746)</f>
        <v>59</v>
      </c>
      <c r="E746" s="29">
        <v>14</v>
      </c>
      <c r="F746" s="29">
        <v>672</v>
      </c>
      <c r="G746" s="29">
        <v>176</v>
      </c>
      <c r="H746" s="29">
        <v>128</v>
      </c>
      <c r="I746" s="29">
        <v>9</v>
      </c>
      <c r="J746" s="29">
        <v>19</v>
      </c>
      <c r="K746" s="29">
        <v>17</v>
      </c>
      <c r="L746" s="29">
        <v>12</v>
      </c>
      <c r="M746" s="29">
        <v>2</v>
      </c>
      <c r="N746" s="29" t="s">
        <v>125</v>
      </c>
      <c r="O746" s="29" t="s">
        <v>127</v>
      </c>
      <c r="P746" s="29" t="s">
        <v>222</v>
      </c>
      <c r="Q746" s="29">
        <f t="shared" si="96"/>
        <v>2</v>
      </c>
      <c r="R746" s="29" t="str">
        <f t="shared" si="91"/>
        <v>1-2025</v>
      </c>
      <c r="S746" s="29" t="s">
        <v>104</v>
      </c>
      <c r="T746" s="29" t="str">
        <f t="shared" si="92"/>
        <v>Thursday</v>
      </c>
      <c r="U746" s="29">
        <f t="shared" si="93"/>
        <v>1</v>
      </c>
      <c r="V746" s="31">
        <f>IFERROR(Data!$I746/Data!$D746,"")</f>
        <v>0.15254237288135594</v>
      </c>
      <c r="W746" s="31">
        <f>IFERROR(Data!$J746/Data!$D746,"")</f>
        <v>0.32203389830508472</v>
      </c>
      <c r="X746" s="31">
        <f>IFERROR(Data!$K746/Data!$D746,"")</f>
        <v>0.28813559322033899</v>
      </c>
      <c r="Y746" s="31">
        <f>IFERROR(Data!$L746/Data!$D746,"")</f>
        <v>0.20338983050847459</v>
      </c>
      <c r="Z746" s="31">
        <f>IFERROR(Data!$M746/Data!$D746,"")</f>
        <v>3.3898305084745763E-2</v>
      </c>
      <c r="AA746" s="32">
        <v>169</v>
      </c>
      <c r="AB746" s="32">
        <f t="shared" si="97"/>
        <v>10.5625</v>
      </c>
      <c r="AC746" s="29">
        <f t="shared" si="94"/>
        <v>639.0625</v>
      </c>
      <c r="AD746" s="29">
        <f t="shared" si="95"/>
        <v>13.875</v>
      </c>
      <c r="AE746" s="29">
        <f>YEAR(Data!$C746)</f>
        <v>2025</v>
      </c>
      <c r="AF746" s="29"/>
      <c r="AG746" s="29">
        <v>12</v>
      </c>
      <c r="AH746" s="33">
        <f>Data!$F746/Data!$D746</f>
        <v>11.389830508474576</v>
      </c>
      <c r="AI746" s="17" t="str">
        <f>RIGHT(Data!$O746,2)</f>
        <v>PM</v>
      </c>
      <c r="AJ746" s="29" t="str">
        <f>Data!$R746&amp;"-"&amp;WEEKNUM(Data!$C746,1)-WEEKNUM(DATE(YEAR(Data!$C746),MONTH(Data!$C746),1),1)+1</f>
        <v>1-2025-4</v>
      </c>
      <c r="AK746" s="29">
        <f>MONTH(Data!$C746)</f>
        <v>1</v>
      </c>
      <c r="AL746" s="29">
        <f>IFERROR(Data!$F746/Data!$E746,0)</f>
        <v>48</v>
      </c>
      <c r="AM746" s="29">
        <f>COUNTIF(Data!$N$2:$N$825,Data!$N746)</f>
        <v>182</v>
      </c>
      <c r="AN746" s="29" t="str">
        <f>VLOOKUP(Data!$N746,'Helpful Tables'!A:D,4,FALSE)</f>
        <v>Oregon</v>
      </c>
      <c r="AO746" s="29">
        <f>COUNTIF(AN:AN,Data!$AN746)/COUNTA(AN:AN)</f>
        <v>0.27393939393939393</v>
      </c>
      <c r="AP746" s="29">
        <v>45.534162000000002</v>
      </c>
      <c r="AQ746" s="29">
        <v>-122.69670000000001</v>
      </c>
      <c r="AR746" s="29">
        <f>COUNTIF(Data!$P$2:$P$825,Data!$P746)</f>
        <v>32</v>
      </c>
      <c r="AS746" s="29" cm="1">
        <f t="array" ref="AS746">_xlfn.IFS(Data!$E746&lt;12,((Data!$E746/Data!$D746)*60)*1,AND(Data!$E746&gt;=12,Data!$E746&lt;=15),((Data!$E746/Data!$D746)*60)*1.2,AND(Data!$E746&gt;=16,Data!$E746&lt;=19),((Data!$E746/Data!$D746)*60)*1.5,Data!$E746&gt;=20,((Data!$E746/Data!$D746)*60)*1.8)</f>
        <v>17.084745762711865</v>
      </c>
      <c r="AT746" s="29" cm="1">
        <f t="array" ref="AT746">_xlfn.IFS(Data!$F746&lt;600,((Data!$F746/Data!$D746)*60)*1,AND(Data!$F746&gt;=600,Data!$F746&lt;=625),((Data!$F746/Data!$D746)*60)*1.2,AND(Data!$F746&gt;=626,Data!$F746&lt;=650),((Data!$F746/Data!$D746)*60)*1.5,Data!$F746&gt;=651,((Data!$F746/Data!$D746)*60)*1.8)</f>
        <v>1230.1016949152543</v>
      </c>
      <c r="AU746" s="29">
        <f>(Data!$I746*-1.2)+(Data!$J746*-1.1)+(Data!$K746*1.2)+(Data!$L746*1.3)+(Data!$M746*1.5)</f>
        <v>7.2999999999999972</v>
      </c>
      <c r="AV746" s="29">
        <f>(Data!$AS746*0.4)+(Data!$AT746*0.4)+(Data!$AU746*0.2)</f>
        <v>500.33457627118645</v>
      </c>
      <c r="AW746" s="34">
        <f>PERCENTRANK(AV:AV,Data!$AV746)*100</f>
        <v>78.100000000000009</v>
      </c>
      <c r="AX746" s="29" t="str">
        <f>_xlfn.CONCAT(TEXT(C746,"mmm"),"-",Data!$AE746)</f>
        <v>Jan-2025</v>
      </c>
    </row>
    <row r="747" spans="1:50" ht="17" thickTop="1" thickBot="1" x14ac:dyDescent="0.25">
      <c r="A747" s="22">
        <v>746</v>
      </c>
      <c r="B747" s="23">
        <f t="shared" si="90"/>
        <v>16</v>
      </c>
      <c r="C747" s="41">
        <v>45682</v>
      </c>
      <c r="D747" s="24">
        <f>SUM(Data!$I747:$M747)</f>
        <v>58</v>
      </c>
      <c r="E747" s="23">
        <v>12</v>
      </c>
      <c r="F747" s="23">
        <v>630</v>
      </c>
      <c r="G747" s="23">
        <v>165</v>
      </c>
      <c r="H747" s="23">
        <v>124</v>
      </c>
      <c r="I747" s="23">
        <v>16</v>
      </c>
      <c r="J747" s="23">
        <v>16</v>
      </c>
      <c r="K747" s="23">
        <v>14</v>
      </c>
      <c r="L747" s="23">
        <v>11</v>
      </c>
      <c r="M747" s="23">
        <v>1</v>
      </c>
      <c r="N747" s="23" t="s">
        <v>125</v>
      </c>
      <c r="O747" s="23" t="s">
        <v>159</v>
      </c>
      <c r="P747" s="23" t="s">
        <v>218</v>
      </c>
      <c r="Q747" s="23">
        <f t="shared" si="96"/>
        <v>2</v>
      </c>
      <c r="R747" s="23" t="str">
        <f t="shared" si="91"/>
        <v>1-2025</v>
      </c>
      <c r="S747" s="23" t="s">
        <v>117</v>
      </c>
      <c r="T747" s="23" t="str">
        <f t="shared" si="92"/>
        <v>Saturday</v>
      </c>
      <c r="U747" s="23">
        <f t="shared" si="93"/>
        <v>1</v>
      </c>
      <c r="V747" s="25">
        <f>IFERROR(Data!$I747/Data!$D747,"")</f>
        <v>0.27586206896551724</v>
      </c>
      <c r="W747" s="25">
        <f>IFERROR(Data!$J747/Data!$D747,"")</f>
        <v>0.27586206896551724</v>
      </c>
      <c r="X747" s="25">
        <f>IFERROR(Data!$K747/Data!$D747,"")</f>
        <v>0.2413793103448276</v>
      </c>
      <c r="Y747" s="25">
        <f>IFERROR(Data!$L747/Data!$D747,"")</f>
        <v>0.18965517241379309</v>
      </c>
      <c r="Z747" s="25">
        <f>IFERROR(Data!$M747/Data!$D747,"")</f>
        <v>1.7241379310344827E-2</v>
      </c>
      <c r="AA747" s="26">
        <v>169</v>
      </c>
      <c r="AB747" s="26">
        <f t="shared" si="97"/>
        <v>10.5625</v>
      </c>
      <c r="AC747" s="23">
        <f t="shared" si="94"/>
        <v>639.0625</v>
      </c>
      <c r="AD747" s="23">
        <f t="shared" si="95"/>
        <v>13.875</v>
      </c>
      <c r="AE747" s="23">
        <f>YEAR(Data!$C747)</f>
        <v>2025</v>
      </c>
      <c r="AF747" s="23"/>
      <c r="AG747" s="23">
        <v>12</v>
      </c>
      <c r="AH747" s="27">
        <f>Data!$F747/Data!$D747</f>
        <v>10.862068965517242</v>
      </c>
      <c r="AI747" s="17" t="str">
        <f>RIGHT(Data!$O747,2)</f>
        <v>AM</v>
      </c>
      <c r="AJ747" s="23" t="str">
        <f>Data!$R747&amp;"-"&amp;WEEKNUM(Data!$C747,1)-WEEKNUM(DATE(YEAR(Data!$C747),MONTH(Data!$C747),1),1)+1</f>
        <v>1-2025-4</v>
      </c>
      <c r="AK747" s="23">
        <f>MONTH(Data!$C747)</f>
        <v>1</v>
      </c>
      <c r="AL747" s="23">
        <f>IFERROR(Data!$F747/Data!$E747,0)</f>
        <v>52.5</v>
      </c>
      <c r="AM747" s="23">
        <f>COUNTIF(Data!$N$2:$N$825,Data!$N747)</f>
        <v>182</v>
      </c>
      <c r="AN747" s="23" t="str">
        <f>VLOOKUP(Data!$N747,'Helpful Tables'!A:D,4,FALSE)</f>
        <v>Oregon</v>
      </c>
      <c r="AO747" s="23">
        <f>COUNTIF(AN:AN,Data!$AN747)/COUNTA(AN:AN)</f>
        <v>0.27393939393939393</v>
      </c>
      <c r="AP747" s="23">
        <v>45.534162000000002</v>
      </c>
      <c r="AQ747" s="23">
        <v>-122.69670000000001</v>
      </c>
      <c r="AR747" s="23">
        <f>COUNTIF(Data!$P$2:$P$825,Data!$P747)</f>
        <v>9</v>
      </c>
      <c r="AS747" s="23" cm="1">
        <f t="array" ref="AS747">_xlfn.IFS(Data!$E747&lt;12,((Data!$E747/Data!$D747)*60)*1,AND(Data!$E747&gt;=12,Data!$E747&lt;=15),((Data!$E747/Data!$D747)*60)*1.2,AND(Data!$E747&gt;=16,Data!$E747&lt;=19),((Data!$E747/Data!$D747)*60)*1.5,Data!$E747&gt;=20,((Data!$E747/Data!$D747)*60)*1.8)</f>
        <v>14.896551724137931</v>
      </c>
      <c r="AT747" s="23" cm="1">
        <f t="array" ref="AT747">_xlfn.IFS(Data!$F747&lt;600,((Data!$F747/Data!$D747)*60)*1,AND(Data!$F747&gt;=600,Data!$F747&lt;=625),((Data!$F747/Data!$D747)*60)*1.2,AND(Data!$F747&gt;=626,Data!$F747&lt;=650),((Data!$F747/Data!$D747)*60)*1.5,Data!$F747&gt;=651,((Data!$F747/Data!$D747)*60)*1.8)</f>
        <v>977.58620689655186</v>
      </c>
      <c r="AU747" s="23">
        <f>(Data!$I747*-1.2)+(Data!$J747*-1.1)+(Data!$K747*1.2)+(Data!$L747*1.3)+(Data!$M747*1.5)</f>
        <v>-4.1999999999999957</v>
      </c>
      <c r="AV747" s="23">
        <f>(Data!$AS747*0.4)+(Data!$AT747*0.4)+(Data!$AU747*0.2)</f>
        <v>396.15310344827594</v>
      </c>
      <c r="AW747" s="35">
        <f>PERCENTRANK(AV:AV,Data!$AV747)*100</f>
        <v>50.3</v>
      </c>
      <c r="AX747" s="23" t="str">
        <f>_xlfn.CONCAT(TEXT(C747,"mmm"),"-",Data!$AE747)</f>
        <v>Jan-2025</v>
      </c>
    </row>
    <row r="748" spans="1:50" ht="17" thickTop="1" thickBot="1" x14ac:dyDescent="0.25">
      <c r="A748" s="28">
        <v>747</v>
      </c>
      <c r="B748" s="29">
        <f t="shared" si="90"/>
        <v>16</v>
      </c>
      <c r="C748" s="41">
        <v>45684</v>
      </c>
      <c r="D748" s="30">
        <f>SUM(Data!$I748:$M748)</f>
        <v>61</v>
      </c>
      <c r="E748" s="29">
        <v>17</v>
      </c>
      <c r="F748" s="29">
        <v>672</v>
      </c>
      <c r="G748" s="29">
        <v>166</v>
      </c>
      <c r="H748" s="29">
        <v>127</v>
      </c>
      <c r="I748" s="29">
        <v>13</v>
      </c>
      <c r="J748" s="29">
        <v>18</v>
      </c>
      <c r="K748" s="29">
        <v>13</v>
      </c>
      <c r="L748" s="29">
        <v>16</v>
      </c>
      <c r="M748" s="29">
        <v>1</v>
      </c>
      <c r="N748" s="29" t="s">
        <v>125</v>
      </c>
      <c r="O748" s="29" t="s">
        <v>127</v>
      </c>
      <c r="P748" s="29" t="s">
        <v>220</v>
      </c>
      <c r="Q748" s="29">
        <f t="shared" si="96"/>
        <v>2</v>
      </c>
      <c r="R748" s="29" t="str">
        <f t="shared" si="91"/>
        <v>1-2025</v>
      </c>
      <c r="S748" s="29" t="s">
        <v>104</v>
      </c>
      <c r="T748" s="29" t="str">
        <f t="shared" si="92"/>
        <v>Monday</v>
      </c>
      <c r="U748" s="29">
        <f t="shared" si="93"/>
        <v>1</v>
      </c>
      <c r="V748" s="31">
        <f>IFERROR(Data!$I748/Data!$D748,"")</f>
        <v>0.21311475409836064</v>
      </c>
      <c r="W748" s="31">
        <f>IFERROR(Data!$J748/Data!$D748,"")</f>
        <v>0.29508196721311475</v>
      </c>
      <c r="X748" s="31">
        <f>IFERROR(Data!$K748/Data!$D748,"")</f>
        <v>0.21311475409836064</v>
      </c>
      <c r="Y748" s="31">
        <f>IFERROR(Data!$L748/Data!$D748,"")</f>
        <v>0.26229508196721313</v>
      </c>
      <c r="Z748" s="31">
        <f>IFERROR(Data!$M748/Data!$D748,"")</f>
        <v>1.6393442622950821E-2</v>
      </c>
      <c r="AA748" s="32">
        <v>169</v>
      </c>
      <c r="AB748" s="32">
        <f t="shared" si="97"/>
        <v>10.5625</v>
      </c>
      <c r="AC748" s="29">
        <f t="shared" si="94"/>
        <v>639.0625</v>
      </c>
      <c r="AD748" s="29">
        <f t="shared" si="95"/>
        <v>13.875</v>
      </c>
      <c r="AE748" s="29">
        <f>YEAR(Data!$C748)</f>
        <v>2025</v>
      </c>
      <c r="AF748" s="29"/>
      <c r="AG748" s="29">
        <v>12</v>
      </c>
      <c r="AH748" s="33">
        <f>Data!$F748/Data!$D748</f>
        <v>11.016393442622951</v>
      </c>
      <c r="AI748" s="17" t="str">
        <f>RIGHT(Data!$O748,2)</f>
        <v>PM</v>
      </c>
      <c r="AJ748" s="29" t="str">
        <f>Data!$R748&amp;"-"&amp;WEEKNUM(Data!$C748,1)-WEEKNUM(DATE(YEAR(Data!$C748),MONTH(Data!$C748),1),1)+1</f>
        <v>1-2025-5</v>
      </c>
      <c r="AK748" s="29">
        <f>MONTH(Data!$C748)</f>
        <v>1</v>
      </c>
      <c r="AL748" s="29">
        <f>IFERROR(Data!$F748/Data!$E748,0)</f>
        <v>39.529411764705884</v>
      </c>
      <c r="AM748" s="29">
        <f>COUNTIF(Data!$N$2:$N$825,Data!$N748)</f>
        <v>182</v>
      </c>
      <c r="AN748" s="29" t="str">
        <f>VLOOKUP(Data!$N748,'Helpful Tables'!A:D,4,FALSE)</f>
        <v>Oregon</v>
      </c>
      <c r="AO748" s="29">
        <f>COUNTIF(AN:AN,Data!$AN748)/COUNTA(AN:AN)</f>
        <v>0.27393939393939393</v>
      </c>
      <c r="AP748" s="29">
        <v>45.534162000000002</v>
      </c>
      <c r="AQ748" s="29">
        <v>-122.69670000000001</v>
      </c>
      <c r="AR748" s="29">
        <f>COUNTIF(Data!$P$2:$P$825,Data!$P748)</f>
        <v>43</v>
      </c>
      <c r="AS748" s="29" cm="1">
        <f t="array" ref="AS748">_xlfn.IFS(Data!$E748&lt;12,((Data!$E748/Data!$D748)*60)*1,AND(Data!$E748&gt;=12,Data!$E748&lt;=15),((Data!$E748/Data!$D748)*60)*1.2,AND(Data!$E748&gt;=16,Data!$E748&lt;=19),((Data!$E748/Data!$D748)*60)*1.5,Data!$E748&gt;=20,((Data!$E748/Data!$D748)*60)*1.8)</f>
        <v>25.081967213114751</v>
      </c>
      <c r="AT748" s="29" cm="1">
        <f t="array" ref="AT748">_xlfn.IFS(Data!$F748&lt;600,((Data!$F748/Data!$D748)*60)*1,AND(Data!$F748&gt;=600,Data!$F748&lt;=625),((Data!$F748/Data!$D748)*60)*1.2,AND(Data!$F748&gt;=626,Data!$F748&lt;=650),((Data!$F748/Data!$D748)*60)*1.5,Data!$F748&gt;=651,((Data!$F748/Data!$D748)*60)*1.8)</f>
        <v>1189.7704918032787</v>
      </c>
      <c r="AU748" s="29">
        <f>(Data!$I748*-1.2)+(Data!$J748*-1.1)+(Data!$K748*1.2)+(Data!$L748*1.3)+(Data!$M748*1.5)</f>
        <v>2.5000000000000036</v>
      </c>
      <c r="AV748" s="29">
        <f>(Data!$AS748*0.4)+(Data!$AT748*0.4)+(Data!$AU748*0.2)</f>
        <v>486.44098360655738</v>
      </c>
      <c r="AW748" s="34">
        <f>PERCENTRANK(AV:AV,Data!$AV748)*100</f>
        <v>70.899999999999991</v>
      </c>
      <c r="AX748" s="29" t="str">
        <f>_xlfn.CONCAT(TEXT(C748,"mmm"),"-",Data!$AE748)</f>
        <v>Jan-2025</v>
      </c>
    </row>
    <row r="749" spans="1:50" ht="17" thickTop="1" thickBot="1" x14ac:dyDescent="0.25">
      <c r="A749" s="22">
        <v>748</v>
      </c>
      <c r="B749" s="23">
        <f t="shared" si="90"/>
        <v>16</v>
      </c>
      <c r="C749" s="41">
        <v>45686</v>
      </c>
      <c r="D749" s="24">
        <f>SUM(Data!$I749:$M749)</f>
        <v>60</v>
      </c>
      <c r="E749" s="23">
        <v>15</v>
      </c>
      <c r="F749" s="23">
        <v>707</v>
      </c>
      <c r="G749" s="23">
        <v>169</v>
      </c>
      <c r="H749" s="23">
        <v>130</v>
      </c>
      <c r="I749" s="23">
        <v>8</v>
      </c>
      <c r="J749" s="23">
        <v>15</v>
      </c>
      <c r="K749" s="23">
        <v>22</v>
      </c>
      <c r="L749" s="23">
        <v>12</v>
      </c>
      <c r="M749" s="23">
        <v>3</v>
      </c>
      <c r="N749" s="23" t="s">
        <v>125</v>
      </c>
      <c r="O749" s="23" t="s">
        <v>127</v>
      </c>
      <c r="P749" s="23" t="s">
        <v>216</v>
      </c>
      <c r="Q749" s="23">
        <f t="shared" si="96"/>
        <v>2</v>
      </c>
      <c r="R749" s="23" t="str">
        <f t="shared" si="91"/>
        <v>1-2025</v>
      </c>
      <c r="S749" s="23" t="s">
        <v>104</v>
      </c>
      <c r="T749" s="23" t="str">
        <f t="shared" si="92"/>
        <v>Wednesday</v>
      </c>
      <c r="U749" s="23">
        <f t="shared" si="93"/>
        <v>1</v>
      </c>
      <c r="V749" s="25">
        <f>IFERROR(Data!$I749/Data!$D749,"")</f>
        <v>0.13333333333333333</v>
      </c>
      <c r="W749" s="25">
        <f>IFERROR(Data!$J749/Data!$D749,"")</f>
        <v>0.25</v>
      </c>
      <c r="X749" s="25">
        <f>IFERROR(Data!$K749/Data!$D749,"")</f>
        <v>0.36666666666666664</v>
      </c>
      <c r="Y749" s="25">
        <f>IFERROR(Data!$L749/Data!$D749,"")</f>
        <v>0.2</v>
      </c>
      <c r="Z749" s="25">
        <f>IFERROR(Data!$M749/Data!$D749,"")</f>
        <v>0.05</v>
      </c>
      <c r="AA749" s="26">
        <v>169</v>
      </c>
      <c r="AB749" s="26">
        <f t="shared" si="97"/>
        <v>10.5625</v>
      </c>
      <c r="AC749" s="23">
        <f t="shared" si="94"/>
        <v>639.0625</v>
      </c>
      <c r="AD749" s="23">
        <f t="shared" si="95"/>
        <v>13.875</v>
      </c>
      <c r="AE749" s="23">
        <f>YEAR(Data!$C749)</f>
        <v>2025</v>
      </c>
      <c r="AF749" s="23"/>
      <c r="AG749" s="23">
        <v>12</v>
      </c>
      <c r="AH749" s="27">
        <f>Data!$F749/Data!$D749</f>
        <v>11.783333333333333</v>
      </c>
      <c r="AI749" s="17" t="str">
        <f>RIGHT(Data!$O749,2)</f>
        <v>PM</v>
      </c>
      <c r="AJ749" s="23" t="str">
        <f>Data!$R749&amp;"-"&amp;WEEKNUM(Data!$C749,1)-WEEKNUM(DATE(YEAR(Data!$C749),MONTH(Data!$C749),1),1)+1</f>
        <v>1-2025-5</v>
      </c>
      <c r="AK749" s="23">
        <f>MONTH(Data!$C749)</f>
        <v>1</v>
      </c>
      <c r="AL749" s="23">
        <f>IFERROR(Data!$F749/Data!$E749,0)</f>
        <v>47.133333333333333</v>
      </c>
      <c r="AM749" s="23">
        <f>COUNTIF(Data!$N$2:$N$825,Data!$N749)</f>
        <v>182</v>
      </c>
      <c r="AN749" s="23" t="str">
        <f>VLOOKUP(Data!$N749,'Helpful Tables'!A:D,4,FALSE)</f>
        <v>Oregon</v>
      </c>
      <c r="AO749" s="23">
        <f>COUNTIF(AN:AN,Data!$AN749)/COUNTA(AN:AN)</f>
        <v>0.27393939393939393</v>
      </c>
      <c r="AP749" s="23">
        <v>45.534162000000002</v>
      </c>
      <c r="AQ749" s="23">
        <v>-122.69670000000001</v>
      </c>
      <c r="AR749" s="23">
        <f>COUNTIF(Data!$P$2:$P$825,Data!$P749)</f>
        <v>25</v>
      </c>
      <c r="AS749" s="23" cm="1">
        <f t="array" ref="AS749">_xlfn.IFS(Data!$E749&lt;12,((Data!$E749/Data!$D749)*60)*1,AND(Data!$E749&gt;=12,Data!$E749&lt;=15),((Data!$E749/Data!$D749)*60)*1.2,AND(Data!$E749&gt;=16,Data!$E749&lt;=19),((Data!$E749/Data!$D749)*60)*1.5,Data!$E749&gt;=20,((Data!$E749/Data!$D749)*60)*1.8)</f>
        <v>18</v>
      </c>
      <c r="AT749" s="23" cm="1">
        <f t="array" ref="AT749">_xlfn.IFS(Data!$F749&lt;600,((Data!$F749/Data!$D749)*60)*1,AND(Data!$F749&gt;=600,Data!$F749&lt;=625),((Data!$F749/Data!$D749)*60)*1.2,AND(Data!$F749&gt;=626,Data!$F749&lt;=650),((Data!$F749/Data!$D749)*60)*1.5,Data!$F749&gt;=651,((Data!$F749/Data!$D749)*60)*1.8)</f>
        <v>1272.6000000000001</v>
      </c>
      <c r="AU749" s="23">
        <f>(Data!$I749*-1.2)+(Data!$J749*-1.1)+(Data!$K749*1.2)+(Data!$L749*1.3)+(Data!$M749*1.5)</f>
        <v>20.399999999999999</v>
      </c>
      <c r="AV749" s="23">
        <f>(Data!$AS749*0.4)+(Data!$AT749*0.4)+(Data!$AU749*0.2)</f>
        <v>520.32000000000016</v>
      </c>
      <c r="AW749" s="35">
        <f>PERCENTRANK(AV:AV,Data!$AV749)*100</f>
        <v>89.600000000000009</v>
      </c>
      <c r="AX749" s="23" t="str">
        <f>_xlfn.CONCAT(TEXT(C749,"mmm"),"-",Data!$AE749)</f>
        <v>Jan-2025</v>
      </c>
    </row>
    <row r="750" spans="1:50" ht="17" thickTop="1" thickBot="1" x14ac:dyDescent="0.25">
      <c r="A750" s="28">
        <v>749</v>
      </c>
      <c r="B750" s="29">
        <f t="shared" si="90"/>
        <v>16</v>
      </c>
      <c r="C750" s="41">
        <v>45688</v>
      </c>
      <c r="D750" s="30">
        <f>SUM(Data!$I750:$M750)</f>
        <v>61</v>
      </c>
      <c r="E750" s="29">
        <v>18</v>
      </c>
      <c r="F750" s="29">
        <v>718</v>
      </c>
      <c r="G750" s="29">
        <v>166</v>
      </c>
      <c r="H750" s="29">
        <v>132</v>
      </c>
      <c r="I750" s="29">
        <v>7</v>
      </c>
      <c r="J750" s="29">
        <v>17</v>
      </c>
      <c r="K750" s="29">
        <v>19</v>
      </c>
      <c r="L750" s="29">
        <v>14</v>
      </c>
      <c r="M750" s="29">
        <v>4</v>
      </c>
      <c r="N750" s="29" t="s">
        <v>125</v>
      </c>
      <c r="O750" s="29" t="s">
        <v>127</v>
      </c>
      <c r="P750" s="29" t="s">
        <v>222</v>
      </c>
      <c r="Q750" s="29">
        <f t="shared" si="96"/>
        <v>2</v>
      </c>
      <c r="R750" s="29" t="str">
        <f t="shared" si="91"/>
        <v>1-2025</v>
      </c>
      <c r="S750" s="29" t="s">
        <v>104</v>
      </c>
      <c r="T750" s="29" t="str">
        <f t="shared" si="92"/>
        <v>Friday</v>
      </c>
      <c r="U750" s="29">
        <f t="shared" si="93"/>
        <v>1</v>
      </c>
      <c r="V750" s="31">
        <f>IFERROR(Data!$I750/Data!$D750,"")</f>
        <v>0.11475409836065574</v>
      </c>
      <c r="W750" s="31">
        <f>IFERROR(Data!$J750/Data!$D750,"")</f>
        <v>0.27868852459016391</v>
      </c>
      <c r="X750" s="31">
        <f>IFERROR(Data!$K750/Data!$D750,"")</f>
        <v>0.31147540983606559</v>
      </c>
      <c r="Y750" s="31">
        <f>IFERROR(Data!$L750/Data!$D750,"")</f>
        <v>0.22950819672131148</v>
      </c>
      <c r="Z750" s="31">
        <f>IFERROR(Data!$M750/Data!$D750,"")</f>
        <v>6.5573770491803282E-2</v>
      </c>
      <c r="AA750" s="32">
        <v>169</v>
      </c>
      <c r="AB750" s="32">
        <f t="shared" si="97"/>
        <v>10.5625</v>
      </c>
      <c r="AC750" s="29">
        <f t="shared" si="94"/>
        <v>639.0625</v>
      </c>
      <c r="AD750" s="29">
        <f t="shared" si="95"/>
        <v>13.875</v>
      </c>
      <c r="AE750" s="29">
        <f>YEAR(Data!$C750)</f>
        <v>2025</v>
      </c>
      <c r="AF750" s="29"/>
      <c r="AG750" s="29">
        <v>12</v>
      </c>
      <c r="AH750" s="33">
        <f>Data!$F750/Data!$D750</f>
        <v>11.770491803278688</v>
      </c>
      <c r="AI750" s="17" t="str">
        <f>RIGHT(Data!$O750,2)</f>
        <v>PM</v>
      </c>
      <c r="AJ750" s="29" t="str">
        <f>Data!$R750&amp;"-"&amp;WEEKNUM(Data!$C750,1)-WEEKNUM(DATE(YEAR(Data!$C750),MONTH(Data!$C750),1),1)+1</f>
        <v>1-2025-5</v>
      </c>
      <c r="AK750" s="29">
        <f>MONTH(Data!$C750)</f>
        <v>1</v>
      </c>
      <c r="AL750" s="29">
        <f>IFERROR(Data!$F750/Data!$E750,0)</f>
        <v>39.888888888888886</v>
      </c>
      <c r="AM750" s="29">
        <f>COUNTIF(Data!$N$2:$N$825,Data!$N750)</f>
        <v>182</v>
      </c>
      <c r="AN750" s="29" t="str">
        <f>VLOOKUP(Data!$N750,'Helpful Tables'!A:D,4,FALSE)</f>
        <v>Oregon</v>
      </c>
      <c r="AO750" s="29">
        <f>COUNTIF(AN:AN,Data!$AN750)/COUNTA(AN:AN)</f>
        <v>0.27393939393939393</v>
      </c>
      <c r="AP750" s="29">
        <v>45.534162000000002</v>
      </c>
      <c r="AQ750" s="29">
        <v>-122.69670000000001</v>
      </c>
      <c r="AR750" s="29">
        <f>COUNTIF(Data!$P$2:$P$825,Data!$P750)</f>
        <v>32</v>
      </c>
      <c r="AS750" s="29" cm="1">
        <f t="array" ref="AS750">_xlfn.IFS(Data!$E750&lt;12,((Data!$E750/Data!$D750)*60)*1,AND(Data!$E750&gt;=12,Data!$E750&lt;=15),((Data!$E750/Data!$D750)*60)*1.2,AND(Data!$E750&gt;=16,Data!$E750&lt;=19),((Data!$E750/Data!$D750)*60)*1.5,Data!$E750&gt;=20,((Data!$E750/Data!$D750)*60)*1.8)</f>
        <v>26.557377049180328</v>
      </c>
      <c r="AT750" s="29" cm="1">
        <f t="array" ref="AT750">_xlfn.IFS(Data!$F750&lt;600,((Data!$F750/Data!$D750)*60)*1,AND(Data!$F750&gt;=600,Data!$F750&lt;=625),((Data!$F750/Data!$D750)*60)*1.2,AND(Data!$F750&gt;=626,Data!$F750&lt;=650),((Data!$F750/Data!$D750)*60)*1.5,Data!$F750&gt;=651,((Data!$F750/Data!$D750)*60)*1.8)</f>
        <v>1271.2131147540983</v>
      </c>
      <c r="AU750" s="29">
        <f>(Data!$I750*-1.2)+(Data!$J750*-1.1)+(Data!$K750*1.2)+(Data!$L750*1.3)+(Data!$M750*1.5)</f>
        <v>19.899999999999999</v>
      </c>
      <c r="AV750" s="29">
        <f>(Data!$AS750*0.4)+(Data!$AT750*0.4)+(Data!$AU750*0.2)</f>
        <v>523.08819672131153</v>
      </c>
      <c r="AW750" s="34">
        <f>PERCENTRANK(AV:AV,Data!$AV750)*100</f>
        <v>90.9</v>
      </c>
      <c r="AX750" s="29" t="str">
        <f>_xlfn.CONCAT(TEXT(C750,"mmm"),"-",Data!$AE750)</f>
        <v>Jan-2025</v>
      </c>
    </row>
    <row r="751" spans="1:50" ht="17" thickTop="1" thickBot="1" x14ac:dyDescent="0.25">
      <c r="A751" s="22">
        <v>750</v>
      </c>
      <c r="B751" s="23">
        <f t="shared" si="90"/>
        <v>12</v>
      </c>
      <c r="C751" s="41">
        <v>45690</v>
      </c>
      <c r="D751" s="24">
        <f>SUM(Data!$I751:$M751)</f>
        <v>59</v>
      </c>
      <c r="E751" s="23">
        <v>15</v>
      </c>
      <c r="F751" s="23">
        <v>659</v>
      </c>
      <c r="G751" s="23">
        <v>167</v>
      </c>
      <c r="H751" s="23">
        <v>126</v>
      </c>
      <c r="I751" s="23">
        <v>8</v>
      </c>
      <c r="J751" s="23">
        <v>23</v>
      </c>
      <c r="K751" s="23">
        <v>13</v>
      </c>
      <c r="L751" s="23">
        <v>13</v>
      </c>
      <c r="M751" s="23">
        <v>2</v>
      </c>
      <c r="N751" s="23" t="s">
        <v>208</v>
      </c>
      <c r="O751" s="23" t="s">
        <v>76</v>
      </c>
      <c r="P751" s="23" t="s">
        <v>209</v>
      </c>
      <c r="Q751" s="23">
        <f t="shared" si="96"/>
        <v>2</v>
      </c>
      <c r="R751" s="23" t="str">
        <f t="shared" si="91"/>
        <v>2-2025</v>
      </c>
      <c r="S751" s="23" t="s">
        <v>104</v>
      </c>
      <c r="T751" s="23" t="str">
        <f t="shared" si="92"/>
        <v>Sunday</v>
      </c>
      <c r="U751" s="23">
        <f t="shared" si="93"/>
        <v>1</v>
      </c>
      <c r="V751" s="25">
        <f>IFERROR(Data!$I751/Data!$D751,"")</f>
        <v>0.13559322033898305</v>
      </c>
      <c r="W751" s="25">
        <f>IFERROR(Data!$J751/Data!$D751,"")</f>
        <v>0.38983050847457629</v>
      </c>
      <c r="X751" s="25">
        <f>IFERROR(Data!$K751/Data!$D751,"")</f>
        <v>0.22033898305084745</v>
      </c>
      <c r="Y751" s="25">
        <f>IFERROR(Data!$L751/Data!$D751,"")</f>
        <v>0.22033898305084745</v>
      </c>
      <c r="Z751" s="25">
        <f>IFERROR(Data!$M751/Data!$D751,"")</f>
        <v>3.3898305084745763E-2</v>
      </c>
      <c r="AA751" s="26">
        <v>169</v>
      </c>
      <c r="AB751" s="26">
        <f t="shared" si="97"/>
        <v>14.083333333333334</v>
      </c>
      <c r="AC751" s="23">
        <f t="shared" si="94"/>
        <v>628.33333333333337</v>
      </c>
      <c r="AD751" s="23">
        <f t="shared" si="95"/>
        <v>14.416666666666666</v>
      </c>
      <c r="AE751" s="23">
        <f>YEAR(Data!$C751)</f>
        <v>2025</v>
      </c>
      <c r="AF751" s="23"/>
      <c r="AG751" s="23">
        <v>12</v>
      </c>
      <c r="AH751" s="27">
        <f>Data!$F751/Data!$D751</f>
        <v>11.169491525423728</v>
      </c>
      <c r="AI751" s="17" t="str">
        <f>RIGHT(Data!$O751,2)</f>
        <v>AM</v>
      </c>
      <c r="AJ751" s="23" t="str">
        <f>Data!$R751&amp;"-"&amp;WEEKNUM(Data!$C751,1)-WEEKNUM(DATE(YEAR(Data!$C751),MONTH(Data!$C751),1),1)+1</f>
        <v>2-2025-2</v>
      </c>
      <c r="AK751" s="23">
        <f>MONTH(Data!$C751)</f>
        <v>2</v>
      </c>
      <c r="AL751" s="23">
        <f>IFERROR(Data!$F751/Data!$E751,0)</f>
        <v>43.93333333333333</v>
      </c>
      <c r="AM751" s="23">
        <f>COUNTIF(Data!$N$2:$N$825,Data!$N751)</f>
        <v>42</v>
      </c>
      <c r="AN751" s="23" t="str">
        <f>VLOOKUP(Data!$N751,'Helpful Tables'!A:D,4,FALSE)</f>
        <v>Oregon</v>
      </c>
      <c r="AO751" s="23">
        <f>COUNTIF(AN:AN,Data!$AN751)/COUNTA(AN:AN)</f>
        <v>0.27393939393939393</v>
      </c>
      <c r="AP751" s="23">
        <v>45.525092999999998</v>
      </c>
      <c r="AQ751" s="23">
        <v>-122.681383</v>
      </c>
      <c r="AR751" s="23">
        <f>COUNTIF(Data!$P$2:$P$825,Data!$P751)</f>
        <v>18</v>
      </c>
      <c r="AS751" s="23" cm="1">
        <f t="array" ref="AS751">_xlfn.IFS(Data!$E751&lt;12,((Data!$E751/Data!$D751)*60)*1,AND(Data!$E751&gt;=12,Data!$E751&lt;=15),((Data!$E751/Data!$D751)*60)*1.2,AND(Data!$E751&gt;=16,Data!$E751&lt;=19),((Data!$E751/Data!$D751)*60)*1.5,Data!$E751&gt;=20,((Data!$E751/Data!$D751)*60)*1.8)</f>
        <v>18.305084745762709</v>
      </c>
      <c r="AT751" s="23" cm="1">
        <f t="array" ref="AT751">_xlfn.IFS(Data!$F751&lt;600,((Data!$F751/Data!$D751)*60)*1,AND(Data!$F751&gt;=600,Data!$F751&lt;=625),((Data!$F751/Data!$D751)*60)*1.2,AND(Data!$F751&gt;=626,Data!$F751&lt;=650),((Data!$F751/Data!$D751)*60)*1.5,Data!$F751&gt;=651,((Data!$F751/Data!$D751)*60)*1.8)</f>
        <v>1206.3050847457628</v>
      </c>
      <c r="AU751" s="23">
        <f>(Data!$I751*-1.2)+(Data!$J751*-1.1)+(Data!$K751*1.2)+(Data!$L751*1.3)+(Data!$M751*1.5)</f>
        <v>0.60000000000000497</v>
      </c>
      <c r="AV751" s="23">
        <f>(Data!$AS751*0.4)+(Data!$AT751*0.4)+(Data!$AU751*0.2)</f>
        <v>489.96406779661027</v>
      </c>
      <c r="AW751" s="35">
        <f>PERCENTRANK(AV:AV,Data!$AV751)*100</f>
        <v>72.899999999999991</v>
      </c>
      <c r="AX751" s="23" t="str">
        <f>_xlfn.CONCAT(TEXT(C751,"mmm"),"-",Data!$AE751)</f>
        <v>Feb-2025</v>
      </c>
    </row>
    <row r="752" spans="1:50" ht="17" thickTop="1" thickBot="1" x14ac:dyDescent="0.25">
      <c r="A752" s="28">
        <v>751</v>
      </c>
      <c r="B752" s="29">
        <f t="shared" si="90"/>
        <v>12</v>
      </c>
      <c r="C752" s="41">
        <v>45692</v>
      </c>
      <c r="D752" s="30">
        <f>SUM(Data!$I752:$M752)</f>
        <v>63</v>
      </c>
      <c r="E752" s="29">
        <v>18</v>
      </c>
      <c r="F752" s="29">
        <v>682</v>
      </c>
      <c r="G752" s="29">
        <v>164</v>
      </c>
      <c r="H752" s="29">
        <v>124</v>
      </c>
      <c r="I752" s="29">
        <v>17</v>
      </c>
      <c r="J752" s="29">
        <v>16</v>
      </c>
      <c r="K752" s="29">
        <v>12</v>
      </c>
      <c r="L752" s="29">
        <v>17</v>
      </c>
      <c r="M752" s="29">
        <v>1</v>
      </c>
      <c r="N752" s="29" t="s">
        <v>125</v>
      </c>
      <c r="O752" s="29" t="s">
        <v>127</v>
      </c>
      <c r="P752" s="29" t="s">
        <v>216</v>
      </c>
      <c r="Q752" s="29">
        <f t="shared" si="96"/>
        <v>2</v>
      </c>
      <c r="R752" s="29" t="str">
        <f t="shared" si="91"/>
        <v>2-2025</v>
      </c>
      <c r="S752" s="29" t="s">
        <v>104</v>
      </c>
      <c r="T752" s="29" t="str">
        <f t="shared" si="92"/>
        <v>Tuesday</v>
      </c>
      <c r="U752" s="29">
        <f t="shared" si="93"/>
        <v>1</v>
      </c>
      <c r="V752" s="31">
        <f>IFERROR(Data!$I752/Data!$D752,"")</f>
        <v>0.26984126984126983</v>
      </c>
      <c r="W752" s="31">
        <f>IFERROR(Data!$J752/Data!$D752,"")</f>
        <v>0.25396825396825395</v>
      </c>
      <c r="X752" s="31">
        <f>IFERROR(Data!$K752/Data!$D752,"")</f>
        <v>0.19047619047619047</v>
      </c>
      <c r="Y752" s="31">
        <f>IFERROR(Data!$L752/Data!$D752,"")</f>
        <v>0.26984126984126983</v>
      </c>
      <c r="Z752" s="31">
        <f>IFERROR(Data!$M752/Data!$D752,"")</f>
        <v>1.5873015873015872E-2</v>
      </c>
      <c r="AA752" s="32">
        <v>169</v>
      </c>
      <c r="AB752" s="32">
        <f t="shared" si="97"/>
        <v>14.083333333333334</v>
      </c>
      <c r="AC752" s="29">
        <f t="shared" si="94"/>
        <v>628.33333333333337</v>
      </c>
      <c r="AD752" s="29">
        <f t="shared" si="95"/>
        <v>14.416666666666666</v>
      </c>
      <c r="AE752" s="29">
        <f>YEAR(Data!$C752)</f>
        <v>2025</v>
      </c>
      <c r="AF752" s="29"/>
      <c r="AG752" s="29">
        <v>12</v>
      </c>
      <c r="AH752" s="33">
        <f>Data!$F752/Data!$D752</f>
        <v>10.825396825396826</v>
      </c>
      <c r="AI752" s="17" t="str">
        <f>RIGHT(Data!$O752,2)</f>
        <v>PM</v>
      </c>
      <c r="AJ752" s="29" t="str">
        <f>Data!$R752&amp;"-"&amp;WEEKNUM(Data!$C752,1)-WEEKNUM(DATE(YEAR(Data!$C752),MONTH(Data!$C752),1),1)+1</f>
        <v>2-2025-2</v>
      </c>
      <c r="AK752" s="29">
        <f>MONTH(Data!$C752)</f>
        <v>2</v>
      </c>
      <c r="AL752" s="29">
        <f>IFERROR(Data!$F752/Data!$E752,0)</f>
        <v>37.888888888888886</v>
      </c>
      <c r="AM752" s="29">
        <f>COUNTIF(Data!$N$2:$N$825,Data!$N752)</f>
        <v>182</v>
      </c>
      <c r="AN752" s="29" t="str">
        <f>VLOOKUP(Data!$N752,'Helpful Tables'!A:D,4,FALSE)</f>
        <v>Oregon</v>
      </c>
      <c r="AO752" s="29">
        <f>COUNTIF(AN:AN,Data!$AN752)/COUNTA(AN:AN)</f>
        <v>0.27393939393939393</v>
      </c>
      <c r="AP752" s="29">
        <v>45.534162000000002</v>
      </c>
      <c r="AQ752" s="29">
        <v>-122.69670000000001</v>
      </c>
      <c r="AR752" s="29">
        <f>COUNTIF(Data!$P$2:$P$825,Data!$P752)</f>
        <v>25</v>
      </c>
      <c r="AS752" s="29" cm="1">
        <f t="array" ref="AS752">_xlfn.IFS(Data!$E752&lt;12,((Data!$E752/Data!$D752)*60)*1,AND(Data!$E752&gt;=12,Data!$E752&lt;=15),((Data!$E752/Data!$D752)*60)*1.2,AND(Data!$E752&gt;=16,Data!$E752&lt;=19),((Data!$E752/Data!$D752)*60)*1.5,Data!$E752&gt;=20,((Data!$E752/Data!$D752)*60)*1.8)</f>
        <v>25.714285714285715</v>
      </c>
      <c r="AT752" s="29" cm="1">
        <f t="array" ref="AT752">_xlfn.IFS(Data!$F752&lt;600,((Data!$F752/Data!$D752)*60)*1,AND(Data!$F752&gt;=600,Data!$F752&lt;=625),((Data!$F752/Data!$D752)*60)*1.2,AND(Data!$F752&gt;=626,Data!$F752&lt;=650),((Data!$F752/Data!$D752)*60)*1.5,Data!$F752&gt;=651,((Data!$F752/Data!$D752)*60)*1.8)</f>
        <v>1169.1428571428571</v>
      </c>
      <c r="AU752" s="29">
        <f>(Data!$I752*-1.2)+(Data!$J752*-1.1)+(Data!$K752*1.2)+(Data!$L752*1.3)+(Data!$M752*1.5)</f>
        <v>0</v>
      </c>
      <c r="AV752" s="29">
        <f>(Data!$AS752*0.4)+(Data!$AT752*0.4)+(Data!$AU752*0.2)</f>
        <v>477.94285714285712</v>
      </c>
      <c r="AW752" s="34">
        <f>PERCENTRANK(AV:AV,Data!$AV752)*100</f>
        <v>68.300000000000011</v>
      </c>
      <c r="AX752" s="29" t="str">
        <f>_xlfn.CONCAT(TEXT(C752,"mmm"),"-",Data!$AE752)</f>
        <v>Feb-2025</v>
      </c>
    </row>
    <row r="753" spans="1:50" ht="17" thickTop="1" thickBot="1" x14ac:dyDescent="0.25">
      <c r="A753" s="22">
        <v>752</v>
      </c>
      <c r="B753" s="23">
        <f t="shared" si="90"/>
        <v>12</v>
      </c>
      <c r="C753" s="41">
        <v>45694</v>
      </c>
      <c r="D753" s="24">
        <f>SUM(Data!$I753:$M753)</f>
        <v>59</v>
      </c>
      <c r="E753" s="23">
        <v>16</v>
      </c>
      <c r="F753" s="23">
        <v>689</v>
      </c>
      <c r="G753" s="23">
        <v>167</v>
      </c>
      <c r="H753" s="23">
        <v>130</v>
      </c>
      <c r="I753" s="23">
        <v>6</v>
      </c>
      <c r="J753" s="23">
        <v>23</v>
      </c>
      <c r="K753" s="23">
        <v>14</v>
      </c>
      <c r="L753" s="23">
        <v>14</v>
      </c>
      <c r="M753" s="23">
        <v>2</v>
      </c>
      <c r="N753" s="23" t="s">
        <v>125</v>
      </c>
      <c r="O753" s="23" t="s">
        <v>127</v>
      </c>
      <c r="P753" s="23" t="s">
        <v>220</v>
      </c>
      <c r="Q753" s="23">
        <f t="shared" si="96"/>
        <v>2</v>
      </c>
      <c r="R753" s="23" t="str">
        <f t="shared" si="91"/>
        <v>2-2025</v>
      </c>
      <c r="S753" s="23" t="s">
        <v>104</v>
      </c>
      <c r="T753" s="23" t="str">
        <f t="shared" si="92"/>
        <v>Thursday</v>
      </c>
      <c r="U753" s="23">
        <f t="shared" si="93"/>
        <v>1</v>
      </c>
      <c r="V753" s="25">
        <f>IFERROR(Data!$I753/Data!$D753,"")</f>
        <v>0.10169491525423729</v>
      </c>
      <c r="W753" s="25">
        <f>IFERROR(Data!$J753/Data!$D753,"")</f>
        <v>0.38983050847457629</v>
      </c>
      <c r="X753" s="25">
        <f>IFERROR(Data!$K753/Data!$D753,"")</f>
        <v>0.23728813559322035</v>
      </c>
      <c r="Y753" s="25">
        <f>IFERROR(Data!$L753/Data!$D753,"")</f>
        <v>0.23728813559322035</v>
      </c>
      <c r="Z753" s="25">
        <f>IFERROR(Data!$M753/Data!$D753,"")</f>
        <v>3.3898305084745763E-2</v>
      </c>
      <c r="AA753" s="26">
        <v>169</v>
      </c>
      <c r="AB753" s="26">
        <f t="shared" si="97"/>
        <v>14.083333333333334</v>
      </c>
      <c r="AC753" s="23">
        <f t="shared" si="94"/>
        <v>628.33333333333337</v>
      </c>
      <c r="AD753" s="23">
        <f t="shared" si="95"/>
        <v>14.416666666666666</v>
      </c>
      <c r="AE753" s="23">
        <f>YEAR(Data!$C753)</f>
        <v>2025</v>
      </c>
      <c r="AF753" s="23"/>
      <c r="AG753" s="23">
        <v>12</v>
      </c>
      <c r="AH753" s="27">
        <f>Data!$F753/Data!$D753</f>
        <v>11.677966101694915</v>
      </c>
      <c r="AI753" s="17" t="str">
        <f>RIGHT(Data!$O753,2)</f>
        <v>PM</v>
      </c>
      <c r="AJ753" s="23" t="str">
        <f>Data!$R753&amp;"-"&amp;WEEKNUM(Data!$C753,1)-WEEKNUM(DATE(YEAR(Data!$C753),MONTH(Data!$C753),1),1)+1</f>
        <v>2-2025-2</v>
      </c>
      <c r="AK753" s="23">
        <f>MONTH(Data!$C753)</f>
        <v>2</v>
      </c>
      <c r="AL753" s="23">
        <f>IFERROR(Data!$F753/Data!$E753,0)</f>
        <v>43.0625</v>
      </c>
      <c r="AM753" s="23">
        <f>COUNTIF(Data!$N$2:$N$825,Data!$N753)</f>
        <v>182</v>
      </c>
      <c r="AN753" s="23" t="str">
        <f>VLOOKUP(Data!$N753,'Helpful Tables'!A:D,4,FALSE)</f>
        <v>Oregon</v>
      </c>
      <c r="AO753" s="23">
        <f>COUNTIF(AN:AN,Data!$AN753)/COUNTA(AN:AN)</f>
        <v>0.27393939393939393</v>
      </c>
      <c r="AP753" s="23">
        <v>45.534162000000002</v>
      </c>
      <c r="AQ753" s="23">
        <v>-122.69670000000001</v>
      </c>
      <c r="AR753" s="23">
        <f>COUNTIF(Data!$P$2:$P$825,Data!$P753)</f>
        <v>43</v>
      </c>
      <c r="AS753" s="23" cm="1">
        <f t="array" ref="AS753">_xlfn.IFS(Data!$E753&lt;12,((Data!$E753/Data!$D753)*60)*1,AND(Data!$E753&gt;=12,Data!$E753&lt;=15),((Data!$E753/Data!$D753)*60)*1.2,AND(Data!$E753&gt;=16,Data!$E753&lt;=19),((Data!$E753/Data!$D753)*60)*1.5,Data!$E753&gt;=20,((Data!$E753/Data!$D753)*60)*1.8)</f>
        <v>24.406779661016948</v>
      </c>
      <c r="AT753" s="23" cm="1">
        <f t="array" ref="AT753">_xlfn.IFS(Data!$F753&lt;600,((Data!$F753/Data!$D753)*60)*1,AND(Data!$F753&gt;=600,Data!$F753&lt;=625),((Data!$F753/Data!$D753)*60)*1.2,AND(Data!$F753&gt;=626,Data!$F753&lt;=650),((Data!$F753/Data!$D753)*60)*1.5,Data!$F753&gt;=651,((Data!$F753/Data!$D753)*60)*1.8)</f>
        <v>1261.2203389830509</v>
      </c>
      <c r="AU753" s="23">
        <f>(Data!$I753*-1.2)+(Data!$J753*-1.1)+(Data!$K753*1.2)+(Data!$L753*1.3)+(Data!$M753*1.5)</f>
        <v>5.5</v>
      </c>
      <c r="AV753" s="23">
        <f>(Data!$AS753*0.4)+(Data!$AT753*0.4)+(Data!$AU753*0.2)</f>
        <v>515.3508474576272</v>
      </c>
      <c r="AW753" s="35">
        <f>PERCENTRANK(AV:AV,Data!$AV753)*100</f>
        <v>87.2</v>
      </c>
      <c r="AX753" s="23" t="str">
        <f>_xlfn.CONCAT(TEXT(C753,"mmm"),"-",Data!$AE753)</f>
        <v>Feb-2025</v>
      </c>
    </row>
    <row r="754" spans="1:50" ht="17" thickTop="1" thickBot="1" x14ac:dyDescent="0.25">
      <c r="A754" s="28">
        <v>753</v>
      </c>
      <c r="B754" s="29">
        <f t="shared" si="90"/>
        <v>12</v>
      </c>
      <c r="C754" s="41">
        <v>45696</v>
      </c>
      <c r="D754" s="30">
        <f>SUM(Data!$I754:$M754)</f>
        <v>57</v>
      </c>
      <c r="E754" s="29">
        <v>6</v>
      </c>
      <c r="F754" s="29">
        <v>580</v>
      </c>
      <c r="G754" s="29">
        <v>162</v>
      </c>
      <c r="H754" s="29">
        <v>120</v>
      </c>
      <c r="I754" s="29">
        <v>20</v>
      </c>
      <c r="J754" s="29">
        <v>11</v>
      </c>
      <c r="K754" s="29">
        <v>20</v>
      </c>
      <c r="L754" s="29">
        <v>6</v>
      </c>
      <c r="M754" s="29">
        <v>0</v>
      </c>
      <c r="N754" s="29" t="s">
        <v>125</v>
      </c>
      <c r="O754" s="29" t="s">
        <v>159</v>
      </c>
      <c r="P754" s="29" t="s">
        <v>218</v>
      </c>
      <c r="Q754" s="29">
        <f t="shared" si="96"/>
        <v>2</v>
      </c>
      <c r="R754" s="29" t="str">
        <f t="shared" si="91"/>
        <v>2-2025</v>
      </c>
      <c r="S754" s="29" t="s">
        <v>117</v>
      </c>
      <c r="T754" s="29" t="str">
        <f t="shared" si="92"/>
        <v>Saturday</v>
      </c>
      <c r="U754" s="29">
        <f t="shared" si="93"/>
        <v>0</v>
      </c>
      <c r="V754" s="31">
        <f>IFERROR(Data!$I754/Data!$D754,"")</f>
        <v>0.35087719298245612</v>
      </c>
      <c r="W754" s="31">
        <f>IFERROR(Data!$J754/Data!$D754,"")</f>
        <v>0.19298245614035087</v>
      </c>
      <c r="X754" s="31">
        <f>IFERROR(Data!$K754/Data!$D754,"")</f>
        <v>0.35087719298245612</v>
      </c>
      <c r="Y754" s="31">
        <f>IFERROR(Data!$L754/Data!$D754,"")</f>
        <v>0.10526315789473684</v>
      </c>
      <c r="Z754" s="31">
        <f>IFERROR(Data!$M754/Data!$D754,"")</f>
        <v>0</v>
      </c>
      <c r="AA754" s="32">
        <v>169</v>
      </c>
      <c r="AB754" s="32">
        <f t="shared" si="97"/>
        <v>14.083333333333334</v>
      </c>
      <c r="AC754" s="29">
        <f t="shared" si="94"/>
        <v>628.33333333333337</v>
      </c>
      <c r="AD754" s="29">
        <f t="shared" si="95"/>
        <v>14.416666666666666</v>
      </c>
      <c r="AE754" s="29">
        <f>YEAR(Data!$C754)</f>
        <v>2025</v>
      </c>
      <c r="AF754" s="29"/>
      <c r="AG754" s="29">
        <v>12</v>
      </c>
      <c r="AH754" s="33">
        <f>Data!$F754/Data!$D754</f>
        <v>10.175438596491228</v>
      </c>
      <c r="AI754" s="17" t="str">
        <f>RIGHT(Data!$O754,2)</f>
        <v>AM</v>
      </c>
      <c r="AJ754" s="29" t="str">
        <f>Data!$R754&amp;"-"&amp;WEEKNUM(Data!$C754,1)-WEEKNUM(DATE(YEAR(Data!$C754),MONTH(Data!$C754),1),1)+1</f>
        <v>2-2025-2</v>
      </c>
      <c r="AK754" s="29">
        <f>MONTH(Data!$C754)</f>
        <v>2</v>
      </c>
      <c r="AL754" s="29">
        <f>IFERROR(Data!$F754/Data!$E754,0)</f>
        <v>96.666666666666671</v>
      </c>
      <c r="AM754" s="29">
        <f>COUNTIF(Data!$N$2:$N$825,Data!$N754)</f>
        <v>182</v>
      </c>
      <c r="AN754" s="29" t="str">
        <f>VLOOKUP(Data!$N754,'Helpful Tables'!A:D,4,FALSE)</f>
        <v>Oregon</v>
      </c>
      <c r="AO754" s="29">
        <f>COUNTIF(AN:AN,Data!$AN754)/COUNTA(AN:AN)</f>
        <v>0.27393939393939393</v>
      </c>
      <c r="AP754" s="29">
        <v>45.534162000000002</v>
      </c>
      <c r="AQ754" s="29">
        <v>-122.69670000000001</v>
      </c>
      <c r="AR754" s="29">
        <f>COUNTIF(Data!$P$2:$P$825,Data!$P754)</f>
        <v>9</v>
      </c>
      <c r="AS754" s="29" cm="1">
        <f t="array" ref="AS754">_xlfn.IFS(Data!$E754&lt;12,((Data!$E754/Data!$D754)*60)*1,AND(Data!$E754&gt;=12,Data!$E754&lt;=15),((Data!$E754/Data!$D754)*60)*1.2,AND(Data!$E754&gt;=16,Data!$E754&lt;=19),((Data!$E754/Data!$D754)*60)*1.5,Data!$E754&gt;=20,((Data!$E754/Data!$D754)*60)*1.8)</f>
        <v>6.3157894736842106</v>
      </c>
      <c r="AT754" s="29" cm="1">
        <f t="array" ref="AT754">_xlfn.IFS(Data!$F754&lt;600,((Data!$F754/Data!$D754)*60)*1,AND(Data!$F754&gt;=600,Data!$F754&lt;=625),((Data!$F754/Data!$D754)*60)*1.2,AND(Data!$F754&gt;=626,Data!$F754&lt;=650),((Data!$F754/Data!$D754)*60)*1.5,Data!$F754&gt;=651,((Data!$F754/Data!$D754)*60)*1.8)</f>
        <v>610.52631578947364</v>
      </c>
      <c r="AU754" s="29">
        <f>(Data!$I754*-1.2)+(Data!$J754*-1.1)+(Data!$K754*1.2)+(Data!$L754*1.3)+(Data!$M754*1.5)</f>
        <v>-4.3000000000000007</v>
      </c>
      <c r="AV754" s="29">
        <f>(Data!$AS754*0.4)+(Data!$AT754*0.4)+(Data!$AU754*0.2)</f>
        <v>245.87684210526314</v>
      </c>
      <c r="AW754" s="34">
        <f>PERCENTRANK(AV:AV,Data!$AV754)*100</f>
        <v>15.6</v>
      </c>
      <c r="AX754" s="29" t="str">
        <f>_xlfn.CONCAT(TEXT(C754,"mmm"),"-",Data!$AE754)</f>
        <v>Feb-2025</v>
      </c>
    </row>
    <row r="755" spans="1:50" ht="17" thickTop="1" thickBot="1" x14ac:dyDescent="0.25">
      <c r="A755" s="22">
        <v>754</v>
      </c>
      <c r="B755" s="23">
        <f t="shared" si="90"/>
        <v>12</v>
      </c>
      <c r="C755" s="41">
        <v>45699</v>
      </c>
      <c r="D755" s="24">
        <f>SUM(Data!$I755:$M755)</f>
        <v>60</v>
      </c>
      <c r="E755" s="23">
        <v>16</v>
      </c>
      <c r="F755" s="23">
        <v>559</v>
      </c>
      <c r="G755" s="23">
        <v>174</v>
      </c>
      <c r="H755" s="23">
        <v>114</v>
      </c>
      <c r="I755" s="23">
        <v>25</v>
      </c>
      <c r="J755" s="23">
        <v>11</v>
      </c>
      <c r="K755" s="23">
        <v>8</v>
      </c>
      <c r="L755" s="23">
        <v>11</v>
      </c>
      <c r="M755" s="23">
        <v>5</v>
      </c>
      <c r="N755" s="23" t="s">
        <v>125</v>
      </c>
      <c r="O755" s="23" t="s">
        <v>127</v>
      </c>
      <c r="P755" s="23" t="s">
        <v>216</v>
      </c>
      <c r="Q755" s="23">
        <f t="shared" si="96"/>
        <v>3</v>
      </c>
      <c r="R755" s="23" t="str">
        <f t="shared" si="91"/>
        <v>2-2025</v>
      </c>
      <c r="S755" s="23" t="s">
        <v>104</v>
      </c>
      <c r="T755" s="23" t="str">
        <f t="shared" si="92"/>
        <v>Tuesday</v>
      </c>
      <c r="U755" s="23">
        <f t="shared" si="93"/>
        <v>1</v>
      </c>
      <c r="V755" s="25">
        <f>IFERROR(Data!$I755/Data!$D755,"")</f>
        <v>0.41666666666666669</v>
      </c>
      <c r="W755" s="25">
        <f>IFERROR(Data!$J755/Data!$D755,"")</f>
        <v>0.18333333333333332</v>
      </c>
      <c r="X755" s="25">
        <f>IFERROR(Data!$K755/Data!$D755,"")</f>
        <v>0.13333333333333333</v>
      </c>
      <c r="Y755" s="25">
        <f>IFERROR(Data!$L755/Data!$D755,"")</f>
        <v>0.18333333333333332</v>
      </c>
      <c r="Z755" s="25">
        <f>IFERROR(Data!$M755/Data!$D755,"")</f>
        <v>8.3333333333333329E-2</v>
      </c>
      <c r="AA755" s="26">
        <v>169</v>
      </c>
      <c r="AB755" s="26">
        <f t="shared" si="97"/>
        <v>14.083333333333334</v>
      </c>
      <c r="AC755" s="23">
        <f t="shared" si="94"/>
        <v>628.33333333333337</v>
      </c>
      <c r="AD755" s="23">
        <f t="shared" si="95"/>
        <v>14.416666666666666</v>
      </c>
      <c r="AE755" s="23">
        <f>YEAR(Data!$C755)</f>
        <v>2025</v>
      </c>
      <c r="AF755" s="23"/>
      <c r="AG755" s="23">
        <v>12</v>
      </c>
      <c r="AH755" s="27">
        <f>Data!$F755/Data!$D755</f>
        <v>9.3166666666666664</v>
      </c>
      <c r="AI755" s="17" t="str">
        <f>RIGHT(Data!$O755,2)</f>
        <v>PM</v>
      </c>
      <c r="AJ755" s="23" t="str">
        <f>Data!$R755&amp;"-"&amp;WEEKNUM(Data!$C755,1)-WEEKNUM(DATE(YEAR(Data!$C755),MONTH(Data!$C755),1),1)+1</f>
        <v>2-2025-3</v>
      </c>
      <c r="AK755" s="23">
        <f>MONTH(Data!$C755)</f>
        <v>2</v>
      </c>
      <c r="AL755" s="23">
        <f>IFERROR(Data!$F755/Data!$E755,0)</f>
        <v>34.9375</v>
      </c>
      <c r="AM755" s="23">
        <f>COUNTIF(Data!$N$2:$N$825,Data!$N755)</f>
        <v>182</v>
      </c>
      <c r="AN755" s="23" t="str">
        <f>VLOOKUP(Data!$N755,'Helpful Tables'!A:D,4,FALSE)</f>
        <v>Oregon</v>
      </c>
      <c r="AO755" s="23">
        <f>COUNTIF(AN:AN,Data!$AN755)/COUNTA(AN:AN)</f>
        <v>0.27393939393939393</v>
      </c>
      <c r="AP755" s="23">
        <v>45.534162000000002</v>
      </c>
      <c r="AQ755" s="23">
        <v>-122.69670000000001</v>
      </c>
      <c r="AR755" s="23">
        <f>COUNTIF(Data!$P$2:$P$825,Data!$P755)</f>
        <v>25</v>
      </c>
      <c r="AS755" s="23" cm="1">
        <f t="array" ref="AS755">_xlfn.IFS(Data!$E755&lt;12,((Data!$E755/Data!$D755)*60)*1,AND(Data!$E755&gt;=12,Data!$E755&lt;=15),((Data!$E755/Data!$D755)*60)*1.2,AND(Data!$E755&gt;=16,Data!$E755&lt;=19),((Data!$E755/Data!$D755)*60)*1.5,Data!$E755&gt;=20,((Data!$E755/Data!$D755)*60)*1.8)</f>
        <v>24</v>
      </c>
      <c r="AT755" s="23" cm="1">
        <f t="array" ref="AT755">_xlfn.IFS(Data!$F755&lt;600,((Data!$F755/Data!$D755)*60)*1,AND(Data!$F755&gt;=600,Data!$F755&lt;=625),((Data!$F755/Data!$D755)*60)*1.2,AND(Data!$F755&gt;=626,Data!$F755&lt;=650),((Data!$F755/Data!$D755)*60)*1.5,Data!$F755&gt;=651,((Data!$F755/Data!$D755)*60)*1.8)</f>
        <v>559</v>
      </c>
      <c r="AU755" s="23">
        <f>(Data!$I755*-1.2)+(Data!$J755*-1.1)+(Data!$K755*1.2)+(Data!$L755*1.3)+(Data!$M755*1.5)</f>
        <v>-10.7</v>
      </c>
      <c r="AV755" s="23">
        <f>(Data!$AS755*0.4)+(Data!$AT755*0.4)+(Data!$AU755*0.2)</f>
        <v>231.06000000000003</v>
      </c>
      <c r="AW755" s="35">
        <f>PERCENTRANK(AV:AV,Data!$AV755)*100</f>
        <v>7.5</v>
      </c>
      <c r="AX755" s="23" t="str">
        <f>_xlfn.CONCAT(TEXT(C755,"mmm"),"-",Data!$AE755)</f>
        <v>Feb-2025</v>
      </c>
    </row>
    <row r="756" spans="1:50" ht="17" thickTop="1" thickBot="1" x14ac:dyDescent="0.25">
      <c r="A756" s="28">
        <v>755</v>
      </c>
      <c r="B756" s="29">
        <f t="shared" si="90"/>
        <v>12</v>
      </c>
      <c r="C756" s="41">
        <v>45700</v>
      </c>
      <c r="D756" s="30">
        <f>SUM(Data!$I756:$M756)</f>
        <v>60</v>
      </c>
      <c r="E756" s="29">
        <v>14</v>
      </c>
      <c r="F756" s="29">
        <v>638</v>
      </c>
      <c r="G756" s="29">
        <v>165</v>
      </c>
      <c r="H756" s="29">
        <v>124</v>
      </c>
      <c r="I756" s="29">
        <v>18</v>
      </c>
      <c r="J756" s="29">
        <v>11</v>
      </c>
      <c r="K756" s="29">
        <v>17</v>
      </c>
      <c r="L756" s="29">
        <v>12</v>
      </c>
      <c r="M756" s="29">
        <v>2</v>
      </c>
      <c r="N756" s="29" t="s">
        <v>125</v>
      </c>
      <c r="O756" s="29" t="s">
        <v>127</v>
      </c>
      <c r="P756" s="29" t="s">
        <v>216</v>
      </c>
      <c r="Q756" s="29">
        <f t="shared" si="96"/>
        <v>1</v>
      </c>
      <c r="R756" s="29" t="str">
        <f t="shared" si="91"/>
        <v>2-2025</v>
      </c>
      <c r="S756" s="29" t="s">
        <v>104</v>
      </c>
      <c r="T756" s="29" t="str">
        <f t="shared" si="92"/>
        <v>Wednesday</v>
      </c>
      <c r="U756" s="29">
        <f t="shared" si="93"/>
        <v>1</v>
      </c>
      <c r="V756" s="31">
        <f>IFERROR(Data!$I756/Data!$D756,"")</f>
        <v>0.3</v>
      </c>
      <c r="W756" s="31">
        <f>IFERROR(Data!$J756/Data!$D756,"")</f>
        <v>0.18333333333333332</v>
      </c>
      <c r="X756" s="31">
        <f>IFERROR(Data!$K756/Data!$D756,"")</f>
        <v>0.28333333333333333</v>
      </c>
      <c r="Y756" s="31">
        <f>IFERROR(Data!$L756/Data!$D756,"")</f>
        <v>0.2</v>
      </c>
      <c r="Z756" s="31">
        <f>IFERROR(Data!$M756/Data!$D756,"")</f>
        <v>3.3333333333333333E-2</v>
      </c>
      <c r="AA756" s="32">
        <v>169</v>
      </c>
      <c r="AB756" s="32">
        <f t="shared" si="97"/>
        <v>14.083333333333334</v>
      </c>
      <c r="AC756" s="29">
        <f t="shared" si="94"/>
        <v>628.33333333333337</v>
      </c>
      <c r="AD756" s="29">
        <f t="shared" si="95"/>
        <v>14.416666666666666</v>
      </c>
      <c r="AE756" s="29">
        <f>YEAR(Data!$C756)</f>
        <v>2025</v>
      </c>
      <c r="AF756" s="29"/>
      <c r="AG756" s="29">
        <v>12</v>
      </c>
      <c r="AH756" s="33">
        <f>Data!$F756/Data!$D756</f>
        <v>10.633333333333333</v>
      </c>
      <c r="AI756" s="17" t="str">
        <f>RIGHT(Data!$O756,2)</f>
        <v>PM</v>
      </c>
      <c r="AJ756" s="29" t="str">
        <f>Data!$R756&amp;"-"&amp;WEEKNUM(Data!$C756,1)-WEEKNUM(DATE(YEAR(Data!$C756),MONTH(Data!$C756),1),1)+1</f>
        <v>2-2025-3</v>
      </c>
      <c r="AK756" s="29">
        <f>MONTH(Data!$C756)</f>
        <v>2</v>
      </c>
      <c r="AL756" s="29">
        <f>IFERROR(Data!$F756/Data!$E756,0)</f>
        <v>45.571428571428569</v>
      </c>
      <c r="AM756" s="29">
        <f>COUNTIF(Data!$N$2:$N$825,Data!$N756)</f>
        <v>182</v>
      </c>
      <c r="AN756" s="29" t="str">
        <f>VLOOKUP(Data!$N756,'Helpful Tables'!A:D,4,FALSE)</f>
        <v>Oregon</v>
      </c>
      <c r="AO756" s="29">
        <f>COUNTIF(AN:AN,Data!$AN756)/COUNTA(AN:AN)</f>
        <v>0.27393939393939393</v>
      </c>
      <c r="AP756" s="29">
        <v>45.534162000000002</v>
      </c>
      <c r="AQ756" s="29">
        <v>-122.69670000000001</v>
      </c>
      <c r="AR756" s="29">
        <f>COUNTIF(Data!$P$2:$P$825,Data!$P756)</f>
        <v>25</v>
      </c>
      <c r="AS756" s="29" cm="1">
        <f t="array" ref="AS756">_xlfn.IFS(Data!$E756&lt;12,((Data!$E756/Data!$D756)*60)*1,AND(Data!$E756&gt;=12,Data!$E756&lt;=15),((Data!$E756/Data!$D756)*60)*1.2,AND(Data!$E756&gt;=16,Data!$E756&lt;=19),((Data!$E756/Data!$D756)*60)*1.5,Data!$E756&gt;=20,((Data!$E756/Data!$D756)*60)*1.8)</f>
        <v>16.8</v>
      </c>
      <c r="AT756" s="29" cm="1">
        <f t="array" ref="AT756">_xlfn.IFS(Data!$F756&lt;600,((Data!$F756/Data!$D756)*60)*1,AND(Data!$F756&gt;=600,Data!$F756&lt;=625),((Data!$F756/Data!$D756)*60)*1.2,AND(Data!$F756&gt;=626,Data!$F756&lt;=650),((Data!$F756/Data!$D756)*60)*1.5,Data!$F756&gt;=651,((Data!$F756/Data!$D756)*60)*1.8)</f>
        <v>957</v>
      </c>
      <c r="AU756" s="29">
        <f>(Data!$I756*-1.2)+(Data!$J756*-1.1)+(Data!$K756*1.2)+(Data!$L756*1.3)+(Data!$M756*1.5)</f>
        <v>5.2999999999999972</v>
      </c>
      <c r="AV756" s="29">
        <f>(Data!$AS756*0.4)+(Data!$AT756*0.4)+(Data!$AU756*0.2)</f>
        <v>390.58000000000004</v>
      </c>
      <c r="AW756" s="34">
        <f>PERCENTRANK(AV:AV,Data!$AV756)*100</f>
        <v>47.9</v>
      </c>
      <c r="AX756" s="29" t="str">
        <f>_xlfn.CONCAT(TEXT(C756,"mmm"),"-",Data!$AE756)</f>
        <v>Feb-2025</v>
      </c>
    </row>
    <row r="757" spans="1:50" ht="17" thickTop="1" thickBot="1" x14ac:dyDescent="0.25">
      <c r="A757" s="22">
        <v>756</v>
      </c>
      <c r="B757" s="23">
        <f t="shared" si="90"/>
        <v>12</v>
      </c>
      <c r="C757" s="41">
        <v>45702</v>
      </c>
      <c r="D757" s="24">
        <f>SUM(Data!$I757:$M757)</f>
        <v>59</v>
      </c>
      <c r="E757" s="23">
        <v>19</v>
      </c>
      <c r="F757" s="23">
        <v>669</v>
      </c>
      <c r="G757" s="23">
        <v>169</v>
      </c>
      <c r="H757" s="23">
        <v>128</v>
      </c>
      <c r="I757" s="23">
        <v>15</v>
      </c>
      <c r="J757" s="23">
        <v>13</v>
      </c>
      <c r="K757" s="23">
        <v>12</v>
      </c>
      <c r="L757" s="23">
        <v>14</v>
      </c>
      <c r="M757" s="23">
        <v>5</v>
      </c>
      <c r="N757" s="23" t="s">
        <v>125</v>
      </c>
      <c r="O757" s="23" t="s">
        <v>127</v>
      </c>
      <c r="P757" s="23" t="s">
        <v>210</v>
      </c>
      <c r="Q757" s="23">
        <f t="shared" si="96"/>
        <v>2</v>
      </c>
      <c r="R757" s="23" t="str">
        <f t="shared" si="91"/>
        <v>2-2025</v>
      </c>
      <c r="S757" s="23" t="s">
        <v>104</v>
      </c>
      <c r="T757" s="23" t="str">
        <f t="shared" si="92"/>
        <v>Friday</v>
      </c>
      <c r="U757" s="23">
        <f t="shared" si="93"/>
        <v>1</v>
      </c>
      <c r="V757" s="25">
        <f>IFERROR(Data!$I757/Data!$D757,"")</f>
        <v>0.25423728813559321</v>
      </c>
      <c r="W757" s="25">
        <f>IFERROR(Data!$J757/Data!$D757,"")</f>
        <v>0.22033898305084745</v>
      </c>
      <c r="X757" s="25">
        <f>IFERROR(Data!$K757/Data!$D757,"")</f>
        <v>0.20338983050847459</v>
      </c>
      <c r="Y757" s="25">
        <f>IFERROR(Data!$L757/Data!$D757,"")</f>
        <v>0.23728813559322035</v>
      </c>
      <c r="Z757" s="25">
        <f>IFERROR(Data!$M757/Data!$D757,"")</f>
        <v>8.4745762711864403E-2</v>
      </c>
      <c r="AA757" s="26">
        <v>169</v>
      </c>
      <c r="AB757" s="26">
        <f t="shared" si="97"/>
        <v>14.083333333333334</v>
      </c>
      <c r="AC757" s="23">
        <f t="shared" si="94"/>
        <v>628.33333333333337</v>
      </c>
      <c r="AD757" s="23">
        <f t="shared" si="95"/>
        <v>14.416666666666666</v>
      </c>
      <c r="AE757" s="23">
        <f>YEAR(Data!$C757)</f>
        <v>2025</v>
      </c>
      <c r="AF757" s="23"/>
      <c r="AG757" s="23">
        <v>12</v>
      </c>
      <c r="AH757" s="27">
        <f>Data!$F757/Data!$D757</f>
        <v>11.338983050847459</v>
      </c>
      <c r="AI757" s="17" t="str">
        <f>RIGHT(Data!$O757,2)</f>
        <v>PM</v>
      </c>
      <c r="AJ757" s="23" t="str">
        <f>Data!$R757&amp;"-"&amp;WEEKNUM(Data!$C757,1)-WEEKNUM(DATE(YEAR(Data!$C757),MONTH(Data!$C757),1),1)+1</f>
        <v>2-2025-3</v>
      </c>
      <c r="AK757" s="23">
        <f>MONTH(Data!$C757)</f>
        <v>2</v>
      </c>
      <c r="AL757" s="23">
        <f>IFERROR(Data!$F757/Data!$E757,0)</f>
        <v>35.210526315789473</v>
      </c>
      <c r="AM757" s="23">
        <f>COUNTIF(Data!$N$2:$N$825,Data!$N757)</f>
        <v>182</v>
      </c>
      <c r="AN757" s="23" t="str">
        <f>VLOOKUP(Data!$N757,'Helpful Tables'!A:D,4,FALSE)</f>
        <v>Oregon</v>
      </c>
      <c r="AO757" s="23">
        <f>COUNTIF(AN:AN,Data!$AN757)/COUNTA(AN:AN)</f>
        <v>0.27393939393939393</v>
      </c>
      <c r="AP757" s="23">
        <v>45.534162000000002</v>
      </c>
      <c r="AQ757" s="23">
        <v>-122.69670000000001</v>
      </c>
      <c r="AR757" s="23">
        <f>COUNTIF(Data!$P$2:$P$825,Data!$P757)</f>
        <v>10</v>
      </c>
      <c r="AS757" s="23" cm="1">
        <f t="array" ref="AS757">_xlfn.IFS(Data!$E757&lt;12,((Data!$E757/Data!$D757)*60)*1,AND(Data!$E757&gt;=12,Data!$E757&lt;=15),((Data!$E757/Data!$D757)*60)*1.2,AND(Data!$E757&gt;=16,Data!$E757&lt;=19),((Data!$E757/Data!$D757)*60)*1.5,Data!$E757&gt;=20,((Data!$E757/Data!$D757)*60)*1.8)</f>
        <v>28.983050847457626</v>
      </c>
      <c r="AT757" s="23" cm="1">
        <f t="array" ref="AT757">_xlfn.IFS(Data!$F757&lt;600,((Data!$F757/Data!$D757)*60)*1,AND(Data!$F757&gt;=600,Data!$F757&lt;=625),((Data!$F757/Data!$D757)*60)*1.2,AND(Data!$F757&gt;=626,Data!$F757&lt;=650),((Data!$F757/Data!$D757)*60)*1.5,Data!$F757&gt;=651,((Data!$F757/Data!$D757)*60)*1.8)</f>
        <v>1224.6101694915255</v>
      </c>
      <c r="AU757" s="23">
        <f>(Data!$I757*-1.2)+(Data!$J757*-1.1)+(Data!$K757*1.2)+(Data!$L757*1.3)+(Data!$M757*1.5)</f>
        <v>7.8000000000000007</v>
      </c>
      <c r="AV757" s="23">
        <f>(Data!$AS757*0.4)+(Data!$AT757*0.4)+(Data!$AU757*0.2)</f>
        <v>502.99728813559329</v>
      </c>
      <c r="AW757" s="35">
        <f>PERCENTRANK(AV:AV,Data!$AV757)*100</f>
        <v>79.7</v>
      </c>
      <c r="AX757" s="23" t="str">
        <f>_xlfn.CONCAT(TEXT(C757,"mmm"),"-",Data!$AE757)</f>
        <v>Feb-2025</v>
      </c>
    </row>
    <row r="758" spans="1:50" ht="17" thickTop="1" thickBot="1" x14ac:dyDescent="0.25">
      <c r="A758" s="28">
        <v>757</v>
      </c>
      <c r="B758" s="29">
        <f t="shared" si="90"/>
        <v>12</v>
      </c>
      <c r="C758" s="41">
        <v>45703</v>
      </c>
      <c r="D758" s="30">
        <f>SUM(Data!$I758:$M758)</f>
        <v>56</v>
      </c>
      <c r="E758" s="29">
        <v>11</v>
      </c>
      <c r="F758" s="29">
        <v>555</v>
      </c>
      <c r="G758" s="29">
        <v>167</v>
      </c>
      <c r="H758" s="29">
        <v>119</v>
      </c>
      <c r="I758" s="29">
        <v>20</v>
      </c>
      <c r="J758" s="29">
        <v>16</v>
      </c>
      <c r="K758" s="29">
        <v>9</v>
      </c>
      <c r="L758" s="29">
        <v>9</v>
      </c>
      <c r="M758" s="29">
        <v>2</v>
      </c>
      <c r="N758" s="29" t="s">
        <v>208</v>
      </c>
      <c r="O758" s="29" t="s">
        <v>76</v>
      </c>
      <c r="P758" s="29" t="s">
        <v>227</v>
      </c>
      <c r="Q758" s="29">
        <f t="shared" si="96"/>
        <v>1</v>
      </c>
      <c r="R758" s="29" t="str">
        <f t="shared" si="91"/>
        <v>2-2025</v>
      </c>
      <c r="S758" s="29" t="s">
        <v>117</v>
      </c>
      <c r="T758" s="29" t="str">
        <f t="shared" si="92"/>
        <v>Saturday</v>
      </c>
      <c r="U758" s="29">
        <f t="shared" si="93"/>
        <v>0</v>
      </c>
      <c r="V758" s="31">
        <f>IFERROR(Data!$I758/Data!$D758,"")</f>
        <v>0.35714285714285715</v>
      </c>
      <c r="W758" s="31">
        <f>IFERROR(Data!$J758/Data!$D758,"")</f>
        <v>0.2857142857142857</v>
      </c>
      <c r="X758" s="31">
        <f>IFERROR(Data!$K758/Data!$D758,"")</f>
        <v>0.16071428571428573</v>
      </c>
      <c r="Y758" s="31">
        <f>IFERROR(Data!$L758/Data!$D758,"")</f>
        <v>0.16071428571428573</v>
      </c>
      <c r="Z758" s="31">
        <f>IFERROR(Data!$M758/Data!$D758,"")</f>
        <v>3.5714285714285712E-2</v>
      </c>
      <c r="AA758" s="32">
        <v>169</v>
      </c>
      <c r="AB758" s="32">
        <f t="shared" si="97"/>
        <v>14.083333333333334</v>
      </c>
      <c r="AC758" s="29">
        <f t="shared" si="94"/>
        <v>628.33333333333337</v>
      </c>
      <c r="AD758" s="29">
        <f t="shared" si="95"/>
        <v>14.416666666666666</v>
      </c>
      <c r="AE758" s="29">
        <f>YEAR(Data!$C758)</f>
        <v>2025</v>
      </c>
      <c r="AF758" s="29"/>
      <c r="AG758" s="29">
        <v>12</v>
      </c>
      <c r="AH758" s="33">
        <f>Data!$F758/Data!$D758</f>
        <v>9.9107142857142865</v>
      </c>
      <c r="AI758" s="17" t="str">
        <f>RIGHT(Data!$O758,2)</f>
        <v>AM</v>
      </c>
      <c r="AJ758" s="29" t="str">
        <f>Data!$R758&amp;"-"&amp;WEEKNUM(Data!$C758,1)-WEEKNUM(DATE(YEAR(Data!$C758),MONTH(Data!$C758),1),1)+1</f>
        <v>2-2025-3</v>
      </c>
      <c r="AK758" s="29">
        <f>MONTH(Data!$C758)</f>
        <v>2</v>
      </c>
      <c r="AL758" s="29">
        <f>IFERROR(Data!$F758/Data!$E758,0)</f>
        <v>50.454545454545453</v>
      </c>
      <c r="AM758" s="29">
        <f>COUNTIF(Data!$N$2:$N$825,Data!$N758)</f>
        <v>42</v>
      </c>
      <c r="AN758" s="29" t="str">
        <f>VLOOKUP(Data!$N758,'Helpful Tables'!A:D,4,FALSE)</f>
        <v>Oregon</v>
      </c>
      <c r="AO758" s="29">
        <f>COUNTIF(AN:AN,Data!$AN758)/COUNTA(AN:AN)</f>
        <v>0.27393939393939393</v>
      </c>
      <c r="AP758" s="29">
        <v>45.525092999999998</v>
      </c>
      <c r="AQ758" s="29">
        <v>-122.681383</v>
      </c>
      <c r="AR758" s="29">
        <f>COUNTIF(Data!$P$2:$P$825,Data!$P758)</f>
        <v>2</v>
      </c>
      <c r="AS758" s="29" cm="1">
        <f t="array" ref="AS758">_xlfn.IFS(Data!$E758&lt;12,((Data!$E758/Data!$D758)*60)*1,AND(Data!$E758&gt;=12,Data!$E758&lt;=15),((Data!$E758/Data!$D758)*60)*1.2,AND(Data!$E758&gt;=16,Data!$E758&lt;=19),((Data!$E758/Data!$D758)*60)*1.5,Data!$E758&gt;=20,((Data!$E758/Data!$D758)*60)*1.8)</f>
        <v>11.785714285714285</v>
      </c>
      <c r="AT758" s="29" cm="1">
        <f t="array" ref="AT758">_xlfn.IFS(Data!$F758&lt;600,((Data!$F758/Data!$D758)*60)*1,AND(Data!$F758&gt;=600,Data!$F758&lt;=625),((Data!$F758/Data!$D758)*60)*1.2,AND(Data!$F758&gt;=626,Data!$F758&lt;=650),((Data!$F758/Data!$D758)*60)*1.5,Data!$F758&gt;=651,((Data!$F758/Data!$D758)*60)*1.8)</f>
        <v>594.64285714285722</v>
      </c>
      <c r="AU758" s="29">
        <f>(Data!$I758*-1.2)+(Data!$J758*-1.1)+(Data!$K758*1.2)+(Data!$L758*1.3)+(Data!$M758*1.5)</f>
        <v>-16.100000000000001</v>
      </c>
      <c r="AV758" s="29">
        <f>(Data!$AS758*0.4)+(Data!$AT758*0.4)+(Data!$AU758*0.2)</f>
        <v>239.35142857142861</v>
      </c>
      <c r="AW758" s="34">
        <f>PERCENTRANK(AV:AV,Data!$AV758)*100</f>
        <v>11.799999999999999</v>
      </c>
      <c r="AX758" s="29" t="str">
        <f>_xlfn.CONCAT(TEXT(C758,"mmm"),"-",Data!$AE758)</f>
        <v>Feb-2025</v>
      </c>
    </row>
    <row r="759" spans="1:50" ht="17" thickTop="1" thickBot="1" x14ac:dyDescent="0.25">
      <c r="A759" s="22">
        <v>758</v>
      </c>
      <c r="B759" s="23">
        <f t="shared" si="90"/>
        <v>12</v>
      </c>
      <c r="C759" s="41">
        <v>45705</v>
      </c>
      <c r="D759" s="24">
        <f>SUM(Data!$I759:$M759)</f>
        <v>57</v>
      </c>
      <c r="E759" s="23">
        <v>15</v>
      </c>
      <c r="F759" s="23">
        <v>632</v>
      </c>
      <c r="G759" s="23">
        <v>160</v>
      </c>
      <c r="H759" s="23">
        <v>126</v>
      </c>
      <c r="I759" s="23">
        <v>12</v>
      </c>
      <c r="J759" s="23">
        <v>18</v>
      </c>
      <c r="K759" s="23">
        <v>12</v>
      </c>
      <c r="L759" s="23">
        <v>15</v>
      </c>
      <c r="M759" s="23">
        <v>0</v>
      </c>
      <c r="N759" s="23" t="s">
        <v>125</v>
      </c>
      <c r="O759" s="23" t="s">
        <v>76</v>
      </c>
      <c r="P759" s="23" t="s">
        <v>223</v>
      </c>
      <c r="Q759" s="23">
        <f t="shared" si="96"/>
        <v>2</v>
      </c>
      <c r="R759" s="23" t="str">
        <f t="shared" si="91"/>
        <v>2-2025</v>
      </c>
      <c r="S759" s="23" t="s">
        <v>104</v>
      </c>
      <c r="T759" s="23" t="str">
        <f t="shared" si="92"/>
        <v>Monday</v>
      </c>
      <c r="U759" s="23">
        <f t="shared" si="93"/>
        <v>1</v>
      </c>
      <c r="V759" s="25">
        <f>IFERROR(Data!$I759/Data!$D759,"")</f>
        <v>0.21052631578947367</v>
      </c>
      <c r="W759" s="25">
        <f>IFERROR(Data!$J759/Data!$D759,"")</f>
        <v>0.31578947368421051</v>
      </c>
      <c r="X759" s="25">
        <f>IFERROR(Data!$K759/Data!$D759,"")</f>
        <v>0.21052631578947367</v>
      </c>
      <c r="Y759" s="25">
        <f>IFERROR(Data!$L759/Data!$D759,"")</f>
        <v>0.26315789473684209</v>
      </c>
      <c r="Z759" s="25">
        <f>IFERROR(Data!$M759/Data!$D759,"")</f>
        <v>0</v>
      </c>
      <c r="AA759" s="26">
        <v>169</v>
      </c>
      <c r="AB759" s="26">
        <f t="shared" si="97"/>
        <v>14.083333333333334</v>
      </c>
      <c r="AC759" s="23">
        <f t="shared" si="94"/>
        <v>628.33333333333337</v>
      </c>
      <c r="AD759" s="23">
        <f t="shared" si="95"/>
        <v>14.416666666666666</v>
      </c>
      <c r="AE759" s="23">
        <f>YEAR(Data!$C759)</f>
        <v>2025</v>
      </c>
      <c r="AF759" s="23"/>
      <c r="AG759" s="23">
        <v>12</v>
      </c>
      <c r="AH759" s="27">
        <f>Data!$F759/Data!$D759</f>
        <v>11.087719298245615</v>
      </c>
      <c r="AI759" s="17" t="str">
        <f>RIGHT(Data!$O759,2)</f>
        <v>AM</v>
      </c>
      <c r="AJ759" s="23" t="str">
        <f>Data!$R759&amp;"-"&amp;WEEKNUM(Data!$C759,1)-WEEKNUM(DATE(YEAR(Data!$C759),MONTH(Data!$C759),1),1)+1</f>
        <v>2-2025-4</v>
      </c>
      <c r="AK759" s="23">
        <f>MONTH(Data!$C759)</f>
        <v>2</v>
      </c>
      <c r="AL759" s="23">
        <f>IFERROR(Data!$F759/Data!$E759,0)</f>
        <v>42.133333333333333</v>
      </c>
      <c r="AM759" s="23">
        <f>COUNTIF(Data!$N$2:$N$825,Data!$N759)</f>
        <v>182</v>
      </c>
      <c r="AN759" s="23" t="str">
        <f>VLOOKUP(Data!$N759,'Helpful Tables'!A:D,4,FALSE)</f>
        <v>Oregon</v>
      </c>
      <c r="AO759" s="23">
        <f>COUNTIF(AN:AN,Data!$AN759)/COUNTA(AN:AN)</f>
        <v>0.27393939393939393</v>
      </c>
      <c r="AP759" s="23">
        <v>45.534162000000002</v>
      </c>
      <c r="AQ759" s="23">
        <v>-122.69670000000001</v>
      </c>
      <c r="AR759" s="23">
        <f>COUNTIF(Data!$P$2:$P$825,Data!$P759)</f>
        <v>3</v>
      </c>
      <c r="AS759" s="23" cm="1">
        <f t="array" ref="AS759">_xlfn.IFS(Data!$E759&lt;12,((Data!$E759/Data!$D759)*60)*1,AND(Data!$E759&gt;=12,Data!$E759&lt;=15),((Data!$E759/Data!$D759)*60)*1.2,AND(Data!$E759&gt;=16,Data!$E759&lt;=19),((Data!$E759/Data!$D759)*60)*1.5,Data!$E759&gt;=20,((Data!$E759/Data!$D759)*60)*1.8)</f>
        <v>18.94736842105263</v>
      </c>
      <c r="AT759" s="23" cm="1">
        <f t="array" ref="AT759">_xlfn.IFS(Data!$F759&lt;600,((Data!$F759/Data!$D759)*60)*1,AND(Data!$F759&gt;=600,Data!$F759&lt;=625),((Data!$F759/Data!$D759)*60)*1.2,AND(Data!$F759&gt;=626,Data!$F759&lt;=650),((Data!$F759/Data!$D759)*60)*1.5,Data!$F759&gt;=651,((Data!$F759/Data!$D759)*60)*1.8)</f>
        <v>997.89473684210532</v>
      </c>
      <c r="AU759" s="23">
        <f>(Data!$I759*-1.2)+(Data!$J759*-1.1)+(Data!$K759*1.2)+(Data!$L759*1.3)+(Data!$M759*1.5)</f>
        <v>-0.30000000000000426</v>
      </c>
      <c r="AV759" s="23">
        <f>(Data!$AS759*0.4)+(Data!$AT759*0.4)+(Data!$AU759*0.2)</f>
        <v>406.67684210526318</v>
      </c>
      <c r="AW759" s="35">
        <f>PERCENTRANK(AV:AV,Data!$AV759)*100</f>
        <v>55.600000000000009</v>
      </c>
      <c r="AX759" s="23" t="str">
        <f>_xlfn.CONCAT(TEXT(C759,"mmm"),"-",Data!$AE759)</f>
        <v>Feb-2025</v>
      </c>
    </row>
    <row r="760" spans="1:50" ht="17" thickTop="1" thickBot="1" x14ac:dyDescent="0.25">
      <c r="A760" s="28">
        <v>759</v>
      </c>
      <c r="B760" s="29">
        <f t="shared" si="90"/>
        <v>12</v>
      </c>
      <c r="C760" s="41">
        <v>45706</v>
      </c>
      <c r="D760" s="30">
        <f>SUM(Data!$I760:$M760)</f>
        <v>59</v>
      </c>
      <c r="E760" s="29">
        <v>14</v>
      </c>
      <c r="F760" s="29">
        <v>621</v>
      </c>
      <c r="G760" s="29">
        <v>168</v>
      </c>
      <c r="H760" s="29">
        <v>122</v>
      </c>
      <c r="I760" s="29">
        <v>19</v>
      </c>
      <c r="J760" s="29">
        <v>15</v>
      </c>
      <c r="K760" s="29">
        <v>11</v>
      </c>
      <c r="L760" s="29">
        <v>13</v>
      </c>
      <c r="M760" s="29">
        <v>1</v>
      </c>
      <c r="N760" s="29" t="s">
        <v>125</v>
      </c>
      <c r="O760" s="29" t="s">
        <v>127</v>
      </c>
      <c r="P760" s="29" t="s">
        <v>220</v>
      </c>
      <c r="Q760" s="29">
        <f t="shared" si="96"/>
        <v>1</v>
      </c>
      <c r="R760" s="29" t="str">
        <f t="shared" si="91"/>
        <v>2-2025</v>
      </c>
      <c r="S760" s="29" t="s">
        <v>104</v>
      </c>
      <c r="T760" s="29" t="str">
        <f t="shared" si="92"/>
        <v>Tuesday</v>
      </c>
      <c r="U760" s="29">
        <f t="shared" si="93"/>
        <v>1</v>
      </c>
      <c r="V760" s="31">
        <f>IFERROR(Data!$I760/Data!$D760,"")</f>
        <v>0.32203389830508472</v>
      </c>
      <c r="W760" s="31">
        <f>IFERROR(Data!$J760/Data!$D760,"")</f>
        <v>0.25423728813559321</v>
      </c>
      <c r="X760" s="31">
        <f>IFERROR(Data!$K760/Data!$D760,"")</f>
        <v>0.1864406779661017</v>
      </c>
      <c r="Y760" s="31">
        <f>IFERROR(Data!$L760/Data!$D760,"")</f>
        <v>0.22033898305084745</v>
      </c>
      <c r="Z760" s="31">
        <f>IFERROR(Data!$M760/Data!$D760,"")</f>
        <v>1.6949152542372881E-2</v>
      </c>
      <c r="AA760" s="32">
        <v>169</v>
      </c>
      <c r="AB760" s="32">
        <f t="shared" si="97"/>
        <v>14.083333333333334</v>
      </c>
      <c r="AC760" s="29">
        <f t="shared" si="94"/>
        <v>628.33333333333337</v>
      </c>
      <c r="AD760" s="29">
        <f t="shared" si="95"/>
        <v>14.416666666666666</v>
      </c>
      <c r="AE760" s="29">
        <f>YEAR(Data!$C760)</f>
        <v>2025</v>
      </c>
      <c r="AF760" s="29"/>
      <c r="AG760" s="29">
        <v>12</v>
      </c>
      <c r="AH760" s="33">
        <f>Data!$F760/Data!$D760</f>
        <v>10.525423728813559</v>
      </c>
      <c r="AI760" s="17" t="str">
        <f>RIGHT(Data!$O760,2)</f>
        <v>PM</v>
      </c>
      <c r="AJ760" s="29" t="str">
        <f>Data!$R760&amp;"-"&amp;WEEKNUM(Data!$C760,1)-WEEKNUM(DATE(YEAR(Data!$C760),MONTH(Data!$C760),1),1)+1</f>
        <v>2-2025-4</v>
      </c>
      <c r="AK760" s="29">
        <f>MONTH(Data!$C760)</f>
        <v>2</v>
      </c>
      <c r="AL760" s="29">
        <f>IFERROR(Data!$F760/Data!$E760,0)</f>
        <v>44.357142857142854</v>
      </c>
      <c r="AM760" s="29">
        <f>COUNTIF(Data!$N$2:$N$825,Data!$N760)</f>
        <v>182</v>
      </c>
      <c r="AN760" s="29" t="str">
        <f>VLOOKUP(Data!$N760,'Helpful Tables'!A:D,4,FALSE)</f>
        <v>Oregon</v>
      </c>
      <c r="AO760" s="29">
        <f>COUNTIF(AN:AN,Data!$AN760)/COUNTA(AN:AN)</f>
        <v>0.27393939393939393</v>
      </c>
      <c r="AP760" s="29">
        <v>45.534162000000002</v>
      </c>
      <c r="AQ760" s="29">
        <v>-122.69670000000001</v>
      </c>
      <c r="AR760" s="29">
        <f>COUNTIF(Data!$P$2:$P$825,Data!$P760)</f>
        <v>43</v>
      </c>
      <c r="AS760" s="29" cm="1">
        <f t="array" ref="AS760">_xlfn.IFS(Data!$E760&lt;12,((Data!$E760/Data!$D760)*60)*1,AND(Data!$E760&gt;=12,Data!$E760&lt;=15),((Data!$E760/Data!$D760)*60)*1.2,AND(Data!$E760&gt;=16,Data!$E760&lt;=19),((Data!$E760/Data!$D760)*60)*1.5,Data!$E760&gt;=20,((Data!$E760/Data!$D760)*60)*1.8)</f>
        <v>17.084745762711865</v>
      </c>
      <c r="AT760" s="29" cm="1">
        <f t="array" ref="AT760">_xlfn.IFS(Data!$F760&lt;600,((Data!$F760/Data!$D760)*60)*1,AND(Data!$F760&gt;=600,Data!$F760&lt;=625),((Data!$F760/Data!$D760)*60)*1.2,AND(Data!$F760&gt;=626,Data!$F760&lt;=650),((Data!$F760/Data!$D760)*60)*1.5,Data!$F760&gt;=651,((Data!$F760/Data!$D760)*60)*1.8)</f>
        <v>757.83050847457616</v>
      </c>
      <c r="AU760" s="29">
        <f>(Data!$I760*-1.2)+(Data!$J760*-1.1)+(Data!$K760*1.2)+(Data!$L760*1.3)+(Data!$M760*1.5)</f>
        <v>-7.6999999999999957</v>
      </c>
      <c r="AV760" s="29">
        <f>(Data!$AS760*0.4)+(Data!$AT760*0.4)+(Data!$AU760*0.2)</f>
        <v>308.42610169491519</v>
      </c>
      <c r="AW760" s="34">
        <f>PERCENTRANK(AV:AV,Data!$AV760)*100</f>
        <v>30.4</v>
      </c>
      <c r="AX760" s="29" t="str">
        <f>_xlfn.CONCAT(TEXT(C760,"mmm"),"-",Data!$AE760)</f>
        <v>Feb-2025</v>
      </c>
    </row>
    <row r="761" spans="1:50" ht="17" thickTop="1" thickBot="1" x14ac:dyDescent="0.25">
      <c r="A761" s="22">
        <v>760</v>
      </c>
      <c r="B761" s="23">
        <f t="shared" si="90"/>
        <v>12</v>
      </c>
      <c r="C761" s="41">
        <v>45712</v>
      </c>
      <c r="D761" s="24">
        <f>SUM(Data!$I761:$M761)</f>
        <v>61</v>
      </c>
      <c r="E761" s="23">
        <v>15</v>
      </c>
      <c r="F761" s="23">
        <v>641</v>
      </c>
      <c r="G761" s="23">
        <v>167</v>
      </c>
      <c r="H761" s="23">
        <v>124</v>
      </c>
      <c r="I761" s="23">
        <v>20</v>
      </c>
      <c r="J761" s="23">
        <v>12</v>
      </c>
      <c r="K761" s="23">
        <v>14</v>
      </c>
      <c r="L761" s="23">
        <v>13</v>
      </c>
      <c r="M761" s="23">
        <v>2</v>
      </c>
      <c r="N761" s="23" t="s">
        <v>125</v>
      </c>
      <c r="O761" s="23" t="s">
        <v>127</v>
      </c>
      <c r="P761" s="23" t="s">
        <v>218</v>
      </c>
      <c r="Q761" s="23">
        <f t="shared" si="96"/>
        <v>6</v>
      </c>
      <c r="R761" s="23" t="str">
        <f t="shared" si="91"/>
        <v>2-2025</v>
      </c>
      <c r="S761" s="23" t="s">
        <v>104</v>
      </c>
      <c r="T761" s="23" t="str">
        <f t="shared" si="92"/>
        <v>Monday</v>
      </c>
      <c r="U761" s="23">
        <f t="shared" si="93"/>
        <v>1</v>
      </c>
      <c r="V761" s="25">
        <f>IFERROR(Data!$I761/Data!$D761,"")</f>
        <v>0.32786885245901637</v>
      </c>
      <c r="W761" s="25">
        <f>IFERROR(Data!$J761/Data!$D761,"")</f>
        <v>0.19672131147540983</v>
      </c>
      <c r="X761" s="25">
        <f>IFERROR(Data!$K761/Data!$D761,"")</f>
        <v>0.22950819672131148</v>
      </c>
      <c r="Y761" s="25">
        <f>IFERROR(Data!$L761/Data!$D761,"")</f>
        <v>0.21311475409836064</v>
      </c>
      <c r="Z761" s="25">
        <f>IFERROR(Data!$M761/Data!$D761,"")</f>
        <v>3.2786885245901641E-2</v>
      </c>
      <c r="AA761" s="26">
        <v>169</v>
      </c>
      <c r="AB761" s="26">
        <f t="shared" si="97"/>
        <v>14.083333333333334</v>
      </c>
      <c r="AC761" s="23">
        <f t="shared" si="94"/>
        <v>628.33333333333337</v>
      </c>
      <c r="AD761" s="23">
        <f t="shared" si="95"/>
        <v>14.416666666666666</v>
      </c>
      <c r="AE761" s="23">
        <f>YEAR(Data!$C761)</f>
        <v>2025</v>
      </c>
      <c r="AF761" s="23"/>
      <c r="AG761" s="23">
        <v>12</v>
      </c>
      <c r="AH761" s="27">
        <f>Data!$F761/Data!$D761</f>
        <v>10.508196721311476</v>
      </c>
      <c r="AI761" s="17" t="str">
        <f>RIGHT(Data!$O761,2)</f>
        <v>PM</v>
      </c>
      <c r="AJ761" s="23" t="str">
        <f>Data!$R761&amp;"-"&amp;WEEKNUM(Data!$C761,1)-WEEKNUM(DATE(YEAR(Data!$C761),MONTH(Data!$C761),1),1)+1</f>
        <v>2-2025-5</v>
      </c>
      <c r="AK761" s="23">
        <f>MONTH(Data!$C761)</f>
        <v>2</v>
      </c>
      <c r="AL761" s="23">
        <f>IFERROR(Data!$F761/Data!$E761,0)</f>
        <v>42.733333333333334</v>
      </c>
      <c r="AM761" s="23">
        <f>COUNTIF(Data!$N$2:$N$825,Data!$N761)</f>
        <v>182</v>
      </c>
      <c r="AN761" s="23" t="str">
        <f>VLOOKUP(Data!$N761,'Helpful Tables'!A:D,4,FALSE)</f>
        <v>Oregon</v>
      </c>
      <c r="AO761" s="23">
        <f>COUNTIF(AN:AN,Data!$AN761)/COUNTA(AN:AN)</f>
        <v>0.27393939393939393</v>
      </c>
      <c r="AP761" s="23">
        <v>45.534162000000002</v>
      </c>
      <c r="AQ761" s="23">
        <v>-122.69670000000001</v>
      </c>
      <c r="AR761" s="23">
        <f>COUNTIF(Data!$P$2:$P$825,Data!$P761)</f>
        <v>9</v>
      </c>
      <c r="AS761" s="23" cm="1">
        <f t="array" ref="AS761">_xlfn.IFS(Data!$E761&lt;12,((Data!$E761/Data!$D761)*60)*1,AND(Data!$E761&gt;=12,Data!$E761&lt;=15),((Data!$E761/Data!$D761)*60)*1.2,AND(Data!$E761&gt;=16,Data!$E761&lt;=19),((Data!$E761/Data!$D761)*60)*1.5,Data!$E761&gt;=20,((Data!$E761/Data!$D761)*60)*1.8)</f>
        <v>17.704918032786885</v>
      </c>
      <c r="AT761" s="23" cm="1">
        <f t="array" ref="AT761">_xlfn.IFS(Data!$F761&lt;600,((Data!$F761/Data!$D761)*60)*1,AND(Data!$F761&gt;=600,Data!$F761&lt;=625),((Data!$F761/Data!$D761)*60)*1.2,AND(Data!$F761&gt;=626,Data!$F761&lt;=650),((Data!$F761/Data!$D761)*60)*1.5,Data!$F761&gt;=651,((Data!$F761/Data!$D761)*60)*1.8)</f>
        <v>945.73770491803293</v>
      </c>
      <c r="AU761" s="23">
        <f>(Data!$I761*-1.2)+(Data!$J761*-1.1)+(Data!$K761*1.2)+(Data!$L761*1.3)+(Data!$M761*1.5)</f>
        <v>-0.5</v>
      </c>
      <c r="AV761" s="23">
        <f>(Data!$AS761*0.4)+(Data!$AT761*0.4)+(Data!$AU761*0.2)</f>
        <v>385.27704918032794</v>
      </c>
      <c r="AW761" s="35">
        <f>PERCENTRANK(AV:AV,Data!$AV761)*100</f>
        <v>46.6</v>
      </c>
      <c r="AX761" s="23" t="str">
        <f>_xlfn.CONCAT(TEXT(C761,"mmm"),"-",Data!$AE761)</f>
        <v>Feb-2025</v>
      </c>
    </row>
    <row r="762" spans="1:50" ht="17" thickTop="1" thickBot="1" x14ac:dyDescent="0.25">
      <c r="A762" s="28">
        <v>761</v>
      </c>
      <c r="B762" s="29">
        <f t="shared" si="90"/>
        <v>12</v>
      </c>
      <c r="C762" s="41">
        <v>45713</v>
      </c>
      <c r="D762" s="30">
        <f>SUM(Data!$I762:$M762)</f>
        <v>57</v>
      </c>
      <c r="E762" s="29">
        <v>14</v>
      </c>
      <c r="F762" s="29">
        <v>615</v>
      </c>
      <c r="G762" s="29">
        <v>167</v>
      </c>
      <c r="H762" s="29">
        <v>125</v>
      </c>
      <c r="I762" s="29">
        <v>15</v>
      </c>
      <c r="J762" s="29">
        <v>14</v>
      </c>
      <c r="K762" s="29">
        <v>14</v>
      </c>
      <c r="L762" s="29">
        <v>13</v>
      </c>
      <c r="M762" s="29">
        <v>1</v>
      </c>
      <c r="N762" s="29" t="s">
        <v>125</v>
      </c>
      <c r="O762" s="29" t="s">
        <v>127</v>
      </c>
      <c r="P762" s="29" t="s">
        <v>220</v>
      </c>
      <c r="Q762" s="29">
        <f t="shared" si="96"/>
        <v>1</v>
      </c>
      <c r="R762" s="29" t="str">
        <f t="shared" si="91"/>
        <v>2-2025</v>
      </c>
      <c r="S762" s="29" t="s">
        <v>104</v>
      </c>
      <c r="T762" s="29" t="str">
        <f t="shared" si="92"/>
        <v>Tuesday</v>
      </c>
      <c r="U762" s="29">
        <f t="shared" si="93"/>
        <v>1</v>
      </c>
      <c r="V762" s="31">
        <f>IFERROR(Data!$I762/Data!$D762,"")</f>
        <v>0.26315789473684209</v>
      </c>
      <c r="W762" s="31">
        <f>IFERROR(Data!$J762/Data!$D762,"")</f>
        <v>0.24561403508771928</v>
      </c>
      <c r="X762" s="31">
        <f>IFERROR(Data!$K762/Data!$D762,"")</f>
        <v>0.24561403508771928</v>
      </c>
      <c r="Y762" s="31">
        <f>IFERROR(Data!$L762/Data!$D762,"")</f>
        <v>0.22807017543859648</v>
      </c>
      <c r="Z762" s="31">
        <f>IFERROR(Data!$M762/Data!$D762,"")</f>
        <v>1.7543859649122806E-2</v>
      </c>
      <c r="AA762" s="32">
        <v>169</v>
      </c>
      <c r="AB762" s="32">
        <f t="shared" si="97"/>
        <v>14.083333333333334</v>
      </c>
      <c r="AC762" s="29">
        <f t="shared" si="94"/>
        <v>628.33333333333337</v>
      </c>
      <c r="AD762" s="29">
        <f t="shared" si="95"/>
        <v>14.416666666666666</v>
      </c>
      <c r="AE762" s="29">
        <f>YEAR(Data!$C762)</f>
        <v>2025</v>
      </c>
      <c r="AF762" s="29"/>
      <c r="AG762" s="29">
        <v>12</v>
      </c>
      <c r="AH762" s="33">
        <f>Data!$F762/Data!$D762</f>
        <v>10.789473684210526</v>
      </c>
      <c r="AI762" s="17" t="str">
        <f>RIGHT(Data!$O762,2)</f>
        <v>PM</v>
      </c>
      <c r="AJ762" s="29" t="str">
        <f>Data!$R762&amp;"-"&amp;WEEKNUM(Data!$C762,1)-WEEKNUM(DATE(YEAR(Data!$C762),MONTH(Data!$C762),1),1)+1</f>
        <v>2-2025-5</v>
      </c>
      <c r="AK762" s="29">
        <f>MONTH(Data!$C762)</f>
        <v>2</v>
      </c>
      <c r="AL762" s="29">
        <f>IFERROR(Data!$F762/Data!$E762,0)</f>
        <v>43.928571428571431</v>
      </c>
      <c r="AM762" s="29">
        <f>COUNTIF(Data!$N$2:$N$825,Data!$N762)</f>
        <v>182</v>
      </c>
      <c r="AN762" s="29" t="str">
        <f>VLOOKUP(Data!$N762,'Helpful Tables'!A:D,4,FALSE)</f>
        <v>Oregon</v>
      </c>
      <c r="AO762" s="29">
        <f>COUNTIF(AN:AN,Data!$AN762)/COUNTA(AN:AN)</f>
        <v>0.27393939393939393</v>
      </c>
      <c r="AP762" s="29">
        <v>45.534162000000002</v>
      </c>
      <c r="AQ762" s="29">
        <v>-122.69670000000001</v>
      </c>
      <c r="AR762" s="29">
        <f>COUNTIF(Data!$P$2:$P$825,Data!$P762)</f>
        <v>43</v>
      </c>
      <c r="AS762" s="29" cm="1">
        <f t="array" ref="AS762">_xlfn.IFS(Data!$E762&lt;12,((Data!$E762/Data!$D762)*60)*1,AND(Data!$E762&gt;=12,Data!$E762&lt;=15),((Data!$E762/Data!$D762)*60)*1.2,AND(Data!$E762&gt;=16,Data!$E762&lt;=19),((Data!$E762/Data!$D762)*60)*1.5,Data!$E762&gt;=20,((Data!$E762/Data!$D762)*60)*1.8)</f>
        <v>17.684210526315788</v>
      </c>
      <c r="AT762" s="29" cm="1">
        <f t="array" ref="AT762">_xlfn.IFS(Data!$F762&lt;600,((Data!$F762/Data!$D762)*60)*1,AND(Data!$F762&gt;=600,Data!$F762&lt;=625),((Data!$F762/Data!$D762)*60)*1.2,AND(Data!$F762&gt;=626,Data!$F762&lt;=650),((Data!$F762/Data!$D762)*60)*1.5,Data!$F762&gt;=651,((Data!$F762/Data!$D762)*60)*1.8)</f>
        <v>776.8421052631578</v>
      </c>
      <c r="AU762" s="29">
        <f>(Data!$I762*-1.2)+(Data!$J762*-1.1)+(Data!$K762*1.2)+(Data!$L762*1.3)+(Data!$M762*1.5)</f>
        <v>1.7999999999999972</v>
      </c>
      <c r="AV762" s="29">
        <f>(Data!$AS762*0.4)+(Data!$AT762*0.4)+(Data!$AU762*0.2)</f>
        <v>318.17052631578946</v>
      </c>
      <c r="AW762" s="34">
        <f>PERCENTRANK(AV:AV,Data!$AV762)*100</f>
        <v>36.1</v>
      </c>
      <c r="AX762" s="29" t="str">
        <f>_xlfn.CONCAT(TEXT(C762,"mmm"),"-",Data!$AE762)</f>
        <v>Feb-2025</v>
      </c>
    </row>
    <row r="763" spans="1:50" ht="17" thickTop="1" thickBot="1" x14ac:dyDescent="0.25">
      <c r="A763" s="22">
        <v>762</v>
      </c>
      <c r="B763" s="23">
        <f t="shared" si="90"/>
        <v>16</v>
      </c>
      <c r="C763" s="41">
        <v>45717</v>
      </c>
      <c r="D763" s="24">
        <f>SUM(Data!$I763:$M763)</f>
        <v>57</v>
      </c>
      <c r="E763" s="23">
        <v>18</v>
      </c>
      <c r="F763" s="23">
        <v>670</v>
      </c>
      <c r="G763" s="23">
        <v>167</v>
      </c>
      <c r="H763" s="23">
        <v>129</v>
      </c>
      <c r="I763" s="23">
        <v>14</v>
      </c>
      <c r="J763" s="23">
        <v>11</v>
      </c>
      <c r="K763" s="23">
        <v>14</v>
      </c>
      <c r="L763" s="23">
        <v>14</v>
      </c>
      <c r="M763" s="23">
        <v>4</v>
      </c>
      <c r="N763" s="23" t="s">
        <v>208</v>
      </c>
      <c r="O763" s="23" t="s">
        <v>76</v>
      </c>
      <c r="P763" s="23" t="s">
        <v>213</v>
      </c>
      <c r="Q763" s="23">
        <f t="shared" si="96"/>
        <v>4</v>
      </c>
      <c r="R763" s="23" t="str">
        <f t="shared" si="91"/>
        <v>3-2025</v>
      </c>
      <c r="S763" s="23" t="s">
        <v>104</v>
      </c>
      <c r="T763" s="23" t="str">
        <f t="shared" si="92"/>
        <v>Saturday</v>
      </c>
      <c r="U763" s="23">
        <f t="shared" si="93"/>
        <v>1</v>
      </c>
      <c r="V763" s="25">
        <f>IFERROR(Data!$I763/Data!$D763,"")</f>
        <v>0.24561403508771928</v>
      </c>
      <c r="W763" s="25">
        <f>IFERROR(Data!$J763/Data!$D763,"")</f>
        <v>0.19298245614035087</v>
      </c>
      <c r="X763" s="25">
        <f>IFERROR(Data!$K763/Data!$D763,"")</f>
        <v>0.24561403508771928</v>
      </c>
      <c r="Y763" s="25">
        <f>IFERROR(Data!$L763/Data!$D763,"")</f>
        <v>0.24561403508771928</v>
      </c>
      <c r="Z763" s="25">
        <f>IFERROR(Data!$M763/Data!$D763,"")</f>
        <v>7.0175438596491224E-2</v>
      </c>
      <c r="AA763" s="26">
        <v>169</v>
      </c>
      <c r="AB763" s="26">
        <f t="shared" si="97"/>
        <v>10.5625</v>
      </c>
      <c r="AC763" s="23">
        <f t="shared" si="94"/>
        <v>619.3125</v>
      </c>
      <c r="AD763" s="23">
        <f t="shared" si="95"/>
        <v>13.9375</v>
      </c>
      <c r="AE763" s="23">
        <f>YEAR(Data!$C763)</f>
        <v>2025</v>
      </c>
      <c r="AF763" s="23"/>
      <c r="AG763" s="23">
        <v>12</v>
      </c>
      <c r="AH763" s="27">
        <f>Data!$F763/Data!$D763</f>
        <v>11.754385964912281</v>
      </c>
      <c r="AI763" s="17" t="str">
        <f>RIGHT(Data!$O763,2)</f>
        <v>AM</v>
      </c>
      <c r="AJ763" s="23" t="str">
        <f>Data!$R763&amp;"-"&amp;WEEKNUM(Data!$C763,1)-WEEKNUM(DATE(YEAR(Data!$C763),MONTH(Data!$C763),1),1)+1</f>
        <v>3-2025-1</v>
      </c>
      <c r="AK763" s="23">
        <f>MONTH(Data!$C763)</f>
        <v>3</v>
      </c>
      <c r="AL763" s="23">
        <f>IFERROR(Data!$F763/Data!$E763,0)</f>
        <v>37.222222222222221</v>
      </c>
      <c r="AM763" s="23">
        <f>COUNTIF(Data!$N$2:$N$825,Data!$N763)</f>
        <v>42</v>
      </c>
      <c r="AN763" s="23" t="str">
        <f>VLOOKUP(Data!$N763,'Helpful Tables'!A:D,4,FALSE)</f>
        <v>Oregon</v>
      </c>
      <c r="AO763" s="23">
        <f>COUNTIF(AN:AN,Data!$AN763)/COUNTA(AN:AN)</f>
        <v>0.27393939393939393</v>
      </c>
      <c r="AP763" s="23">
        <v>45.525092999999998</v>
      </c>
      <c r="AQ763" s="23">
        <v>-122.681383</v>
      </c>
      <c r="AR763" s="23">
        <f>COUNTIF(Data!$P$2:$P$825,Data!$P763)</f>
        <v>20</v>
      </c>
      <c r="AS763" s="23" cm="1">
        <f t="array" ref="AS763">_xlfn.IFS(Data!$E763&lt;12,((Data!$E763/Data!$D763)*60)*1,AND(Data!$E763&gt;=12,Data!$E763&lt;=15),((Data!$E763/Data!$D763)*60)*1.2,AND(Data!$E763&gt;=16,Data!$E763&lt;=19),((Data!$E763/Data!$D763)*60)*1.5,Data!$E763&gt;=20,((Data!$E763/Data!$D763)*60)*1.8)</f>
        <v>28.421052631578945</v>
      </c>
      <c r="AT763" s="23" cm="1">
        <f t="array" ref="AT763">_xlfn.IFS(Data!$F763&lt;600,((Data!$F763/Data!$D763)*60)*1,AND(Data!$F763&gt;=600,Data!$F763&lt;=625),((Data!$F763/Data!$D763)*60)*1.2,AND(Data!$F763&gt;=626,Data!$F763&lt;=650),((Data!$F763/Data!$D763)*60)*1.5,Data!$F763&gt;=651,((Data!$F763/Data!$D763)*60)*1.8)</f>
        <v>1269.4736842105265</v>
      </c>
      <c r="AU763" s="23">
        <f>(Data!$I763*-1.2)+(Data!$J763*-1.1)+(Data!$K763*1.2)+(Data!$L763*1.3)+(Data!$M763*1.5)</f>
        <v>12.099999999999998</v>
      </c>
      <c r="AV763" s="23">
        <f>(Data!$AS763*0.4)+(Data!$AT763*0.4)+(Data!$AU763*0.2)</f>
        <v>521.57789473684215</v>
      </c>
      <c r="AW763" s="35">
        <f>PERCENTRANK(AV:AV,Data!$AV763)*100</f>
        <v>90.2</v>
      </c>
      <c r="AX763" s="23" t="str">
        <f>_xlfn.CONCAT(TEXT(C763,"mmm"),"-",Data!$AE763)</f>
        <v>Mar-2025</v>
      </c>
    </row>
    <row r="764" spans="1:50" ht="17" thickTop="1" thickBot="1" x14ac:dyDescent="0.25">
      <c r="A764" s="28">
        <v>763</v>
      </c>
      <c r="B764" s="29">
        <f t="shared" si="90"/>
        <v>16</v>
      </c>
      <c r="C764" s="41">
        <v>45718</v>
      </c>
      <c r="D764" s="30">
        <f>SUM(Data!$I764:$M764)</f>
        <v>58</v>
      </c>
      <c r="E764" s="29">
        <v>16</v>
      </c>
      <c r="F764" s="29">
        <v>625</v>
      </c>
      <c r="G764" s="29">
        <v>163</v>
      </c>
      <c r="H764" s="29">
        <v>124</v>
      </c>
      <c r="I764" s="29">
        <v>16</v>
      </c>
      <c r="J764" s="29">
        <v>15</v>
      </c>
      <c r="K764" s="29">
        <v>11</v>
      </c>
      <c r="L764" s="29">
        <v>16</v>
      </c>
      <c r="M764" s="29">
        <v>0</v>
      </c>
      <c r="N764" s="29" t="s">
        <v>125</v>
      </c>
      <c r="O764" s="29" t="s">
        <v>79</v>
      </c>
      <c r="P764" s="29" t="s">
        <v>222</v>
      </c>
      <c r="Q764" s="29">
        <f t="shared" si="96"/>
        <v>1</v>
      </c>
      <c r="R764" s="29" t="str">
        <f t="shared" si="91"/>
        <v>3-2025</v>
      </c>
      <c r="S764" s="29" t="s">
        <v>104</v>
      </c>
      <c r="T764" s="29" t="str">
        <f t="shared" si="92"/>
        <v>Sunday</v>
      </c>
      <c r="U764" s="29">
        <f t="shared" si="93"/>
        <v>1</v>
      </c>
      <c r="V764" s="31">
        <f>IFERROR(Data!$I764/Data!$D764,"")</f>
        <v>0.27586206896551724</v>
      </c>
      <c r="W764" s="31">
        <f>IFERROR(Data!$J764/Data!$D764,"")</f>
        <v>0.25862068965517243</v>
      </c>
      <c r="X764" s="31">
        <f>IFERROR(Data!$K764/Data!$D764,"")</f>
        <v>0.18965517241379309</v>
      </c>
      <c r="Y764" s="31">
        <f>IFERROR(Data!$L764/Data!$D764,"")</f>
        <v>0.27586206896551724</v>
      </c>
      <c r="Z764" s="31">
        <f>IFERROR(Data!$M764/Data!$D764,"")</f>
        <v>0</v>
      </c>
      <c r="AA764" s="32">
        <v>169</v>
      </c>
      <c r="AB764" s="32">
        <f t="shared" si="97"/>
        <v>10.5625</v>
      </c>
      <c r="AC764" s="29">
        <f t="shared" si="94"/>
        <v>619.3125</v>
      </c>
      <c r="AD764" s="29">
        <f t="shared" si="95"/>
        <v>13.9375</v>
      </c>
      <c r="AE764" s="29">
        <f>YEAR(Data!$C764)</f>
        <v>2025</v>
      </c>
      <c r="AF764" s="29"/>
      <c r="AG764" s="29">
        <v>12</v>
      </c>
      <c r="AH764" s="33">
        <f>Data!$F764/Data!$D764</f>
        <v>10.775862068965518</v>
      </c>
      <c r="AI764" s="17" t="str">
        <f>RIGHT(Data!$O764,2)</f>
        <v>AM</v>
      </c>
      <c r="AJ764" s="29" t="str">
        <f>Data!$R764&amp;"-"&amp;WEEKNUM(Data!$C764,1)-WEEKNUM(DATE(YEAR(Data!$C764),MONTH(Data!$C764),1),1)+1</f>
        <v>3-2025-2</v>
      </c>
      <c r="AK764" s="29">
        <f>MONTH(Data!$C764)</f>
        <v>3</v>
      </c>
      <c r="AL764" s="29">
        <f>IFERROR(Data!$F764/Data!$E764,0)</f>
        <v>39.0625</v>
      </c>
      <c r="AM764" s="29">
        <f>COUNTIF(Data!$N$2:$N$825,Data!$N764)</f>
        <v>182</v>
      </c>
      <c r="AN764" s="29" t="str">
        <f>VLOOKUP(Data!$N764,'Helpful Tables'!A:D,4,FALSE)</f>
        <v>Oregon</v>
      </c>
      <c r="AO764" s="29">
        <f>COUNTIF(AN:AN,Data!$AN764)/COUNTA(AN:AN)</f>
        <v>0.27393939393939393</v>
      </c>
      <c r="AP764" s="29">
        <v>45.534162000000002</v>
      </c>
      <c r="AQ764" s="29">
        <v>-122.69670000000001</v>
      </c>
      <c r="AR764" s="29">
        <f>COUNTIF(Data!$P$2:$P$825,Data!$P764)</f>
        <v>32</v>
      </c>
      <c r="AS764" s="29" cm="1">
        <f t="array" ref="AS764">_xlfn.IFS(Data!$E764&lt;12,((Data!$E764/Data!$D764)*60)*1,AND(Data!$E764&gt;=12,Data!$E764&lt;=15),((Data!$E764/Data!$D764)*60)*1.2,AND(Data!$E764&gt;=16,Data!$E764&lt;=19),((Data!$E764/Data!$D764)*60)*1.5,Data!$E764&gt;=20,((Data!$E764/Data!$D764)*60)*1.8)</f>
        <v>24.827586206896555</v>
      </c>
      <c r="AT764" s="29" cm="1">
        <f t="array" ref="AT764">_xlfn.IFS(Data!$F764&lt;600,((Data!$F764/Data!$D764)*60)*1,AND(Data!$F764&gt;=600,Data!$F764&lt;=625),((Data!$F764/Data!$D764)*60)*1.2,AND(Data!$F764&gt;=626,Data!$F764&lt;=650),((Data!$F764/Data!$D764)*60)*1.5,Data!$F764&gt;=651,((Data!$F764/Data!$D764)*60)*1.8)</f>
        <v>775.86206896551721</v>
      </c>
      <c r="AU764" s="29">
        <f>(Data!$I764*-1.2)+(Data!$J764*-1.1)+(Data!$K764*1.2)+(Data!$L764*1.3)+(Data!$M764*1.5)</f>
        <v>-1.7000000000000028</v>
      </c>
      <c r="AV764" s="29">
        <f>(Data!$AS764*0.4)+(Data!$AT764*0.4)+(Data!$AU764*0.2)</f>
        <v>319.93586206896555</v>
      </c>
      <c r="AW764" s="34">
        <f>PERCENTRANK(AV:AV,Data!$AV764)*100</f>
        <v>37.5</v>
      </c>
      <c r="AX764" s="29" t="str">
        <f>_xlfn.CONCAT(TEXT(C764,"mmm"),"-",Data!$AE764)</f>
        <v>Mar-2025</v>
      </c>
    </row>
    <row r="765" spans="1:50" ht="17" thickTop="1" thickBot="1" x14ac:dyDescent="0.25">
      <c r="A765" s="22">
        <v>764</v>
      </c>
      <c r="B765" s="23">
        <f t="shared" si="90"/>
        <v>16</v>
      </c>
      <c r="C765" s="41">
        <v>45720</v>
      </c>
      <c r="D765" s="24">
        <f>SUM(Data!$I765:$M765)</f>
        <v>60</v>
      </c>
      <c r="E765" s="23">
        <v>14</v>
      </c>
      <c r="F765" s="23">
        <v>647</v>
      </c>
      <c r="G765" s="23">
        <v>159</v>
      </c>
      <c r="H765" s="23">
        <v>124</v>
      </c>
      <c r="I765" s="23">
        <v>14</v>
      </c>
      <c r="J765" s="23">
        <v>18</v>
      </c>
      <c r="K765" s="23">
        <v>14</v>
      </c>
      <c r="L765" s="23">
        <v>14</v>
      </c>
      <c r="M765" s="23">
        <v>0</v>
      </c>
      <c r="N765" s="23" t="s">
        <v>125</v>
      </c>
      <c r="O765" s="23" t="s">
        <v>127</v>
      </c>
      <c r="P765" s="23" t="s">
        <v>220</v>
      </c>
      <c r="Q765" s="23">
        <f t="shared" si="96"/>
        <v>2</v>
      </c>
      <c r="R765" s="23" t="str">
        <f t="shared" si="91"/>
        <v>3-2025</v>
      </c>
      <c r="S765" s="23" t="s">
        <v>104</v>
      </c>
      <c r="T765" s="23" t="str">
        <f t="shared" si="92"/>
        <v>Tuesday</v>
      </c>
      <c r="U765" s="23">
        <f t="shared" si="93"/>
        <v>1</v>
      </c>
      <c r="V765" s="25">
        <f>IFERROR(Data!$I765/Data!$D765,"")</f>
        <v>0.23333333333333334</v>
      </c>
      <c r="W765" s="25">
        <f>IFERROR(Data!$J765/Data!$D765,"")</f>
        <v>0.3</v>
      </c>
      <c r="X765" s="25">
        <f>IFERROR(Data!$K765/Data!$D765,"")</f>
        <v>0.23333333333333334</v>
      </c>
      <c r="Y765" s="25">
        <f>IFERROR(Data!$L765/Data!$D765,"")</f>
        <v>0.23333333333333334</v>
      </c>
      <c r="Z765" s="25">
        <f>IFERROR(Data!$M765/Data!$D765,"")</f>
        <v>0</v>
      </c>
      <c r="AA765" s="26">
        <v>169</v>
      </c>
      <c r="AB765" s="26">
        <f t="shared" si="97"/>
        <v>10.5625</v>
      </c>
      <c r="AC765" s="23">
        <f t="shared" si="94"/>
        <v>619.3125</v>
      </c>
      <c r="AD765" s="23">
        <f t="shared" si="95"/>
        <v>13.9375</v>
      </c>
      <c r="AE765" s="23">
        <f>YEAR(Data!$C765)</f>
        <v>2025</v>
      </c>
      <c r="AF765" s="23"/>
      <c r="AG765" s="23">
        <v>12</v>
      </c>
      <c r="AH765" s="27">
        <f>Data!$F765/Data!$D765</f>
        <v>10.783333333333333</v>
      </c>
      <c r="AI765" s="17" t="str">
        <f>RIGHT(Data!$O765,2)</f>
        <v>PM</v>
      </c>
      <c r="AJ765" s="23" t="str">
        <f>Data!$R765&amp;"-"&amp;WEEKNUM(Data!$C765,1)-WEEKNUM(DATE(YEAR(Data!$C765),MONTH(Data!$C765),1),1)+1</f>
        <v>3-2025-2</v>
      </c>
      <c r="AK765" s="23">
        <f>MONTH(Data!$C765)</f>
        <v>3</v>
      </c>
      <c r="AL765" s="23">
        <f>IFERROR(Data!$F765/Data!$E765,0)</f>
        <v>46.214285714285715</v>
      </c>
      <c r="AM765" s="23">
        <f>COUNTIF(Data!$N$2:$N$825,Data!$N765)</f>
        <v>182</v>
      </c>
      <c r="AN765" s="23" t="str">
        <f>VLOOKUP(Data!$N765,'Helpful Tables'!A:D,4,FALSE)</f>
        <v>Oregon</v>
      </c>
      <c r="AO765" s="23">
        <f>COUNTIF(AN:AN,Data!$AN765)/COUNTA(AN:AN)</f>
        <v>0.27393939393939393</v>
      </c>
      <c r="AP765" s="23">
        <v>45.534162000000002</v>
      </c>
      <c r="AQ765" s="23">
        <v>-122.69670000000001</v>
      </c>
      <c r="AR765" s="23">
        <f>COUNTIF(Data!$P$2:$P$825,Data!$P765)</f>
        <v>43</v>
      </c>
      <c r="AS765" s="23" cm="1">
        <f t="array" ref="AS765">_xlfn.IFS(Data!$E765&lt;12,((Data!$E765/Data!$D765)*60)*1,AND(Data!$E765&gt;=12,Data!$E765&lt;=15),((Data!$E765/Data!$D765)*60)*1.2,AND(Data!$E765&gt;=16,Data!$E765&lt;=19),((Data!$E765/Data!$D765)*60)*1.5,Data!$E765&gt;=20,((Data!$E765/Data!$D765)*60)*1.8)</f>
        <v>16.8</v>
      </c>
      <c r="AT765" s="23" cm="1">
        <f t="array" ref="AT765">_xlfn.IFS(Data!$F765&lt;600,((Data!$F765/Data!$D765)*60)*1,AND(Data!$F765&gt;=600,Data!$F765&lt;=625),((Data!$F765/Data!$D765)*60)*1.2,AND(Data!$F765&gt;=626,Data!$F765&lt;=650),((Data!$F765/Data!$D765)*60)*1.5,Data!$F765&gt;=651,((Data!$F765/Data!$D765)*60)*1.8)</f>
        <v>970.5</v>
      </c>
      <c r="AU765" s="23">
        <f>(Data!$I765*-1.2)+(Data!$J765*-1.1)+(Data!$K765*1.2)+(Data!$L765*1.3)+(Data!$M765*1.5)</f>
        <v>-1.6000000000000014</v>
      </c>
      <c r="AV765" s="23">
        <f>(Data!$AS765*0.4)+(Data!$AT765*0.4)+(Data!$AU765*0.2)</f>
        <v>394.60000000000008</v>
      </c>
      <c r="AW765" s="35">
        <f>PERCENTRANK(AV:AV,Data!$AV765)*100</f>
        <v>49.2</v>
      </c>
      <c r="AX765" s="23" t="str">
        <f>_xlfn.CONCAT(TEXT(C765,"mmm"),"-",Data!$AE765)</f>
        <v>Mar-2025</v>
      </c>
    </row>
    <row r="766" spans="1:50" ht="17" thickTop="1" thickBot="1" x14ac:dyDescent="0.25">
      <c r="A766" s="28">
        <v>765</v>
      </c>
      <c r="B766" s="29">
        <f t="shared" si="90"/>
        <v>16</v>
      </c>
      <c r="C766" s="41">
        <v>45722</v>
      </c>
      <c r="D766" s="30">
        <f>SUM(Data!$I766:$M766)</f>
        <v>58</v>
      </c>
      <c r="E766" s="29">
        <v>17</v>
      </c>
      <c r="F766" s="29">
        <v>648</v>
      </c>
      <c r="G766" s="29">
        <v>166</v>
      </c>
      <c r="H766" s="29">
        <v>128</v>
      </c>
      <c r="I766" s="29">
        <v>8</v>
      </c>
      <c r="J766" s="29">
        <v>23</v>
      </c>
      <c r="K766" s="29">
        <v>10</v>
      </c>
      <c r="L766" s="29">
        <v>16</v>
      </c>
      <c r="M766" s="29">
        <v>1</v>
      </c>
      <c r="N766" s="29" t="s">
        <v>125</v>
      </c>
      <c r="O766" s="29" t="s">
        <v>127</v>
      </c>
      <c r="P766" s="29" t="s">
        <v>222</v>
      </c>
      <c r="Q766" s="29">
        <f t="shared" si="96"/>
        <v>2</v>
      </c>
      <c r="R766" s="29" t="str">
        <f t="shared" si="91"/>
        <v>3-2025</v>
      </c>
      <c r="S766" s="29" t="s">
        <v>104</v>
      </c>
      <c r="T766" s="29" t="str">
        <f t="shared" si="92"/>
        <v>Thursday</v>
      </c>
      <c r="U766" s="29">
        <f t="shared" si="93"/>
        <v>1</v>
      </c>
      <c r="V766" s="31">
        <f>IFERROR(Data!$I766/Data!$D766,"")</f>
        <v>0.13793103448275862</v>
      </c>
      <c r="W766" s="31">
        <f>IFERROR(Data!$J766/Data!$D766,"")</f>
        <v>0.39655172413793105</v>
      </c>
      <c r="X766" s="31">
        <f>IFERROR(Data!$K766/Data!$D766,"")</f>
        <v>0.17241379310344829</v>
      </c>
      <c r="Y766" s="31">
        <f>IFERROR(Data!$L766/Data!$D766,"")</f>
        <v>0.27586206896551724</v>
      </c>
      <c r="Z766" s="31">
        <f>IFERROR(Data!$M766/Data!$D766,"")</f>
        <v>1.7241379310344827E-2</v>
      </c>
      <c r="AA766" s="32">
        <v>169</v>
      </c>
      <c r="AB766" s="32">
        <f t="shared" si="97"/>
        <v>10.5625</v>
      </c>
      <c r="AC766" s="29">
        <f t="shared" si="94"/>
        <v>619.3125</v>
      </c>
      <c r="AD766" s="29">
        <f t="shared" si="95"/>
        <v>13.9375</v>
      </c>
      <c r="AE766" s="29">
        <f>YEAR(Data!$C766)</f>
        <v>2025</v>
      </c>
      <c r="AF766" s="29"/>
      <c r="AG766" s="29">
        <v>12</v>
      </c>
      <c r="AH766" s="33">
        <f>Data!$F766/Data!$D766</f>
        <v>11.172413793103448</v>
      </c>
      <c r="AI766" s="17" t="str">
        <f>RIGHT(Data!$O766,2)</f>
        <v>PM</v>
      </c>
      <c r="AJ766" s="29" t="str">
        <f>Data!$R766&amp;"-"&amp;WEEKNUM(Data!$C766,1)-WEEKNUM(DATE(YEAR(Data!$C766),MONTH(Data!$C766),1),1)+1</f>
        <v>3-2025-2</v>
      </c>
      <c r="AK766" s="29">
        <f>MONTH(Data!$C766)</f>
        <v>3</v>
      </c>
      <c r="AL766" s="29">
        <f>IFERROR(Data!$F766/Data!$E766,0)</f>
        <v>38.117647058823529</v>
      </c>
      <c r="AM766" s="29">
        <f>COUNTIF(Data!$N$2:$N$825,Data!$N766)</f>
        <v>182</v>
      </c>
      <c r="AN766" s="29" t="str">
        <f>VLOOKUP(Data!$N766,'Helpful Tables'!A:D,4,FALSE)</f>
        <v>Oregon</v>
      </c>
      <c r="AO766" s="29">
        <f>COUNTIF(AN:AN,Data!$AN766)/COUNTA(AN:AN)</f>
        <v>0.27393939393939393</v>
      </c>
      <c r="AP766" s="29">
        <v>45.534162000000002</v>
      </c>
      <c r="AQ766" s="29">
        <v>-122.69670000000001</v>
      </c>
      <c r="AR766" s="29">
        <f>COUNTIF(Data!$P$2:$P$825,Data!$P766)</f>
        <v>32</v>
      </c>
      <c r="AS766" s="29" cm="1">
        <f t="array" ref="AS766">_xlfn.IFS(Data!$E766&lt;12,((Data!$E766/Data!$D766)*60)*1,AND(Data!$E766&gt;=12,Data!$E766&lt;=15),((Data!$E766/Data!$D766)*60)*1.2,AND(Data!$E766&gt;=16,Data!$E766&lt;=19),((Data!$E766/Data!$D766)*60)*1.5,Data!$E766&gt;=20,((Data!$E766/Data!$D766)*60)*1.8)</f>
        <v>26.379310344827584</v>
      </c>
      <c r="AT766" s="29" cm="1">
        <f t="array" ref="AT766">_xlfn.IFS(Data!$F766&lt;600,((Data!$F766/Data!$D766)*60)*1,AND(Data!$F766&gt;=600,Data!$F766&lt;=625),((Data!$F766/Data!$D766)*60)*1.2,AND(Data!$F766&gt;=626,Data!$F766&lt;=650),((Data!$F766/Data!$D766)*60)*1.5,Data!$F766&gt;=651,((Data!$F766/Data!$D766)*60)*1.8)</f>
        <v>1005.5172413793102</v>
      </c>
      <c r="AU766" s="29">
        <f>(Data!$I766*-1.2)+(Data!$J766*-1.1)+(Data!$K766*1.2)+(Data!$L766*1.3)+(Data!$M766*1.5)</f>
        <v>-0.59999999999999787</v>
      </c>
      <c r="AV766" s="29">
        <f>(Data!$AS766*0.4)+(Data!$AT766*0.4)+(Data!$AU766*0.2)</f>
        <v>412.63862068965517</v>
      </c>
      <c r="AW766" s="34">
        <f>PERCENTRANK(AV:AV,Data!$AV766)*100</f>
        <v>58.5</v>
      </c>
      <c r="AX766" s="29" t="str">
        <f>_xlfn.CONCAT(TEXT(C766,"mmm"),"-",Data!$AE766)</f>
        <v>Mar-2025</v>
      </c>
    </row>
    <row r="767" spans="1:50" ht="17" thickTop="1" thickBot="1" x14ac:dyDescent="0.25">
      <c r="A767" s="22">
        <v>766</v>
      </c>
      <c r="B767" s="23">
        <f t="shared" si="90"/>
        <v>16</v>
      </c>
      <c r="C767" s="41">
        <v>45723</v>
      </c>
      <c r="D767" s="24">
        <f>SUM(Data!$I767:$M767)</f>
        <v>59</v>
      </c>
      <c r="E767" s="23">
        <v>10</v>
      </c>
      <c r="F767" s="23">
        <v>584</v>
      </c>
      <c r="G767" s="23">
        <v>160</v>
      </c>
      <c r="H767" s="23">
        <v>118</v>
      </c>
      <c r="I767" s="23">
        <v>25</v>
      </c>
      <c r="J767" s="23">
        <v>11</v>
      </c>
      <c r="K767" s="23">
        <v>13</v>
      </c>
      <c r="L767" s="23">
        <v>10</v>
      </c>
      <c r="M767" s="23">
        <v>0</v>
      </c>
      <c r="N767" s="23" t="s">
        <v>125</v>
      </c>
      <c r="O767" s="23" t="s">
        <v>127</v>
      </c>
      <c r="P767" s="23" t="s">
        <v>222</v>
      </c>
      <c r="Q767" s="23">
        <f t="shared" si="96"/>
        <v>1</v>
      </c>
      <c r="R767" s="23" t="str">
        <f t="shared" si="91"/>
        <v>3-2025</v>
      </c>
      <c r="S767" s="23" t="s">
        <v>104</v>
      </c>
      <c r="T767" s="23" t="str">
        <f t="shared" si="92"/>
        <v>Friday</v>
      </c>
      <c r="U767" s="23">
        <f t="shared" si="93"/>
        <v>0</v>
      </c>
      <c r="V767" s="25">
        <f>IFERROR(Data!$I767/Data!$D767,"")</f>
        <v>0.42372881355932202</v>
      </c>
      <c r="W767" s="25">
        <f>IFERROR(Data!$J767/Data!$D767,"")</f>
        <v>0.1864406779661017</v>
      </c>
      <c r="X767" s="25">
        <f>IFERROR(Data!$K767/Data!$D767,"")</f>
        <v>0.22033898305084745</v>
      </c>
      <c r="Y767" s="25">
        <f>IFERROR(Data!$L767/Data!$D767,"")</f>
        <v>0.16949152542372881</v>
      </c>
      <c r="Z767" s="25">
        <f>IFERROR(Data!$M767/Data!$D767,"")</f>
        <v>0</v>
      </c>
      <c r="AA767" s="26">
        <v>169</v>
      </c>
      <c r="AB767" s="26">
        <f t="shared" si="97"/>
        <v>10.5625</v>
      </c>
      <c r="AC767" s="23">
        <f t="shared" si="94"/>
        <v>619.3125</v>
      </c>
      <c r="AD767" s="23">
        <f t="shared" si="95"/>
        <v>13.9375</v>
      </c>
      <c r="AE767" s="23">
        <f>YEAR(Data!$C767)</f>
        <v>2025</v>
      </c>
      <c r="AF767" s="23"/>
      <c r="AG767" s="23">
        <v>12</v>
      </c>
      <c r="AH767" s="27">
        <f>Data!$F767/Data!$D767</f>
        <v>9.898305084745763</v>
      </c>
      <c r="AI767" s="17" t="str">
        <f>RIGHT(Data!$O767,2)</f>
        <v>PM</v>
      </c>
      <c r="AJ767" s="23" t="str">
        <f>Data!$R767&amp;"-"&amp;WEEKNUM(Data!$C767,1)-WEEKNUM(DATE(YEAR(Data!$C767),MONTH(Data!$C767),1),1)+1</f>
        <v>3-2025-2</v>
      </c>
      <c r="AK767" s="23">
        <f>MONTH(Data!$C767)</f>
        <v>3</v>
      </c>
      <c r="AL767" s="23">
        <f>IFERROR(Data!$F767/Data!$E767,0)</f>
        <v>58.4</v>
      </c>
      <c r="AM767" s="23">
        <f>COUNTIF(Data!$N$2:$N$825,Data!$N767)</f>
        <v>182</v>
      </c>
      <c r="AN767" s="23" t="str">
        <f>VLOOKUP(Data!$N767,'Helpful Tables'!A:D,4,FALSE)</f>
        <v>Oregon</v>
      </c>
      <c r="AO767" s="23">
        <f>COUNTIF(AN:AN,Data!$AN767)/COUNTA(AN:AN)</f>
        <v>0.27393939393939393</v>
      </c>
      <c r="AP767" s="23">
        <v>45.534162000000002</v>
      </c>
      <c r="AQ767" s="23">
        <v>-122.69670000000001</v>
      </c>
      <c r="AR767" s="23">
        <f>COUNTIF(Data!$P$2:$P$825,Data!$P767)</f>
        <v>32</v>
      </c>
      <c r="AS767" s="23" cm="1">
        <f t="array" ref="AS767">_xlfn.IFS(Data!$E767&lt;12,((Data!$E767/Data!$D767)*60)*1,AND(Data!$E767&gt;=12,Data!$E767&lt;=15),((Data!$E767/Data!$D767)*60)*1.2,AND(Data!$E767&gt;=16,Data!$E767&lt;=19),((Data!$E767/Data!$D767)*60)*1.5,Data!$E767&gt;=20,((Data!$E767/Data!$D767)*60)*1.8)</f>
        <v>10.169491525423728</v>
      </c>
      <c r="AT767" s="23" cm="1">
        <f t="array" ref="AT767">_xlfn.IFS(Data!$F767&lt;600,((Data!$F767/Data!$D767)*60)*1,AND(Data!$F767&gt;=600,Data!$F767&lt;=625),((Data!$F767/Data!$D767)*60)*1.2,AND(Data!$F767&gt;=626,Data!$F767&lt;=650),((Data!$F767/Data!$D767)*60)*1.5,Data!$F767&gt;=651,((Data!$F767/Data!$D767)*60)*1.8)</f>
        <v>593.89830508474574</v>
      </c>
      <c r="AU767" s="23">
        <f>(Data!$I767*-1.2)+(Data!$J767*-1.1)+(Data!$K767*1.2)+(Data!$L767*1.3)+(Data!$M767*1.5)</f>
        <v>-13.5</v>
      </c>
      <c r="AV767" s="23">
        <f>(Data!$AS767*0.4)+(Data!$AT767*0.4)+(Data!$AU767*0.2)</f>
        <v>238.9271186440678</v>
      </c>
      <c r="AW767" s="35">
        <f>PERCENTRANK(AV:AV,Data!$AV767)*100</f>
        <v>11.600000000000001</v>
      </c>
      <c r="AX767" s="23" t="str">
        <f>_xlfn.CONCAT(TEXT(C767,"mmm"),"-",Data!$AE767)</f>
        <v>Mar-2025</v>
      </c>
    </row>
    <row r="768" spans="1:50" ht="17" thickTop="1" thickBot="1" x14ac:dyDescent="0.25">
      <c r="A768" s="28">
        <v>767</v>
      </c>
      <c r="B768" s="29">
        <f t="shared" si="90"/>
        <v>16</v>
      </c>
      <c r="C768" s="41">
        <v>45726</v>
      </c>
      <c r="D768" s="30">
        <f>SUM(Data!$I768:$M768)</f>
        <v>55</v>
      </c>
      <c r="E768" s="29">
        <v>4</v>
      </c>
      <c r="F768" s="29">
        <v>363</v>
      </c>
      <c r="G768" s="29">
        <v>158</v>
      </c>
      <c r="H768" s="29">
        <v>96</v>
      </c>
      <c r="I768" s="29">
        <v>38</v>
      </c>
      <c r="J768" s="29">
        <v>4</v>
      </c>
      <c r="K768" s="29">
        <v>9</v>
      </c>
      <c r="L768" s="29">
        <v>4</v>
      </c>
      <c r="M768" s="29">
        <v>0</v>
      </c>
      <c r="N768" s="29" t="s">
        <v>125</v>
      </c>
      <c r="O768" s="29" t="s">
        <v>127</v>
      </c>
      <c r="P768" s="29" t="s">
        <v>220</v>
      </c>
      <c r="Q768" s="29">
        <f t="shared" si="96"/>
        <v>3</v>
      </c>
      <c r="R768" s="29" t="str">
        <f t="shared" si="91"/>
        <v>3-2025</v>
      </c>
      <c r="S768" s="29" t="s">
        <v>117</v>
      </c>
      <c r="T768" s="29" t="str">
        <f t="shared" si="92"/>
        <v>Monday</v>
      </c>
      <c r="U768" s="29">
        <f t="shared" si="93"/>
        <v>0</v>
      </c>
      <c r="V768" s="31">
        <f>IFERROR(Data!$I768/Data!$D768,"")</f>
        <v>0.69090909090909092</v>
      </c>
      <c r="W768" s="31">
        <f>IFERROR(Data!$J768/Data!$D768,"")</f>
        <v>7.2727272727272724E-2</v>
      </c>
      <c r="X768" s="31">
        <f>IFERROR(Data!$K768/Data!$D768,"")</f>
        <v>0.16363636363636364</v>
      </c>
      <c r="Y768" s="31">
        <f>IFERROR(Data!$L768/Data!$D768,"")</f>
        <v>7.2727272727272724E-2</v>
      </c>
      <c r="Z768" s="31">
        <f>IFERROR(Data!$M768/Data!$D768,"")</f>
        <v>0</v>
      </c>
      <c r="AA768" s="32">
        <v>169</v>
      </c>
      <c r="AB768" s="32">
        <f t="shared" si="97"/>
        <v>10.5625</v>
      </c>
      <c r="AC768" s="29">
        <f t="shared" si="94"/>
        <v>619.3125</v>
      </c>
      <c r="AD768" s="29">
        <f t="shared" si="95"/>
        <v>13.9375</v>
      </c>
      <c r="AE768" s="29">
        <f>YEAR(Data!$C768)</f>
        <v>2025</v>
      </c>
      <c r="AF768" s="29"/>
      <c r="AG768" s="29">
        <v>12</v>
      </c>
      <c r="AH768" s="33">
        <f>Data!$F768/Data!$D768</f>
        <v>6.6</v>
      </c>
      <c r="AI768" s="17" t="str">
        <f>RIGHT(Data!$O768,2)</f>
        <v>PM</v>
      </c>
      <c r="AJ768" s="29" t="str">
        <f>Data!$R768&amp;"-"&amp;WEEKNUM(Data!$C768,1)-WEEKNUM(DATE(YEAR(Data!$C768),MONTH(Data!$C768),1),1)+1</f>
        <v>3-2025-3</v>
      </c>
      <c r="AK768" s="29">
        <f>MONTH(Data!$C768)</f>
        <v>3</v>
      </c>
      <c r="AL768" s="29">
        <f>IFERROR(Data!$F768/Data!$E768,0)</f>
        <v>90.75</v>
      </c>
      <c r="AM768" s="29">
        <f>COUNTIF(Data!$N$2:$N$825,Data!$N768)</f>
        <v>182</v>
      </c>
      <c r="AN768" s="29" t="str">
        <f>VLOOKUP(Data!$N768,'Helpful Tables'!A:D,4,FALSE)</f>
        <v>Oregon</v>
      </c>
      <c r="AO768" s="29">
        <f>COUNTIF(AN:AN,Data!$AN768)/COUNTA(AN:AN)</f>
        <v>0.27393939393939393</v>
      </c>
      <c r="AP768" s="29">
        <v>45.534162000000002</v>
      </c>
      <c r="AQ768" s="29">
        <v>-122.69670000000001</v>
      </c>
      <c r="AR768" s="29">
        <f>COUNTIF(Data!$P$2:$P$825,Data!$P768)</f>
        <v>43</v>
      </c>
      <c r="AS768" s="29" cm="1">
        <f t="array" ref="AS768">_xlfn.IFS(Data!$E768&lt;12,((Data!$E768/Data!$D768)*60)*1,AND(Data!$E768&gt;=12,Data!$E768&lt;=15),((Data!$E768/Data!$D768)*60)*1.2,AND(Data!$E768&gt;=16,Data!$E768&lt;=19),((Data!$E768/Data!$D768)*60)*1.5,Data!$E768&gt;=20,((Data!$E768/Data!$D768)*60)*1.8)</f>
        <v>4.3636363636363633</v>
      </c>
      <c r="AT768" s="29" cm="1">
        <f t="array" ref="AT768">_xlfn.IFS(Data!$F768&lt;600,((Data!$F768/Data!$D768)*60)*1,AND(Data!$F768&gt;=600,Data!$F768&lt;=625),((Data!$F768/Data!$D768)*60)*1.2,AND(Data!$F768&gt;=626,Data!$F768&lt;=650),((Data!$F768/Data!$D768)*60)*1.5,Data!$F768&gt;=651,((Data!$F768/Data!$D768)*60)*1.8)</f>
        <v>396</v>
      </c>
      <c r="AU768" s="29">
        <f>(Data!$I768*-1.2)+(Data!$J768*-1.1)+(Data!$K768*1.2)+(Data!$L768*1.3)+(Data!$M768*1.5)</f>
        <v>-34</v>
      </c>
      <c r="AV768" s="29">
        <f>(Data!$AS768*0.4)+(Data!$AT768*0.4)+(Data!$AU768*0.2)</f>
        <v>153.34545454545454</v>
      </c>
      <c r="AW768" s="34">
        <f>PERCENTRANK(AV:AV,Data!$AV768)*100</f>
        <v>0</v>
      </c>
      <c r="AX768" s="29" t="str">
        <f>_xlfn.CONCAT(TEXT(C768,"mmm"),"-",Data!$AE768)</f>
        <v>Mar-2025</v>
      </c>
    </row>
    <row r="769" spans="1:50" ht="17" thickTop="1" thickBot="1" x14ac:dyDescent="0.25">
      <c r="A769" s="22">
        <v>768</v>
      </c>
      <c r="B769" s="23">
        <f t="shared" si="90"/>
        <v>16</v>
      </c>
      <c r="C769" s="41">
        <v>45727</v>
      </c>
      <c r="D769" s="24">
        <f>SUM(Data!$I769:$M769)</f>
        <v>63</v>
      </c>
      <c r="E769" s="23">
        <v>16</v>
      </c>
      <c r="F769" s="23">
        <v>633</v>
      </c>
      <c r="G769" s="23">
        <v>171</v>
      </c>
      <c r="H769" s="23">
        <v>120</v>
      </c>
      <c r="I769" s="23">
        <v>24</v>
      </c>
      <c r="J769" s="23">
        <v>16</v>
      </c>
      <c r="K769" s="23">
        <v>7</v>
      </c>
      <c r="L769" s="23">
        <v>13</v>
      </c>
      <c r="M769" s="23">
        <v>3</v>
      </c>
      <c r="N769" s="23" t="s">
        <v>125</v>
      </c>
      <c r="O769" s="23" t="s">
        <v>127</v>
      </c>
      <c r="P769" s="23" t="s">
        <v>220</v>
      </c>
      <c r="Q769" s="23">
        <f t="shared" si="96"/>
        <v>1</v>
      </c>
      <c r="R769" s="23" t="str">
        <f t="shared" si="91"/>
        <v>3-2025</v>
      </c>
      <c r="S769" s="23" t="s">
        <v>104</v>
      </c>
      <c r="T769" s="23" t="str">
        <f t="shared" si="92"/>
        <v>Tuesday</v>
      </c>
      <c r="U769" s="23">
        <f t="shared" si="93"/>
        <v>1</v>
      </c>
      <c r="V769" s="25">
        <f>IFERROR(Data!$I769/Data!$D769,"")</f>
        <v>0.38095238095238093</v>
      </c>
      <c r="W769" s="25">
        <f>IFERROR(Data!$J769/Data!$D769,"")</f>
        <v>0.25396825396825395</v>
      </c>
      <c r="X769" s="25">
        <f>IFERROR(Data!$K769/Data!$D769,"")</f>
        <v>0.1111111111111111</v>
      </c>
      <c r="Y769" s="25">
        <f>IFERROR(Data!$L769/Data!$D769,"")</f>
        <v>0.20634920634920634</v>
      </c>
      <c r="Z769" s="25">
        <f>IFERROR(Data!$M769/Data!$D769,"")</f>
        <v>4.7619047619047616E-2</v>
      </c>
      <c r="AA769" s="26">
        <v>169</v>
      </c>
      <c r="AB769" s="26">
        <f t="shared" si="97"/>
        <v>10.5625</v>
      </c>
      <c r="AC769" s="23">
        <f t="shared" si="94"/>
        <v>619.3125</v>
      </c>
      <c r="AD769" s="23">
        <f t="shared" si="95"/>
        <v>13.9375</v>
      </c>
      <c r="AE769" s="23">
        <f>YEAR(Data!$C769)</f>
        <v>2025</v>
      </c>
      <c r="AF769" s="23"/>
      <c r="AG769" s="23">
        <v>12</v>
      </c>
      <c r="AH769" s="27">
        <f>Data!$F769/Data!$D769</f>
        <v>10.047619047619047</v>
      </c>
      <c r="AI769" s="17" t="str">
        <f>RIGHT(Data!$O769,2)</f>
        <v>PM</v>
      </c>
      <c r="AJ769" s="23" t="str">
        <f>Data!$R769&amp;"-"&amp;WEEKNUM(Data!$C769,1)-WEEKNUM(DATE(YEAR(Data!$C769),MONTH(Data!$C769),1),1)+1</f>
        <v>3-2025-3</v>
      </c>
      <c r="AK769" s="23">
        <f>MONTH(Data!$C769)</f>
        <v>3</v>
      </c>
      <c r="AL769" s="23">
        <f>IFERROR(Data!$F769/Data!$E769,0)</f>
        <v>39.5625</v>
      </c>
      <c r="AM769" s="23">
        <f>COUNTIF(Data!$N$2:$N$825,Data!$N769)</f>
        <v>182</v>
      </c>
      <c r="AN769" s="23" t="str">
        <f>VLOOKUP(Data!$N769,'Helpful Tables'!A:D,4,FALSE)</f>
        <v>Oregon</v>
      </c>
      <c r="AO769" s="23">
        <f>COUNTIF(AN:AN,Data!$AN769)/COUNTA(AN:AN)</f>
        <v>0.27393939393939393</v>
      </c>
      <c r="AP769" s="23">
        <v>45.534162000000002</v>
      </c>
      <c r="AQ769" s="23">
        <v>-122.69670000000001</v>
      </c>
      <c r="AR769" s="23">
        <f>COUNTIF(Data!$P$2:$P$825,Data!$P769)</f>
        <v>43</v>
      </c>
      <c r="AS769" s="23" cm="1">
        <f t="array" ref="AS769">_xlfn.IFS(Data!$E769&lt;12,((Data!$E769/Data!$D769)*60)*1,AND(Data!$E769&gt;=12,Data!$E769&lt;=15),((Data!$E769/Data!$D769)*60)*1.2,AND(Data!$E769&gt;=16,Data!$E769&lt;=19),((Data!$E769/Data!$D769)*60)*1.5,Data!$E769&gt;=20,((Data!$E769/Data!$D769)*60)*1.8)</f>
        <v>22.857142857142854</v>
      </c>
      <c r="AT769" s="23" cm="1">
        <f t="array" ref="AT769">_xlfn.IFS(Data!$F769&lt;600,((Data!$F769/Data!$D769)*60)*1,AND(Data!$F769&gt;=600,Data!$F769&lt;=625),((Data!$F769/Data!$D769)*60)*1.2,AND(Data!$F769&gt;=626,Data!$F769&lt;=650),((Data!$F769/Data!$D769)*60)*1.5,Data!$F769&gt;=651,((Data!$F769/Data!$D769)*60)*1.8)</f>
        <v>904.28571428571433</v>
      </c>
      <c r="AU769" s="23">
        <f>(Data!$I769*-1.2)+(Data!$J769*-1.1)+(Data!$K769*1.2)+(Data!$L769*1.3)+(Data!$M769*1.5)</f>
        <v>-16.599999999999998</v>
      </c>
      <c r="AV769" s="23">
        <f>(Data!$AS769*0.4)+(Data!$AT769*0.4)+(Data!$AU769*0.2)</f>
        <v>367.53714285714295</v>
      </c>
      <c r="AW769" s="35">
        <f>PERCENTRANK(AV:AV,Data!$AV769)*100</f>
        <v>44.1</v>
      </c>
      <c r="AX769" s="23" t="str">
        <f>_xlfn.CONCAT(TEXT(C769,"mmm"),"-",Data!$AE769)</f>
        <v>Mar-2025</v>
      </c>
    </row>
    <row r="770" spans="1:50" ht="17" thickTop="1" thickBot="1" x14ac:dyDescent="0.25">
      <c r="A770" s="28">
        <v>769</v>
      </c>
      <c r="B770" s="29">
        <f t="shared" ref="B770:B825" si="98">COUNTIF(R:R,R770)</f>
        <v>16</v>
      </c>
      <c r="C770" s="41">
        <v>45730</v>
      </c>
      <c r="D770" s="30">
        <f>SUM(Data!$I770:$M770)</f>
        <v>59</v>
      </c>
      <c r="E770" s="29">
        <v>15</v>
      </c>
      <c r="F770" s="29">
        <v>641</v>
      </c>
      <c r="G770" s="29">
        <v>159</v>
      </c>
      <c r="H770" s="29">
        <v>125</v>
      </c>
      <c r="I770" s="29">
        <v>13</v>
      </c>
      <c r="J770" s="29">
        <v>18</v>
      </c>
      <c r="K770" s="29">
        <v>13</v>
      </c>
      <c r="L770" s="29">
        <v>15</v>
      </c>
      <c r="M770" s="29">
        <v>0</v>
      </c>
      <c r="N770" s="29" t="s">
        <v>125</v>
      </c>
      <c r="O770" s="29" t="s">
        <v>127</v>
      </c>
      <c r="P770" s="29" t="s">
        <v>222</v>
      </c>
      <c r="Q770" s="29">
        <f t="shared" si="96"/>
        <v>3</v>
      </c>
      <c r="R770" s="29" t="str">
        <f t="shared" ref="R770:R822" si="99">MONTH(C770)&amp;"-"&amp;YEAR(C770)</f>
        <v>3-2025</v>
      </c>
      <c r="S770" s="29" t="s">
        <v>104</v>
      </c>
      <c r="T770" s="29" t="str">
        <f t="shared" ref="T770:T822" si="100">IF(WEEKDAY(C770)=1,"Sunday",IF(WEEKDAY(C770)=2,"Monday",IF(WEEKDAY(C770)=3,"Tuesday",IF(WEEKDAY(C770)=4,"Wednesday",IF(WEEKDAY(C770)=5,"Thursday",IF(WEEKDAY(C770)=6,"Friday","Saturday"))))))</f>
        <v>Friday</v>
      </c>
      <c r="U770" s="29">
        <f t="shared" ref="U770:U820" si="101">IF(E770&gt;=12,1,0)</f>
        <v>1</v>
      </c>
      <c r="V770" s="31">
        <f>IFERROR(Data!$I770/Data!$D770,"")</f>
        <v>0.22033898305084745</v>
      </c>
      <c r="W770" s="31">
        <f>IFERROR(Data!$J770/Data!$D770,"")</f>
        <v>0.30508474576271188</v>
      </c>
      <c r="X770" s="31">
        <f>IFERROR(Data!$K770/Data!$D770,"")</f>
        <v>0.22033898305084745</v>
      </c>
      <c r="Y770" s="31">
        <f>IFERROR(Data!$L770/Data!$D770,"")</f>
        <v>0.25423728813559321</v>
      </c>
      <c r="Z770" s="31">
        <f>IFERROR(Data!$M770/Data!$D770,"")</f>
        <v>0</v>
      </c>
      <c r="AA770" s="32">
        <v>169</v>
      </c>
      <c r="AB770" s="32">
        <f t="shared" si="97"/>
        <v>10.5625</v>
      </c>
      <c r="AC770" s="29">
        <f t="shared" ref="AC770:AC825" si="102">AVERAGEIF(R:R,R770,F:F)</f>
        <v>619.3125</v>
      </c>
      <c r="AD770" s="29">
        <f t="shared" ref="AD770:AD825" si="103">AVERAGEIF(R:R,R770,E:E)</f>
        <v>13.9375</v>
      </c>
      <c r="AE770" s="29">
        <f>YEAR(Data!$C770)</f>
        <v>2025</v>
      </c>
      <c r="AF770" s="29"/>
      <c r="AG770" s="29">
        <v>12</v>
      </c>
      <c r="AH770" s="33">
        <f>Data!$F770/Data!$D770</f>
        <v>10.864406779661017</v>
      </c>
      <c r="AI770" s="17" t="str">
        <f>RIGHT(Data!$O770,2)</f>
        <v>PM</v>
      </c>
      <c r="AJ770" s="29" t="str">
        <f>Data!$R770&amp;"-"&amp;WEEKNUM(Data!$C770,1)-WEEKNUM(DATE(YEAR(Data!$C770),MONTH(Data!$C770),1),1)+1</f>
        <v>3-2025-3</v>
      </c>
      <c r="AK770" s="29">
        <f>MONTH(Data!$C770)</f>
        <v>3</v>
      </c>
      <c r="AL770" s="29">
        <f>IFERROR(Data!$F770/Data!$E770,0)</f>
        <v>42.733333333333334</v>
      </c>
      <c r="AM770" s="29">
        <f>COUNTIF(Data!$N$2:$N$825,Data!$N770)</f>
        <v>182</v>
      </c>
      <c r="AN770" s="29" t="str">
        <f>VLOOKUP(Data!$N770,'Helpful Tables'!A:D,4,FALSE)</f>
        <v>Oregon</v>
      </c>
      <c r="AO770" s="29">
        <f>COUNTIF(AN:AN,Data!$AN770)/COUNTA(AN:AN)</f>
        <v>0.27393939393939393</v>
      </c>
      <c r="AP770" s="29">
        <v>45.534162000000002</v>
      </c>
      <c r="AQ770" s="29">
        <v>-122.69670000000001</v>
      </c>
      <c r="AR770" s="29">
        <f>COUNTIF(Data!$P$2:$P$825,Data!$P770)</f>
        <v>32</v>
      </c>
      <c r="AS770" s="29" cm="1">
        <f t="array" ref="AS770">_xlfn.IFS(Data!$E770&lt;12,((Data!$E770/Data!$D770)*60)*1,AND(Data!$E770&gt;=12,Data!$E770&lt;=15),((Data!$E770/Data!$D770)*60)*1.2,AND(Data!$E770&gt;=16,Data!$E770&lt;=19),((Data!$E770/Data!$D770)*60)*1.5,Data!$E770&gt;=20,((Data!$E770/Data!$D770)*60)*1.8)</f>
        <v>18.305084745762709</v>
      </c>
      <c r="AT770" s="29" cm="1">
        <f t="array" ref="AT770">_xlfn.IFS(Data!$F770&lt;600,((Data!$F770/Data!$D770)*60)*1,AND(Data!$F770&gt;=600,Data!$F770&lt;=625),((Data!$F770/Data!$D770)*60)*1.2,AND(Data!$F770&gt;=626,Data!$F770&lt;=650),((Data!$F770/Data!$D770)*60)*1.5,Data!$F770&gt;=651,((Data!$F770/Data!$D770)*60)*1.8)</f>
        <v>977.7966101694916</v>
      </c>
      <c r="AU770" s="29">
        <f>(Data!$I770*-1.2)+(Data!$J770*-1.1)+(Data!$K770*1.2)+(Data!$L770*1.3)+(Data!$M770*1.5)</f>
        <v>-0.29999999999999716</v>
      </c>
      <c r="AV770" s="29">
        <f>(Data!$AS770*0.4)+(Data!$AT770*0.4)+(Data!$AU770*0.2)</f>
        <v>398.38067796610176</v>
      </c>
      <c r="AW770" s="34">
        <f>PERCENTRANK(AV:AV,Data!$AV770)*100</f>
        <v>51.5</v>
      </c>
      <c r="AX770" s="29" t="str">
        <f>_xlfn.CONCAT(TEXT(C770,"mmm"),"-",Data!$AE770)</f>
        <v>Mar-2025</v>
      </c>
    </row>
    <row r="771" spans="1:50" ht="17" thickTop="1" thickBot="1" x14ac:dyDescent="0.25">
      <c r="A771" s="22">
        <v>770</v>
      </c>
      <c r="B771" s="23">
        <f t="shared" si="98"/>
        <v>16</v>
      </c>
      <c r="C771" s="41">
        <v>45731</v>
      </c>
      <c r="D771" s="24">
        <f>SUM(Data!$I771:$M771)</f>
        <v>58</v>
      </c>
      <c r="E771" s="23">
        <v>20</v>
      </c>
      <c r="F771" s="23">
        <v>697</v>
      </c>
      <c r="G771" s="23">
        <v>175</v>
      </c>
      <c r="H771" s="23">
        <v>133</v>
      </c>
      <c r="I771" s="23">
        <v>6</v>
      </c>
      <c r="J771" s="23">
        <v>17</v>
      </c>
      <c r="K771" s="23">
        <v>15</v>
      </c>
      <c r="L771" s="23">
        <v>15</v>
      </c>
      <c r="M771" s="23">
        <v>5</v>
      </c>
      <c r="N771" s="23" t="s">
        <v>208</v>
      </c>
      <c r="O771" s="23" t="s">
        <v>76</v>
      </c>
      <c r="P771" s="23" t="s">
        <v>213</v>
      </c>
      <c r="Q771" s="23">
        <f t="shared" ref="Q771:Q822" si="104">C771-C770</f>
        <v>1</v>
      </c>
      <c r="R771" s="23" t="str">
        <f t="shared" si="99"/>
        <v>3-2025</v>
      </c>
      <c r="S771" s="23" t="s">
        <v>104</v>
      </c>
      <c r="T771" s="23" t="str">
        <f t="shared" si="100"/>
        <v>Saturday</v>
      </c>
      <c r="U771" s="23">
        <f t="shared" si="101"/>
        <v>1</v>
      </c>
      <c r="V771" s="25">
        <f>IFERROR(Data!$I771/Data!$D771,"")</f>
        <v>0.10344827586206896</v>
      </c>
      <c r="W771" s="25">
        <f>IFERROR(Data!$J771/Data!$D771,"")</f>
        <v>0.29310344827586204</v>
      </c>
      <c r="X771" s="25">
        <f>IFERROR(Data!$K771/Data!$D771,"")</f>
        <v>0.25862068965517243</v>
      </c>
      <c r="Y771" s="25">
        <f>IFERROR(Data!$L771/Data!$D771,"")</f>
        <v>0.25862068965517243</v>
      </c>
      <c r="Z771" s="25">
        <f>IFERROR(Data!$M771/Data!$D771,"")</f>
        <v>8.6206896551724144E-2</v>
      </c>
      <c r="AA771" s="26">
        <v>169</v>
      </c>
      <c r="AB771" s="26">
        <f t="shared" si="97"/>
        <v>10.5625</v>
      </c>
      <c r="AC771" s="23">
        <f t="shared" si="102"/>
        <v>619.3125</v>
      </c>
      <c r="AD771" s="23">
        <f t="shared" si="103"/>
        <v>13.9375</v>
      </c>
      <c r="AE771" s="23">
        <f>YEAR(Data!$C771)</f>
        <v>2025</v>
      </c>
      <c r="AF771" s="23"/>
      <c r="AG771" s="23">
        <v>12</v>
      </c>
      <c r="AH771" s="27">
        <f>Data!$F771/Data!$D771</f>
        <v>12.017241379310345</v>
      </c>
      <c r="AI771" s="17" t="str">
        <f>RIGHT(Data!$O771,2)</f>
        <v>AM</v>
      </c>
      <c r="AJ771" s="23" t="str">
        <f>Data!$R771&amp;"-"&amp;WEEKNUM(Data!$C771,1)-WEEKNUM(DATE(YEAR(Data!$C771),MONTH(Data!$C771),1),1)+1</f>
        <v>3-2025-3</v>
      </c>
      <c r="AK771" s="23">
        <f>MONTH(Data!$C771)</f>
        <v>3</v>
      </c>
      <c r="AL771" s="23">
        <f>IFERROR(Data!$F771/Data!$E771,0)</f>
        <v>34.85</v>
      </c>
      <c r="AM771" s="23">
        <f>COUNTIF(Data!$N$2:$N$825,Data!$N771)</f>
        <v>42</v>
      </c>
      <c r="AN771" s="23" t="str">
        <f>VLOOKUP(Data!$N771,'Helpful Tables'!A:D,4,FALSE)</f>
        <v>Oregon</v>
      </c>
      <c r="AO771" s="23">
        <f>COUNTIF(AN:AN,Data!$AN771)/COUNTA(AN:AN)</f>
        <v>0.27393939393939393</v>
      </c>
      <c r="AP771" s="23">
        <v>45.525092999999998</v>
      </c>
      <c r="AQ771" s="23">
        <v>-122.681383</v>
      </c>
      <c r="AR771" s="23">
        <f>COUNTIF(Data!$P$2:$P$825,Data!$P771)</f>
        <v>20</v>
      </c>
      <c r="AS771" s="23" cm="1">
        <f t="array" ref="AS771">_xlfn.IFS(Data!$E771&lt;12,((Data!$E771/Data!$D771)*60)*1,AND(Data!$E771&gt;=12,Data!$E771&lt;=15),((Data!$E771/Data!$D771)*60)*1.2,AND(Data!$E771&gt;=16,Data!$E771&lt;=19),((Data!$E771/Data!$D771)*60)*1.5,Data!$E771&gt;=20,((Data!$E771/Data!$D771)*60)*1.8)</f>
        <v>37.241379310344833</v>
      </c>
      <c r="AT771" s="23" cm="1">
        <f t="array" ref="AT771">_xlfn.IFS(Data!$F771&lt;600,((Data!$F771/Data!$D771)*60)*1,AND(Data!$F771&gt;=600,Data!$F771&lt;=625),((Data!$F771/Data!$D771)*60)*1.2,AND(Data!$F771&gt;=626,Data!$F771&lt;=650),((Data!$F771/Data!$D771)*60)*1.5,Data!$F771&gt;=651,((Data!$F771/Data!$D771)*60)*1.8)</f>
        <v>1297.8620689655172</v>
      </c>
      <c r="AU771" s="23">
        <f>(Data!$I771*-1.2)+(Data!$J771*-1.1)+(Data!$K771*1.2)+(Data!$L771*1.3)+(Data!$M771*1.5)</f>
        <v>19.099999999999998</v>
      </c>
      <c r="AV771" s="23">
        <f>(Data!$AS771*0.4)+(Data!$AT771*0.4)+(Data!$AU771*0.2)</f>
        <v>537.86137931034489</v>
      </c>
      <c r="AW771" s="35">
        <f>PERCENTRANK(AV:AV,Data!$AV771)*100</f>
        <v>95.899999999999991</v>
      </c>
      <c r="AX771" s="23" t="str">
        <f>_xlfn.CONCAT(TEXT(C771,"mmm"),"-",Data!$AE771)</f>
        <v>Mar-2025</v>
      </c>
    </row>
    <row r="772" spans="1:50" ht="17" thickTop="1" thickBot="1" x14ac:dyDescent="0.25">
      <c r="A772" s="28">
        <v>771</v>
      </c>
      <c r="B772" s="29">
        <f t="shared" si="98"/>
        <v>16</v>
      </c>
      <c r="C772" s="41">
        <v>45733</v>
      </c>
      <c r="D772" s="30">
        <f>SUM(Data!$I772:$M772)</f>
        <v>58</v>
      </c>
      <c r="E772" s="29">
        <v>15</v>
      </c>
      <c r="F772" s="29">
        <v>644</v>
      </c>
      <c r="G772" s="29">
        <v>169</v>
      </c>
      <c r="H772" s="29">
        <v>126</v>
      </c>
      <c r="I772" s="29">
        <v>14</v>
      </c>
      <c r="J772" s="29">
        <v>17</v>
      </c>
      <c r="K772" s="29">
        <v>12</v>
      </c>
      <c r="L772" s="29">
        <v>13</v>
      </c>
      <c r="M772" s="29">
        <v>2</v>
      </c>
      <c r="N772" s="29" t="s">
        <v>125</v>
      </c>
      <c r="O772" s="29" t="s">
        <v>127</v>
      </c>
      <c r="P772" s="29" t="s">
        <v>220</v>
      </c>
      <c r="Q772" s="29">
        <f t="shared" si="104"/>
        <v>2</v>
      </c>
      <c r="R772" s="29" t="str">
        <f t="shared" si="99"/>
        <v>3-2025</v>
      </c>
      <c r="S772" s="29" t="s">
        <v>104</v>
      </c>
      <c r="T772" s="29" t="str">
        <f t="shared" si="100"/>
        <v>Monday</v>
      </c>
      <c r="U772" s="29">
        <f t="shared" si="101"/>
        <v>1</v>
      </c>
      <c r="V772" s="31">
        <f>IFERROR(Data!$I772/Data!$D772,"")</f>
        <v>0.2413793103448276</v>
      </c>
      <c r="W772" s="31">
        <f>IFERROR(Data!$J772/Data!$D772,"")</f>
        <v>0.29310344827586204</v>
      </c>
      <c r="X772" s="31">
        <f>IFERROR(Data!$K772/Data!$D772,"")</f>
        <v>0.20689655172413793</v>
      </c>
      <c r="Y772" s="31">
        <f>IFERROR(Data!$L772/Data!$D772,"")</f>
        <v>0.22413793103448276</v>
      </c>
      <c r="Z772" s="31">
        <f>IFERROR(Data!$M772/Data!$D772,"")</f>
        <v>3.4482758620689655E-2</v>
      </c>
      <c r="AA772" s="32">
        <v>169</v>
      </c>
      <c r="AB772" s="32">
        <f t="shared" si="97"/>
        <v>10.5625</v>
      </c>
      <c r="AC772" s="29">
        <f t="shared" si="102"/>
        <v>619.3125</v>
      </c>
      <c r="AD772" s="29">
        <f t="shared" si="103"/>
        <v>13.9375</v>
      </c>
      <c r="AE772" s="29">
        <f>YEAR(Data!$C772)</f>
        <v>2025</v>
      </c>
      <c r="AF772" s="29"/>
      <c r="AG772" s="29">
        <v>12</v>
      </c>
      <c r="AH772" s="33">
        <f>Data!$F772/Data!$D772</f>
        <v>11.103448275862069</v>
      </c>
      <c r="AI772" s="17" t="str">
        <f>RIGHT(Data!$O772,2)</f>
        <v>PM</v>
      </c>
      <c r="AJ772" s="29" t="str">
        <f>Data!$R772&amp;"-"&amp;WEEKNUM(Data!$C772,1)-WEEKNUM(DATE(YEAR(Data!$C772),MONTH(Data!$C772),1),1)+1</f>
        <v>3-2025-4</v>
      </c>
      <c r="AK772" s="29">
        <f>MONTH(Data!$C772)</f>
        <v>3</v>
      </c>
      <c r="AL772" s="29">
        <f>IFERROR(Data!$F772/Data!$E772,0)</f>
        <v>42.93333333333333</v>
      </c>
      <c r="AM772" s="29">
        <f>COUNTIF(Data!$N$2:$N$825,Data!$N772)</f>
        <v>182</v>
      </c>
      <c r="AN772" s="29" t="str">
        <f>VLOOKUP(Data!$N772,'Helpful Tables'!A:D,4,FALSE)</f>
        <v>Oregon</v>
      </c>
      <c r="AO772" s="29">
        <f>COUNTIF(AN:AN,Data!$AN772)/COUNTA(AN:AN)</f>
        <v>0.27393939393939393</v>
      </c>
      <c r="AP772" s="29">
        <v>45.534162000000002</v>
      </c>
      <c r="AQ772" s="29">
        <v>-122.69670000000001</v>
      </c>
      <c r="AR772" s="29">
        <f>COUNTIF(Data!$P$2:$P$825,Data!$P772)</f>
        <v>43</v>
      </c>
      <c r="AS772" s="29" cm="1">
        <f t="array" ref="AS772">_xlfn.IFS(Data!$E772&lt;12,((Data!$E772/Data!$D772)*60)*1,AND(Data!$E772&gt;=12,Data!$E772&lt;=15),((Data!$E772/Data!$D772)*60)*1.2,AND(Data!$E772&gt;=16,Data!$E772&lt;=19),((Data!$E772/Data!$D772)*60)*1.5,Data!$E772&gt;=20,((Data!$E772/Data!$D772)*60)*1.8)</f>
        <v>18.620689655172413</v>
      </c>
      <c r="AT772" s="29" cm="1">
        <f t="array" ref="AT772">_xlfn.IFS(Data!$F772&lt;600,((Data!$F772/Data!$D772)*60)*1,AND(Data!$F772&gt;=600,Data!$F772&lt;=625),((Data!$F772/Data!$D772)*60)*1.2,AND(Data!$F772&gt;=626,Data!$F772&lt;=650),((Data!$F772/Data!$D772)*60)*1.5,Data!$F772&gt;=651,((Data!$F772/Data!$D772)*60)*1.8)</f>
        <v>999.31034482758628</v>
      </c>
      <c r="AU772" s="29">
        <f>(Data!$I772*-1.2)+(Data!$J772*-1.1)+(Data!$K772*1.2)+(Data!$L772*1.3)+(Data!$M772*1.5)</f>
        <v>-1.1999999999999993</v>
      </c>
      <c r="AV772" s="29">
        <f>(Data!$AS772*0.4)+(Data!$AT772*0.4)+(Data!$AU772*0.2)</f>
        <v>406.93241379310348</v>
      </c>
      <c r="AW772" s="34">
        <f>PERCENTRANK(AV:AV,Data!$AV772)*100</f>
        <v>55.900000000000006</v>
      </c>
      <c r="AX772" s="29" t="str">
        <f>_xlfn.CONCAT(TEXT(C772,"mmm"),"-",Data!$AE772)</f>
        <v>Mar-2025</v>
      </c>
    </row>
    <row r="773" spans="1:50" ht="17" thickTop="1" thickBot="1" x14ac:dyDescent="0.25">
      <c r="A773" s="22">
        <v>772</v>
      </c>
      <c r="B773" s="23">
        <f t="shared" si="98"/>
        <v>16</v>
      </c>
      <c r="C773" s="41">
        <v>45735</v>
      </c>
      <c r="D773" s="24">
        <f>SUM(Data!$I773:$M773)</f>
        <v>60</v>
      </c>
      <c r="E773" s="23">
        <v>12</v>
      </c>
      <c r="F773" s="23">
        <v>625</v>
      </c>
      <c r="G773" s="23">
        <v>161</v>
      </c>
      <c r="H773" s="23">
        <v>123</v>
      </c>
      <c r="I773" s="23">
        <v>16</v>
      </c>
      <c r="J773" s="23">
        <v>17</v>
      </c>
      <c r="K773" s="23">
        <v>15</v>
      </c>
      <c r="L773" s="23">
        <v>12</v>
      </c>
      <c r="M773" s="23">
        <v>0</v>
      </c>
      <c r="N773" s="23" t="s">
        <v>125</v>
      </c>
      <c r="O773" s="23" t="s">
        <v>127</v>
      </c>
      <c r="P773" s="23" t="s">
        <v>222</v>
      </c>
      <c r="Q773" s="23">
        <f t="shared" si="104"/>
        <v>2</v>
      </c>
      <c r="R773" s="23" t="str">
        <f t="shared" si="99"/>
        <v>3-2025</v>
      </c>
      <c r="S773" s="23" t="s">
        <v>104</v>
      </c>
      <c r="T773" s="23" t="str">
        <f t="shared" si="100"/>
        <v>Wednesday</v>
      </c>
      <c r="U773" s="23">
        <f t="shared" si="101"/>
        <v>1</v>
      </c>
      <c r="V773" s="25">
        <f>IFERROR(Data!$I773/Data!$D773,"")</f>
        <v>0.26666666666666666</v>
      </c>
      <c r="W773" s="25">
        <f>IFERROR(Data!$J773/Data!$D773,"")</f>
        <v>0.28333333333333333</v>
      </c>
      <c r="X773" s="25">
        <f>IFERROR(Data!$K773/Data!$D773,"")</f>
        <v>0.25</v>
      </c>
      <c r="Y773" s="25">
        <f>IFERROR(Data!$L773/Data!$D773,"")</f>
        <v>0.2</v>
      </c>
      <c r="Z773" s="25">
        <f>IFERROR(Data!$M773/Data!$D773,"")</f>
        <v>0</v>
      </c>
      <c r="AA773" s="26">
        <v>169</v>
      </c>
      <c r="AB773" s="26">
        <f t="shared" si="97"/>
        <v>10.5625</v>
      </c>
      <c r="AC773" s="23">
        <f t="shared" si="102"/>
        <v>619.3125</v>
      </c>
      <c r="AD773" s="23">
        <f t="shared" si="103"/>
        <v>13.9375</v>
      </c>
      <c r="AE773" s="23">
        <f>YEAR(Data!$C773)</f>
        <v>2025</v>
      </c>
      <c r="AF773" s="23"/>
      <c r="AG773" s="23">
        <v>12</v>
      </c>
      <c r="AH773" s="27">
        <f>Data!$F773/Data!$D773</f>
        <v>10.416666666666666</v>
      </c>
      <c r="AI773" s="17" t="str">
        <f>RIGHT(Data!$O773,2)</f>
        <v>PM</v>
      </c>
      <c r="AJ773" s="23" t="str">
        <f>Data!$R773&amp;"-"&amp;WEEKNUM(Data!$C773,1)-WEEKNUM(DATE(YEAR(Data!$C773),MONTH(Data!$C773),1),1)+1</f>
        <v>3-2025-4</v>
      </c>
      <c r="AK773" s="23">
        <f>MONTH(Data!$C773)</f>
        <v>3</v>
      </c>
      <c r="AL773" s="23">
        <f>IFERROR(Data!$F773/Data!$E773,0)</f>
        <v>52.083333333333336</v>
      </c>
      <c r="AM773" s="23">
        <f>COUNTIF(Data!$N$2:$N$825,Data!$N773)</f>
        <v>182</v>
      </c>
      <c r="AN773" s="23" t="str">
        <f>VLOOKUP(Data!$N773,'Helpful Tables'!A:D,4,FALSE)</f>
        <v>Oregon</v>
      </c>
      <c r="AO773" s="23">
        <f>COUNTIF(AN:AN,Data!$AN773)/COUNTA(AN:AN)</f>
        <v>0.27393939393939393</v>
      </c>
      <c r="AP773" s="23">
        <v>45.534162000000002</v>
      </c>
      <c r="AQ773" s="23">
        <v>-122.69670000000001</v>
      </c>
      <c r="AR773" s="23">
        <f>COUNTIF(Data!$P$2:$P$825,Data!$P773)</f>
        <v>32</v>
      </c>
      <c r="AS773" s="23" cm="1">
        <f t="array" ref="AS773">_xlfn.IFS(Data!$E773&lt;12,((Data!$E773/Data!$D773)*60)*1,AND(Data!$E773&gt;=12,Data!$E773&lt;=15),((Data!$E773/Data!$D773)*60)*1.2,AND(Data!$E773&gt;=16,Data!$E773&lt;=19),((Data!$E773/Data!$D773)*60)*1.5,Data!$E773&gt;=20,((Data!$E773/Data!$D773)*60)*1.8)</f>
        <v>14.399999999999999</v>
      </c>
      <c r="AT773" s="23" cm="1">
        <f t="array" ref="AT773">_xlfn.IFS(Data!$F773&lt;600,((Data!$F773/Data!$D773)*60)*1,AND(Data!$F773&gt;=600,Data!$F773&lt;=625),((Data!$F773/Data!$D773)*60)*1.2,AND(Data!$F773&gt;=626,Data!$F773&lt;=650),((Data!$F773/Data!$D773)*60)*1.5,Data!$F773&gt;=651,((Data!$F773/Data!$D773)*60)*1.8)</f>
        <v>750</v>
      </c>
      <c r="AU773" s="23">
        <f>(Data!$I773*-1.2)+(Data!$J773*-1.1)+(Data!$K773*1.2)+(Data!$L773*1.3)+(Data!$M773*1.5)</f>
        <v>-4.3000000000000043</v>
      </c>
      <c r="AV773" s="23">
        <f>(Data!$AS773*0.4)+(Data!$AT773*0.4)+(Data!$AU773*0.2)</f>
        <v>304.89999999999998</v>
      </c>
      <c r="AW773" s="35">
        <f>PERCENTRANK(AV:AV,Data!$AV773)*100</f>
        <v>28.7</v>
      </c>
      <c r="AX773" s="23" t="str">
        <f>_xlfn.CONCAT(TEXT(C773,"mmm"),"-",Data!$AE773)</f>
        <v>Mar-2025</v>
      </c>
    </row>
    <row r="774" spans="1:50" ht="17" thickTop="1" thickBot="1" x14ac:dyDescent="0.25">
      <c r="A774" s="28">
        <v>773</v>
      </c>
      <c r="B774" s="29">
        <f t="shared" si="98"/>
        <v>16</v>
      </c>
      <c r="C774" s="41">
        <v>45738</v>
      </c>
      <c r="D774" s="30">
        <f>SUM(Data!$I774:$M774)</f>
        <v>56</v>
      </c>
      <c r="E774" s="29">
        <v>9</v>
      </c>
      <c r="F774" s="29">
        <v>526</v>
      </c>
      <c r="G774" s="29">
        <v>167</v>
      </c>
      <c r="H774" s="29">
        <v>116</v>
      </c>
      <c r="I774" s="29">
        <v>24</v>
      </c>
      <c r="J774" s="29">
        <v>14</v>
      </c>
      <c r="K774" s="29">
        <v>9</v>
      </c>
      <c r="L774" s="29">
        <v>8</v>
      </c>
      <c r="M774" s="29">
        <v>1</v>
      </c>
      <c r="N774" s="29" t="s">
        <v>125</v>
      </c>
      <c r="O774" s="29" t="s">
        <v>79</v>
      </c>
      <c r="P774" s="29" t="s">
        <v>230</v>
      </c>
      <c r="Q774" s="29">
        <f t="shared" si="104"/>
        <v>3</v>
      </c>
      <c r="R774" s="29" t="str">
        <f t="shared" si="99"/>
        <v>3-2025</v>
      </c>
      <c r="S774" s="29" t="s">
        <v>117</v>
      </c>
      <c r="T774" s="29" t="str">
        <f t="shared" si="100"/>
        <v>Saturday</v>
      </c>
      <c r="U774" s="29">
        <f t="shared" si="101"/>
        <v>0</v>
      </c>
      <c r="V774" s="31">
        <f>IFERROR(Data!$I774/Data!$D774,"")</f>
        <v>0.42857142857142855</v>
      </c>
      <c r="W774" s="31">
        <f>IFERROR(Data!$J774/Data!$D774,"")</f>
        <v>0.25</v>
      </c>
      <c r="X774" s="31">
        <f>IFERROR(Data!$K774/Data!$D774,"")</f>
        <v>0.16071428571428573</v>
      </c>
      <c r="Y774" s="31">
        <f>IFERROR(Data!$L774/Data!$D774,"")</f>
        <v>0.14285714285714285</v>
      </c>
      <c r="Z774" s="31">
        <f>IFERROR(Data!$M774/Data!$D774,"")</f>
        <v>1.7857142857142856E-2</v>
      </c>
      <c r="AA774" s="32">
        <v>169</v>
      </c>
      <c r="AB774" s="32">
        <f t="shared" si="97"/>
        <v>10.5625</v>
      </c>
      <c r="AC774" s="29">
        <f t="shared" si="102"/>
        <v>619.3125</v>
      </c>
      <c r="AD774" s="29">
        <f t="shared" si="103"/>
        <v>13.9375</v>
      </c>
      <c r="AE774" s="29">
        <f>YEAR(Data!$C774)</f>
        <v>2025</v>
      </c>
      <c r="AF774" s="29"/>
      <c r="AG774" s="29">
        <v>12</v>
      </c>
      <c r="AH774" s="33">
        <f>Data!$F774/Data!$D774</f>
        <v>9.3928571428571423</v>
      </c>
      <c r="AI774" s="17" t="str">
        <f>RIGHT(Data!$O774,2)</f>
        <v>AM</v>
      </c>
      <c r="AJ774" s="29" t="str">
        <f>Data!$R774&amp;"-"&amp;WEEKNUM(Data!$C774,1)-WEEKNUM(DATE(YEAR(Data!$C774),MONTH(Data!$C774),1),1)+1</f>
        <v>3-2025-4</v>
      </c>
      <c r="AK774" s="29">
        <f>MONTH(Data!$C774)</f>
        <v>3</v>
      </c>
      <c r="AL774" s="29">
        <f>IFERROR(Data!$F774/Data!$E774,0)</f>
        <v>58.444444444444443</v>
      </c>
      <c r="AM774" s="29">
        <f>COUNTIF(Data!$N$2:$N$825,Data!$N774)</f>
        <v>182</v>
      </c>
      <c r="AN774" s="29" t="str">
        <f>VLOOKUP(Data!$N774,'Helpful Tables'!A:D,4,FALSE)</f>
        <v>Oregon</v>
      </c>
      <c r="AO774" s="29">
        <f>COUNTIF(AN:AN,Data!$AN774)/COUNTA(AN:AN)</f>
        <v>0.27393939393939393</v>
      </c>
      <c r="AP774" s="29">
        <v>45.534162000000002</v>
      </c>
      <c r="AQ774" s="29">
        <v>-122.69670000000001</v>
      </c>
      <c r="AR774" s="29">
        <f>COUNTIF(Data!$P$2:$P$825,Data!$P774)</f>
        <v>1</v>
      </c>
      <c r="AS774" s="29" cm="1">
        <f t="array" ref="AS774">_xlfn.IFS(Data!$E774&lt;12,((Data!$E774/Data!$D774)*60)*1,AND(Data!$E774&gt;=12,Data!$E774&lt;=15),((Data!$E774/Data!$D774)*60)*1.2,AND(Data!$E774&gt;=16,Data!$E774&lt;=19),((Data!$E774/Data!$D774)*60)*1.5,Data!$E774&gt;=20,((Data!$E774/Data!$D774)*60)*1.8)</f>
        <v>9.6428571428571441</v>
      </c>
      <c r="AT774" s="29" cm="1">
        <f t="array" ref="AT774">_xlfn.IFS(Data!$F774&lt;600,((Data!$F774/Data!$D774)*60)*1,AND(Data!$F774&gt;=600,Data!$F774&lt;=625),((Data!$F774/Data!$D774)*60)*1.2,AND(Data!$F774&gt;=626,Data!$F774&lt;=650),((Data!$F774/Data!$D774)*60)*1.5,Data!$F774&gt;=651,((Data!$F774/Data!$D774)*60)*1.8)</f>
        <v>563.57142857142856</v>
      </c>
      <c r="AU774" s="29">
        <f>(Data!$I774*-1.2)+(Data!$J774*-1.1)+(Data!$K774*1.2)+(Data!$L774*1.3)+(Data!$M774*1.5)</f>
        <v>-21.500000000000007</v>
      </c>
      <c r="AV774" s="29">
        <f>(Data!$AS774*0.4)+(Data!$AT774*0.4)+(Data!$AU774*0.2)</f>
        <v>224.98571428571429</v>
      </c>
      <c r="AW774" s="34">
        <f>PERCENTRANK(AV:AV,Data!$AV774)*100</f>
        <v>5</v>
      </c>
      <c r="AX774" s="29" t="str">
        <f>_xlfn.CONCAT(TEXT(C774,"mmm"),"-",Data!$AE774)</f>
        <v>Mar-2025</v>
      </c>
    </row>
    <row r="775" spans="1:50" ht="17" thickTop="1" thickBot="1" x14ac:dyDescent="0.25">
      <c r="A775" s="22">
        <v>774</v>
      </c>
      <c r="B775" s="23">
        <f t="shared" si="98"/>
        <v>16</v>
      </c>
      <c r="C775" s="41">
        <v>45739</v>
      </c>
      <c r="D775" s="24">
        <f>SUM(Data!$I775:$M775)</f>
        <v>59</v>
      </c>
      <c r="E775" s="23">
        <v>15</v>
      </c>
      <c r="F775" s="23">
        <v>635</v>
      </c>
      <c r="G775" s="23">
        <v>164</v>
      </c>
      <c r="H775" s="23">
        <v>124</v>
      </c>
      <c r="I775" s="23">
        <v>15</v>
      </c>
      <c r="J775" s="23">
        <v>18</v>
      </c>
      <c r="K775" s="23">
        <v>11</v>
      </c>
      <c r="L775" s="23">
        <v>12</v>
      </c>
      <c r="M775" s="23">
        <v>3</v>
      </c>
      <c r="N775" s="23" t="s">
        <v>208</v>
      </c>
      <c r="O775" s="23" t="s">
        <v>76</v>
      </c>
      <c r="P775" s="23" t="s">
        <v>209</v>
      </c>
      <c r="Q775" s="23">
        <f t="shared" si="104"/>
        <v>1</v>
      </c>
      <c r="R775" s="23" t="str">
        <f t="shared" si="99"/>
        <v>3-2025</v>
      </c>
      <c r="S775" s="23" t="s">
        <v>104</v>
      </c>
      <c r="T775" s="23" t="str">
        <f t="shared" si="100"/>
        <v>Sunday</v>
      </c>
      <c r="U775" s="23">
        <f t="shared" si="101"/>
        <v>1</v>
      </c>
      <c r="V775" s="25">
        <f>IFERROR(Data!$I775/Data!$D775,"")</f>
        <v>0.25423728813559321</v>
      </c>
      <c r="W775" s="25">
        <f>IFERROR(Data!$J775/Data!$D775,"")</f>
        <v>0.30508474576271188</v>
      </c>
      <c r="X775" s="25">
        <f>IFERROR(Data!$K775/Data!$D775,"")</f>
        <v>0.1864406779661017</v>
      </c>
      <c r="Y775" s="25">
        <f>IFERROR(Data!$L775/Data!$D775,"")</f>
        <v>0.20338983050847459</v>
      </c>
      <c r="Z775" s="25">
        <f>IFERROR(Data!$M775/Data!$D775,"")</f>
        <v>5.0847457627118647E-2</v>
      </c>
      <c r="AA775" s="26">
        <v>169</v>
      </c>
      <c r="AB775" s="26">
        <f t="shared" si="97"/>
        <v>10.5625</v>
      </c>
      <c r="AC775" s="23">
        <f t="shared" si="102"/>
        <v>619.3125</v>
      </c>
      <c r="AD775" s="23">
        <f t="shared" si="103"/>
        <v>13.9375</v>
      </c>
      <c r="AE775" s="23">
        <f>YEAR(Data!$C775)</f>
        <v>2025</v>
      </c>
      <c r="AF775" s="23"/>
      <c r="AG775" s="23">
        <v>12</v>
      </c>
      <c r="AH775" s="27">
        <f>Data!$F775/Data!$D775</f>
        <v>10.76271186440678</v>
      </c>
      <c r="AI775" s="17" t="str">
        <f>RIGHT(Data!$O775,2)</f>
        <v>AM</v>
      </c>
      <c r="AJ775" s="23" t="str">
        <f>Data!$R775&amp;"-"&amp;WEEKNUM(Data!$C775,1)-WEEKNUM(DATE(YEAR(Data!$C775),MONTH(Data!$C775),1),1)+1</f>
        <v>3-2025-5</v>
      </c>
      <c r="AK775" s="23">
        <f>MONTH(Data!$C775)</f>
        <v>3</v>
      </c>
      <c r="AL775" s="23">
        <f>IFERROR(Data!$F775/Data!$E775,0)</f>
        <v>42.333333333333336</v>
      </c>
      <c r="AM775" s="23">
        <f>COUNTIF(Data!$N$2:$N$825,Data!$N775)</f>
        <v>42</v>
      </c>
      <c r="AN775" s="23" t="str">
        <f>VLOOKUP(Data!$N775,'Helpful Tables'!A:D,4,FALSE)</f>
        <v>Oregon</v>
      </c>
      <c r="AO775" s="23">
        <f>COUNTIF(AN:AN,Data!$AN775)/COUNTA(AN:AN)</f>
        <v>0.27393939393939393</v>
      </c>
      <c r="AP775" s="23">
        <v>45.525092999999998</v>
      </c>
      <c r="AQ775" s="23">
        <v>-122.681383</v>
      </c>
      <c r="AR775" s="23">
        <f>COUNTIF(Data!$P$2:$P$825,Data!$P775)</f>
        <v>18</v>
      </c>
      <c r="AS775" s="23" cm="1">
        <f t="array" ref="AS775">_xlfn.IFS(Data!$E775&lt;12,((Data!$E775/Data!$D775)*60)*1,AND(Data!$E775&gt;=12,Data!$E775&lt;=15),((Data!$E775/Data!$D775)*60)*1.2,AND(Data!$E775&gt;=16,Data!$E775&lt;=19),((Data!$E775/Data!$D775)*60)*1.5,Data!$E775&gt;=20,((Data!$E775/Data!$D775)*60)*1.8)</f>
        <v>18.305084745762709</v>
      </c>
      <c r="AT775" s="23" cm="1">
        <f t="array" ref="AT775">_xlfn.IFS(Data!$F775&lt;600,((Data!$F775/Data!$D775)*60)*1,AND(Data!$F775&gt;=600,Data!$F775&lt;=625),((Data!$F775/Data!$D775)*60)*1.2,AND(Data!$F775&gt;=626,Data!$F775&lt;=650),((Data!$F775/Data!$D775)*60)*1.5,Data!$F775&gt;=651,((Data!$F775/Data!$D775)*60)*1.8)</f>
        <v>968.64406779661022</v>
      </c>
      <c r="AU775" s="23">
        <f>(Data!$I775*-1.2)+(Data!$J775*-1.1)+(Data!$K775*1.2)+(Data!$L775*1.3)+(Data!$M775*1.5)</f>
        <v>-4.4999999999999964</v>
      </c>
      <c r="AV775" s="23">
        <f>(Data!$AS775*0.4)+(Data!$AT775*0.4)+(Data!$AU775*0.2)</f>
        <v>393.87966101694923</v>
      </c>
      <c r="AW775" s="35">
        <f>PERCENTRANK(AV:AV,Data!$AV775)*100</f>
        <v>48.699999999999996</v>
      </c>
      <c r="AX775" s="23" t="str">
        <f>_xlfn.CONCAT(TEXT(C775,"mmm"),"-",Data!$AE775)</f>
        <v>Mar-2025</v>
      </c>
    </row>
    <row r="776" spans="1:50" ht="17" thickTop="1" thickBot="1" x14ac:dyDescent="0.25">
      <c r="A776" s="28">
        <v>775</v>
      </c>
      <c r="B776" s="29">
        <f t="shared" si="98"/>
        <v>16</v>
      </c>
      <c r="C776" s="41">
        <v>45742</v>
      </c>
      <c r="D776" s="30">
        <f>SUM(Data!$I776:$M776)</f>
        <v>60</v>
      </c>
      <c r="E776" s="29">
        <v>12</v>
      </c>
      <c r="F776" s="29">
        <v>664</v>
      </c>
      <c r="G776" s="29">
        <v>169</v>
      </c>
      <c r="H776" s="29">
        <v>126</v>
      </c>
      <c r="I776" s="29">
        <v>16</v>
      </c>
      <c r="J776" s="29">
        <v>11</v>
      </c>
      <c r="K776" s="29">
        <v>21</v>
      </c>
      <c r="L776" s="29">
        <v>11</v>
      </c>
      <c r="M776" s="29">
        <v>1</v>
      </c>
      <c r="N776" s="29" t="s">
        <v>125</v>
      </c>
      <c r="O776" s="29" t="s">
        <v>127</v>
      </c>
      <c r="P776" s="29" t="s">
        <v>231</v>
      </c>
      <c r="Q776" s="29">
        <f t="shared" si="104"/>
        <v>3</v>
      </c>
      <c r="R776" s="29" t="str">
        <f t="shared" si="99"/>
        <v>3-2025</v>
      </c>
      <c r="S776" s="29" t="s">
        <v>104</v>
      </c>
      <c r="T776" s="29" t="str">
        <f t="shared" si="100"/>
        <v>Wednesday</v>
      </c>
      <c r="U776" s="29">
        <f t="shared" si="101"/>
        <v>1</v>
      </c>
      <c r="V776" s="31">
        <f>IFERROR(Data!$I776/Data!$D776,"")</f>
        <v>0.26666666666666666</v>
      </c>
      <c r="W776" s="31">
        <f>IFERROR(Data!$J776/Data!$D776,"")</f>
        <v>0.18333333333333332</v>
      </c>
      <c r="X776" s="31">
        <f>IFERROR(Data!$K776/Data!$D776,"")</f>
        <v>0.35</v>
      </c>
      <c r="Y776" s="31">
        <f>IFERROR(Data!$L776/Data!$D776,"")</f>
        <v>0.18333333333333332</v>
      </c>
      <c r="Z776" s="31">
        <f>IFERROR(Data!$M776/Data!$D776,"")</f>
        <v>1.6666666666666666E-2</v>
      </c>
      <c r="AA776" s="32">
        <v>169</v>
      </c>
      <c r="AB776" s="32">
        <f t="shared" si="97"/>
        <v>10.5625</v>
      </c>
      <c r="AC776" s="29">
        <f t="shared" si="102"/>
        <v>619.3125</v>
      </c>
      <c r="AD776" s="29">
        <f t="shared" si="103"/>
        <v>13.9375</v>
      </c>
      <c r="AE776" s="29">
        <f>YEAR(Data!$C776)</f>
        <v>2025</v>
      </c>
      <c r="AF776" s="29"/>
      <c r="AG776" s="29">
        <v>12</v>
      </c>
      <c r="AH776" s="33">
        <f>Data!$F776/Data!$D776</f>
        <v>11.066666666666666</v>
      </c>
      <c r="AI776" s="17" t="str">
        <f>RIGHT(Data!$O776,2)</f>
        <v>PM</v>
      </c>
      <c r="AJ776" s="29" t="str">
        <f>Data!$R776&amp;"-"&amp;WEEKNUM(Data!$C776,1)-WEEKNUM(DATE(YEAR(Data!$C776),MONTH(Data!$C776),1),1)+1</f>
        <v>3-2025-5</v>
      </c>
      <c r="AK776" s="29">
        <f>MONTH(Data!$C776)</f>
        <v>3</v>
      </c>
      <c r="AL776" s="29">
        <f>IFERROR(Data!$F776/Data!$E776,0)</f>
        <v>55.333333333333336</v>
      </c>
      <c r="AM776" s="29">
        <f>COUNTIF(Data!$N$2:$N$825,Data!$N776)</f>
        <v>182</v>
      </c>
      <c r="AN776" s="29" t="str">
        <f>VLOOKUP(Data!$N776,'Helpful Tables'!A:D,4,FALSE)</f>
        <v>Oregon</v>
      </c>
      <c r="AO776" s="29">
        <f>COUNTIF(AN:AN,Data!$AN776)/COUNTA(AN:AN)</f>
        <v>0.27393939393939393</v>
      </c>
      <c r="AP776" s="29">
        <v>45.534162000000002</v>
      </c>
      <c r="AQ776" s="29">
        <v>-122.69670000000001</v>
      </c>
      <c r="AR776" s="29">
        <f>COUNTIF(Data!$P$2:$P$825,Data!$P776)</f>
        <v>1</v>
      </c>
      <c r="AS776" s="29" cm="1">
        <f t="array" ref="AS776">_xlfn.IFS(Data!$E776&lt;12,((Data!$E776/Data!$D776)*60)*1,AND(Data!$E776&gt;=12,Data!$E776&lt;=15),((Data!$E776/Data!$D776)*60)*1.2,AND(Data!$E776&gt;=16,Data!$E776&lt;=19),((Data!$E776/Data!$D776)*60)*1.5,Data!$E776&gt;=20,((Data!$E776/Data!$D776)*60)*1.8)</f>
        <v>14.399999999999999</v>
      </c>
      <c r="AT776" s="29" cm="1">
        <f t="array" ref="AT776">_xlfn.IFS(Data!$F776&lt;600,((Data!$F776/Data!$D776)*60)*1,AND(Data!$F776&gt;=600,Data!$F776&lt;=625),((Data!$F776/Data!$D776)*60)*1.2,AND(Data!$F776&gt;=626,Data!$F776&lt;=650),((Data!$F776/Data!$D776)*60)*1.5,Data!$F776&gt;=651,((Data!$F776/Data!$D776)*60)*1.8)</f>
        <v>1195.2</v>
      </c>
      <c r="AU776" s="29">
        <f>(Data!$I776*-1.2)+(Data!$J776*-1.1)+(Data!$K776*1.2)+(Data!$L776*1.3)+(Data!$M776*1.5)</f>
        <v>9.6999999999999993</v>
      </c>
      <c r="AV776" s="29">
        <f>(Data!$AS776*0.4)+(Data!$AT776*0.4)+(Data!$AU776*0.2)</f>
        <v>485.78000000000003</v>
      </c>
      <c r="AW776" s="34">
        <f>PERCENTRANK(AV:AV,Data!$AV776)*100</f>
        <v>70.7</v>
      </c>
      <c r="AX776" s="29" t="str">
        <f>_xlfn.CONCAT(TEXT(C776,"mmm"),"-",Data!$AE776)</f>
        <v>Mar-2025</v>
      </c>
    </row>
    <row r="777" spans="1:50" ht="17" thickTop="1" thickBot="1" x14ac:dyDescent="0.25">
      <c r="A777" s="22">
        <v>776</v>
      </c>
      <c r="B777" s="23">
        <f t="shared" si="98"/>
        <v>16</v>
      </c>
      <c r="C777" s="41">
        <v>45744</v>
      </c>
      <c r="D777" s="24">
        <f>SUM(Data!$I777:$M777)</f>
        <v>59</v>
      </c>
      <c r="E777" s="23">
        <v>17</v>
      </c>
      <c r="F777" s="23">
        <v>612</v>
      </c>
      <c r="G777" s="23">
        <v>164</v>
      </c>
      <c r="H777" s="23">
        <v>121</v>
      </c>
      <c r="I777" s="23">
        <v>24</v>
      </c>
      <c r="J777" s="23">
        <v>9</v>
      </c>
      <c r="K777" s="23">
        <v>9</v>
      </c>
      <c r="L777" s="23">
        <v>16</v>
      </c>
      <c r="M777" s="23">
        <v>1</v>
      </c>
      <c r="N777" s="23" t="s">
        <v>125</v>
      </c>
      <c r="O777" s="23" t="s">
        <v>127</v>
      </c>
      <c r="P777" s="23" t="s">
        <v>222</v>
      </c>
      <c r="Q777" s="23">
        <f t="shared" si="104"/>
        <v>2</v>
      </c>
      <c r="R777" s="23" t="str">
        <f t="shared" si="99"/>
        <v>3-2025</v>
      </c>
      <c r="S777" s="23" t="s">
        <v>104</v>
      </c>
      <c r="T777" s="23" t="str">
        <f t="shared" si="100"/>
        <v>Friday</v>
      </c>
      <c r="U777" s="23">
        <f t="shared" si="101"/>
        <v>1</v>
      </c>
      <c r="V777" s="25">
        <f>IFERROR(Data!$I777/Data!$D777,"")</f>
        <v>0.40677966101694918</v>
      </c>
      <c r="W777" s="25">
        <f>IFERROR(Data!$J777/Data!$D777,"")</f>
        <v>0.15254237288135594</v>
      </c>
      <c r="X777" s="25">
        <f>IFERROR(Data!$K777/Data!$D777,"")</f>
        <v>0.15254237288135594</v>
      </c>
      <c r="Y777" s="25">
        <f>IFERROR(Data!$L777/Data!$D777,"")</f>
        <v>0.2711864406779661</v>
      </c>
      <c r="Z777" s="25">
        <f>IFERROR(Data!$M777/Data!$D777,"")</f>
        <v>1.6949152542372881E-2</v>
      </c>
      <c r="AA777" s="26">
        <v>169</v>
      </c>
      <c r="AB777" s="26">
        <f t="shared" si="97"/>
        <v>10.5625</v>
      </c>
      <c r="AC777" s="23">
        <f t="shared" si="102"/>
        <v>619.3125</v>
      </c>
      <c r="AD777" s="23">
        <f t="shared" si="103"/>
        <v>13.9375</v>
      </c>
      <c r="AE777" s="23">
        <f>YEAR(Data!$C777)</f>
        <v>2025</v>
      </c>
      <c r="AF777" s="23"/>
      <c r="AG777" s="23">
        <v>12</v>
      </c>
      <c r="AH777" s="27">
        <f>Data!$F777/Data!$D777</f>
        <v>10.372881355932204</v>
      </c>
      <c r="AI777" s="17" t="str">
        <f>RIGHT(Data!$O777,2)</f>
        <v>PM</v>
      </c>
      <c r="AJ777" s="23" t="str">
        <f>Data!$R777&amp;"-"&amp;WEEKNUM(Data!$C777,1)-WEEKNUM(DATE(YEAR(Data!$C777),MONTH(Data!$C777),1),1)+1</f>
        <v>3-2025-5</v>
      </c>
      <c r="AK777" s="23">
        <f>MONTH(Data!$C777)</f>
        <v>3</v>
      </c>
      <c r="AL777" s="23">
        <f>IFERROR(Data!$F777/Data!$E777,0)</f>
        <v>36</v>
      </c>
      <c r="AM777" s="23">
        <f>COUNTIF(Data!$N$2:$N$825,Data!$N777)</f>
        <v>182</v>
      </c>
      <c r="AN777" s="23" t="str">
        <f>VLOOKUP(Data!$N777,'Helpful Tables'!A:D,4,FALSE)</f>
        <v>Oregon</v>
      </c>
      <c r="AO777" s="23">
        <f>COUNTIF(AN:AN,Data!$AN777)/COUNTA(AN:AN)</f>
        <v>0.27393939393939393</v>
      </c>
      <c r="AP777" s="23">
        <v>45.534162000000002</v>
      </c>
      <c r="AQ777" s="23">
        <v>-122.69670000000001</v>
      </c>
      <c r="AR777" s="23">
        <f>COUNTIF(Data!$P$2:$P$825,Data!$P777)</f>
        <v>32</v>
      </c>
      <c r="AS777" s="23" cm="1">
        <f t="array" ref="AS777">_xlfn.IFS(Data!$E777&lt;12,((Data!$E777/Data!$D777)*60)*1,AND(Data!$E777&gt;=12,Data!$E777&lt;=15),((Data!$E777/Data!$D777)*60)*1.2,AND(Data!$E777&gt;=16,Data!$E777&lt;=19),((Data!$E777/Data!$D777)*60)*1.5,Data!$E777&gt;=20,((Data!$E777/Data!$D777)*60)*1.8)</f>
        <v>25.932203389830509</v>
      </c>
      <c r="AT777" s="23" cm="1">
        <f t="array" ref="AT777">_xlfn.IFS(Data!$F777&lt;600,((Data!$F777/Data!$D777)*60)*1,AND(Data!$F777&gt;=600,Data!$F777&lt;=625),((Data!$F777/Data!$D777)*60)*1.2,AND(Data!$F777&gt;=626,Data!$F777&lt;=650),((Data!$F777/Data!$D777)*60)*1.5,Data!$F777&gt;=651,((Data!$F777/Data!$D777)*60)*1.8)</f>
        <v>746.84745762711862</v>
      </c>
      <c r="AU777" s="23">
        <f>(Data!$I777*-1.2)+(Data!$J777*-1.1)+(Data!$K777*1.2)+(Data!$L777*1.3)+(Data!$M777*1.5)</f>
        <v>-5.5999999999999979</v>
      </c>
      <c r="AV777" s="23">
        <f>(Data!$AS777*0.4)+(Data!$AT777*0.4)+(Data!$AU777*0.2)</f>
        <v>307.99186440677965</v>
      </c>
      <c r="AW777" s="35">
        <f>PERCENTRANK(AV:AV,Data!$AV777)*100</f>
        <v>30.099999999999998</v>
      </c>
      <c r="AX777" s="23" t="str">
        <f>_xlfn.CONCAT(TEXT(C777,"mmm"),"-",Data!$AE777)</f>
        <v>Mar-2025</v>
      </c>
    </row>
    <row r="778" spans="1:50" ht="17" thickTop="1" thickBot="1" x14ac:dyDescent="0.25">
      <c r="A778" s="28">
        <v>777</v>
      </c>
      <c r="B778" s="29">
        <f t="shared" si="98"/>
        <v>16</v>
      </c>
      <c r="C778" s="41">
        <v>45746</v>
      </c>
      <c r="D778" s="30">
        <f>SUM(Data!$I778:$M778)</f>
        <v>61</v>
      </c>
      <c r="E778" s="29">
        <v>13</v>
      </c>
      <c r="F778" s="29">
        <v>695</v>
      </c>
      <c r="G778" s="29">
        <v>167</v>
      </c>
      <c r="H778" s="29">
        <v>128</v>
      </c>
      <c r="I778" s="29">
        <v>10</v>
      </c>
      <c r="J778" s="29">
        <v>16</v>
      </c>
      <c r="K778" s="29">
        <v>22</v>
      </c>
      <c r="L778" s="29">
        <v>12</v>
      </c>
      <c r="M778" s="29">
        <v>1</v>
      </c>
      <c r="N778" s="29" t="s">
        <v>232</v>
      </c>
      <c r="O778" s="29" t="s">
        <v>79</v>
      </c>
      <c r="P778" s="29" t="s">
        <v>233</v>
      </c>
      <c r="Q778" s="29">
        <f t="shared" si="104"/>
        <v>2</v>
      </c>
      <c r="R778" s="29" t="str">
        <f t="shared" si="99"/>
        <v>3-2025</v>
      </c>
      <c r="S778" s="29" t="s">
        <v>117</v>
      </c>
      <c r="T778" s="29" t="str">
        <f t="shared" si="100"/>
        <v>Sunday</v>
      </c>
      <c r="U778" s="29">
        <f t="shared" si="101"/>
        <v>1</v>
      </c>
      <c r="V778" s="31">
        <f>IFERROR(Data!$I778/Data!$D778,"")</f>
        <v>0.16393442622950818</v>
      </c>
      <c r="W778" s="31">
        <f>IFERROR(Data!$J778/Data!$D778,"")</f>
        <v>0.26229508196721313</v>
      </c>
      <c r="X778" s="31">
        <f>IFERROR(Data!$K778/Data!$D778,"")</f>
        <v>0.36065573770491804</v>
      </c>
      <c r="Y778" s="31">
        <f>IFERROR(Data!$L778/Data!$D778,"")</f>
        <v>0.19672131147540983</v>
      </c>
      <c r="Z778" s="31">
        <f>IFERROR(Data!$M778/Data!$D778,"")</f>
        <v>1.6393442622950821E-2</v>
      </c>
      <c r="AA778" s="32">
        <v>169</v>
      </c>
      <c r="AB778" s="32">
        <f t="shared" si="97"/>
        <v>10.5625</v>
      </c>
      <c r="AC778" s="29">
        <f t="shared" si="102"/>
        <v>619.3125</v>
      </c>
      <c r="AD778" s="29">
        <f t="shared" si="103"/>
        <v>13.9375</v>
      </c>
      <c r="AE778" s="29">
        <f>YEAR(Data!$C778)</f>
        <v>2025</v>
      </c>
      <c r="AF778" s="29"/>
      <c r="AG778" s="29">
        <v>12</v>
      </c>
      <c r="AH778" s="33">
        <f>Data!$F778/Data!$D778</f>
        <v>11.39344262295082</v>
      </c>
      <c r="AI778" s="17" t="str">
        <f>RIGHT(Data!$O778,2)</f>
        <v>AM</v>
      </c>
      <c r="AJ778" s="29" t="str">
        <f>Data!$R778&amp;"-"&amp;WEEKNUM(Data!$C778,1)-WEEKNUM(DATE(YEAR(Data!$C778),MONTH(Data!$C778),1),1)+1</f>
        <v>3-2025-6</v>
      </c>
      <c r="AK778" s="29">
        <f>MONTH(Data!$C778)</f>
        <v>3</v>
      </c>
      <c r="AL778" s="29">
        <f>IFERROR(Data!$F778/Data!$E778,0)</f>
        <v>53.46153846153846</v>
      </c>
      <c r="AM778" s="29">
        <f>COUNTIF(Data!$N$2:$N$825,Data!$N778)</f>
        <v>1</v>
      </c>
      <c r="AN778" s="29" t="str">
        <f>VLOOKUP(Data!$N778,'Helpful Tables'!A:D,4,FALSE)</f>
        <v>Washington</v>
      </c>
      <c r="AO778" s="29">
        <f>COUNTIF(AN:AN,Data!$AN778)/COUNTA(AN:AN)</f>
        <v>2.4242424242424242E-3</v>
      </c>
      <c r="AP778" s="29">
        <v>45.617420000000003</v>
      </c>
      <c r="AQ778" s="29">
        <v>-122.47685799999999</v>
      </c>
      <c r="AR778" s="29">
        <f>COUNTIF(Data!$P$2:$P$825,Data!$P778)</f>
        <v>1</v>
      </c>
      <c r="AS778" s="29" cm="1">
        <f t="array" ref="AS778">_xlfn.IFS(Data!$E778&lt;12,((Data!$E778/Data!$D778)*60)*1,AND(Data!$E778&gt;=12,Data!$E778&lt;=15),((Data!$E778/Data!$D778)*60)*1.2,AND(Data!$E778&gt;=16,Data!$E778&lt;=19),((Data!$E778/Data!$D778)*60)*1.5,Data!$E778&gt;=20,((Data!$E778/Data!$D778)*60)*1.8)</f>
        <v>15.344262295081965</v>
      </c>
      <c r="AT778" s="29" cm="1">
        <f t="array" ref="AT778">_xlfn.IFS(Data!$F778&lt;600,((Data!$F778/Data!$D778)*60)*1,AND(Data!$F778&gt;=600,Data!$F778&lt;=625),((Data!$F778/Data!$D778)*60)*1.2,AND(Data!$F778&gt;=626,Data!$F778&lt;=650),((Data!$F778/Data!$D778)*60)*1.5,Data!$F778&gt;=651,((Data!$F778/Data!$D778)*60)*1.8)</f>
        <v>1230.4918032786886</v>
      </c>
      <c r="AU778" s="29">
        <f>(Data!$I778*-1.2)+(Data!$J778*-1.1)+(Data!$K778*1.2)+(Data!$L778*1.3)+(Data!$M778*1.5)</f>
        <v>13.899999999999999</v>
      </c>
      <c r="AV778" s="29">
        <f>(Data!$AS778*0.4)+(Data!$AT778*0.4)+(Data!$AU778*0.2)</f>
        <v>501.11442622950824</v>
      </c>
      <c r="AW778" s="34">
        <f>PERCENTRANK(AV:AV,Data!$AV778)*100</f>
        <v>78.2</v>
      </c>
      <c r="AX778" s="29" t="str">
        <f>_xlfn.CONCAT(TEXT(C778,"mmm"),"-",Data!$AE778)</f>
        <v>Mar-2025</v>
      </c>
    </row>
    <row r="779" spans="1:50" ht="17" thickTop="1" thickBot="1" x14ac:dyDescent="0.25">
      <c r="A779" s="22">
        <v>778</v>
      </c>
      <c r="B779" s="23">
        <f t="shared" si="98"/>
        <v>13</v>
      </c>
      <c r="C779" s="41">
        <v>45748</v>
      </c>
      <c r="D779" s="24">
        <f>SUM(Data!$I779:$M779)</f>
        <v>60</v>
      </c>
      <c r="E779" s="23">
        <v>15</v>
      </c>
      <c r="F779" s="23">
        <v>627</v>
      </c>
      <c r="G779" s="23">
        <v>171</v>
      </c>
      <c r="H779" s="23">
        <v>123</v>
      </c>
      <c r="I779" s="23">
        <v>17</v>
      </c>
      <c r="J779" s="23">
        <v>14</v>
      </c>
      <c r="K779" s="23">
        <v>14</v>
      </c>
      <c r="L779" s="23">
        <v>14</v>
      </c>
      <c r="M779" s="23">
        <v>1</v>
      </c>
      <c r="N779" s="23" t="s">
        <v>125</v>
      </c>
      <c r="O779" s="23" t="s">
        <v>127</v>
      </c>
      <c r="P779" s="23" t="s">
        <v>220</v>
      </c>
      <c r="Q779" s="23">
        <f t="shared" si="104"/>
        <v>2</v>
      </c>
      <c r="R779" s="23" t="str">
        <f t="shared" si="99"/>
        <v>4-2025</v>
      </c>
      <c r="S779" s="23" t="s">
        <v>104</v>
      </c>
      <c r="T779" s="23" t="str">
        <f t="shared" si="100"/>
        <v>Tuesday</v>
      </c>
      <c r="U779" s="23">
        <f t="shared" si="101"/>
        <v>1</v>
      </c>
      <c r="V779" s="25">
        <f>IFERROR(Data!$I779/Data!$D779,"")</f>
        <v>0.28333333333333333</v>
      </c>
      <c r="W779" s="25">
        <f>IFERROR(Data!$J779/Data!$D779,"")</f>
        <v>0.23333333333333334</v>
      </c>
      <c r="X779" s="25">
        <f>IFERROR(Data!$K779/Data!$D779,"")</f>
        <v>0.23333333333333334</v>
      </c>
      <c r="Y779" s="25">
        <f>IFERROR(Data!$L779/Data!$D779,"")</f>
        <v>0.23333333333333334</v>
      </c>
      <c r="Z779" s="25">
        <f>IFERROR(Data!$M779/Data!$D779,"")</f>
        <v>1.6666666666666666E-2</v>
      </c>
      <c r="AA779" s="26">
        <v>169</v>
      </c>
      <c r="AB779" s="26">
        <f t="shared" si="97"/>
        <v>13</v>
      </c>
      <c r="AC779" s="23">
        <f t="shared" si="102"/>
        <v>617.23076923076928</v>
      </c>
      <c r="AD779" s="23">
        <f t="shared" si="103"/>
        <v>14.846153846153847</v>
      </c>
      <c r="AE779" s="23">
        <f>YEAR(Data!$C779)</f>
        <v>2025</v>
      </c>
      <c r="AF779" s="23"/>
      <c r="AG779" s="23">
        <v>12</v>
      </c>
      <c r="AH779" s="27">
        <f>Data!$F779/Data!$D779</f>
        <v>10.45</v>
      </c>
      <c r="AI779" s="17" t="str">
        <f>RIGHT(Data!$O779,2)</f>
        <v>PM</v>
      </c>
      <c r="AJ779" s="23" t="str">
        <f>Data!$R779&amp;"-"&amp;WEEKNUM(Data!$C779,1)-WEEKNUM(DATE(YEAR(Data!$C779),MONTH(Data!$C779),1),1)+1</f>
        <v>4-2025-1</v>
      </c>
      <c r="AK779" s="23">
        <f>MONTH(Data!$C779)</f>
        <v>4</v>
      </c>
      <c r="AL779" s="23">
        <f>IFERROR(Data!$F779/Data!$E779,0)</f>
        <v>41.8</v>
      </c>
      <c r="AM779" s="23">
        <f>COUNTIF(Data!$N$2:$N$825,Data!$N779)</f>
        <v>182</v>
      </c>
      <c r="AN779" s="23" t="str">
        <f>VLOOKUP(Data!$N779,'Helpful Tables'!A:D,4,FALSE)</f>
        <v>Oregon</v>
      </c>
      <c r="AO779" s="23">
        <f>COUNTIF(AN:AN,Data!$AN779)/COUNTA(AN:AN)</f>
        <v>0.27393939393939393</v>
      </c>
      <c r="AP779" s="23">
        <v>45.534162000000002</v>
      </c>
      <c r="AQ779" s="23">
        <v>-122.69670000000001</v>
      </c>
      <c r="AR779" s="23">
        <f>COUNTIF(Data!$P$2:$P$825,Data!$P779)</f>
        <v>43</v>
      </c>
      <c r="AS779" s="23" cm="1">
        <f t="array" ref="AS779">_xlfn.IFS(Data!$E779&lt;12,((Data!$E779/Data!$D779)*60)*1,AND(Data!$E779&gt;=12,Data!$E779&lt;=15),((Data!$E779/Data!$D779)*60)*1.2,AND(Data!$E779&gt;=16,Data!$E779&lt;=19),((Data!$E779/Data!$D779)*60)*1.5,Data!$E779&gt;=20,((Data!$E779/Data!$D779)*60)*1.8)</f>
        <v>18</v>
      </c>
      <c r="AT779" s="23" cm="1">
        <f t="array" ref="AT779">_xlfn.IFS(Data!$F779&lt;600,((Data!$F779/Data!$D779)*60)*1,AND(Data!$F779&gt;=600,Data!$F779&lt;=625),((Data!$F779/Data!$D779)*60)*1.2,AND(Data!$F779&gt;=626,Data!$F779&lt;=650),((Data!$F779/Data!$D779)*60)*1.5,Data!$F779&gt;=651,((Data!$F779/Data!$D779)*60)*1.8)</f>
        <v>940.5</v>
      </c>
      <c r="AU779" s="23">
        <f>(Data!$I779*-1.2)+(Data!$J779*-1.1)+(Data!$K779*1.2)+(Data!$L779*1.3)+(Data!$M779*1.5)</f>
        <v>0.70000000000000284</v>
      </c>
      <c r="AV779" s="23">
        <f>(Data!$AS779*0.4)+(Data!$AT779*0.4)+(Data!$AU779*0.2)</f>
        <v>383.54</v>
      </c>
      <c r="AW779" s="35">
        <f>PERCENTRANK(AV:AV,Data!$AV779)*100</f>
        <v>46.400000000000006</v>
      </c>
      <c r="AX779" s="23" t="str">
        <f>_xlfn.CONCAT(TEXT(C779,"mmm"),"-",Data!$AE779)</f>
        <v>Apr-2025</v>
      </c>
    </row>
    <row r="780" spans="1:50" ht="17" thickTop="1" thickBot="1" x14ac:dyDescent="0.25">
      <c r="A780" s="28">
        <v>779</v>
      </c>
      <c r="B780" s="29">
        <f t="shared" si="98"/>
        <v>13</v>
      </c>
      <c r="C780" s="41">
        <v>45750</v>
      </c>
      <c r="D780" s="30">
        <f>SUM(Data!$I780:$M780)</f>
        <v>58</v>
      </c>
      <c r="E780" s="29">
        <v>9</v>
      </c>
      <c r="F780" s="29">
        <v>573</v>
      </c>
      <c r="G780" s="29">
        <v>167</v>
      </c>
      <c r="H780" s="29">
        <v>118</v>
      </c>
      <c r="I780" s="29">
        <v>22</v>
      </c>
      <c r="J780" s="29">
        <v>15</v>
      </c>
      <c r="K780" s="29">
        <v>12</v>
      </c>
      <c r="L780" s="29">
        <v>8</v>
      </c>
      <c r="M780" s="29">
        <v>1</v>
      </c>
      <c r="N780" s="29" t="s">
        <v>125</v>
      </c>
      <c r="O780" s="29" t="s">
        <v>127</v>
      </c>
      <c r="P780" s="29" t="s">
        <v>222</v>
      </c>
      <c r="Q780" s="29">
        <f t="shared" si="104"/>
        <v>2</v>
      </c>
      <c r="R780" s="29" t="str">
        <f t="shared" si="99"/>
        <v>4-2025</v>
      </c>
      <c r="S780" s="29" t="s">
        <v>104</v>
      </c>
      <c r="T780" s="29" t="str">
        <f t="shared" si="100"/>
        <v>Thursday</v>
      </c>
      <c r="U780" s="29">
        <f t="shared" si="101"/>
        <v>0</v>
      </c>
      <c r="V780" s="31">
        <f>IFERROR(Data!$I780/Data!$D780,"")</f>
        <v>0.37931034482758619</v>
      </c>
      <c r="W780" s="31">
        <f>IFERROR(Data!$J780/Data!$D780,"")</f>
        <v>0.25862068965517243</v>
      </c>
      <c r="X780" s="31">
        <f>IFERROR(Data!$K780/Data!$D780,"")</f>
        <v>0.20689655172413793</v>
      </c>
      <c r="Y780" s="31">
        <f>IFERROR(Data!$L780/Data!$D780,"")</f>
        <v>0.13793103448275862</v>
      </c>
      <c r="Z780" s="31">
        <f>IFERROR(Data!$M780/Data!$D780,"")</f>
        <v>1.7241379310344827E-2</v>
      </c>
      <c r="AA780" s="32">
        <v>169</v>
      </c>
      <c r="AB780" s="32">
        <f t="shared" si="97"/>
        <v>13</v>
      </c>
      <c r="AC780" s="29">
        <f t="shared" si="102"/>
        <v>617.23076923076928</v>
      </c>
      <c r="AD780" s="29">
        <f t="shared" si="103"/>
        <v>14.846153846153847</v>
      </c>
      <c r="AE780" s="29">
        <f>YEAR(Data!$C780)</f>
        <v>2025</v>
      </c>
      <c r="AF780" s="29"/>
      <c r="AG780" s="29">
        <v>12</v>
      </c>
      <c r="AH780" s="33">
        <f>Data!$F780/Data!$D780</f>
        <v>9.8793103448275854</v>
      </c>
      <c r="AI780" s="17" t="str">
        <f>RIGHT(Data!$O780,2)</f>
        <v>PM</v>
      </c>
      <c r="AJ780" s="29" t="str">
        <f>Data!$R780&amp;"-"&amp;WEEKNUM(Data!$C780,1)-WEEKNUM(DATE(YEAR(Data!$C780),MONTH(Data!$C780),1),1)+1</f>
        <v>4-2025-1</v>
      </c>
      <c r="AK780" s="29">
        <f>MONTH(Data!$C780)</f>
        <v>4</v>
      </c>
      <c r="AL780" s="29">
        <f>IFERROR(Data!$F780/Data!$E780,0)</f>
        <v>63.666666666666664</v>
      </c>
      <c r="AM780" s="29">
        <f>COUNTIF(Data!$N$2:$N$825,Data!$N780)</f>
        <v>182</v>
      </c>
      <c r="AN780" s="29" t="str">
        <f>VLOOKUP(Data!$N780,'Helpful Tables'!A:D,4,FALSE)</f>
        <v>Oregon</v>
      </c>
      <c r="AO780" s="29">
        <f>COUNTIF(AN:AN,Data!$AN780)/COUNTA(AN:AN)</f>
        <v>0.27393939393939393</v>
      </c>
      <c r="AP780" s="29">
        <v>45.534162000000002</v>
      </c>
      <c r="AQ780" s="29">
        <v>-122.69670000000001</v>
      </c>
      <c r="AR780" s="29">
        <f>COUNTIF(Data!$P$2:$P$825,Data!$P780)</f>
        <v>32</v>
      </c>
      <c r="AS780" s="29" cm="1">
        <f t="array" ref="AS780">_xlfn.IFS(Data!$E780&lt;12,((Data!$E780/Data!$D780)*60)*1,AND(Data!$E780&gt;=12,Data!$E780&lt;=15),((Data!$E780/Data!$D780)*60)*1.2,AND(Data!$E780&gt;=16,Data!$E780&lt;=19),((Data!$E780/Data!$D780)*60)*1.5,Data!$E780&gt;=20,((Data!$E780/Data!$D780)*60)*1.8)</f>
        <v>9.3103448275862064</v>
      </c>
      <c r="AT780" s="29" cm="1">
        <f t="array" ref="AT780">_xlfn.IFS(Data!$F780&lt;600,((Data!$F780/Data!$D780)*60)*1,AND(Data!$F780&gt;=600,Data!$F780&lt;=625),((Data!$F780/Data!$D780)*60)*1.2,AND(Data!$F780&gt;=626,Data!$F780&lt;=650),((Data!$F780/Data!$D780)*60)*1.5,Data!$F780&gt;=651,((Data!$F780/Data!$D780)*60)*1.8)</f>
        <v>592.75862068965512</v>
      </c>
      <c r="AU780" s="29">
        <f>(Data!$I780*-1.2)+(Data!$J780*-1.1)+(Data!$K780*1.2)+(Data!$L780*1.3)+(Data!$M780*1.5)</f>
        <v>-16.600000000000001</v>
      </c>
      <c r="AV780" s="29">
        <f>(Data!$AS780*0.4)+(Data!$AT780*0.4)+(Data!$AU780*0.2)</f>
        <v>237.50758620689655</v>
      </c>
      <c r="AW780" s="34">
        <f>PERCENTRANK(AV:AV,Data!$AV780)*100</f>
        <v>10.7</v>
      </c>
      <c r="AX780" s="29" t="str">
        <f>_xlfn.CONCAT(TEXT(C780,"mmm"),"-",Data!$AE780)</f>
        <v>Apr-2025</v>
      </c>
    </row>
    <row r="781" spans="1:50" ht="17" thickTop="1" thickBot="1" x14ac:dyDescent="0.25">
      <c r="A781" s="22">
        <v>780</v>
      </c>
      <c r="B781" s="23">
        <f t="shared" si="98"/>
        <v>13</v>
      </c>
      <c r="C781" s="41">
        <v>45753</v>
      </c>
      <c r="D781" s="24">
        <f>SUM(Data!$I781:$M781)</f>
        <v>58</v>
      </c>
      <c r="E781" s="23">
        <v>15</v>
      </c>
      <c r="F781" s="23">
        <v>624</v>
      </c>
      <c r="G781" s="23">
        <v>168</v>
      </c>
      <c r="H781" s="23">
        <v>124</v>
      </c>
      <c r="I781" s="23">
        <v>14</v>
      </c>
      <c r="J781" s="23">
        <v>19</v>
      </c>
      <c r="K781" s="23">
        <v>10</v>
      </c>
      <c r="L781" s="23">
        <v>13</v>
      </c>
      <c r="M781" s="23">
        <v>2</v>
      </c>
      <c r="N781" s="23" t="s">
        <v>208</v>
      </c>
      <c r="O781" s="23" t="s">
        <v>76</v>
      </c>
      <c r="P781" s="23" t="s">
        <v>209</v>
      </c>
      <c r="Q781" s="23">
        <f t="shared" si="104"/>
        <v>3</v>
      </c>
      <c r="R781" s="23" t="str">
        <f t="shared" si="99"/>
        <v>4-2025</v>
      </c>
      <c r="S781" s="23" t="s">
        <v>104</v>
      </c>
      <c r="T781" s="23" t="str">
        <f t="shared" si="100"/>
        <v>Sunday</v>
      </c>
      <c r="U781" s="23">
        <f t="shared" si="101"/>
        <v>1</v>
      </c>
      <c r="V781" s="25">
        <f>IFERROR(Data!$I781/Data!$D781,"")</f>
        <v>0.2413793103448276</v>
      </c>
      <c r="W781" s="25">
        <f>IFERROR(Data!$J781/Data!$D781,"")</f>
        <v>0.32758620689655171</v>
      </c>
      <c r="X781" s="25">
        <f>IFERROR(Data!$K781/Data!$D781,"")</f>
        <v>0.17241379310344829</v>
      </c>
      <c r="Y781" s="25">
        <f>IFERROR(Data!$L781/Data!$D781,"")</f>
        <v>0.22413793103448276</v>
      </c>
      <c r="Z781" s="25">
        <f>IFERROR(Data!$M781/Data!$D781,"")</f>
        <v>3.4482758620689655E-2</v>
      </c>
      <c r="AA781" s="26">
        <v>169</v>
      </c>
      <c r="AB781" s="26">
        <f t="shared" si="97"/>
        <v>13</v>
      </c>
      <c r="AC781" s="23">
        <f t="shared" si="102"/>
        <v>617.23076923076928</v>
      </c>
      <c r="AD781" s="23">
        <f t="shared" si="103"/>
        <v>14.846153846153847</v>
      </c>
      <c r="AE781" s="23">
        <f>YEAR(Data!$C781)</f>
        <v>2025</v>
      </c>
      <c r="AF781" s="23"/>
      <c r="AG781" s="23">
        <v>12</v>
      </c>
      <c r="AH781" s="27">
        <f>Data!$F781/Data!$D781</f>
        <v>10.758620689655173</v>
      </c>
      <c r="AI781" s="17" t="str">
        <f>RIGHT(Data!$O781,2)</f>
        <v>AM</v>
      </c>
      <c r="AJ781" s="23" t="str">
        <f>Data!$R781&amp;"-"&amp;WEEKNUM(Data!$C781,1)-WEEKNUM(DATE(YEAR(Data!$C781),MONTH(Data!$C781),1),1)+1</f>
        <v>4-2025-2</v>
      </c>
      <c r="AK781" s="23">
        <f>MONTH(Data!$C781)</f>
        <v>4</v>
      </c>
      <c r="AL781" s="23">
        <f>IFERROR(Data!$F781/Data!$E781,0)</f>
        <v>41.6</v>
      </c>
      <c r="AM781" s="23">
        <f>COUNTIF(Data!$N$2:$N$825,Data!$N781)</f>
        <v>42</v>
      </c>
      <c r="AN781" s="23" t="str">
        <f>VLOOKUP(Data!$N781,'Helpful Tables'!A:D,4,FALSE)</f>
        <v>Oregon</v>
      </c>
      <c r="AO781" s="23">
        <f>COUNTIF(AN:AN,Data!$AN781)/COUNTA(AN:AN)</f>
        <v>0.27393939393939393</v>
      </c>
      <c r="AP781" s="23">
        <v>45.525092999999998</v>
      </c>
      <c r="AQ781" s="23">
        <v>-122.681383</v>
      </c>
      <c r="AR781" s="23">
        <f>COUNTIF(Data!$P$2:$P$825,Data!$P781)</f>
        <v>18</v>
      </c>
      <c r="AS781" s="23" cm="1">
        <f t="array" ref="AS781">_xlfn.IFS(Data!$E781&lt;12,((Data!$E781/Data!$D781)*60)*1,AND(Data!$E781&gt;=12,Data!$E781&lt;=15),((Data!$E781/Data!$D781)*60)*1.2,AND(Data!$E781&gt;=16,Data!$E781&lt;=19),((Data!$E781/Data!$D781)*60)*1.5,Data!$E781&gt;=20,((Data!$E781/Data!$D781)*60)*1.8)</f>
        <v>18.620689655172413</v>
      </c>
      <c r="AT781" s="23" cm="1">
        <f t="array" ref="AT781">_xlfn.IFS(Data!$F781&lt;600,((Data!$F781/Data!$D781)*60)*1,AND(Data!$F781&gt;=600,Data!$F781&lt;=625),((Data!$F781/Data!$D781)*60)*1.2,AND(Data!$F781&gt;=626,Data!$F781&lt;=650),((Data!$F781/Data!$D781)*60)*1.5,Data!$F781&gt;=651,((Data!$F781/Data!$D781)*60)*1.8)</f>
        <v>774.62068965517244</v>
      </c>
      <c r="AU781" s="23">
        <f>(Data!$I781*-1.2)+(Data!$J781*-1.1)+(Data!$K781*1.2)+(Data!$L781*1.3)+(Data!$M781*1.5)</f>
        <v>-5.8000000000000007</v>
      </c>
      <c r="AV781" s="23">
        <f>(Data!$AS781*0.4)+(Data!$AT781*0.4)+(Data!$AU781*0.2)</f>
        <v>316.13655172413792</v>
      </c>
      <c r="AW781" s="35">
        <f>PERCENTRANK(AV:AV,Data!$AV781)*100</f>
        <v>34.9</v>
      </c>
      <c r="AX781" s="23" t="str">
        <f>_xlfn.CONCAT(TEXT(C781,"mmm"),"-",Data!$AE781)</f>
        <v>Apr-2025</v>
      </c>
    </row>
    <row r="782" spans="1:50" ht="17" thickTop="1" thickBot="1" x14ac:dyDescent="0.25">
      <c r="A782" s="28">
        <v>781</v>
      </c>
      <c r="B782" s="29">
        <f t="shared" si="98"/>
        <v>13</v>
      </c>
      <c r="C782" s="41">
        <v>45754</v>
      </c>
      <c r="D782" s="30">
        <f>SUM(Data!$I782:$M782)</f>
        <v>60</v>
      </c>
      <c r="E782" s="29">
        <v>19</v>
      </c>
      <c r="F782" s="29">
        <v>540</v>
      </c>
      <c r="G782" s="29">
        <v>166</v>
      </c>
      <c r="H782" s="29">
        <v>113</v>
      </c>
      <c r="I782" s="29">
        <v>30</v>
      </c>
      <c r="J782" s="29">
        <v>5</v>
      </c>
      <c r="K782" s="29">
        <v>6</v>
      </c>
      <c r="L782" s="29">
        <v>18</v>
      </c>
      <c r="M782" s="29">
        <v>1</v>
      </c>
      <c r="N782" s="29" t="s">
        <v>125</v>
      </c>
      <c r="O782" s="29" t="s">
        <v>127</v>
      </c>
      <c r="P782" s="29" t="s">
        <v>220</v>
      </c>
      <c r="Q782" s="29">
        <f t="shared" si="104"/>
        <v>1</v>
      </c>
      <c r="R782" s="29" t="str">
        <f t="shared" si="99"/>
        <v>4-2025</v>
      </c>
      <c r="S782" s="29" t="s">
        <v>104</v>
      </c>
      <c r="T782" s="29" t="str">
        <f t="shared" si="100"/>
        <v>Monday</v>
      </c>
      <c r="U782" s="29">
        <f t="shared" si="101"/>
        <v>1</v>
      </c>
      <c r="V782" s="31">
        <f>IFERROR(Data!$I782/Data!$D782,"")</f>
        <v>0.5</v>
      </c>
      <c r="W782" s="31">
        <f>IFERROR(Data!$J782/Data!$D782,"")</f>
        <v>8.3333333333333329E-2</v>
      </c>
      <c r="X782" s="31">
        <f>IFERROR(Data!$K782/Data!$D782,"")</f>
        <v>0.1</v>
      </c>
      <c r="Y782" s="31">
        <f>IFERROR(Data!$L782/Data!$D782,"")</f>
        <v>0.3</v>
      </c>
      <c r="Z782" s="31">
        <f>IFERROR(Data!$M782/Data!$D782,"")</f>
        <v>1.6666666666666666E-2</v>
      </c>
      <c r="AA782" s="32">
        <v>169</v>
      </c>
      <c r="AB782" s="32">
        <f t="shared" si="97"/>
        <v>13</v>
      </c>
      <c r="AC782" s="29">
        <f t="shared" si="102"/>
        <v>617.23076923076928</v>
      </c>
      <c r="AD782" s="29">
        <f t="shared" si="103"/>
        <v>14.846153846153847</v>
      </c>
      <c r="AE782" s="29">
        <f>YEAR(Data!$C782)</f>
        <v>2025</v>
      </c>
      <c r="AF782" s="29"/>
      <c r="AG782" s="29">
        <v>12</v>
      </c>
      <c r="AH782" s="33">
        <f>Data!$F782/Data!$D782</f>
        <v>9</v>
      </c>
      <c r="AI782" s="17" t="str">
        <f>RIGHT(Data!$O782,2)</f>
        <v>PM</v>
      </c>
      <c r="AJ782" s="29" t="str">
        <f>Data!$R782&amp;"-"&amp;WEEKNUM(Data!$C782,1)-WEEKNUM(DATE(YEAR(Data!$C782),MONTH(Data!$C782),1),1)+1</f>
        <v>4-2025-2</v>
      </c>
      <c r="AK782" s="29">
        <f>MONTH(Data!$C782)</f>
        <v>4</v>
      </c>
      <c r="AL782" s="29">
        <f>IFERROR(Data!$F782/Data!$E782,0)</f>
        <v>28.421052631578949</v>
      </c>
      <c r="AM782" s="29">
        <f>COUNTIF(Data!$N$2:$N$825,Data!$N782)</f>
        <v>182</v>
      </c>
      <c r="AN782" s="29" t="str">
        <f>VLOOKUP(Data!$N782,'Helpful Tables'!A:D,4,FALSE)</f>
        <v>Oregon</v>
      </c>
      <c r="AO782" s="29">
        <f>COUNTIF(AN:AN,Data!$AN782)/COUNTA(AN:AN)</f>
        <v>0.27393939393939393</v>
      </c>
      <c r="AP782" s="29">
        <v>45.534162000000002</v>
      </c>
      <c r="AQ782" s="29">
        <v>-122.69670000000001</v>
      </c>
      <c r="AR782" s="29">
        <f>COUNTIF(Data!$P$2:$P$825,Data!$P782)</f>
        <v>43</v>
      </c>
      <c r="AS782" s="29" cm="1">
        <f t="array" ref="AS782">_xlfn.IFS(Data!$E782&lt;12,((Data!$E782/Data!$D782)*60)*1,AND(Data!$E782&gt;=12,Data!$E782&lt;=15),((Data!$E782/Data!$D782)*60)*1.2,AND(Data!$E782&gt;=16,Data!$E782&lt;=19),((Data!$E782/Data!$D782)*60)*1.5,Data!$E782&gt;=20,((Data!$E782/Data!$D782)*60)*1.8)</f>
        <v>28.5</v>
      </c>
      <c r="AT782" s="29" cm="1">
        <f t="array" ref="AT782">_xlfn.IFS(Data!$F782&lt;600,((Data!$F782/Data!$D782)*60)*1,AND(Data!$F782&gt;=600,Data!$F782&lt;=625),((Data!$F782/Data!$D782)*60)*1.2,AND(Data!$F782&gt;=626,Data!$F782&lt;=650),((Data!$F782/Data!$D782)*60)*1.5,Data!$F782&gt;=651,((Data!$F782/Data!$D782)*60)*1.8)</f>
        <v>540</v>
      </c>
      <c r="AU782" s="29">
        <f>(Data!$I782*-1.2)+(Data!$J782*-1.1)+(Data!$K782*1.2)+(Data!$L782*1.3)+(Data!$M782*1.5)</f>
        <v>-9.399999999999995</v>
      </c>
      <c r="AV782" s="29">
        <f>(Data!$AS782*0.4)+(Data!$AT782*0.4)+(Data!$AU782*0.2)</f>
        <v>225.52</v>
      </c>
      <c r="AW782" s="34">
        <f>PERCENTRANK(AV:AV,Data!$AV782)*100</f>
        <v>5.3</v>
      </c>
      <c r="AX782" s="29" t="str">
        <f>_xlfn.CONCAT(TEXT(C782,"mmm"),"-",Data!$AE782)</f>
        <v>Apr-2025</v>
      </c>
    </row>
    <row r="783" spans="1:50" ht="17" thickTop="1" thickBot="1" x14ac:dyDescent="0.25">
      <c r="A783" s="22">
        <v>782</v>
      </c>
      <c r="B783" s="23">
        <f t="shared" si="98"/>
        <v>13</v>
      </c>
      <c r="C783" s="41">
        <v>45757</v>
      </c>
      <c r="D783" s="24">
        <f>SUM(Data!$I783:$M783)</f>
        <v>56</v>
      </c>
      <c r="E783" s="23">
        <v>19</v>
      </c>
      <c r="F783" s="23">
        <v>600</v>
      </c>
      <c r="G783" s="23">
        <v>164</v>
      </c>
      <c r="H783" s="23">
        <v>123</v>
      </c>
      <c r="I783" s="23">
        <v>20</v>
      </c>
      <c r="J783" s="23">
        <v>10</v>
      </c>
      <c r="K783" s="23">
        <v>7</v>
      </c>
      <c r="L783" s="23">
        <v>15</v>
      </c>
      <c r="M783" s="23">
        <v>4</v>
      </c>
      <c r="N783" s="23" t="s">
        <v>125</v>
      </c>
      <c r="O783" s="23" t="s">
        <v>127</v>
      </c>
      <c r="P783" s="23" t="s">
        <v>222</v>
      </c>
      <c r="Q783" s="23">
        <f t="shared" si="104"/>
        <v>3</v>
      </c>
      <c r="R783" s="23" t="str">
        <f t="shared" si="99"/>
        <v>4-2025</v>
      </c>
      <c r="S783" s="23" t="s">
        <v>104</v>
      </c>
      <c r="T783" s="23" t="str">
        <f t="shared" si="100"/>
        <v>Thursday</v>
      </c>
      <c r="U783" s="23">
        <f t="shared" si="101"/>
        <v>1</v>
      </c>
      <c r="V783" s="25">
        <f>IFERROR(Data!$I783/Data!$D783,"")</f>
        <v>0.35714285714285715</v>
      </c>
      <c r="W783" s="25">
        <f>IFERROR(Data!$J783/Data!$D783,"")</f>
        <v>0.17857142857142858</v>
      </c>
      <c r="X783" s="25">
        <f>IFERROR(Data!$K783/Data!$D783,"")</f>
        <v>0.125</v>
      </c>
      <c r="Y783" s="25">
        <f>IFERROR(Data!$L783/Data!$D783,"")</f>
        <v>0.26785714285714285</v>
      </c>
      <c r="Z783" s="25">
        <f>IFERROR(Data!$M783/Data!$D783,"")</f>
        <v>7.1428571428571425E-2</v>
      </c>
      <c r="AA783" s="26">
        <v>169</v>
      </c>
      <c r="AB783" s="26">
        <f t="shared" si="97"/>
        <v>13</v>
      </c>
      <c r="AC783" s="23">
        <f t="shared" si="102"/>
        <v>617.23076923076928</v>
      </c>
      <c r="AD783" s="23">
        <f t="shared" si="103"/>
        <v>14.846153846153847</v>
      </c>
      <c r="AE783" s="23">
        <f>YEAR(Data!$C783)</f>
        <v>2025</v>
      </c>
      <c r="AF783" s="23"/>
      <c r="AG783" s="23">
        <v>12</v>
      </c>
      <c r="AH783" s="27">
        <f>Data!$F783/Data!$D783</f>
        <v>10.714285714285714</v>
      </c>
      <c r="AI783" s="17" t="str">
        <f>RIGHT(Data!$O783,2)</f>
        <v>PM</v>
      </c>
      <c r="AJ783" s="23" t="str">
        <f>Data!$R783&amp;"-"&amp;WEEKNUM(Data!$C783,1)-WEEKNUM(DATE(YEAR(Data!$C783),MONTH(Data!$C783),1),1)+1</f>
        <v>4-2025-2</v>
      </c>
      <c r="AK783" s="23">
        <f>MONTH(Data!$C783)</f>
        <v>4</v>
      </c>
      <c r="AL783" s="23">
        <f>IFERROR(Data!$F783/Data!$E783,0)</f>
        <v>31.578947368421051</v>
      </c>
      <c r="AM783" s="23">
        <f>COUNTIF(Data!$N$2:$N$825,Data!$N783)</f>
        <v>182</v>
      </c>
      <c r="AN783" s="23" t="str">
        <f>VLOOKUP(Data!$N783,'Helpful Tables'!A:D,4,FALSE)</f>
        <v>Oregon</v>
      </c>
      <c r="AO783" s="23">
        <f>COUNTIF(AN:AN,Data!$AN783)/COUNTA(AN:AN)</f>
        <v>0.27393939393939393</v>
      </c>
      <c r="AP783" s="23">
        <v>45.534162000000002</v>
      </c>
      <c r="AQ783" s="23">
        <v>-122.69670000000001</v>
      </c>
      <c r="AR783" s="23">
        <f>COUNTIF(Data!$P$2:$P$825,Data!$P783)</f>
        <v>32</v>
      </c>
      <c r="AS783" s="23" cm="1">
        <f t="array" ref="AS783">_xlfn.IFS(Data!$E783&lt;12,((Data!$E783/Data!$D783)*60)*1,AND(Data!$E783&gt;=12,Data!$E783&lt;=15),((Data!$E783/Data!$D783)*60)*1.2,AND(Data!$E783&gt;=16,Data!$E783&lt;=19),((Data!$E783/Data!$D783)*60)*1.5,Data!$E783&gt;=20,((Data!$E783/Data!$D783)*60)*1.8)</f>
        <v>30.535714285714285</v>
      </c>
      <c r="AT783" s="23" cm="1">
        <f t="array" ref="AT783">_xlfn.IFS(Data!$F783&lt;600,((Data!$F783/Data!$D783)*60)*1,AND(Data!$F783&gt;=600,Data!$F783&lt;=625),((Data!$F783/Data!$D783)*60)*1.2,AND(Data!$F783&gt;=626,Data!$F783&lt;=650),((Data!$F783/Data!$D783)*60)*1.5,Data!$F783&gt;=651,((Data!$F783/Data!$D783)*60)*1.8)</f>
        <v>771.42857142857133</v>
      </c>
      <c r="AU783" s="23">
        <f>(Data!$I783*-1.2)+(Data!$J783*-1.1)+(Data!$K783*1.2)+(Data!$L783*1.3)+(Data!$M783*1.5)</f>
        <v>-1.1000000000000014</v>
      </c>
      <c r="AV783" s="23">
        <f>(Data!$AS783*0.4)+(Data!$AT783*0.4)+(Data!$AU783*0.2)</f>
        <v>320.56571428571425</v>
      </c>
      <c r="AW783" s="35">
        <f>PERCENTRANK(AV:AV,Data!$AV783)*100</f>
        <v>37.700000000000003</v>
      </c>
      <c r="AX783" s="23" t="str">
        <f>_xlfn.CONCAT(TEXT(C783,"mmm"),"-",Data!$AE783)</f>
        <v>Apr-2025</v>
      </c>
    </row>
    <row r="784" spans="1:50" ht="17" thickTop="1" thickBot="1" x14ac:dyDescent="0.25">
      <c r="A784" s="28">
        <v>783</v>
      </c>
      <c r="B784" s="29">
        <f t="shared" si="98"/>
        <v>13</v>
      </c>
      <c r="C784" s="41">
        <v>45759</v>
      </c>
      <c r="D784" s="30">
        <f>SUM(Data!$I784:$M784)</f>
        <v>56</v>
      </c>
      <c r="E784" s="29">
        <v>13</v>
      </c>
      <c r="F784" s="29">
        <v>600</v>
      </c>
      <c r="G784" s="29">
        <v>165</v>
      </c>
      <c r="H784" s="29">
        <v>124</v>
      </c>
      <c r="I784" s="29">
        <v>13</v>
      </c>
      <c r="J784" s="29">
        <v>19</v>
      </c>
      <c r="K784" s="29">
        <v>11</v>
      </c>
      <c r="L784" s="29">
        <v>12</v>
      </c>
      <c r="M784" s="29">
        <v>1</v>
      </c>
      <c r="N784" s="29" t="s">
        <v>208</v>
      </c>
      <c r="O784" s="29" t="s">
        <v>76</v>
      </c>
      <c r="P784" s="29" t="s">
        <v>213</v>
      </c>
      <c r="Q784" s="29">
        <f t="shared" si="104"/>
        <v>2</v>
      </c>
      <c r="R784" s="29" t="str">
        <f t="shared" si="99"/>
        <v>4-2025</v>
      </c>
      <c r="S784" s="29" t="s">
        <v>104</v>
      </c>
      <c r="T784" s="29" t="str">
        <f t="shared" si="100"/>
        <v>Saturday</v>
      </c>
      <c r="U784" s="29">
        <f t="shared" si="101"/>
        <v>1</v>
      </c>
      <c r="V784" s="31">
        <f>IFERROR(Data!$I784/Data!$D784,"")</f>
        <v>0.23214285714285715</v>
      </c>
      <c r="W784" s="31">
        <f>IFERROR(Data!$J784/Data!$D784,"")</f>
        <v>0.3392857142857143</v>
      </c>
      <c r="X784" s="31">
        <f>IFERROR(Data!$K784/Data!$D784,"")</f>
        <v>0.19642857142857142</v>
      </c>
      <c r="Y784" s="31">
        <f>IFERROR(Data!$L784/Data!$D784,"")</f>
        <v>0.21428571428571427</v>
      </c>
      <c r="Z784" s="31">
        <f>IFERROR(Data!$M784/Data!$D784,"")</f>
        <v>1.7857142857142856E-2</v>
      </c>
      <c r="AA784" s="32">
        <v>169</v>
      </c>
      <c r="AB784" s="32">
        <f t="shared" ref="AB784:AB822" si="105">AA784/B784</f>
        <v>13</v>
      </c>
      <c r="AC784" s="29">
        <f t="shared" si="102"/>
        <v>617.23076923076928</v>
      </c>
      <c r="AD784" s="29">
        <f t="shared" si="103"/>
        <v>14.846153846153847</v>
      </c>
      <c r="AE784" s="29">
        <f>YEAR(Data!$C784)</f>
        <v>2025</v>
      </c>
      <c r="AF784" s="29"/>
      <c r="AG784" s="29">
        <v>12</v>
      </c>
      <c r="AH784" s="33">
        <f>Data!$F784/Data!$D784</f>
        <v>10.714285714285714</v>
      </c>
      <c r="AI784" s="17" t="str">
        <f>RIGHT(Data!$O784,2)</f>
        <v>AM</v>
      </c>
      <c r="AJ784" s="29" t="str">
        <f>Data!$R784&amp;"-"&amp;WEEKNUM(Data!$C784,1)-WEEKNUM(DATE(YEAR(Data!$C784),MONTH(Data!$C784),1),1)+1</f>
        <v>4-2025-2</v>
      </c>
      <c r="AK784" s="29">
        <f>MONTH(Data!$C784)</f>
        <v>4</v>
      </c>
      <c r="AL784" s="29">
        <f>IFERROR(Data!$F784/Data!$E784,0)</f>
        <v>46.153846153846153</v>
      </c>
      <c r="AM784" s="29">
        <f>COUNTIF(Data!$N$2:$N$825,Data!$N784)</f>
        <v>42</v>
      </c>
      <c r="AN784" s="29" t="str">
        <f>VLOOKUP(Data!$N784,'Helpful Tables'!A:D,4,FALSE)</f>
        <v>Oregon</v>
      </c>
      <c r="AO784" s="29">
        <f>COUNTIF(AN:AN,Data!$AN784)/COUNTA(AN:AN)</f>
        <v>0.27393939393939393</v>
      </c>
      <c r="AP784" s="29">
        <v>45.525092999999998</v>
      </c>
      <c r="AQ784" s="29">
        <v>-122.681383</v>
      </c>
      <c r="AR784" s="29">
        <f>COUNTIF(Data!$P$2:$P$825,Data!$P784)</f>
        <v>20</v>
      </c>
      <c r="AS784" s="29" cm="1">
        <f t="array" ref="AS784">_xlfn.IFS(Data!$E784&lt;12,((Data!$E784/Data!$D784)*60)*1,AND(Data!$E784&gt;=12,Data!$E784&lt;=15),((Data!$E784/Data!$D784)*60)*1.2,AND(Data!$E784&gt;=16,Data!$E784&lt;=19),((Data!$E784/Data!$D784)*60)*1.5,Data!$E784&gt;=20,((Data!$E784/Data!$D784)*60)*1.8)</f>
        <v>16.714285714285715</v>
      </c>
      <c r="AT784" s="29" cm="1">
        <f t="array" ref="AT784">_xlfn.IFS(Data!$F784&lt;600,((Data!$F784/Data!$D784)*60)*1,AND(Data!$F784&gt;=600,Data!$F784&lt;=625),((Data!$F784/Data!$D784)*60)*1.2,AND(Data!$F784&gt;=626,Data!$F784&lt;=650),((Data!$F784/Data!$D784)*60)*1.5,Data!$F784&gt;=651,((Data!$F784/Data!$D784)*60)*1.8)</f>
        <v>771.42857142857133</v>
      </c>
      <c r="AU784" s="29">
        <f>(Data!$I784*-1.2)+(Data!$J784*-1.1)+(Data!$K784*1.2)+(Data!$L784*1.3)+(Data!$M784*1.5)</f>
        <v>-6.1999999999999993</v>
      </c>
      <c r="AV784" s="29">
        <f>(Data!$AS784*0.4)+(Data!$AT784*0.4)+(Data!$AU784*0.2)</f>
        <v>314.01714285714286</v>
      </c>
      <c r="AW784" s="34">
        <f>PERCENTRANK(AV:AV,Data!$AV784)*100</f>
        <v>33.1</v>
      </c>
      <c r="AX784" s="29" t="str">
        <f>_xlfn.CONCAT(TEXT(C784,"mmm"),"-",Data!$AE784)</f>
        <v>Apr-2025</v>
      </c>
    </row>
    <row r="785" spans="1:50" ht="17" thickTop="1" thickBot="1" x14ac:dyDescent="0.25">
      <c r="A785" s="22">
        <v>784</v>
      </c>
      <c r="B785" s="23">
        <f t="shared" si="98"/>
        <v>13</v>
      </c>
      <c r="C785" s="41">
        <v>45761</v>
      </c>
      <c r="D785" s="24">
        <f>SUM(Data!$I785:$M785)</f>
        <v>58</v>
      </c>
      <c r="E785" s="23">
        <v>17</v>
      </c>
      <c r="F785" s="23">
        <v>639</v>
      </c>
      <c r="G785" s="23">
        <v>165</v>
      </c>
      <c r="H785" s="23">
        <v>126</v>
      </c>
      <c r="I785" s="23">
        <v>14</v>
      </c>
      <c r="J785" s="23">
        <v>18</v>
      </c>
      <c r="K785" s="23">
        <v>9</v>
      </c>
      <c r="L785" s="23">
        <v>16</v>
      </c>
      <c r="M785" s="23">
        <v>1</v>
      </c>
      <c r="N785" s="23" t="s">
        <v>125</v>
      </c>
      <c r="O785" s="23" t="s">
        <v>127</v>
      </c>
      <c r="P785" s="23" t="s">
        <v>220</v>
      </c>
      <c r="Q785" s="23">
        <f t="shared" si="104"/>
        <v>2</v>
      </c>
      <c r="R785" s="23" t="str">
        <f t="shared" si="99"/>
        <v>4-2025</v>
      </c>
      <c r="S785" s="23" t="s">
        <v>104</v>
      </c>
      <c r="T785" s="23" t="str">
        <f t="shared" si="100"/>
        <v>Monday</v>
      </c>
      <c r="U785" s="23">
        <f t="shared" si="101"/>
        <v>1</v>
      </c>
      <c r="V785" s="25">
        <f>IFERROR(Data!$I785/Data!$D785,"")</f>
        <v>0.2413793103448276</v>
      </c>
      <c r="W785" s="25">
        <f>IFERROR(Data!$J785/Data!$D785,"")</f>
        <v>0.31034482758620691</v>
      </c>
      <c r="X785" s="25">
        <f>IFERROR(Data!$K785/Data!$D785,"")</f>
        <v>0.15517241379310345</v>
      </c>
      <c r="Y785" s="25">
        <f>IFERROR(Data!$L785/Data!$D785,"")</f>
        <v>0.27586206896551724</v>
      </c>
      <c r="Z785" s="25">
        <f>IFERROR(Data!$M785/Data!$D785,"")</f>
        <v>1.7241379310344827E-2</v>
      </c>
      <c r="AA785" s="26">
        <v>169</v>
      </c>
      <c r="AB785" s="26">
        <f t="shared" si="105"/>
        <v>13</v>
      </c>
      <c r="AC785" s="23">
        <f t="shared" si="102"/>
        <v>617.23076923076928</v>
      </c>
      <c r="AD785" s="23">
        <f t="shared" si="103"/>
        <v>14.846153846153847</v>
      </c>
      <c r="AE785" s="23">
        <f>YEAR(Data!$C785)</f>
        <v>2025</v>
      </c>
      <c r="AF785" s="23"/>
      <c r="AG785" s="23">
        <v>12</v>
      </c>
      <c r="AH785" s="27">
        <f>Data!$F785/Data!$D785</f>
        <v>11.017241379310345</v>
      </c>
      <c r="AI785" s="17" t="str">
        <f>RIGHT(Data!$O785,2)</f>
        <v>PM</v>
      </c>
      <c r="AJ785" s="23" t="str">
        <f>Data!$R785&amp;"-"&amp;WEEKNUM(Data!$C785,1)-WEEKNUM(DATE(YEAR(Data!$C785),MONTH(Data!$C785),1),1)+1</f>
        <v>4-2025-3</v>
      </c>
      <c r="AK785" s="23">
        <f>MONTH(Data!$C785)</f>
        <v>4</v>
      </c>
      <c r="AL785" s="23">
        <f>IFERROR(Data!$F785/Data!$E785,0)</f>
        <v>37.588235294117645</v>
      </c>
      <c r="AM785" s="23">
        <f>COUNTIF(Data!$N$2:$N$825,Data!$N785)</f>
        <v>182</v>
      </c>
      <c r="AN785" s="23" t="str">
        <f>VLOOKUP(Data!$N785,'Helpful Tables'!A:D,4,FALSE)</f>
        <v>Oregon</v>
      </c>
      <c r="AO785" s="23">
        <f>COUNTIF(AN:AN,Data!$AN785)/COUNTA(AN:AN)</f>
        <v>0.27393939393939393</v>
      </c>
      <c r="AP785" s="23">
        <v>45.534162000000002</v>
      </c>
      <c r="AQ785" s="23">
        <v>-122.69670000000001</v>
      </c>
      <c r="AR785" s="23">
        <f>COUNTIF(Data!$P$2:$P$825,Data!$P785)</f>
        <v>43</v>
      </c>
      <c r="AS785" s="23" cm="1">
        <f t="array" ref="AS785">_xlfn.IFS(Data!$E785&lt;12,((Data!$E785/Data!$D785)*60)*1,AND(Data!$E785&gt;=12,Data!$E785&lt;=15),((Data!$E785/Data!$D785)*60)*1.2,AND(Data!$E785&gt;=16,Data!$E785&lt;=19),((Data!$E785/Data!$D785)*60)*1.5,Data!$E785&gt;=20,((Data!$E785/Data!$D785)*60)*1.8)</f>
        <v>26.379310344827584</v>
      </c>
      <c r="AT785" s="23" cm="1">
        <f t="array" ref="AT785">_xlfn.IFS(Data!$F785&lt;600,((Data!$F785/Data!$D785)*60)*1,AND(Data!$F785&gt;=600,Data!$F785&lt;=625),((Data!$F785/Data!$D785)*60)*1.2,AND(Data!$F785&gt;=626,Data!$F785&lt;=650),((Data!$F785/Data!$D785)*60)*1.5,Data!$F785&gt;=651,((Data!$F785/Data!$D785)*60)*1.8)</f>
        <v>991.55172413793105</v>
      </c>
      <c r="AU785" s="23">
        <f>(Data!$I785*-1.2)+(Data!$J785*-1.1)+(Data!$K785*1.2)+(Data!$L785*1.3)+(Data!$M785*1.5)</f>
        <v>-3.5000000000000036</v>
      </c>
      <c r="AV785" s="23">
        <f>(Data!$AS785*0.4)+(Data!$AT785*0.4)+(Data!$AU785*0.2)</f>
        <v>406.4724137931035</v>
      </c>
      <c r="AW785" s="35">
        <f>PERCENTRANK(AV:AV,Data!$AV785)*100</f>
        <v>55.300000000000004</v>
      </c>
      <c r="AX785" s="23" t="str">
        <f>_xlfn.CONCAT(TEXT(C785,"mmm"),"-",Data!$AE785)</f>
        <v>Apr-2025</v>
      </c>
    </row>
    <row r="786" spans="1:50" ht="17" thickTop="1" thickBot="1" x14ac:dyDescent="0.25">
      <c r="A786" s="28">
        <v>785</v>
      </c>
      <c r="B786" s="29">
        <f t="shared" si="98"/>
        <v>13</v>
      </c>
      <c r="C786" s="41">
        <v>45765</v>
      </c>
      <c r="D786" s="30">
        <f>SUM(Data!$I786:$M786)</f>
        <v>58</v>
      </c>
      <c r="E786" s="29">
        <v>19</v>
      </c>
      <c r="F786" s="29">
        <v>668</v>
      </c>
      <c r="G786" s="29">
        <v>164</v>
      </c>
      <c r="H786" s="29">
        <v>128</v>
      </c>
      <c r="I786" s="29">
        <v>17</v>
      </c>
      <c r="J786" s="29">
        <v>12</v>
      </c>
      <c r="K786" s="29">
        <v>10</v>
      </c>
      <c r="L786" s="29">
        <v>17</v>
      </c>
      <c r="M786" s="29">
        <v>2</v>
      </c>
      <c r="N786" s="29" t="s">
        <v>125</v>
      </c>
      <c r="O786" s="29" t="s">
        <v>127</v>
      </c>
      <c r="P786" s="29" t="s">
        <v>214</v>
      </c>
      <c r="Q786" s="29">
        <f t="shared" si="104"/>
        <v>4</v>
      </c>
      <c r="R786" s="29" t="str">
        <f t="shared" si="99"/>
        <v>4-2025</v>
      </c>
      <c r="S786" s="29" t="s">
        <v>104</v>
      </c>
      <c r="T786" s="29" t="str">
        <f t="shared" si="100"/>
        <v>Friday</v>
      </c>
      <c r="U786" s="29">
        <f t="shared" si="101"/>
        <v>1</v>
      </c>
      <c r="V786" s="31">
        <f>IFERROR(Data!$I786/Data!$D786,"")</f>
        <v>0.29310344827586204</v>
      </c>
      <c r="W786" s="31">
        <f>IFERROR(Data!$J786/Data!$D786,"")</f>
        <v>0.20689655172413793</v>
      </c>
      <c r="X786" s="31">
        <f>IFERROR(Data!$K786/Data!$D786,"")</f>
        <v>0.17241379310344829</v>
      </c>
      <c r="Y786" s="31">
        <f>IFERROR(Data!$L786/Data!$D786,"")</f>
        <v>0.29310344827586204</v>
      </c>
      <c r="Z786" s="31">
        <f>IFERROR(Data!$M786/Data!$D786,"")</f>
        <v>3.4482758620689655E-2</v>
      </c>
      <c r="AA786" s="32">
        <v>169</v>
      </c>
      <c r="AB786" s="32">
        <f t="shared" si="105"/>
        <v>13</v>
      </c>
      <c r="AC786" s="29">
        <f t="shared" si="102"/>
        <v>617.23076923076928</v>
      </c>
      <c r="AD786" s="29">
        <f t="shared" si="103"/>
        <v>14.846153846153847</v>
      </c>
      <c r="AE786" s="29">
        <f>YEAR(Data!$C786)</f>
        <v>2025</v>
      </c>
      <c r="AF786" s="29"/>
      <c r="AG786" s="29">
        <v>12</v>
      </c>
      <c r="AH786" s="33">
        <f>Data!$F786/Data!$D786</f>
        <v>11.517241379310345</v>
      </c>
      <c r="AI786" s="17" t="str">
        <f>RIGHT(Data!$O786,2)</f>
        <v>PM</v>
      </c>
      <c r="AJ786" s="29" t="str">
        <f>Data!$R786&amp;"-"&amp;WEEKNUM(Data!$C786,1)-WEEKNUM(DATE(YEAR(Data!$C786),MONTH(Data!$C786),1),1)+1</f>
        <v>4-2025-3</v>
      </c>
      <c r="AK786" s="29">
        <f>MONTH(Data!$C786)</f>
        <v>4</v>
      </c>
      <c r="AL786" s="29">
        <f>IFERROR(Data!$F786/Data!$E786,0)</f>
        <v>35.157894736842103</v>
      </c>
      <c r="AM786" s="29">
        <f>COUNTIF(Data!$N$2:$N$825,Data!$N786)</f>
        <v>182</v>
      </c>
      <c r="AN786" s="29" t="str">
        <f>VLOOKUP(Data!$N786,'Helpful Tables'!A:D,4,FALSE)</f>
        <v>Oregon</v>
      </c>
      <c r="AO786" s="29">
        <f>COUNTIF(AN:AN,Data!$AN786)/COUNTA(AN:AN)</f>
        <v>0.27393939393939393</v>
      </c>
      <c r="AP786" s="29">
        <v>45.534162000000002</v>
      </c>
      <c r="AQ786" s="29">
        <v>-122.69670000000001</v>
      </c>
      <c r="AR786" s="29">
        <f>COUNTIF(Data!$P$2:$P$825,Data!$P786)</f>
        <v>9</v>
      </c>
      <c r="AS786" s="29" cm="1">
        <f t="array" ref="AS786">_xlfn.IFS(Data!$E786&lt;12,((Data!$E786/Data!$D786)*60)*1,AND(Data!$E786&gt;=12,Data!$E786&lt;=15),((Data!$E786/Data!$D786)*60)*1.2,AND(Data!$E786&gt;=16,Data!$E786&lt;=19),((Data!$E786/Data!$D786)*60)*1.5,Data!$E786&gt;=20,((Data!$E786/Data!$D786)*60)*1.8)</f>
        <v>29.482758620689655</v>
      </c>
      <c r="AT786" s="29" cm="1">
        <f t="array" ref="AT786">_xlfn.IFS(Data!$F786&lt;600,((Data!$F786/Data!$D786)*60)*1,AND(Data!$F786&gt;=600,Data!$F786&lt;=625),((Data!$F786/Data!$D786)*60)*1.2,AND(Data!$F786&gt;=626,Data!$F786&lt;=650),((Data!$F786/Data!$D786)*60)*1.5,Data!$F786&gt;=651,((Data!$F786/Data!$D786)*60)*1.8)</f>
        <v>1243.8620689655172</v>
      </c>
      <c r="AU786" s="29">
        <f>(Data!$I786*-1.2)+(Data!$J786*-1.1)+(Data!$K786*1.2)+(Data!$L786*1.3)+(Data!$M786*1.5)</f>
        <v>3.5</v>
      </c>
      <c r="AV786" s="29">
        <f>(Data!$AS786*0.4)+(Data!$AT786*0.4)+(Data!$AU786*0.2)</f>
        <v>510.03793103448277</v>
      </c>
      <c r="AW786" s="34">
        <f>PERCENTRANK(AV:AV,Data!$AV786)*100</f>
        <v>84.5</v>
      </c>
      <c r="AX786" s="29" t="str">
        <f>_xlfn.CONCAT(TEXT(C786,"mmm"),"-",Data!$AE786)</f>
        <v>Apr-2025</v>
      </c>
    </row>
    <row r="787" spans="1:50" ht="17" thickTop="1" thickBot="1" x14ac:dyDescent="0.25">
      <c r="A787" s="22">
        <v>786</v>
      </c>
      <c r="B787" s="23">
        <f t="shared" si="98"/>
        <v>13</v>
      </c>
      <c r="C787" s="41">
        <v>45766</v>
      </c>
      <c r="D787" s="24">
        <f>SUM(Data!$I787:$M787)</f>
        <v>57</v>
      </c>
      <c r="E787" s="23">
        <v>8</v>
      </c>
      <c r="F787" s="23">
        <v>556</v>
      </c>
      <c r="G787" s="23">
        <v>166</v>
      </c>
      <c r="H787" s="23">
        <v>118</v>
      </c>
      <c r="I787" s="23">
        <v>20</v>
      </c>
      <c r="J787" s="23">
        <v>15</v>
      </c>
      <c r="K787" s="23">
        <v>14</v>
      </c>
      <c r="L787" s="23">
        <v>7</v>
      </c>
      <c r="M787" s="23">
        <v>1</v>
      </c>
      <c r="N787" s="23" t="s">
        <v>125</v>
      </c>
      <c r="O787" s="23" t="s">
        <v>127</v>
      </c>
      <c r="P787" s="23" t="s">
        <v>34</v>
      </c>
      <c r="Q787" s="23">
        <f t="shared" si="104"/>
        <v>1</v>
      </c>
      <c r="R787" s="23" t="str">
        <f t="shared" si="99"/>
        <v>4-2025</v>
      </c>
      <c r="S787" s="23" t="s">
        <v>117</v>
      </c>
      <c r="T787" s="23" t="str">
        <f t="shared" si="100"/>
        <v>Saturday</v>
      </c>
      <c r="U787" s="23">
        <f t="shared" si="101"/>
        <v>0</v>
      </c>
      <c r="V787" s="25">
        <f>IFERROR(Data!$I787/Data!$D787,"")</f>
        <v>0.35087719298245612</v>
      </c>
      <c r="W787" s="25">
        <f>IFERROR(Data!$J787/Data!$D787,"")</f>
        <v>0.26315789473684209</v>
      </c>
      <c r="X787" s="25">
        <f>IFERROR(Data!$K787/Data!$D787,"")</f>
        <v>0.24561403508771928</v>
      </c>
      <c r="Y787" s="25">
        <f>IFERROR(Data!$L787/Data!$D787,"")</f>
        <v>0.12280701754385964</v>
      </c>
      <c r="Z787" s="25">
        <f>IFERROR(Data!$M787/Data!$D787,"")</f>
        <v>1.7543859649122806E-2</v>
      </c>
      <c r="AA787" s="26">
        <v>169</v>
      </c>
      <c r="AB787" s="26">
        <f t="shared" si="105"/>
        <v>13</v>
      </c>
      <c r="AC787" s="23">
        <f t="shared" si="102"/>
        <v>617.23076923076928</v>
      </c>
      <c r="AD787" s="23">
        <f t="shared" si="103"/>
        <v>14.846153846153847</v>
      </c>
      <c r="AE787" s="23">
        <f>YEAR(Data!$C787)</f>
        <v>2025</v>
      </c>
      <c r="AF787" s="23"/>
      <c r="AG787" s="23">
        <v>12</v>
      </c>
      <c r="AH787" s="27">
        <f>Data!$F787/Data!$D787</f>
        <v>9.7543859649122808</v>
      </c>
      <c r="AI787" s="17" t="str">
        <f>RIGHT(Data!$O787,2)</f>
        <v>PM</v>
      </c>
      <c r="AJ787" s="23" t="str">
        <f>Data!$R787&amp;"-"&amp;WEEKNUM(Data!$C787,1)-WEEKNUM(DATE(YEAR(Data!$C787),MONTH(Data!$C787),1),1)+1</f>
        <v>4-2025-3</v>
      </c>
      <c r="AK787" s="23">
        <f>MONTH(Data!$C787)</f>
        <v>4</v>
      </c>
      <c r="AL787" s="23">
        <f>IFERROR(Data!$F787/Data!$E787,0)</f>
        <v>69.5</v>
      </c>
      <c r="AM787" s="23">
        <f>COUNTIF(Data!$N$2:$N$825,Data!$N787)</f>
        <v>182</v>
      </c>
      <c r="AN787" s="23" t="str">
        <f>VLOOKUP(Data!$N787,'Helpful Tables'!A:D,4,FALSE)</f>
        <v>Oregon</v>
      </c>
      <c r="AO787" s="23">
        <f>COUNTIF(AN:AN,Data!$AN787)/COUNTA(AN:AN)</f>
        <v>0.27393939393939393</v>
      </c>
      <c r="AP787" s="23">
        <v>45.534162000000002</v>
      </c>
      <c r="AQ787" s="23">
        <v>-122.69670000000001</v>
      </c>
      <c r="AR787" s="23">
        <f>COUNTIF(Data!$P$2:$P$825,Data!$P787)</f>
        <v>30</v>
      </c>
      <c r="AS787" s="23" cm="1">
        <f t="array" ref="AS787">_xlfn.IFS(Data!$E787&lt;12,((Data!$E787/Data!$D787)*60)*1,AND(Data!$E787&gt;=12,Data!$E787&lt;=15),((Data!$E787/Data!$D787)*60)*1.2,AND(Data!$E787&gt;=16,Data!$E787&lt;=19),((Data!$E787/Data!$D787)*60)*1.5,Data!$E787&gt;=20,((Data!$E787/Data!$D787)*60)*1.8)</f>
        <v>8.4210526315789469</v>
      </c>
      <c r="AT787" s="23" cm="1">
        <f t="array" ref="AT787">_xlfn.IFS(Data!$F787&lt;600,((Data!$F787/Data!$D787)*60)*1,AND(Data!$F787&gt;=600,Data!$F787&lt;=625),((Data!$F787/Data!$D787)*60)*1.2,AND(Data!$F787&gt;=626,Data!$F787&lt;=650),((Data!$F787/Data!$D787)*60)*1.5,Data!$F787&gt;=651,((Data!$F787/Data!$D787)*60)*1.8)</f>
        <v>585.26315789473688</v>
      </c>
      <c r="AU787" s="23">
        <f>(Data!$I787*-1.2)+(Data!$J787*-1.1)+(Data!$K787*1.2)+(Data!$L787*1.3)+(Data!$M787*1.5)</f>
        <v>-13.1</v>
      </c>
      <c r="AV787" s="23">
        <f>(Data!$AS787*0.4)+(Data!$AT787*0.4)+(Data!$AU787*0.2)</f>
        <v>234.85368421052635</v>
      </c>
      <c r="AW787" s="35">
        <f>PERCENTRANK(AV:AV,Data!$AV787)*100</f>
        <v>9.7000000000000011</v>
      </c>
      <c r="AX787" s="23" t="str">
        <f>_xlfn.CONCAT(TEXT(C787,"mmm"),"-",Data!$AE787)</f>
        <v>Apr-2025</v>
      </c>
    </row>
    <row r="788" spans="1:50" ht="17" thickTop="1" thickBot="1" x14ac:dyDescent="0.25">
      <c r="A788" s="28">
        <v>787</v>
      </c>
      <c r="B788" s="29">
        <f t="shared" si="98"/>
        <v>13</v>
      </c>
      <c r="C788" s="41">
        <v>45769</v>
      </c>
      <c r="D788" s="30">
        <f>SUM(Data!$I788:$M788)</f>
        <v>59</v>
      </c>
      <c r="E788" s="29">
        <v>18</v>
      </c>
      <c r="F788" s="29">
        <v>628</v>
      </c>
      <c r="G788" s="29">
        <v>164</v>
      </c>
      <c r="H788" s="29">
        <v>124</v>
      </c>
      <c r="I788" s="29">
        <v>17</v>
      </c>
      <c r="J788" s="29">
        <v>16</v>
      </c>
      <c r="K788" s="29">
        <v>8</v>
      </c>
      <c r="L788" s="29">
        <v>17</v>
      </c>
      <c r="M788" s="29">
        <v>1</v>
      </c>
      <c r="N788" s="29" t="s">
        <v>125</v>
      </c>
      <c r="O788" s="29" t="s">
        <v>127</v>
      </c>
      <c r="P788" s="29" t="s">
        <v>220</v>
      </c>
      <c r="Q788" s="29">
        <f t="shared" si="104"/>
        <v>3</v>
      </c>
      <c r="R788" s="29" t="str">
        <f t="shared" si="99"/>
        <v>4-2025</v>
      </c>
      <c r="S788" s="29" t="s">
        <v>104</v>
      </c>
      <c r="T788" s="29" t="str">
        <f t="shared" si="100"/>
        <v>Tuesday</v>
      </c>
      <c r="U788" s="29">
        <f t="shared" si="101"/>
        <v>1</v>
      </c>
      <c r="V788" s="31">
        <f>IFERROR(Data!$I788/Data!$D788,"")</f>
        <v>0.28813559322033899</v>
      </c>
      <c r="W788" s="31">
        <f>IFERROR(Data!$J788/Data!$D788,"")</f>
        <v>0.2711864406779661</v>
      </c>
      <c r="X788" s="31">
        <f>IFERROR(Data!$K788/Data!$D788,"")</f>
        <v>0.13559322033898305</v>
      </c>
      <c r="Y788" s="31">
        <f>IFERROR(Data!$L788/Data!$D788,"")</f>
        <v>0.28813559322033899</v>
      </c>
      <c r="Z788" s="31">
        <f>IFERROR(Data!$M788/Data!$D788,"")</f>
        <v>1.6949152542372881E-2</v>
      </c>
      <c r="AA788" s="32">
        <v>169</v>
      </c>
      <c r="AB788" s="32">
        <f t="shared" si="105"/>
        <v>13</v>
      </c>
      <c r="AC788" s="29">
        <f t="shared" si="102"/>
        <v>617.23076923076928</v>
      </c>
      <c r="AD788" s="29">
        <f t="shared" si="103"/>
        <v>14.846153846153847</v>
      </c>
      <c r="AE788" s="29">
        <f>YEAR(Data!$C788)</f>
        <v>2025</v>
      </c>
      <c r="AF788" s="29"/>
      <c r="AG788" s="29">
        <v>12</v>
      </c>
      <c r="AH788" s="33">
        <f>Data!$F788/Data!$D788</f>
        <v>10.64406779661017</v>
      </c>
      <c r="AI788" s="17" t="str">
        <f>RIGHT(Data!$O788,2)</f>
        <v>PM</v>
      </c>
      <c r="AJ788" s="29" t="str">
        <f>Data!$R788&amp;"-"&amp;WEEKNUM(Data!$C788,1)-WEEKNUM(DATE(YEAR(Data!$C788),MONTH(Data!$C788),1),1)+1</f>
        <v>4-2025-4</v>
      </c>
      <c r="AK788" s="29">
        <f>MONTH(Data!$C788)</f>
        <v>4</v>
      </c>
      <c r="AL788" s="29">
        <f>IFERROR(Data!$F788/Data!$E788,0)</f>
        <v>34.888888888888886</v>
      </c>
      <c r="AM788" s="29">
        <f>COUNTIF(Data!$N$2:$N$825,Data!$N788)</f>
        <v>182</v>
      </c>
      <c r="AN788" s="29" t="str">
        <f>VLOOKUP(Data!$N788,'Helpful Tables'!A:D,4,FALSE)</f>
        <v>Oregon</v>
      </c>
      <c r="AO788" s="29">
        <f>COUNTIF(AN:AN,Data!$AN788)/COUNTA(AN:AN)</f>
        <v>0.27393939393939393</v>
      </c>
      <c r="AP788" s="29">
        <v>45.534162000000002</v>
      </c>
      <c r="AQ788" s="29">
        <v>-122.69670000000001</v>
      </c>
      <c r="AR788" s="29">
        <f>COUNTIF(Data!$P$2:$P$825,Data!$P788)</f>
        <v>43</v>
      </c>
      <c r="AS788" s="29" cm="1">
        <f t="array" ref="AS788">_xlfn.IFS(Data!$E788&lt;12,((Data!$E788/Data!$D788)*60)*1,AND(Data!$E788&gt;=12,Data!$E788&lt;=15),((Data!$E788/Data!$D788)*60)*1.2,AND(Data!$E788&gt;=16,Data!$E788&lt;=19),((Data!$E788/Data!$D788)*60)*1.5,Data!$E788&gt;=20,((Data!$E788/Data!$D788)*60)*1.8)</f>
        <v>27.457627118644069</v>
      </c>
      <c r="AT788" s="29" cm="1">
        <f t="array" ref="AT788">_xlfn.IFS(Data!$F788&lt;600,((Data!$F788/Data!$D788)*60)*1,AND(Data!$F788&gt;=600,Data!$F788&lt;=625),((Data!$F788/Data!$D788)*60)*1.2,AND(Data!$F788&gt;=626,Data!$F788&lt;=650),((Data!$F788/Data!$D788)*60)*1.5,Data!$F788&gt;=651,((Data!$F788/Data!$D788)*60)*1.8)</f>
        <v>957.96610169491532</v>
      </c>
      <c r="AU788" s="29">
        <f>(Data!$I788*-1.2)+(Data!$J788*-1.1)+(Data!$K788*1.2)+(Data!$L788*1.3)+(Data!$M788*1.5)</f>
        <v>-4.7999999999999972</v>
      </c>
      <c r="AV788" s="29">
        <f>(Data!$AS788*0.4)+(Data!$AT788*0.4)+(Data!$AU788*0.2)</f>
        <v>393.2094915254238</v>
      </c>
      <c r="AW788" s="34">
        <f>PERCENTRANK(AV:AV,Data!$AV788)*100</f>
        <v>48.5</v>
      </c>
      <c r="AX788" s="29" t="str">
        <f>_xlfn.CONCAT(TEXT(C788,"mmm"),"-",Data!$AE788)</f>
        <v>Apr-2025</v>
      </c>
    </row>
    <row r="789" spans="1:50" ht="17" thickTop="1" thickBot="1" x14ac:dyDescent="0.25">
      <c r="A789" s="22">
        <v>788</v>
      </c>
      <c r="B789" s="23">
        <f t="shared" si="98"/>
        <v>13</v>
      </c>
      <c r="C789" s="41">
        <v>45771</v>
      </c>
      <c r="D789" s="24">
        <f>SUM(Data!$I789:$M789)</f>
        <v>57</v>
      </c>
      <c r="E789" s="23">
        <v>16</v>
      </c>
      <c r="F789" s="23">
        <v>653</v>
      </c>
      <c r="G789" s="23">
        <v>167</v>
      </c>
      <c r="H789" s="23">
        <v>128</v>
      </c>
      <c r="I789" s="23">
        <v>10</v>
      </c>
      <c r="J789" s="23">
        <v>17</v>
      </c>
      <c r="K789" s="23">
        <v>14</v>
      </c>
      <c r="L789" s="23">
        <v>15</v>
      </c>
      <c r="M789" s="23">
        <v>1</v>
      </c>
      <c r="N789" s="23" t="s">
        <v>125</v>
      </c>
      <c r="O789" s="23" t="s">
        <v>127</v>
      </c>
      <c r="P789" s="23" t="s">
        <v>220</v>
      </c>
      <c r="Q789" s="23">
        <f t="shared" si="104"/>
        <v>2</v>
      </c>
      <c r="R789" s="23" t="str">
        <f t="shared" si="99"/>
        <v>4-2025</v>
      </c>
      <c r="S789" s="23" t="s">
        <v>104</v>
      </c>
      <c r="T789" s="23" t="str">
        <f t="shared" si="100"/>
        <v>Thursday</v>
      </c>
      <c r="U789" s="23">
        <f t="shared" si="101"/>
        <v>1</v>
      </c>
      <c r="V789" s="25">
        <f>IFERROR(Data!$I789/Data!$D789,"")</f>
        <v>0.17543859649122806</v>
      </c>
      <c r="W789" s="25">
        <f>IFERROR(Data!$J789/Data!$D789,"")</f>
        <v>0.2982456140350877</v>
      </c>
      <c r="X789" s="25">
        <f>IFERROR(Data!$K789/Data!$D789,"")</f>
        <v>0.24561403508771928</v>
      </c>
      <c r="Y789" s="25">
        <f>IFERROR(Data!$L789/Data!$D789,"")</f>
        <v>0.26315789473684209</v>
      </c>
      <c r="Z789" s="25">
        <f>IFERROR(Data!$M789/Data!$D789,"")</f>
        <v>1.7543859649122806E-2</v>
      </c>
      <c r="AA789" s="26">
        <v>169</v>
      </c>
      <c r="AB789" s="26">
        <f t="shared" si="105"/>
        <v>13</v>
      </c>
      <c r="AC789" s="23">
        <f t="shared" si="102"/>
        <v>617.23076923076928</v>
      </c>
      <c r="AD789" s="23">
        <f t="shared" si="103"/>
        <v>14.846153846153847</v>
      </c>
      <c r="AE789" s="23">
        <f>YEAR(Data!$C789)</f>
        <v>2025</v>
      </c>
      <c r="AF789" s="23"/>
      <c r="AG789" s="23">
        <v>12</v>
      </c>
      <c r="AH789" s="27">
        <f>Data!$F789/Data!$D789</f>
        <v>11.456140350877194</v>
      </c>
      <c r="AI789" s="17" t="str">
        <f>RIGHT(Data!$O789,2)</f>
        <v>PM</v>
      </c>
      <c r="AJ789" s="23" t="str">
        <f>Data!$R789&amp;"-"&amp;WEEKNUM(Data!$C789,1)-WEEKNUM(DATE(YEAR(Data!$C789),MONTH(Data!$C789),1),1)+1</f>
        <v>4-2025-4</v>
      </c>
      <c r="AK789" s="23">
        <f>MONTH(Data!$C789)</f>
        <v>4</v>
      </c>
      <c r="AL789" s="23">
        <f>IFERROR(Data!$F789/Data!$E789,0)</f>
        <v>40.8125</v>
      </c>
      <c r="AM789" s="23">
        <f>COUNTIF(Data!$N$2:$N$825,Data!$N789)</f>
        <v>182</v>
      </c>
      <c r="AN789" s="23" t="str">
        <f>VLOOKUP(Data!$N789,'Helpful Tables'!A:D,4,FALSE)</f>
        <v>Oregon</v>
      </c>
      <c r="AO789" s="23">
        <f>COUNTIF(AN:AN,Data!$AN789)/COUNTA(AN:AN)</f>
        <v>0.27393939393939393</v>
      </c>
      <c r="AP789" s="23">
        <f>VLOOKUP(Data!$N789,'Helpful Tables'!A:B,2,FALSE)</f>
        <v>45.534162000000002</v>
      </c>
      <c r="AQ789" s="23">
        <f>VLOOKUP(Data!$N789,'Helpful Tables'!A:C,3,FALSE)</f>
        <v>-122.69670000000001</v>
      </c>
      <c r="AR789" s="23">
        <f>COUNTIF(Data!$P$2:$P$825,Data!$P789)</f>
        <v>43</v>
      </c>
      <c r="AS789" s="23" cm="1">
        <f t="array" ref="AS789">_xlfn.IFS(Data!$E789&lt;12,((Data!$E789/Data!$D789)*60)*1,AND(Data!$E789&gt;=12,Data!$E789&lt;=15),((Data!$E789/Data!$D789)*60)*1.2,AND(Data!$E789&gt;=16,Data!$E789&lt;=19),((Data!$E789/Data!$D789)*60)*1.5,Data!$E789&gt;=20,((Data!$E789/Data!$D789)*60)*1.8)</f>
        <v>25.263157894736842</v>
      </c>
      <c r="AT789" s="23" cm="1">
        <f t="array" ref="AT789">_xlfn.IFS(Data!$F789&lt;600,((Data!$F789/Data!$D789)*60)*1,AND(Data!$F789&gt;=600,Data!$F789&lt;=625),((Data!$F789/Data!$D789)*60)*1.2,AND(Data!$F789&gt;=626,Data!$F789&lt;=650),((Data!$F789/Data!$D789)*60)*1.5,Data!$F789&gt;=651,((Data!$F789/Data!$D789)*60)*1.8)</f>
        <v>1237.2631578947369</v>
      </c>
      <c r="AU789" s="23">
        <f>(Data!$I789*-1.2)+(Data!$J789*-1.1)+(Data!$K789*1.2)+(Data!$L789*1.3)+(Data!$M789*1.5)</f>
        <v>7.0999999999999979</v>
      </c>
      <c r="AV789" s="23">
        <f>(Data!$AS789*0.4)+(Data!$AT789*0.4)+(Data!$AU789*0.2)</f>
        <v>506.43052631578951</v>
      </c>
      <c r="AW789" s="35">
        <f>PERCENTRANK(AV:AV,Data!$AV789)*100</f>
        <v>81.899999999999991</v>
      </c>
      <c r="AX789" s="23" t="str">
        <f>_xlfn.CONCAT(TEXT(C789,"mmm"),"-",Data!$AE789)</f>
        <v>Apr-2025</v>
      </c>
    </row>
    <row r="790" spans="1:50" ht="17" thickTop="1" thickBot="1" x14ac:dyDescent="0.25">
      <c r="A790" s="28">
        <v>789</v>
      </c>
      <c r="B790" s="29">
        <f t="shared" si="98"/>
        <v>13</v>
      </c>
      <c r="C790" s="41">
        <v>45772</v>
      </c>
      <c r="D790" s="30">
        <f>SUM(Data!$I790:$M790)</f>
        <v>60</v>
      </c>
      <c r="E790" s="29">
        <v>16</v>
      </c>
      <c r="F790" s="29">
        <v>711</v>
      </c>
      <c r="G790" s="29">
        <v>167</v>
      </c>
      <c r="H790" s="29">
        <v>130</v>
      </c>
      <c r="I790" s="29">
        <v>8</v>
      </c>
      <c r="J790" s="29">
        <v>16</v>
      </c>
      <c r="K790" s="29">
        <v>20</v>
      </c>
      <c r="L790" s="29">
        <v>14</v>
      </c>
      <c r="M790" s="29">
        <v>2</v>
      </c>
      <c r="N790" s="29" t="s">
        <v>125</v>
      </c>
      <c r="O790" s="29" t="s">
        <v>127</v>
      </c>
      <c r="P790" s="29" t="s">
        <v>220</v>
      </c>
      <c r="Q790" s="29">
        <f t="shared" si="104"/>
        <v>1</v>
      </c>
      <c r="R790" s="29" t="str">
        <f t="shared" si="99"/>
        <v>4-2025</v>
      </c>
      <c r="S790" s="29" t="s">
        <v>104</v>
      </c>
      <c r="T790" s="29" t="str">
        <f t="shared" si="100"/>
        <v>Friday</v>
      </c>
      <c r="U790" s="29">
        <f t="shared" si="101"/>
        <v>1</v>
      </c>
      <c r="V790" s="31">
        <f>IFERROR(Data!$I790/Data!$D790,"")</f>
        <v>0.13333333333333333</v>
      </c>
      <c r="W790" s="31">
        <f>IFERROR(Data!$J790/Data!$D790,"")</f>
        <v>0.26666666666666666</v>
      </c>
      <c r="X790" s="31">
        <f>IFERROR(Data!$K790/Data!$D790,"")</f>
        <v>0.33333333333333331</v>
      </c>
      <c r="Y790" s="31">
        <f>IFERROR(Data!$L790/Data!$D790,"")</f>
        <v>0.23333333333333334</v>
      </c>
      <c r="Z790" s="31">
        <f>IFERROR(Data!$M790/Data!$D790,"")</f>
        <v>3.3333333333333333E-2</v>
      </c>
      <c r="AA790" s="32">
        <v>169</v>
      </c>
      <c r="AB790" s="32">
        <f t="shared" si="105"/>
        <v>13</v>
      </c>
      <c r="AC790" s="29">
        <f t="shared" si="102"/>
        <v>617.23076923076928</v>
      </c>
      <c r="AD790" s="29">
        <f t="shared" si="103"/>
        <v>14.846153846153847</v>
      </c>
      <c r="AE790" s="29">
        <f>YEAR(Data!$C790)</f>
        <v>2025</v>
      </c>
      <c r="AF790" s="29"/>
      <c r="AG790" s="29">
        <v>12</v>
      </c>
      <c r="AH790" s="33">
        <f>Data!$F790/Data!$D790</f>
        <v>11.85</v>
      </c>
      <c r="AI790" s="17" t="str">
        <f>RIGHT(Data!$O790,2)</f>
        <v>PM</v>
      </c>
      <c r="AJ790" s="29" t="str">
        <f>Data!$R790&amp;"-"&amp;WEEKNUM(Data!$C790,1)-WEEKNUM(DATE(YEAR(Data!$C790),MONTH(Data!$C790),1),1)+1</f>
        <v>4-2025-4</v>
      </c>
      <c r="AK790" s="29">
        <f>MONTH(Data!$C790)</f>
        <v>4</v>
      </c>
      <c r="AL790" s="29">
        <f>IFERROR(Data!$F790/Data!$E790,0)</f>
        <v>44.4375</v>
      </c>
      <c r="AM790" s="29">
        <f>COUNTIF(Data!$N$2:$N$825,Data!$N790)</f>
        <v>182</v>
      </c>
      <c r="AN790" s="29" t="str">
        <f>VLOOKUP(Data!$N790,'Helpful Tables'!A:D,4,FALSE)</f>
        <v>Oregon</v>
      </c>
      <c r="AO790" s="29">
        <f>COUNTIF(AN:AN,Data!$AN790)/COUNTA(AN:AN)</f>
        <v>0.27393939393939393</v>
      </c>
      <c r="AP790" s="29">
        <f>VLOOKUP(Data!$N790,'Helpful Tables'!A:B,2,FALSE)</f>
        <v>45.534162000000002</v>
      </c>
      <c r="AQ790" s="29">
        <f>VLOOKUP(Data!$N790,'Helpful Tables'!A:C,3,FALSE)</f>
        <v>-122.69670000000001</v>
      </c>
      <c r="AR790" s="29">
        <f>COUNTIF(Data!$P$2:$P$825,Data!$P790)</f>
        <v>43</v>
      </c>
      <c r="AS790" s="29" cm="1">
        <f t="array" ref="AS790">_xlfn.IFS(Data!$E790&lt;12,((Data!$E790/Data!$D790)*60)*1,AND(Data!$E790&gt;=12,Data!$E790&lt;=15),((Data!$E790/Data!$D790)*60)*1.2,AND(Data!$E790&gt;=16,Data!$E790&lt;=19),((Data!$E790/Data!$D790)*60)*1.5,Data!$E790&gt;=20,((Data!$E790/Data!$D790)*60)*1.8)</f>
        <v>24</v>
      </c>
      <c r="AT790" s="29" cm="1">
        <f t="array" ref="AT790">_xlfn.IFS(Data!$F790&lt;600,((Data!$F790/Data!$D790)*60)*1,AND(Data!$F790&gt;=600,Data!$F790&lt;=625),((Data!$F790/Data!$D790)*60)*1.2,AND(Data!$F790&gt;=626,Data!$F790&lt;=650),((Data!$F790/Data!$D790)*60)*1.5,Data!$F790&gt;=651,((Data!$F790/Data!$D790)*60)*1.8)</f>
        <v>1279.8</v>
      </c>
      <c r="AU790" s="29">
        <f>(Data!$I790*-1.2)+(Data!$J790*-1.1)+(Data!$K790*1.2)+(Data!$L790*1.3)+(Data!$M790*1.5)</f>
        <v>17.999999999999996</v>
      </c>
      <c r="AV790" s="29">
        <f>(Data!$AS790*0.4)+(Data!$AT790*0.4)+(Data!$AU790*0.2)</f>
        <v>525.12</v>
      </c>
      <c r="AW790" s="34">
        <f>PERCENTRANK(AV:AV,Data!$AV790)*100</f>
        <v>92.100000000000009</v>
      </c>
      <c r="AX790" s="29" t="str">
        <f>_xlfn.CONCAT(TEXT(C790,"mmm"),"-",Data!$AE790)</f>
        <v>Apr-2025</v>
      </c>
    </row>
    <row r="791" spans="1:50" ht="17" thickTop="1" thickBot="1" x14ac:dyDescent="0.25">
      <c r="A791" s="22">
        <v>790</v>
      </c>
      <c r="B791" s="23">
        <f t="shared" si="98"/>
        <v>13</v>
      </c>
      <c r="C791" s="41">
        <v>45775</v>
      </c>
      <c r="D791" s="24">
        <f>SUM(Data!$I791:$M791)</f>
        <v>55</v>
      </c>
      <c r="E791" s="23">
        <v>9</v>
      </c>
      <c r="F791" s="23">
        <v>605</v>
      </c>
      <c r="G791" s="23">
        <v>167</v>
      </c>
      <c r="H791" s="23">
        <v>126</v>
      </c>
      <c r="I791" s="23">
        <v>11</v>
      </c>
      <c r="J791" s="23">
        <v>15</v>
      </c>
      <c r="K791" s="23">
        <v>20</v>
      </c>
      <c r="L791" s="23">
        <v>7</v>
      </c>
      <c r="M791" s="23">
        <v>2</v>
      </c>
      <c r="N791" s="23" t="s">
        <v>138</v>
      </c>
      <c r="O791" s="23" t="s">
        <v>76</v>
      </c>
      <c r="P791" s="23" t="s">
        <v>234</v>
      </c>
      <c r="Q791" s="23">
        <f t="shared" si="104"/>
        <v>3</v>
      </c>
      <c r="R791" s="23" t="str">
        <f t="shared" si="99"/>
        <v>4-2025</v>
      </c>
      <c r="S791" s="23" t="s">
        <v>104</v>
      </c>
      <c r="T791" s="23" t="str">
        <f t="shared" si="100"/>
        <v>Monday</v>
      </c>
      <c r="U791" s="23">
        <f t="shared" si="101"/>
        <v>0</v>
      </c>
      <c r="V791" s="25">
        <f>IFERROR(Data!$I791/Data!$D791,"")</f>
        <v>0.2</v>
      </c>
      <c r="W791" s="25">
        <f>IFERROR(Data!$J791/Data!$D791,"")</f>
        <v>0.27272727272727271</v>
      </c>
      <c r="X791" s="25">
        <f>IFERROR(Data!$K791/Data!$D791,"")</f>
        <v>0.36363636363636365</v>
      </c>
      <c r="Y791" s="25">
        <f>IFERROR(Data!$L791/Data!$D791,"")</f>
        <v>0.12727272727272726</v>
      </c>
      <c r="Z791" s="25">
        <f>IFERROR(Data!$M791/Data!$D791,"")</f>
        <v>3.6363636363636362E-2</v>
      </c>
      <c r="AA791" s="26">
        <v>169</v>
      </c>
      <c r="AB791" s="26">
        <f t="shared" si="105"/>
        <v>13</v>
      </c>
      <c r="AC791" s="23">
        <f t="shared" si="102"/>
        <v>617.23076923076928</v>
      </c>
      <c r="AD791" s="23">
        <f t="shared" si="103"/>
        <v>14.846153846153847</v>
      </c>
      <c r="AE791" s="23">
        <f>YEAR(Data!$C791)</f>
        <v>2025</v>
      </c>
      <c r="AF791" s="23"/>
      <c r="AG791" s="23">
        <v>12</v>
      </c>
      <c r="AH791" s="27">
        <f>Data!$F791/Data!$D791</f>
        <v>11</v>
      </c>
      <c r="AI791" s="17" t="str">
        <f>RIGHT(Data!$O791,2)</f>
        <v>AM</v>
      </c>
      <c r="AJ791" s="23" t="str">
        <f>Data!$R791&amp;"-"&amp;WEEKNUM(Data!$C791,1)-WEEKNUM(DATE(YEAR(Data!$C791),MONTH(Data!$C791),1),1)+1</f>
        <v>4-2025-5</v>
      </c>
      <c r="AK791" s="23">
        <f>MONTH(Data!$C791)</f>
        <v>4</v>
      </c>
      <c r="AL791" s="23">
        <f>IFERROR(Data!$F791/Data!$E791,0)</f>
        <v>67.222222222222229</v>
      </c>
      <c r="AM791" s="23">
        <f>COUNTIF(Data!$N$2:$N$825,Data!$N791)</f>
        <v>11</v>
      </c>
      <c r="AN791" s="23" t="str">
        <f>VLOOKUP(Data!$N791,'Helpful Tables'!A:D,4,FALSE)</f>
        <v>Massachusetts</v>
      </c>
      <c r="AO791" s="23">
        <f>COUNTIF(AN:AN,Data!$AN791)/COUNTA(AN:AN)</f>
        <v>1.9393939393939394E-2</v>
      </c>
      <c r="AP791" s="23">
        <f>VLOOKUP(Data!$N791,'Helpful Tables'!A:B,2,FALSE)</f>
        <v>42.350487000000001</v>
      </c>
      <c r="AQ791" s="23">
        <f>VLOOKUP(Data!$N791,'Helpful Tables'!A:C,3,FALSE)</f>
        <v>-71.152720000000002</v>
      </c>
      <c r="AR791" s="23">
        <f>COUNTIF(Data!$P$2:$P$825,Data!$P791)</f>
        <v>1</v>
      </c>
      <c r="AS791" s="23" cm="1">
        <f t="array" ref="AS791">_xlfn.IFS(Data!$E791&lt;12,((Data!$E791/Data!$D791)*60)*1,AND(Data!$E791&gt;=12,Data!$E791&lt;=15),((Data!$E791/Data!$D791)*60)*1.2,AND(Data!$E791&gt;=16,Data!$E791&lt;=19),((Data!$E791/Data!$D791)*60)*1.5,Data!$E791&gt;=20,((Data!$E791/Data!$D791)*60)*1.8)</f>
        <v>9.8181818181818183</v>
      </c>
      <c r="AT791" s="23" cm="1">
        <f t="array" ref="AT791">_xlfn.IFS(Data!$F791&lt;600,((Data!$F791/Data!$D791)*60)*1,AND(Data!$F791&gt;=600,Data!$F791&lt;=625),((Data!$F791/Data!$D791)*60)*1.2,AND(Data!$F791&gt;=626,Data!$F791&lt;=650),((Data!$F791/Data!$D791)*60)*1.5,Data!$F791&gt;=651,((Data!$F791/Data!$D791)*60)*1.8)</f>
        <v>792</v>
      </c>
      <c r="AU791" s="23">
        <f>(Data!$I791*-1.2)+(Data!$J791*-1.1)+(Data!$K791*1.2)+(Data!$L791*1.3)+(Data!$M791*1.5)</f>
        <v>6.4</v>
      </c>
      <c r="AV791" s="23">
        <f>(Data!$AS791*0.4)+(Data!$AT791*0.4)+(Data!$AU791*0.2)</f>
        <v>322.00727272727272</v>
      </c>
      <c r="AW791" s="35">
        <f>PERCENTRANK(AV:AV,Data!$AV791)*100</f>
        <v>38.6</v>
      </c>
      <c r="AX791" s="23" t="str">
        <f>_xlfn.CONCAT(TEXT(C791,"mmm"),"-",Data!$AE791)</f>
        <v>Apr-2025</v>
      </c>
    </row>
    <row r="792" spans="1:50" ht="17" thickTop="1" thickBot="1" x14ac:dyDescent="0.25">
      <c r="A792" s="28">
        <v>791</v>
      </c>
      <c r="B792" s="29">
        <f t="shared" si="98"/>
        <v>14</v>
      </c>
      <c r="C792" s="41">
        <v>45782</v>
      </c>
      <c r="D792" s="30">
        <f>SUM(Data!$I792:$M792)</f>
        <v>60</v>
      </c>
      <c r="E792" s="29">
        <v>17</v>
      </c>
      <c r="F792" s="29">
        <v>633</v>
      </c>
      <c r="G792" s="29">
        <v>165</v>
      </c>
      <c r="H792" s="29">
        <v>124</v>
      </c>
      <c r="I792" s="29">
        <v>19</v>
      </c>
      <c r="J792" s="29">
        <v>16</v>
      </c>
      <c r="K792" s="29">
        <v>8</v>
      </c>
      <c r="L792" s="29">
        <v>15</v>
      </c>
      <c r="M792" s="29">
        <v>2</v>
      </c>
      <c r="N792" s="29" t="s">
        <v>208</v>
      </c>
      <c r="O792" s="29" t="s">
        <v>83</v>
      </c>
      <c r="P792" s="29" t="s">
        <v>213</v>
      </c>
      <c r="Q792" s="29">
        <f t="shared" si="104"/>
        <v>7</v>
      </c>
      <c r="R792" s="29" t="str">
        <f t="shared" si="99"/>
        <v>5-2025</v>
      </c>
      <c r="S792" s="29" t="s">
        <v>104</v>
      </c>
      <c r="T792" s="29" t="str">
        <f t="shared" si="100"/>
        <v>Monday</v>
      </c>
      <c r="U792" s="29">
        <f t="shared" si="101"/>
        <v>1</v>
      </c>
      <c r="V792" s="31">
        <f>IFERROR(Data!$I792/Data!$D792,"")</f>
        <v>0.31666666666666665</v>
      </c>
      <c r="W792" s="31">
        <f>IFERROR(Data!$J792/Data!$D792,"")</f>
        <v>0.26666666666666666</v>
      </c>
      <c r="X792" s="31">
        <f>IFERROR(Data!$K792/Data!$D792,"")</f>
        <v>0.13333333333333333</v>
      </c>
      <c r="Y792" s="31">
        <f>IFERROR(Data!$L792/Data!$D792,"")</f>
        <v>0.25</v>
      </c>
      <c r="Z792" s="31">
        <f>IFERROR(Data!$M792/Data!$D792,"")</f>
        <v>3.3333333333333333E-2</v>
      </c>
      <c r="AA792" s="32">
        <v>169</v>
      </c>
      <c r="AB792" s="32">
        <f t="shared" si="105"/>
        <v>12.071428571428571</v>
      </c>
      <c r="AC792" s="29">
        <f t="shared" si="102"/>
        <v>631.64285714285711</v>
      </c>
      <c r="AD792" s="29">
        <f t="shared" si="103"/>
        <v>14.5</v>
      </c>
      <c r="AE792" s="29">
        <f>YEAR(Data!$C792)</f>
        <v>2025</v>
      </c>
      <c r="AF792" s="29"/>
      <c r="AG792" s="29">
        <v>12</v>
      </c>
      <c r="AH792" s="33">
        <f>Data!$F792/Data!$D792</f>
        <v>10.55</v>
      </c>
      <c r="AI792" s="17" t="str">
        <f>RIGHT(Data!$O792,2)</f>
        <v>PM</v>
      </c>
      <c r="AJ792" s="29" t="str">
        <f>Data!$R792&amp;"-"&amp;WEEKNUM(Data!$C792,1)-WEEKNUM(DATE(YEAR(Data!$C792),MONTH(Data!$C792),1),1)+1</f>
        <v>5-2025-2</v>
      </c>
      <c r="AK792" s="29">
        <f>MONTH(Data!$C792)</f>
        <v>5</v>
      </c>
      <c r="AL792" s="29">
        <f>IFERROR(Data!$F792/Data!$E792,0)</f>
        <v>37.235294117647058</v>
      </c>
      <c r="AM792" s="29">
        <f>COUNTIF(Data!$N$2:$N$825,Data!$N792)</f>
        <v>42</v>
      </c>
      <c r="AN792" s="29" t="str">
        <f>VLOOKUP(Data!$N792,'Helpful Tables'!A:D,4,FALSE)</f>
        <v>Oregon</v>
      </c>
      <c r="AO792" s="29">
        <f>COUNTIF(AN:AN,Data!$AN792)/COUNTA(AN:AN)</f>
        <v>0.27393939393939393</v>
      </c>
      <c r="AP792" s="29">
        <f>VLOOKUP(Data!$N792,'Helpful Tables'!A:B,2,FALSE)</f>
        <v>45.525092999999998</v>
      </c>
      <c r="AQ792" s="29">
        <f>VLOOKUP(Data!$N792,'Helpful Tables'!A:C,3,FALSE)</f>
        <v>-122.681383</v>
      </c>
      <c r="AR792" s="29">
        <f>COUNTIF(Data!$P$2:$P$825,Data!$P792)</f>
        <v>20</v>
      </c>
      <c r="AS792" s="29" cm="1">
        <f t="array" ref="AS792">_xlfn.IFS(Data!$E792&lt;12,((Data!$E792/Data!$D792)*60)*1,AND(Data!$E792&gt;=12,Data!$E792&lt;=15),((Data!$E792/Data!$D792)*60)*1.2,AND(Data!$E792&gt;=16,Data!$E792&lt;=19),((Data!$E792/Data!$D792)*60)*1.5,Data!$E792&gt;=20,((Data!$E792/Data!$D792)*60)*1.8)</f>
        <v>25.5</v>
      </c>
      <c r="AT792" s="29" cm="1">
        <f t="array" ref="AT792">_xlfn.IFS(Data!$F792&lt;600,((Data!$F792/Data!$D792)*60)*1,AND(Data!$F792&gt;=600,Data!$F792&lt;=625),((Data!$F792/Data!$D792)*60)*1.2,AND(Data!$F792&gt;=626,Data!$F792&lt;=650),((Data!$F792/Data!$D792)*60)*1.5,Data!$F792&gt;=651,((Data!$F792/Data!$D792)*60)*1.8)</f>
        <v>949.5</v>
      </c>
      <c r="AU792" s="29">
        <f>(Data!$I792*-1.2)+(Data!$J792*-1.1)+(Data!$K792*1.2)+(Data!$L792*1.3)+(Data!$M792*1.5)</f>
        <v>-8.3000000000000043</v>
      </c>
      <c r="AV792" s="29">
        <f>(Data!$AS792*0.4)+(Data!$AT792*0.4)+(Data!$AU792*0.2)</f>
        <v>388.34</v>
      </c>
      <c r="AW792" s="34">
        <f>PERCENTRANK(AV:AV,Data!$AV792)*100</f>
        <v>47.3</v>
      </c>
      <c r="AX792" s="29" t="str">
        <f>_xlfn.CONCAT(TEXT(C792,"mmm"),"-",Data!$AE792)</f>
        <v>May-2025</v>
      </c>
    </row>
    <row r="793" spans="1:50" ht="17" thickTop="1" thickBot="1" x14ac:dyDescent="0.25">
      <c r="A793" s="22">
        <v>792</v>
      </c>
      <c r="B793" s="23">
        <f t="shared" si="98"/>
        <v>14</v>
      </c>
      <c r="C793" s="41">
        <v>45784</v>
      </c>
      <c r="D793" s="24">
        <f>SUM(Data!$I793:$M793)</f>
        <v>58</v>
      </c>
      <c r="E793" s="23">
        <v>12</v>
      </c>
      <c r="F793" s="23">
        <v>639</v>
      </c>
      <c r="G793" s="23">
        <v>164</v>
      </c>
      <c r="H793" s="23">
        <v>126</v>
      </c>
      <c r="I793" s="23">
        <v>12</v>
      </c>
      <c r="J793" s="23">
        <v>18</v>
      </c>
      <c r="K793" s="23">
        <v>16</v>
      </c>
      <c r="L793" s="23">
        <v>11</v>
      </c>
      <c r="M793" s="23">
        <v>1</v>
      </c>
      <c r="N793" s="23" t="s">
        <v>125</v>
      </c>
      <c r="O793" s="23" t="s">
        <v>127</v>
      </c>
      <c r="P793" s="23" t="s">
        <v>235</v>
      </c>
      <c r="Q793" s="23">
        <f t="shared" si="104"/>
        <v>2</v>
      </c>
      <c r="R793" s="23" t="str">
        <f t="shared" si="99"/>
        <v>5-2025</v>
      </c>
      <c r="S793" s="23" t="s">
        <v>104</v>
      </c>
      <c r="T793" s="23" t="str">
        <f t="shared" si="100"/>
        <v>Wednesday</v>
      </c>
      <c r="U793" s="23">
        <f t="shared" si="101"/>
        <v>1</v>
      </c>
      <c r="V793" s="25">
        <f>IFERROR(Data!$I793/Data!$D793,"")</f>
        <v>0.20689655172413793</v>
      </c>
      <c r="W793" s="25">
        <f>IFERROR(Data!$J793/Data!$D793,"")</f>
        <v>0.31034482758620691</v>
      </c>
      <c r="X793" s="25">
        <f>IFERROR(Data!$K793/Data!$D793,"")</f>
        <v>0.27586206896551724</v>
      </c>
      <c r="Y793" s="25">
        <f>IFERROR(Data!$L793/Data!$D793,"")</f>
        <v>0.18965517241379309</v>
      </c>
      <c r="Z793" s="25">
        <f>IFERROR(Data!$M793/Data!$D793,"")</f>
        <v>1.7241379310344827E-2</v>
      </c>
      <c r="AA793" s="26">
        <v>169</v>
      </c>
      <c r="AB793" s="26">
        <f t="shared" si="105"/>
        <v>12.071428571428571</v>
      </c>
      <c r="AC793" s="23">
        <f t="shared" si="102"/>
        <v>631.64285714285711</v>
      </c>
      <c r="AD793" s="23">
        <f t="shared" si="103"/>
        <v>14.5</v>
      </c>
      <c r="AE793" s="23">
        <f>YEAR(Data!$C793)</f>
        <v>2025</v>
      </c>
      <c r="AF793" s="23"/>
      <c r="AG793" s="23">
        <v>12</v>
      </c>
      <c r="AH793" s="27">
        <f>Data!$F793/Data!$D793</f>
        <v>11.017241379310345</v>
      </c>
      <c r="AI793" s="17" t="str">
        <f>RIGHT(Data!$O793,2)</f>
        <v>PM</v>
      </c>
      <c r="AJ793" s="23" t="str">
        <f>Data!$R793&amp;"-"&amp;WEEKNUM(Data!$C793,1)-WEEKNUM(DATE(YEAR(Data!$C793),MONTH(Data!$C793),1),1)+1</f>
        <v>5-2025-2</v>
      </c>
      <c r="AK793" s="23">
        <f>MONTH(Data!$C793)</f>
        <v>5</v>
      </c>
      <c r="AL793" s="23">
        <f>IFERROR(Data!$F793/Data!$E793,0)</f>
        <v>53.25</v>
      </c>
      <c r="AM793" s="23">
        <f>COUNTIF(Data!$N$2:$N$825,Data!$N793)</f>
        <v>182</v>
      </c>
      <c r="AN793" s="23" t="str">
        <f>VLOOKUP(Data!$N793,'Helpful Tables'!A:D,4,FALSE)</f>
        <v>Oregon</v>
      </c>
      <c r="AO793" s="23">
        <f>COUNTIF(AN:AN,Data!$AN793)/COUNTA(AN:AN)</f>
        <v>0.27393939393939393</v>
      </c>
      <c r="AP793" s="23">
        <f>VLOOKUP(Data!$N793,'Helpful Tables'!A:B,2,FALSE)</f>
        <v>45.534162000000002</v>
      </c>
      <c r="AQ793" s="23">
        <f>VLOOKUP(Data!$N793,'Helpful Tables'!A:C,3,FALSE)</f>
        <v>-122.69670000000001</v>
      </c>
      <c r="AR793" s="23">
        <f>COUNTIF(Data!$P$2:$P$825,Data!$P793)</f>
        <v>4</v>
      </c>
      <c r="AS793" s="23" cm="1">
        <f t="array" ref="AS793">_xlfn.IFS(Data!$E793&lt;12,((Data!$E793/Data!$D793)*60)*1,AND(Data!$E793&gt;=12,Data!$E793&lt;=15),((Data!$E793/Data!$D793)*60)*1.2,AND(Data!$E793&gt;=16,Data!$E793&lt;=19),((Data!$E793/Data!$D793)*60)*1.5,Data!$E793&gt;=20,((Data!$E793/Data!$D793)*60)*1.8)</f>
        <v>14.896551724137931</v>
      </c>
      <c r="AT793" s="23" cm="1">
        <f t="array" ref="AT793">_xlfn.IFS(Data!$F793&lt;600,((Data!$F793/Data!$D793)*60)*1,AND(Data!$F793&gt;=600,Data!$F793&lt;=625),((Data!$F793/Data!$D793)*60)*1.2,AND(Data!$F793&gt;=626,Data!$F793&lt;=650),((Data!$F793/Data!$D793)*60)*1.5,Data!$F793&gt;=651,((Data!$F793/Data!$D793)*60)*1.8)</f>
        <v>991.55172413793105</v>
      </c>
      <c r="AU793" s="23">
        <f>(Data!$I793*-1.2)+(Data!$J793*-1.1)+(Data!$K793*1.2)+(Data!$L793*1.3)+(Data!$M793*1.5)</f>
        <v>0.79999999999999716</v>
      </c>
      <c r="AV793" s="23">
        <f>(Data!$AS793*0.4)+(Data!$AT793*0.4)+(Data!$AU793*0.2)</f>
        <v>402.73931034482763</v>
      </c>
      <c r="AW793" s="35">
        <f>PERCENTRANK(AV:AV,Data!$AV793)*100</f>
        <v>53.900000000000006</v>
      </c>
      <c r="AX793" s="23" t="str">
        <f>_xlfn.CONCAT(TEXT(C793,"mmm"),"-",Data!$AE793)</f>
        <v>May-2025</v>
      </c>
    </row>
    <row r="794" spans="1:50" ht="17" thickTop="1" thickBot="1" x14ac:dyDescent="0.25">
      <c r="A794" s="28">
        <v>793</v>
      </c>
      <c r="B794" s="29">
        <f t="shared" si="98"/>
        <v>14</v>
      </c>
      <c r="C794" s="41">
        <v>45785</v>
      </c>
      <c r="D794" s="30">
        <f>SUM(Data!$I794:$M794)</f>
        <v>58</v>
      </c>
      <c r="E794" s="29">
        <v>14</v>
      </c>
      <c r="F794" s="29">
        <v>657</v>
      </c>
      <c r="G794" s="29">
        <v>170</v>
      </c>
      <c r="H794" s="29">
        <v>128</v>
      </c>
      <c r="I794" s="29">
        <v>11</v>
      </c>
      <c r="J794" s="29">
        <v>18</v>
      </c>
      <c r="K794" s="29">
        <v>15</v>
      </c>
      <c r="L794" s="29">
        <v>11</v>
      </c>
      <c r="M794" s="29">
        <v>3</v>
      </c>
      <c r="N794" s="29" t="s">
        <v>125</v>
      </c>
      <c r="O794" s="29" t="s">
        <v>127</v>
      </c>
      <c r="P794" s="29" t="s">
        <v>235</v>
      </c>
      <c r="Q794" s="29">
        <f t="shared" si="104"/>
        <v>1</v>
      </c>
      <c r="R794" s="29" t="str">
        <f t="shared" si="99"/>
        <v>5-2025</v>
      </c>
      <c r="S794" s="29" t="s">
        <v>104</v>
      </c>
      <c r="T794" s="29" t="str">
        <f t="shared" si="100"/>
        <v>Thursday</v>
      </c>
      <c r="U794" s="29">
        <f t="shared" si="101"/>
        <v>1</v>
      </c>
      <c r="V794" s="31">
        <f>IFERROR(Data!$I794/Data!$D794,"")</f>
        <v>0.18965517241379309</v>
      </c>
      <c r="W794" s="31">
        <f>IFERROR(Data!$J794/Data!$D794,"")</f>
        <v>0.31034482758620691</v>
      </c>
      <c r="X794" s="31">
        <f>IFERROR(Data!$K794/Data!$D794,"")</f>
        <v>0.25862068965517243</v>
      </c>
      <c r="Y794" s="31">
        <f>IFERROR(Data!$L794/Data!$D794,"")</f>
        <v>0.18965517241379309</v>
      </c>
      <c r="Z794" s="31">
        <f>IFERROR(Data!$M794/Data!$D794,"")</f>
        <v>5.1724137931034482E-2</v>
      </c>
      <c r="AA794" s="32">
        <v>169</v>
      </c>
      <c r="AB794" s="32">
        <f t="shared" si="105"/>
        <v>12.071428571428571</v>
      </c>
      <c r="AC794" s="29">
        <f t="shared" si="102"/>
        <v>631.64285714285711</v>
      </c>
      <c r="AD794" s="29">
        <f t="shared" si="103"/>
        <v>14.5</v>
      </c>
      <c r="AE794" s="29">
        <f>YEAR(Data!$C794)</f>
        <v>2025</v>
      </c>
      <c r="AF794" s="29"/>
      <c r="AG794" s="29">
        <v>12</v>
      </c>
      <c r="AH794" s="33">
        <f>Data!$F794/Data!$D794</f>
        <v>11.327586206896552</v>
      </c>
      <c r="AI794" s="17" t="str">
        <f>RIGHT(Data!$O794,2)</f>
        <v>PM</v>
      </c>
      <c r="AJ794" s="29" t="str">
        <f>Data!$R794&amp;"-"&amp;WEEKNUM(Data!$C794,1)-WEEKNUM(DATE(YEAR(Data!$C794),MONTH(Data!$C794),1),1)+1</f>
        <v>5-2025-2</v>
      </c>
      <c r="AK794" s="29">
        <f>MONTH(Data!$C794)</f>
        <v>5</v>
      </c>
      <c r="AL794" s="29">
        <f>IFERROR(Data!$F794/Data!$E794,0)</f>
        <v>46.928571428571431</v>
      </c>
      <c r="AM794" s="29">
        <f>COUNTIF(Data!$N$2:$N$825,Data!$N794)</f>
        <v>182</v>
      </c>
      <c r="AN794" s="29" t="str">
        <f>VLOOKUP(Data!$N794,'Helpful Tables'!A:D,4,FALSE)</f>
        <v>Oregon</v>
      </c>
      <c r="AO794" s="29">
        <f>COUNTIF(AN:AN,Data!$AN794)/COUNTA(AN:AN)</f>
        <v>0.27393939393939393</v>
      </c>
      <c r="AP794" s="29">
        <f>VLOOKUP(Data!$N794,'Helpful Tables'!A:B,2,FALSE)</f>
        <v>45.534162000000002</v>
      </c>
      <c r="AQ794" s="29">
        <f>VLOOKUP(Data!$N794,'Helpful Tables'!A:C,3,FALSE)</f>
        <v>-122.69670000000001</v>
      </c>
      <c r="AR794" s="29">
        <f>COUNTIF(Data!$P$2:$P$825,Data!$P794)</f>
        <v>4</v>
      </c>
      <c r="AS794" s="29" cm="1">
        <f t="array" ref="AS794">_xlfn.IFS(Data!$E794&lt;12,((Data!$E794/Data!$D794)*60)*1,AND(Data!$E794&gt;=12,Data!$E794&lt;=15),((Data!$E794/Data!$D794)*60)*1.2,AND(Data!$E794&gt;=16,Data!$E794&lt;=19),((Data!$E794/Data!$D794)*60)*1.5,Data!$E794&gt;=20,((Data!$E794/Data!$D794)*60)*1.8)</f>
        <v>17.379310344827587</v>
      </c>
      <c r="AT794" s="29" cm="1">
        <f t="array" ref="AT794">_xlfn.IFS(Data!$F794&lt;600,((Data!$F794/Data!$D794)*60)*1,AND(Data!$F794&gt;=600,Data!$F794&lt;=625),((Data!$F794/Data!$D794)*60)*1.2,AND(Data!$F794&gt;=626,Data!$F794&lt;=650),((Data!$F794/Data!$D794)*60)*1.5,Data!$F794&gt;=651,((Data!$F794/Data!$D794)*60)*1.8)</f>
        <v>1223.3793103448277</v>
      </c>
      <c r="AU794" s="29">
        <f>(Data!$I794*-1.2)+(Data!$J794*-1.1)+(Data!$K794*1.2)+(Data!$L794*1.3)+(Data!$M794*1.5)</f>
        <v>3.8000000000000007</v>
      </c>
      <c r="AV794" s="29">
        <f>(Data!$AS794*0.4)+(Data!$AT794*0.4)+(Data!$AU794*0.2)</f>
        <v>497.06344827586213</v>
      </c>
      <c r="AW794" s="34">
        <f>PERCENTRANK(AV:AV,Data!$AV794)*100</f>
        <v>76</v>
      </c>
      <c r="AX794" s="29" t="str">
        <f>_xlfn.CONCAT(TEXT(C794,"mmm"),"-",Data!$AE794)</f>
        <v>May-2025</v>
      </c>
    </row>
    <row r="795" spans="1:50" ht="17" thickTop="1" thickBot="1" x14ac:dyDescent="0.25">
      <c r="A795" s="22">
        <v>794</v>
      </c>
      <c r="B795" s="23">
        <f t="shared" si="98"/>
        <v>14</v>
      </c>
      <c r="C795" s="41">
        <v>45787</v>
      </c>
      <c r="D795" s="24">
        <f>SUM(Data!$I795:$M795)</f>
        <v>57</v>
      </c>
      <c r="E795" s="23">
        <v>21</v>
      </c>
      <c r="F795" s="23">
        <v>577</v>
      </c>
      <c r="G795" s="23">
        <v>172</v>
      </c>
      <c r="H795" s="23">
        <v>119</v>
      </c>
      <c r="I795" s="23">
        <v>29</v>
      </c>
      <c r="J795" s="23">
        <v>4</v>
      </c>
      <c r="K795" s="23">
        <v>3</v>
      </c>
      <c r="L795" s="23">
        <v>16</v>
      </c>
      <c r="M795" s="23">
        <v>5</v>
      </c>
      <c r="N795" s="23" t="s">
        <v>208</v>
      </c>
      <c r="O795" s="23" t="s">
        <v>76</v>
      </c>
      <c r="P795" s="23" t="s">
        <v>236</v>
      </c>
      <c r="Q795" s="23">
        <f t="shared" si="104"/>
        <v>2</v>
      </c>
      <c r="R795" s="23" t="str">
        <f t="shared" si="99"/>
        <v>5-2025</v>
      </c>
      <c r="S795" s="23" t="s">
        <v>104</v>
      </c>
      <c r="T795" s="23" t="str">
        <f t="shared" si="100"/>
        <v>Saturday</v>
      </c>
      <c r="U795" s="23">
        <f t="shared" si="101"/>
        <v>1</v>
      </c>
      <c r="V795" s="25">
        <f>IFERROR(Data!$I795/Data!$D795,"")</f>
        <v>0.50877192982456143</v>
      </c>
      <c r="W795" s="25">
        <f>IFERROR(Data!$J795/Data!$D795,"")</f>
        <v>7.0175438596491224E-2</v>
      </c>
      <c r="X795" s="25">
        <f>IFERROR(Data!$K795/Data!$D795,"")</f>
        <v>5.2631578947368418E-2</v>
      </c>
      <c r="Y795" s="25">
        <f>IFERROR(Data!$L795/Data!$D795,"")</f>
        <v>0.2807017543859649</v>
      </c>
      <c r="Z795" s="25">
        <f>IFERROR(Data!$M795/Data!$D795,"")</f>
        <v>8.771929824561403E-2</v>
      </c>
      <c r="AA795" s="26">
        <v>169</v>
      </c>
      <c r="AB795" s="26">
        <f t="shared" si="105"/>
        <v>12.071428571428571</v>
      </c>
      <c r="AC795" s="23">
        <f t="shared" si="102"/>
        <v>631.64285714285711</v>
      </c>
      <c r="AD795" s="23">
        <f t="shared" si="103"/>
        <v>14.5</v>
      </c>
      <c r="AE795" s="23">
        <f>YEAR(Data!$C795)</f>
        <v>2025</v>
      </c>
      <c r="AF795" s="23"/>
      <c r="AG795" s="23">
        <v>12</v>
      </c>
      <c r="AH795" s="27">
        <f>Data!$F795/Data!$D795</f>
        <v>10.12280701754386</v>
      </c>
      <c r="AI795" s="17" t="str">
        <f>RIGHT(Data!$O795,2)</f>
        <v>AM</v>
      </c>
      <c r="AJ795" s="23" t="str">
        <f>Data!$R795&amp;"-"&amp;WEEKNUM(Data!$C795,1)-WEEKNUM(DATE(YEAR(Data!$C795),MONTH(Data!$C795),1),1)+1</f>
        <v>5-2025-2</v>
      </c>
      <c r="AK795" s="23">
        <f>MONTH(Data!$C795)</f>
        <v>5</v>
      </c>
      <c r="AL795" s="23">
        <f>IFERROR(Data!$F795/Data!$E795,0)</f>
        <v>27.476190476190474</v>
      </c>
      <c r="AM795" s="23">
        <f>COUNTIF(Data!$N$2:$N$825,Data!$N795)</f>
        <v>42</v>
      </c>
      <c r="AN795" s="23" t="str">
        <f>VLOOKUP(Data!$N795,'Helpful Tables'!A:D,4,FALSE)</f>
        <v>Oregon</v>
      </c>
      <c r="AO795" s="23">
        <f>COUNTIF(AN:AN,Data!$AN795)/COUNTA(AN:AN)</f>
        <v>0.27393939393939393</v>
      </c>
      <c r="AP795" s="23">
        <f>VLOOKUP(Data!$N795,'Helpful Tables'!A:B,2,FALSE)</f>
        <v>45.525092999999998</v>
      </c>
      <c r="AQ795" s="23">
        <f>VLOOKUP(Data!$N795,'Helpful Tables'!A:C,3,FALSE)</f>
        <v>-122.681383</v>
      </c>
      <c r="AR795" s="23">
        <f>COUNTIF(Data!$P$2:$P$825,Data!$P795)</f>
        <v>1</v>
      </c>
      <c r="AS795" s="23" cm="1">
        <f t="array" ref="AS795">_xlfn.IFS(Data!$E795&lt;12,((Data!$E795/Data!$D795)*60)*1,AND(Data!$E795&gt;=12,Data!$E795&lt;=15),((Data!$E795/Data!$D795)*60)*1.2,AND(Data!$E795&gt;=16,Data!$E795&lt;=19),((Data!$E795/Data!$D795)*60)*1.5,Data!$E795&gt;=20,((Data!$E795/Data!$D795)*60)*1.8)</f>
        <v>39.789473684210527</v>
      </c>
      <c r="AT795" s="23" cm="1">
        <f t="array" ref="AT795">_xlfn.IFS(Data!$F795&lt;600,((Data!$F795/Data!$D795)*60)*1,AND(Data!$F795&gt;=600,Data!$F795&lt;=625),((Data!$F795/Data!$D795)*60)*1.2,AND(Data!$F795&gt;=626,Data!$F795&lt;=650),((Data!$F795/Data!$D795)*60)*1.5,Data!$F795&gt;=651,((Data!$F795/Data!$D795)*60)*1.8)</f>
        <v>607.36842105263156</v>
      </c>
      <c r="AU795" s="23">
        <f>(Data!$I795*-1.2)+(Data!$J795*-1.1)+(Data!$K795*1.2)+(Data!$L795*1.3)+(Data!$M795*1.5)</f>
        <v>-7.2999999999999936</v>
      </c>
      <c r="AV795" s="23">
        <f>(Data!$AS795*0.4)+(Data!$AT795*0.4)+(Data!$AU795*0.2)</f>
        <v>257.40315789473686</v>
      </c>
      <c r="AW795" s="35">
        <f>PERCENTRANK(AV:AV,Data!$AV795)*100</f>
        <v>20.100000000000001</v>
      </c>
      <c r="AX795" s="23" t="str">
        <f>_xlfn.CONCAT(TEXT(C795,"mmm"),"-",Data!$AE795)</f>
        <v>May-2025</v>
      </c>
    </row>
    <row r="796" spans="1:50" ht="17" thickTop="1" thickBot="1" x14ac:dyDescent="0.25">
      <c r="A796" s="28">
        <v>795</v>
      </c>
      <c r="B796" s="29">
        <f t="shared" si="98"/>
        <v>14</v>
      </c>
      <c r="C796" s="41">
        <v>45788</v>
      </c>
      <c r="D796" s="30">
        <f>SUM(Data!$I796:$M796)</f>
        <v>61</v>
      </c>
      <c r="E796" s="29">
        <v>14</v>
      </c>
      <c r="F796" s="29">
        <v>628</v>
      </c>
      <c r="G796" s="29">
        <v>169</v>
      </c>
      <c r="H796" s="29">
        <v>121</v>
      </c>
      <c r="I796" s="29">
        <v>23</v>
      </c>
      <c r="J796" s="29">
        <v>14</v>
      </c>
      <c r="K796" s="29">
        <v>10</v>
      </c>
      <c r="L796" s="29">
        <v>13</v>
      </c>
      <c r="M796" s="29">
        <v>1</v>
      </c>
      <c r="N796" s="29" t="s">
        <v>125</v>
      </c>
      <c r="O796" s="29" t="s">
        <v>79</v>
      </c>
      <c r="P796" s="29" t="s">
        <v>220</v>
      </c>
      <c r="Q796" s="29">
        <f t="shared" si="104"/>
        <v>1</v>
      </c>
      <c r="R796" s="29" t="str">
        <f t="shared" si="99"/>
        <v>5-2025</v>
      </c>
      <c r="S796" s="29" t="s">
        <v>104</v>
      </c>
      <c r="T796" s="29" t="str">
        <f t="shared" si="100"/>
        <v>Sunday</v>
      </c>
      <c r="U796" s="29">
        <f t="shared" si="101"/>
        <v>1</v>
      </c>
      <c r="V796" s="31">
        <f>IFERROR(Data!$I796/Data!$D796,"")</f>
        <v>0.37704918032786883</v>
      </c>
      <c r="W796" s="31">
        <f>IFERROR(Data!$J796/Data!$D796,"")</f>
        <v>0.22950819672131148</v>
      </c>
      <c r="X796" s="31">
        <f>IFERROR(Data!$K796/Data!$D796,"")</f>
        <v>0.16393442622950818</v>
      </c>
      <c r="Y796" s="31">
        <f>IFERROR(Data!$L796/Data!$D796,"")</f>
        <v>0.21311475409836064</v>
      </c>
      <c r="Z796" s="31">
        <f>IFERROR(Data!$M796/Data!$D796,"")</f>
        <v>1.6393442622950821E-2</v>
      </c>
      <c r="AA796" s="32">
        <v>169</v>
      </c>
      <c r="AB796" s="32">
        <f t="shared" si="105"/>
        <v>12.071428571428571</v>
      </c>
      <c r="AC796" s="29">
        <f t="shared" si="102"/>
        <v>631.64285714285711</v>
      </c>
      <c r="AD796" s="29">
        <f t="shared" si="103"/>
        <v>14.5</v>
      </c>
      <c r="AE796" s="29">
        <f>YEAR(Data!$C796)</f>
        <v>2025</v>
      </c>
      <c r="AF796" s="29"/>
      <c r="AG796" s="29">
        <v>12</v>
      </c>
      <c r="AH796" s="33">
        <f>Data!$F796/Data!$D796</f>
        <v>10.295081967213115</v>
      </c>
      <c r="AI796" s="17" t="str">
        <f>RIGHT(Data!$O796,2)</f>
        <v>AM</v>
      </c>
      <c r="AJ796" s="29" t="str">
        <f>Data!$R796&amp;"-"&amp;WEEKNUM(Data!$C796,1)-WEEKNUM(DATE(YEAR(Data!$C796),MONTH(Data!$C796),1),1)+1</f>
        <v>5-2025-3</v>
      </c>
      <c r="AK796" s="29">
        <f>MONTH(Data!$C796)</f>
        <v>5</v>
      </c>
      <c r="AL796" s="29">
        <f>IFERROR(Data!$F796/Data!$E796,0)</f>
        <v>44.857142857142854</v>
      </c>
      <c r="AM796" s="29">
        <f>COUNTIF(Data!$N$2:$N$825,Data!$N796)</f>
        <v>182</v>
      </c>
      <c r="AN796" s="29" t="str">
        <f>VLOOKUP(Data!$N796,'Helpful Tables'!A:D,4,FALSE)</f>
        <v>Oregon</v>
      </c>
      <c r="AO796" s="29">
        <f>COUNTIF(AN:AN,Data!$AN796)/COUNTA(AN:AN)</f>
        <v>0.27393939393939393</v>
      </c>
      <c r="AP796" s="29">
        <f>VLOOKUP(Data!$N796,'Helpful Tables'!A:B,2,FALSE)</f>
        <v>45.534162000000002</v>
      </c>
      <c r="AQ796" s="29">
        <f>VLOOKUP(Data!$N796,'Helpful Tables'!A:C,3,FALSE)</f>
        <v>-122.69670000000001</v>
      </c>
      <c r="AR796" s="29">
        <f>COUNTIF(Data!$P$2:$P$825,Data!$P796)</f>
        <v>43</v>
      </c>
      <c r="AS796" s="29" cm="1">
        <f t="array" ref="AS796">_xlfn.IFS(Data!$E796&lt;12,((Data!$E796/Data!$D796)*60)*1,AND(Data!$E796&gt;=12,Data!$E796&lt;=15),((Data!$E796/Data!$D796)*60)*1.2,AND(Data!$E796&gt;=16,Data!$E796&lt;=19),((Data!$E796/Data!$D796)*60)*1.5,Data!$E796&gt;=20,((Data!$E796/Data!$D796)*60)*1.8)</f>
        <v>16.524590163934427</v>
      </c>
      <c r="AT796" s="29" cm="1">
        <f t="array" ref="AT796">_xlfn.IFS(Data!$F796&lt;600,((Data!$F796/Data!$D796)*60)*1,AND(Data!$F796&gt;=600,Data!$F796&lt;=625),((Data!$F796/Data!$D796)*60)*1.2,AND(Data!$F796&gt;=626,Data!$F796&lt;=650),((Data!$F796/Data!$D796)*60)*1.5,Data!$F796&gt;=651,((Data!$F796/Data!$D796)*60)*1.8)</f>
        <v>926.55737704918033</v>
      </c>
      <c r="AU796" s="29">
        <f>(Data!$I796*-1.2)+(Data!$J796*-1.1)+(Data!$K796*1.2)+(Data!$L796*1.3)+(Data!$M796*1.5)</f>
        <v>-12.599999999999998</v>
      </c>
      <c r="AV796" s="29">
        <f>(Data!$AS796*0.4)+(Data!$AT796*0.4)+(Data!$AU796*0.2)</f>
        <v>374.71278688524592</v>
      </c>
      <c r="AW796" s="34">
        <f>PERCENTRANK(AV:AV,Data!$AV796)*100</f>
        <v>44.6</v>
      </c>
      <c r="AX796" s="29" t="str">
        <f>_xlfn.CONCAT(TEXT(C796,"mmm"),"-",Data!$AE796)</f>
        <v>May-2025</v>
      </c>
    </row>
    <row r="797" spans="1:50" ht="17" thickTop="1" thickBot="1" x14ac:dyDescent="0.25">
      <c r="A797" s="22">
        <v>796</v>
      </c>
      <c r="B797" s="23">
        <f t="shared" si="98"/>
        <v>14</v>
      </c>
      <c r="C797" s="41">
        <v>45791</v>
      </c>
      <c r="D797" s="24">
        <f>SUM(Data!$I797:$M797)</f>
        <v>56</v>
      </c>
      <c r="E797" s="23">
        <v>8</v>
      </c>
      <c r="F797" s="23">
        <v>592</v>
      </c>
      <c r="G797" s="23">
        <v>166</v>
      </c>
      <c r="H797" s="23">
        <v>121</v>
      </c>
      <c r="I797" s="23">
        <v>15</v>
      </c>
      <c r="J797" s="23">
        <v>18</v>
      </c>
      <c r="K797" s="23">
        <v>15</v>
      </c>
      <c r="L797" s="23">
        <v>7</v>
      </c>
      <c r="M797" s="23">
        <v>1</v>
      </c>
      <c r="N797" s="23" t="s">
        <v>125</v>
      </c>
      <c r="O797" s="23" t="s">
        <v>127</v>
      </c>
      <c r="P797" s="23" t="s">
        <v>235</v>
      </c>
      <c r="Q797" s="23">
        <f t="shared" si="104"/>
        <v>3</v>
      </c>
      <c r="R797" s="23" t="str">
        <f t="shared" si="99"/>
        <v>5-2025</v>
      </c>
      <c r="S797" s="23" t="s">
        <v>104</v>
      </c>
      <c r="T797" s="23" t="str">
        <f t="shared" si="100"/>
        <v>Wednesday</v>
      </c>
      <c r="U797" s="23">
        <f t="shared" si="101"/>
        <v>0</v>
      </c>
      <c r="V797" s="25">
        <f>IFERROR(Data!$I797/Data!$D797,"")</f>
        <v>0.26785714285714285</v>
      </c>
      <c r="W797" s="25">
        <f>IFERROR(Data!$J797/Data!$D797,"")</f>
        <v>0.32142857142857145</v>
      </c>
      <c r="X797" s="25">
        <f>IFERROR(Data!$K797/Data!$D797,"")</f>
        <v>0.26785714285714285</v>
      </c>
      <c r="Y797" s="25">
        <f>IFERROR(Data!$L797/Data!$D797,"")</f>
        <v>0.125</v>
      </c>
      <c r="Z797" s="25">
        <f>IFERROR(Data!$M797/Data!$D797,"")</f>
        <v>1.7857142857142856E-2</v>
      </c>
      <c r="AA797" s="26">
        <v>169</v>
      </c>
      <c r="AB797" s="26">
        <f t="shared" si="105"/>
        <v>12.071428571428571</v>
      </c>
      <c r="AC797" s="23">
        <f t="shared" si="102"/>
        <v>631.64285714285711</v>
      </c>
      <c r="AD797" s="23">
        <f t="shared" si="103"/>
        <v>14.5</v>
      </c>
      <c r="AE797" s="23">
        <f>YEAR(Data!$C797)</f>
        <v>2025</v>
      </c>
      <c r="AF797" s="23"/>
      <c r="AG797" s="23">
        <v>12</v>
      </c>
      <c r="AH797" s="27">
        <f>Data!$F797/Data!$D797</f>
        <v>10.571428571428571</v>
      </c>
      <c r="AI797" s="17" t="str">
        <f>RIGHT(Data!$O797,2)</f>
        <v>PM</v>
      </c>
      <c r="AJ797" s="23" t="str">
        <f>Data!$R797&amp;"-"&amp;WEEKNUM(Data!$C797,1)-WEEKNUM(DATE(YEAR(Data!$C797),MONTH(Data!$C797),1),1)+1</f>
        <v>5-2025-3</v>
      </c>
      <c r="AK797" s="23">
        <f>MONTH(Data!$C797)</f>
        <v>5</v>
      </c>
      <c r="AL797" s="23">
        <f>IFERROR(Data!$F797/Data!$E797,0)</f>
        <v>74</v>
      </c>
      <c r="AM797" s="23">
        <f>COUNTIF(Data!$N$2:$N$825,Data!$N797)</f>
        <v>182</v>
      </c>
      <c r="AN797" s="23" t="str">
        <f>VLOOKUP(Data!$N797,'Helpful Tables'!A:D,4,FALSE)</f>
        <v>Oregon</v>
      </c>
      <c r="AO797" s="23">
        <f>COUNTIF(AN:AN,Data!$AN797)/COUNTA(AN:AN)</f>
        <v>0.27393939393939393</v>
      </c>
      <c r="AP797" s="23">
        <f>VLOOKUP(Data!$N797,'Helpful Tables'!A:B,2,FALSE)</f>
        <v>45.534162000000002</v>
      </c>
      <c r="AQ797" s="23">
        <f>VLOOKUP(Data!$N797,'Helpful Tables'!A:C,3,FALSE)</f>
        <v>-122.69670000000001</v>
      </c>
      <c r="AR797" s="23">
        <f>COUNTIF(Data!$P$2:$P$825,Data!$P797)</f>
        <v>4</v>
      </c>
      <c r="AS797" s="23" cm="1">
        <f t="array" ref="AS797">_xlfn.IFS(Data!$E797&lt;12,((Data!$E797/Data!$D797)*60)*1,AND(Data!$E797&gt;=12,Data!$E797&lt;=15),((Data!$E797/Data!$D797)*60)*1.2,AND(Data!$E797&gt;=16,Data!$E797&lt;=19),((Data!$E797/Data!$D797)*60)*1.5,Data!$E797&gt;=20,((Data!$E797/Data!$D797)*60)*1.8)</f>
        <v>8.5714285714285712</v>
      </c>
      <c r="AT797" s="23" cm="1">
        <f t="array" ref="AT797">_xlfn.IFS(Data!$F797&lt;600,((Data!$F797/Data!$D797)*60)*1,AND(Data!$F797&gt;=600,Data!$F797&lt;=625),((Data!$F797/Data!$D797)*60)*1.2,AND(Data!$F797&gt;=626,Data!$F797&lt;=650),((Data!$F797/Data!$D797)*60)*1.5,Data!$F797&gt;=651,((Data!$F797/Data!$D797)*60)*1.8)</f>
        <v>634.28571428571422</v>
      </c>
      <c r="AU797" s="23">
        <f>(Data!$I797*-1.2)+(Data!$J797*-1.1)+(Data!$K797*1.2)+(Data!$L797*1.3)+(Data!$M797*1.5)</f>
        <v>-9.1999999999999975</v>
      </c>
      <c r="AV797" s="23">
        <f>(Data!$AS797*0.4)+(Data!$AT797*0.4)+(Data!$AU797*0.2)</f>
        <v>255.30285714285711</v>
      </c>
      <c r="AW797" s="35">
        <f>PERCENTRANK(AV:AV,Data!$AV797)*100</f>
        <v>19.3</v>
      </c>
      <c r="AX797" s="23" t="str">
        <f>_xlfn.CONCAT(TEXT(C797,"mmm"),"-",Data!$AE797)</f>
        <v>May-2025</v>
      </c>
    </row>
    <row r="798" spans="1:50" ht="17" thickTop="1" thickBot="1" x14ac:dyDescent="0.25">
      <c r="A798" s="28">
        <v>797</v>
      </c>
      <c r="B798" s="29">
        <f t="shared" si="98"/>
        <v>14</v>
      </c>
      <c r="C798" s="41">
        <v>45792</v>
      </c>
      <c r="D798" s="30">
        <f>SUM(Data!$I798:$M798)</f>
        <v>58</v>
      </c>
      <c r="E798" s="29">
        <v>15</v>
      </c>
      <c r="F798" s="29">
        <v>613</v>
      </c>
      <c r="G798" s="29">
        <v>166</v>
      </c>
      <c r="H798" s="29">
        <v>123</v>
      </c>
      <c r="I798" s="29">
        <v>20</v>
      </c>
      <c r="J798" s="29">
        <v>8</v>
      </c>
      <c r="K798" s="29">
        <v>15</v>
      </c>
      <c r="L798" s="29">
        <v>13</v>
      </c>
      <c r="M798" s="29">
        <v>2</v>
      </c>
      <c r="N798" s="29" t="s">
        <v>125</v>
      </c>
      <c r="O798" s="29" t="s">
        <v>127</v>
      </c>
      <c r="P798" s="29" t="s">
        <v>214</v>
      </c>
      <c r="Q798" s="29">
        <f t="shared" si="104"/>
        <v>1</v>
      </c>
      <c r="R798" s="29" t="str">
        <f t="shared" si="99"/>
        <v>5-2025</v>
      </c>
      <c r="S798" s="29" t="s">
        <v>104</v>
      </c>
      <c r="T798" s="29" t="str">
        <f t="shared" si="100"/>
        <v>Thursday</v>
      </c>
      <c r="U798" s="29">
        <f t="shared" si="101"/>
        <v>1</v>
      </c>
      <c r="V798" s="31">
        <f>IFERROR(Data!$I798/Data!$D798,"")</f>
        <v>0.34482758620689657</v>
      </c>
      <c r="W798" s="31">
        <f>IFERROR(Data!$J798/Data!$D798,"")</f>
        <v>0.13793103448275862</v>
      </c>
      <c r="X798" s="31">
        <f>IFERROR(Data!$K798/Data!$D798,"")</f>
        <v>0.25862068965517243</v>
      </c>
      <c r="Y798" s="31">
        <f>IFERROR(Data!$L798/Data!$D798,"")</f>
        <v>0.22413793103448276</v>
      </c>
      <c r="Z798" s="31">
        <f>IFERROR(Data!$M798/Data!$D798,"")</f>
        <v>3.4482758620689655E-2</v>
      </c>
      <c r="AA798" s="32">
        <v>169</v>
      </c>
      <c r="AB798" s="32">
        <f t="shared" si="105"/>
        <v>12.071428571428571</v>
      </c>
      <c r="AC798" s="29">
        <f t="shared" si="102"/>
        <v>631.64285714285711</v>
      </c>
      <c r="AD798" s="29">
        <f t="shared" si="103"/>
        <v>14.5</v>
      </c>
      <c r="AE798" s="29">
        <f>YEAR(Data!$C798)</f>
        <v>2025</v>
      </c>
      <c r="AF798" s="29"/>
      <c r="AG798" s="29">
        <v>12</v>
      </c>
      <c r="AH798" s="33">
        <f>Data!$F798/Data!$D798</f>
        <v>10.568965517241379</v>
      </c>
      <c r="AI798" s="17" t="str">
        <f>RIGHT(Data!$O798,2)</f>
        <v>PM</v>
      </c>
      <c r="AJ798" s="29" t="str">
        <f>Data!$R798&amp;"-"&amp;WEEKNUM(Data!$C798,1)-WEEKNUM(DATE(YEAR(Data!$C798),MONTH(Data!$C798),1),1)+1</f>
        <v>5-2025-3</v>
      </c>
      <c r="AK798" s="29">
        <f>MONTH(Data!$C798)</f>
        <v>5</v>
      </c>
      <c r="AL798" s="29">
        <f>IFERROR(Data!$F798/Data!$E798,0)</f>
        <v>40.866666666666667</v>
      </c>
      <c r="AM798" s="29">
        <f>COUNTIF(Data!$N$2:$N$825,Data!$N798)</f>
        <v>182</v>
      </c>
      <c r="AN798" s="29" t="str">
        <f>VLOOKUP(Data!$N798,'Helpful Tables'!A:D,4,FALSE)</f>
        <v>Oregon</v>
      </c>
      <c r="AO798" s="29">
        <f>COUNTIF(AN:AN,Data!$AN798)/COUNTA(AN:AN)</f>
        <v>0.27393939393939393</v>
      </c>
      <c r="AP798" s="29">
        <f>VLOOKUP(Data!$N798,'Helpful Tables'!A:B,2,FALSE)</f>
        <v>45.534162000000002</v>
      </c>
      <c r="AQ798" s="29">
        <f>VLOOKUP(Data!$N798,'Helpful Tables'!A:C,3,FALSE)</f>
        <v>-122.69670000000001</v>
      </c>
      <c r="AR798" s="29">
        <f>COUNTIF(Data!$P$2:$P$825,Data!$P798)</f>
        <v>9</v>
      </c>
      <c r="AS798" s="29" cm="1">
        <f t="array" ref="AS798">_xlfn.IFS(Data!$E798&lt;12,((Data!$E798/Data!$D798)*60)*1,AND(Data!$E798&gt;=12,Data!$E798&lt;=15),((Data!$E798/Data!$D798)*60)*1.2,AND(Data!$E798&gt;=16,Data!$E798&lt;=19),((Data!$E798/Data!$D798)*60)*1.5,Data!$E798&gt;=20,((Data!$E798/Data!$D798)*60)*1.8)</f>
        <v>18.620689655172413</v>
      </c>
      <c r="AT798" s="29" cm="1">
        <f t="array" ref="AT798">_xlfn.IFS(Data!$F798&lt;600,((Data!$F798/Data!$D798)*60)*1,AND(Data!$F798&gt;=600,Data!$F798&lt;=625),((Data!$F798/Data!$D798)*60)*1.2,AND(Data!$F798&gt;=626,Data!$F798&lt;=650),((Data!$F798/Data!$D798)*60)*1.5,Data!$F798&gt;=651,((Data!$F798/Data!$D798)*60)*1.8)</f>
        <v>760.9655172413793</v>
      </c>
      <c r="AU798" s="29">
        <f>(Data!$I798*-1.2)+(Data!$J798*-1.1)+(Data!$K798*1.2)+(Data!$L798*1.3)+(Data!$M798*1.5)</f>
        <v>5.100000000000005</v>
      </c>
      <c r="AV798" s="29">
        <f>(Data!$AS798*0.4)+(Data!$AT798*0.4)+(Data!$AU798*0.2)</f>
        <v>312.85448275862069</v>
      </c>
      <c r="AW798" s="34">
        <f>PERCENTRANK(AV:AV,Data!$AV798)*100</f>
        <v>32.6</v>
      </c>
      <c r="AX798" s="29" t="str">
        <f>_xlfn.CONCAT(TEXT(C798,"mmm"),"-",Data!$AE798)</f>
        <v>May-2025</v>
      </c>
    </row>
    <row r="799" spans="1:50" ht="17" thickTop="1" thickBot="1" x14ac:dyDescent="0.25">
      <c r="A799" s="22">
        <v>798</v>
      </c>
      <c r="B799" s="23">
        <f t="shared" si="98"/>
        <v>14</v>
      </c>
      <c r="C799" s="41">
        <v>45794</v>
      </c>
      <c r="D799" s="24">
        <f>SUM(Data!$I799:$M799)</f>
        <v>59</v>
      </c>
      <c r="E799" s="23">
        <v>13</v>
      </c>
      <c r="F799" s="23">
        <v>629</v>
      </c>
      <c r="G799" s="23">
        <v>166</v>
      </c>
      <c r="H799" s="23">
        <v>123</v>
      </c>
      <c r="I799" s="23">
        <v>13</v>
      </c>
      <c r="J799" s="23">
        <v>22</v>
      </c>
      <c r="K799" s="23">
        <v>11</v>
      </c>
      <c r="L799" s="23">
        <v>11</v>
      </c>
      <c r="M799" s="23">
        <v>2</v>
      </c>
      <c r="N799" s="23" t="s">
        <v>125</v>
      </c>
      <c r="O799" s="23" t="s">
        <v>127</v>
      </c>
      <c r="P799" s="23" t="s">
        <v>235</v>
      </c>
      <c r="Q799" s="23">
        <f t="shared" si="104"/>
        <v>2</v>
      </c>
      <c r="R799" s="23" t="str">
        <f t="shared" si="99"/>
        <v>5-2025</v>
      </c>
      <c r="S799" s="23" t="s">
        <v>104</v>
      </c>
      <c r="T799" s="23" t="str">
        <f t="shared" si="100"/>
        <v>Saturday</v>
      </c>
      <c r="U799" s="23">
        <f t="shared" si="101"/>
        <v>1</v>
      </c>
      <c r="V799" s="25">
        <f>IFERROR(Data!$I799/Data!$D799,"")</f>
        <v>0.22033898305084745</v>
      </c>
      <c r="W799" s="25">
        <f>IFERROR(Data!$J799/Data!$D799,"")</f>
        <v>0.3728813559322034</v>
      </c>
      <c r="X799" s="25">
        <f>IFERROR(Data!$K799/Data!$D799,"")</f>
        <v>0.1864406779661017</v>
      </c>
      <c r="Y799" s="25">
        <f>IFERROR(Data!$L799/Data!$D799,"")</f>
        <v>0.1864406779661017</v>
      </c>
      <c r="Z799" s="25">
        <f>IFERROR(Data!$M799/Data!$D799,"")</f>
        <v>3.3898305084745763E-2</v>
      </c>
      <c r="AA799" s="26">
        <v>169</v>
      </c>
      <c r="AB799" s="26">
        <f t="shared" si="105"/>
        <v>12.071428571428571</v>
      </c>
      <c r="AC799" s="23">
        <f t="shared" si="102"/>
        <v>631.64285714285711</v>
      </c>
      <c r="AD799" s="23">
        <f t="shared" si="103"/>
        <v>14.5</v>
      </c>
      <c r="AE799" s="23">
        <f>YEAR(Data!$C799)</f>
        <v>2025</v>
      </c>
      <c r="AF799" s="23"/>
      <c r="AG799" s="23">
        <v>12</v>
      </c>
      <c r="AH799" s="27">
        <f>Data!$F799/Data!$D799</f>
        <v>10.661016949152541</v>
      </c>
      <c r="AI799" s="17" t="str">
        <f>RIGHT(Data!$O799,2)</f>
        <v>PM</v>
      </c>
      <c r="AJ799" s="23" t="str">
        <f>Data!$R799&amp;"-"&amp;WEEKNUM(Data!$C799,1)-WEEKNUM(DATE(YEAR(Data!$C799),MONTH(Data!$C799),1),1)+1</f>
        <v>5-2025-3</v>
      </c>
      <c r="AK799" s="23">
        <f>MONTH(Data!$C799)</f>
        <v>5</v>
      </c>
      <c r="AL799" s="23">
        <f>IFERROR(Data!$F799/Data!$E799,0)</f>
        <v>48.384615384615387</v>
      </c>
      <c r="AM799" s="23">
        <f>COUNTIF(Data!$N$2:$N$825,Data!$N799)</f>
        <v>182</v>
      </c>
      <c r="AN799" s="23" t="str">
        <f>VLOOKUP(Data!$N799,'Helpful Tables'!A:D,4,FALSE)</f>
        <v>Oregon</v>
      </c>
      <c r="AO799" s="23">
        <f>COUNTIF(AN:AN,Data!$AN799)/COUNTA(AN:AN)</f>
        <v>0.27393939393939393</v>
      </c>
      <c r="AP799" s="23">
        <f>VLOOKUP(Data!$N799,'Helpful Tables'!A:B,2,FALSE)</f>
        <v>45.534162000000002</v>
      </c>
      <c r="AQ799" s="23">
        <f>VLOOKUP(Data!$N799,'Helpful Tables'!A:C,3,FALSE)</f>
        <v>-122.69670000000001</v>
      </c>
      <c r="AR799" s="23">
        <f>COUNTIF(Data!$P$2:$P$825,Data!$P799)</f>
        <v>4</v>
      </c>
      <c r="AS799" s="23" cm="1">
        <f t="array" ref="AS799">_xlfn.IFS(Data!$E799&lt;12,((Data!$E799/Data!$D799)*60)*1,AND(Data!$E799&gt;=12,Data!$E799&lt;=15),((Data!$E799/Data!$D799)*60)*1.2,AND(Data!$E799&gt;=16,Data!$E799&lt;=19),((Data!$E799/Data!$D799)*60)*1.5,Data!$E799&gt;=20,((Data!$E799/Data!$D799)*60)*1.8)</f>
        <v>15.864406779661017</v>
      </c>
      <c r="AT799" s="23" cm="1">
        <f t="array" ref="AT799">_xlfn.IFS(Data!$F799&lt;600,((Data!$F799/Data!$D799)*60)*1,AND(Data!$F799&gt;=600,Data!$F799&lt;=625),((Data!$F799/Data!$D799)*60)*1.2,AND(Data!$F799&gt;=626,Data!$F799&lt;=650),((Data!$F799/Data!$D799)*60)*1.5,Data!$F799&gt;=651,((Data!$F799/Data!$D799)*60)*1.8)</f>
        <v>959.49152542372872</v>
      </c>
      <c r="AU799" s="23">
        <f>(Data!$I799*-1.2)+(Data!$J799*-1.1)+(Data!$K799*1.2)+(Data!$L799*1.3)+(Data!$M799*1.5)</f>
        <v>-9.3000000000000043</v>
      </c>
      <c r="AV799" s="23">
        <f>(Data!$AS799*0.4)+(Data!$AT799*0.4)+(Data!$AU799*0.2)</f>
        <v>388.28237288135585</v>
      </c>
      <c r="AW799" s="35">
        <f>PERCENTRANK(AV:AV,Data!$AV799)*100</f>
        <v>47.099999999999994</v>
      </c>
      <c r="AX799" s="23" t="str">
        <f>_xlfn.CONCAT(TEXT(C799,"mmm"),"-",Data!$AE799)</f>
        <v>May-2025</v>
      </c>
    </row>
    <row r="800" spans="1:50" ht="17" thickTop="1" thickBot="1" x14ac:dyDescent="0.25">
      <c r="A800" s="28">
        <v>799</v>
      </c>
      <c r="B800" s="29">
        <f t="shared" si="98"/>
        <v>14</v>
      </c>
      <c r="C800" s="41">
        <v>45796</v>
      </c>
      <c r="D800" s="30">
        <f>SUM(Data!$I800:$M800)</f>
        <v>60</v>
      </c>
      <c r="E800" s="29">
        <v>15</v>
      </c>
      <c r="F800" s="29">
        <v>662</v>
      </c>
      <c r="G800" s="29">
        <v>169</v>
      </c>
      <c r="H800" s="29">
        <v>126</v>
      </c>
      <c r="I800" s="29">
        <v>12</v>
      </c>
      <c r="J800" s="29">
        <v>21</v>
      </c>
      <c r="K800" s="29">
        <v>12</v>
      </c>
      <c r="L800" s="29">
        <v>11</v>
      </c>
      <c r="M800" s="29">
        <v>4</v>
      </c>
      <c r="N800" s="29" t="s">
        <v>125</v>
      </c>
      <c r="O800" s="29" t="s">
        <v>127</v>
      </c>
      <c r="P800" s="29" t="s">
        <v>220</v>
      </c>
      <c r="Q800" s="29">
        <f t="shared" si="104"/>
        <v>2</v>
      </c>
      <c r="R800" s="29" t="str">
        <f t="shared" si="99"/>
        <v>5-2025</v>
      </c>
      <c r="S800" s="29" t="s">
        <v>104</v>
      </c>
      <c r="T800" s="29" t="str">
        <f t="shared" si="100"/>
        <v>Monday</v>
      </c>
      <c r="U800" s="29">
        <f t="shared" si="101"/>
        <v>1</v>
      </c>
      <c r="V800" s="31">
        <f>IFERROR(Data!$I800/Data!$D800,"")</f>
        <v>0.2</v>
      </c>
      <c r="W800" s="31">
        <f>IFERROR(Data!$J800/Data!$D800,"")</f>
        <v>0.35</v>
      </c>
      <c r="X800" s="31">
        <f>IFERROR(Data!$K800/Data!$D800,"")</f>
        <v>0.2</v>
      </c>
      <c r="Y800" s="31">
        <f>IFERROR(Data!$L800/Data!$D800,"")</f>
        <v>0.18333333333333332</v>
      </c>
      <c r="Z800" s="31">
        <f>IFERROR(Data!$M800/Data!$D800,"")</f>
        <v>6.6666666666666666E-2</v>
      </c>
      <c r="AA800" s="32">
        <v>169</v>
      </c>
      <c r="AB800" s="32">
        <f t="shared" si="105"/>
        <v>12.071428571428571</v>
      </c>
      <c r="AC800" s="29">
        <f t="shared" si="102"/>
        <v>631.64285714285711</v>
      </c>
      <c r="AD800" s="29">
        <f t="shared" si="103"/>
        <v>14.5</v>
      </c>
      <c r="AE800" s="29">
        <f>YEAR(Data!$C800)</f>
        <v>2025</v>
      </c>
      <c r="AF800" s="29"/>
      <c r="AG800" s="29">
        <v>12</v>
      </c>
      <c r="AH800" s="33">
        <f>Data!$F800/Data!$D800</f>
        <v>11.033333333333333</v>
      </c>
      <c r="AI800" s="17" t="str">
        <f>RIGHT(Data!$O800,2)</f>
        <v>PM</v>
      </c>
      <c r="AJ800" s="29" t="str">
        <f>Data!$R800&amp;"-"&amp;WEEKNUM(Data!$C800,1)-WEEKNUM(DATE(YEAR(Data!$C800),MONTH(Data!$C800),1),1)+1</f>
        <v>5-2025-4</v>
      </c>
      <c r="AK800" s="29">
        <f>MONTH(Data!$C800)</f>
        <v>5</v>
      </c>
      <c r="AL800" s="29">
        <f>IFERROR(Data!$F800/Data!$E800,0)</f>
        <v>44.133333333333333</v>
      </c>
      <c r="AM800" s="29">
        <f>COUNTIF(Data!$N$2:$N$825,Data!$N800)</f>
        <v>182</v>
      </c>
      <c r="AN800" s="29" t="str">
        <f>VLOOKUP(Data!$N800,'Helpful Tables'!A:D,4,FALSE)</f>
        <v>Oregon</v>
      </c>
      <c r="AO800" s="29">
        <f>COUNTIF(AN:AN,Data!$AN800)/COUNTA(AN:AN)</f>
        <v>0.27393939393939393</v>
      </c>
      <c r="AP800" s="29">
        <f>VLOOKUP(Data!$N800,'Helpful Tables'!A:B,2,FALSE)</f>
        <v>45.534162000000002</v>
      </c>
      <c r="AQ800" s="29">
        <f>VLOOKUP(Data!$N800,'Helpful Tables'!A:C,3,FALSE)</f>
        <v>-122.69670000000001</v>
      </c>
      <c r="AR800" s="29">
        <f>COUNTIF(Data!$P$2:$P$825,Data!$P800)</f>
        <v>43</v>
      </c>
      <c r="AS800" s="29" cm="1">
        <f t="array" ref="AS800">_xlfn.IFS(Data!$E800&lt;12,((Data!$E800/Data!$D800)*60)*1,AND(Data!$E800&gt;=12,Data!$E800&lt;=15),((Data!$E800/Data!$D800)*60)*1.2,AND(Data!$E800&gt;=16,Data!$E800&lt;=19),((Data!$E800/Data!$D800)*60)*1.5,Data!$E800&gt;=20,((Data!$E800/Data!$D800)*60)*1.8)</f>
        <v>18</v>
      </c>
      <c r="AT800" s="29" cm="1">
        <f t="array" ref="AT800">_xlfn.IFS(Data!$F800&lt;600,((Data!$F800/Data!$D800)*60)*1,AND(Data!$F800&gt;=600,Data!$F800&lt;=625),((Data!$F800/Data!$D800)*60)*1.2,AND(Data!$F800&gt;=626,Data!$F800&lt;=650),((Data!$F800/Data!$D800)*60)*1.5,Data!$F800&gt;=651,((Data!$F800/Data!$D800)*60)*1.8)</f>
        <v>1191.6000000000001</v>
      </c>
      <c r="AU800" s="29">
        <f>(Data!$I800*-1.2)+(Data!$J800*-1.1)+(Data!$K800*1.2)+(Data!$L800*1.3)+(Data!$M800*1.5)</f>
        <v>-2.8000000000000007</v>
      </c>
      <c r="AV800" s="29">
        <f>(Data!$AS800*0.4)+(Data!$AT800*0.4)+(Data!$AU800*0.2)</f>
        <v>483.28000000000009</v>
      </c>
      <c r="AW800" s="34">
        <f>PERCENTRANK(AV:AV,Data!$AV800)*100</f>
        <v>70</v>
      </c>
      <c r="AX800" s="29" t="str">
        <f>_xlfn.CONCAT(TEXT(C800,"mmm"),"-",Data!$AE800)</f>
        <v>May-2025</v>
      </c>
    </row>
    <row r="801" spans="1:50" ht="17" thickTop="1" thickBot="1" x14ac:dyDescent="0.25">
      <c r="A801" s="22">
        <v>800</v>
      </c>
      <c r="B801" s="23">
        <f t="shared" si="98"/>
        <v>14</v>
      </c>
      <c r="C801" s="41">
        <v>45797</v>
      </c>
      <c r="D801" s="24">
        <f>SUM(Data!$I801:$M801)</f>
        <v>59</v>
      </c>
      <c r="E801" s="23">
        <v>16</v>
      </c>
      <c r="F801" s="23">
        <v>657</v>
      </c>
      <c r="G801" s="23">
        <v>165</v>
      </c>
      <c r="H801" s="23">
        <v>126</v>
      </c>
      <c r="I801" s="23">
        <v>11</v>
      </c>
      <c r="J801" s="23">
        <v>22</v>
      </c>
      <c r="K801" s="23">
        <v>10</v>
      </c>
      <c r="L801" s="23">
        <v>15</v>
      </c>
      <c r="M801" s="23">
        <v>1</v>
      </c>
      <c r="N801" s="23" t="s">
        <v>208</v>
      </c>
      <c r="O801" s="23" t="s">
        <v>53</v>
      </c>
      <c r="P801" s="23" t="s">
        <v>213</v>
      </c>
      <c r="Q801" s="23">
        <f t="shared" si="104"/>
        <v>1</v>
      </c>
      <c r="R801" s="23" t="str">
        <f t="shared" si="99"/>
        <v>5-2025</v>
      </c>
      <c r="S801" s="23" t="s">
        <v>104</v>
      </c>
      <c r="T801" s="23" t="str">
        <f t="shared" si="100"/>
        <v>Tuesday</v>
      </c>
      <c r="U801" s="23">
        <f t="shared" si="101"/>
        <v>1</v>
      </c>
      <c r="V801" s="25">
        <f>IFERROR(Data!$I801/Data!$D801,"")</f>
        <v>0.1864406779661017</v>
      </c>
      <c r="W801" s="25">
        <f>IFERROR(Data!$J801/Data!$D801,"")</f>
        <v>0.3728813559322034</v>
      </c>
      <c r="X801" s="25">
        <f>IFERROR(Data!$K801/Data!$D801,"")</f>
        <v>0.16949152542372881</v>
      </c>
      <c r="Y801" s="25">
        <f>IFERROR(Data!$L801/Data!$D801,"")</f>
        <v>0.25423728813559321</v>
      </c>
      <c r="Z801" s="25">
        <f>IFERROR(Data!$M801/Data!$D801,"")</f>
        <v>1.6949152542372881E-2</v>
      </c>
      <c r="AA801" s="26">
        <v>169</v>
      </c>
      <c r="AB801" s="26">
        <f t="shared" si="105"/>
        <v>12.071428571428571</v>
      </c>
      <c r="AC801" s="23">
        <f t="shared" si="102"/>
        <v>631.64285714285711</v>
      </c>
      <c r="AD801" s="23">
        <f t="shared" si="103"/>
        <v>14.5</v>
      </c>
      <c r="AE801" s="23">
        <f>YEAR(Data!$C801)</f>
        <v>2025</v>
      </c>
      <c r="AF801" s="23"/>
      <c r="AG801" s="23">
        <v>12</v>
      </c>
      <c r="AH801" s="27">
        <f>Data!$F801/Data!$D801</f>
        <v>11.135593220338983</v>
      </c>
      <c r="AI801" s="17" t="str">
        <f>RIGHT(Data!$O801,2)</f>
        <v>PM</v>
      </c>
      <c r="AJ801" s="23" t="str">
        <f>Data!$R801&amp;"-"&amp;WEEKNUM(Data!$C801,1)-WEEKNUM(DATE(YEAR(Data!$C801),MONTH(Data!$C801),1),1)+1</f>
        <v>5-2025-4</v>
      </c>
      <c r="AK801" s="23">
        <f>MONTH(Data!$C801)</f>
        <v>5</v>
      </c>
      <c r="AL801" s="23">
        <f>IFERROR(Data!$F801/Data!$E801,0)</f>
        <v>41.0625</v>
      </c>
      <c r="AM801" s="23">
        <f>COUNTIF(Data!$N$2:$N$825,Data!$N801)</f>
        <v>42</v>
      </c>
      <c r="AN801" s="23" t="str">
        <f>VLOOKUP(Data!$N801,'Helpful Tables'!A:D,4,FALSE)</f>
        <v>Oregon</v>
      </c>
      <c r="AO801" s="23">
        <f>COUNTIF(AN:AN,Data!$AN801)/COUNTA(AN:AN)</f>
        <v>0.27393939393939393</v>
      </c>
      <c r="AP801" s="23">
        <f>VLOOKUP(Data!$N801,'Helpful Tables'!A:B,2,FALSE)</f>
        <v>45.525092999999998</v>
      </c>
      <c r="AQ801" s="23">
        <f>VLOOKUP(Data!$N801,'Helpful Tables'!A:C,3,FALSE)</f>
        <v>-122.681383</v>
      </c>
      <c r="AR801" s="23">
        <f>COUNTIF(Data!$P$2:$P$825,Data!$P801)</f>
        <v>20</v>
      </c>
      <c r="AS801" s="23" cm="1">
        <f t="array" ref="AS801">_xlfn.IFS(Data!$E801&lt;12,((Data!$E801/Data!$D801)*60)*1,AND(Data!$E801&gt;=12,Data!$E801&lt;=15),((Data!$E801/Data!$D801)*60)*1.2,AND(Data!$E801&gt;=16,Data!$E801&lt;=19),((Data!$E801/Data!$D801)*60)*1.5,Data!$E801&gt;=20,((Data!$E801/Data!$D801)*60)*1.8)</f>
        <v>24.406779661016948</v>
      </c>
      <c r="AT801" s="23" cm="1">
        <f t="array" ref="AT801">_xlfn.IFS(Data!$F801&lt;600,((Data!$F801/Data!$D801)*60)*1,AND(Data!$F801&gt;=600,Data!$F801&lt;=625),((Data!$F801/Data!$D801)*60)*1.2,AND(Data!$F801&gt;=626,Data!$F801&lt;=650),((Data!$F801/Data!$D801)*60)*1.5,Data!$F801&gt;=651,((Data!$F801/Data!$D801)*60)*1.8)</f>
        <v>1202.6440677966102</v>
      </c>
      <c r="AU801" s="23">
        <f>(Data!$I801*-1.2)+(Data!$J801*-1.1)+(Data!$K801*1.2)+(Data!$L801*1.3)+(Data!$M801*1.5)</f>
        <v>-4.4000000000000057</v>
      </c>
      <c r="AV801" s="23">
        <f>(Data!$AS801*0.4)+(Data!$AT801*0.4)+(Data!$AU801*0.2)</f>
        <v>489.94033898305088</v>
      </c>
      <c r="AW801" s="35">
        <f>PERCENTRANK(AV:AV,Data!$AV801)*100</f>
        <v>72.8</v>
      </c>
      <c r="AX801" s="23" t="str">
        <f>_xlfn.CONCAT(TEXT(C801,"mmm"),"-",Data!$AE801)</f>
        <v>May-2025</v>
      </c>
    </row>
    <row r="802" spans="1:50" ht="17" thickTop="1" thickBot="1" x14ac:dyDescent="0.25">
      <c r="A802" s="28">
        <v>801</v>
      </c>
      <c r="B802" s="29">
        <f t="shared" si="98"/>
        <v>14</v>
      </c>
      <c r="C802" s="41">
        <v>45799</v>
      </c>
      <c r="D802" s="30">
        <f>SUM(Data!$I802:$M802)</f>
        <v>61</v>
      </c>
      <c r="E802" s="29">
        <v>12</v>
      </c>
      <c r="F802" s="29">
        <v>654</v>
      </c>
      <c r="G802" s="29">
        <v>165</v>
      </c>
      <c r="H802" s="29">
        <v>124</v>
      </c>
      <c r="I802" s="29">
        <v>14</v>
      </c>
      <c r="J802" s="29">
        <v>22</v>
      </c>
      <c r="K802" s="29">
        <v>13</v>
      </c>
      <c r="L802" s="29">
        <v>10</v>
      </c>
      <c r="M802" s="29">
        <v>2</v>
      </c>
      <c r="N802" s="29" t="s">
        <v>125</v>
      </c>
      <c r="O802" s="29" t="s">
        <v>127</v>
      </c>
      <c r="P802" s="29" t="s">
        <v>220</v>
      </c>
      <c r="Q802" s="29">
        <f t="shared" si="104"/>
        <v>2</v>
      </c>
      <c r="R802" s="29" t="str">
        <f t="shared" si="99"/>
        <v>5-2025</v>
      </c>
      <c r="S802" s="29" t="s">
        <v>104</v>
      </c>
      <c r="T802" s="29" t="str">
        <f t="shared" si="100"/>
        <v>Thursday</v>
      </c>
      <c r="U802" s="29">
        <f t="shared" si="101"/>
        <v>1</v>
      </c>
      <c r="V802" s="31">
        <f>IFERROR(Data!$I802/Data!$D802,"")</f>
        <v>0.22950819672131148</v>
      </c>
      <c r="W802" s="31">
        <f>IFERROR(Data!$J802/Data!$D802,"")</f>
        <v>0.36065573770491804</v>
      </c>
      <c r="X802" s="31">
        <f>IFERROR(Data!$K802/Data!$D802,"")</f>
        <v>0.21311475409836064</v>
      </c>
      <c r="Y802" s="31">
        <f>IFERROR(Data!$L802/Data!$D802,"")</f>
        <v>0.16393442622950818</v>
      </c>
      <c r="Z802" s="31">
        <f>IFERROR(Data!$M802/Data!$D802,"")</f>
        <v>3.2786885245901641E-2</v>
      </c>
      <c r="AA802" s="32">
        <v>169</v>
      </c>
      <c r="AB802" s="32">
        <f t="shared" si="105"/>
        <v>12.071428571428571</v>
      </c>
      <c r="AC802" s="29">
        <f t="shared" si="102"/>
        <v>631.64285714285711</v>
      </c>
      <c r="AD802" s="29">
        <f t="shared" si="103"/>
        <v>14.5</v>
      </c>
      <c r="AE802" s="29">
        <f>YEAR(Data!$C802)</f>
        <v>2025</v>
      </c>
      <c r="AF802" s="29"/>
      <c r="AG802" s="29">
        <v>12</v>
      </c>
      <c r="AH802" s="33">
        <f>Data!$F802/Data!$D802</f>
        <v>10.721311475409836</v>
      </c>
      <c r="AI802" s="17" t="str">
        <f>RIGHT(Data!$O802,2)</f>
        <v>PM</v>
      </c>
      <c r="AJ802" s="29" t="str">
        <f>Data!$R802&amp;"-"&amp;WEEKNUM(Data!$C802,1)-WEEKNUM(DATE(YEAR(Data!$C802),MONTH(Data!$C802),1),1)+1</f>
        <v>5-2025-4</v>
      </c>
      <c r="AK802" s="29">
        <f>MONTH(Data!$C802)</f>
        <v>5</v>
      </c>
      <c r="AL802" s="29">
        <f>IFERROR(Data!$F802/Data!$E802,0)</f>
        <v>54.5</v>
      </c>
      <c r="AM802" s="29">
        <f>COUNTIF(Data!$N$2:$N$825,Data!$N802)</f>
        <v>182</v>
      </c>
      <c r="AN802" s="29" t="str">
        <f>VLOOKUP(Data!$N802,'Helpful Tables'!A:D,4,FALSE)</f>
        <v>Oregon</v>
      </c>
      <c r="AO802" s="29">
        <f>COUNTIF(AN:AN,Data!$AN802)/COUNTA(AN:AN)</f>
        <v>0.27393939393939393</v>
      </c>
      <c r="AP802" s="29">
        <f>VLOOKUP(Data!$N802,'Helpful Tables'!A:B,2,FALSE)</f>
        <v>45.534162000000002</v>
      </c>
      <c r="AQ802" s="29">
        <f>VLOOKUP(Data!$N802,'Helpful Tables'!A:C,3,FALSE)</f>
        <v>-122.69670000000001</v>
      </c>
      <c r="AR802" s="29">
        <f>COUNTIF(Data!$P$2:$P$825,Data!$P802)</f>
        <v>43</v>
      </c>
      <c r="AS802" s="29" cm="1">
        <f t="array" ref="AS802">_xlfn.IFS(Data!$E802&lt;12,((Data!$E802/Data!$D802)*60)*1,AND(Data!$E802&gt;=12,Data!$E802&lt;=15),((Data!$E802/Data!$D802)*60)*1.2,AND(Data!$E802&gt;=16,Data!$E802&lt;=19),((Data!$E802/Data!$D802)*60)*1.5,Data!$E802&gt;=20,((Data!$E802/Data!$D802)*60)*1.8)</f>
        <v>14.163934426229506</v>
      </c>
      <c r="AT802" s="29" cm="1">
        <f t="array" ref="AT802">_xlfn.IFS(Data!$F802&lt;600,((Data!$F802/Data!$D802)*60)*1,AND(Data!$F802&gt;=600,Data!$F802&lt;=625),((Data!$F802/Data!$D802)*60)*1.2,AND(Data!$F802&gt;=626,Data!$F802&lt;=650),((Data!$F802/Data!$D802)*60)*1.5,Data!$F802&gt;=651,((Data!$F802/Data!$D802)*60)*1.8)</f>
        <v>1157.9016393442623</v>
      </c>
      <c r="AU802" s="29">
        <f>(Data!$I802*-1.2)+(Data!$J802*-1.1)+(Data!$K802*1.2)+(Data!$L802*1.3)+(Data!$M802*1.5)</f>
        <v>-9.3999999999999986</v>
      </c>
      <c r="AV802" s="29">
        <f>(Data!$AS802*0.4)+(Data!$AT802*0.4)+(Data!$AU802*0.2)</f>
        <v>466.94622950819672</v>
      </c>
      <c r="AW802" s="34">
        <f>PERCENTRANK(AV:AV,Data!$AV802)*100</f>
        <v>66.3</v>
      </c>
      <c r="AX802" s="29" t="str">
        <f>_xlfn.CONCAT(TEXT(C802,"mmm"),"-",Data!$AE802)</f>
        <v>May-2025</v>
      </c>
    </row>
    <row r="803" spans="1:50" ht="17" thickTop="1" thickBot="1" x14ac:dyDescent="0.25">
      <c r="A803" s="22">
        <v>802</v>
      </c>
      <c r="B803" s="23">
        <f t="shared" si="98"/>
        <v>14</v>
      </c>
      <c r="C803" s="41">
        <v>45804</v>
      </c>
      <c r="D803" s="24">
        <f>SUM(Data!$I803:$M803)</f>
        <v>56</v>
      </c>
      <c r="E803" s="23">
        <v>13</v>
      </c>
      <c r="F803" s="23">
        <v>639</v>
      </c>
      <c r="G803" s="23">
        <v>166</v>
      </c>
      <c r="H803" s="23">
        <v>127</v>
      </c>
      <c r="I803" s="23">
        <v>12</v>
      </c>
      <c r="J803" s="23">
        <v>14</v>
      </c>
      <c r="K803" s="23">
        <v>17</v>
      </c>
      <c r="L803" s="23">
        <v>12</v>
      </c>
      <c r="M803" s="23">
        <v>1</v>
      </c>
      <c r="N803" s="23" t="s">
        <v>208</v>
      </c>
      <c r="O803" s="23" t="s">
        <v>53</v>
      </c>
      <c r="P803" s="23" t="s">
        <v>213</v>
      </c>
      <c r="Q803" s="23">
        <f t="shared" si="104"/>
        <v>5</v>
      </c>
      <c r="R803" s="23" t="str">
        <f t="shared" si="99"/>
        <v>5-2025</v>
      </c>
      <c r="S803" s="23" t="s">
        <v>104</v>
      </c>
      <c r="T803" s="23" t="str">
        <f t="shared" si="100"/>
        <v>Tuesday</v>
      </c>
      <c r="U803" s="23">
        <f t="shared" si="101"/>
        <v>1</v>
      </c>
      <c r="V803" s="25">
        <f>IFERROR(Data!$I803/Data!$D803,"")</f>
        <v>0.21428571428571427</v>
      </c>
      <c r="W803" s="25">
        <f>IFERROR(Data!$J803/Data!$D803,"")</f>
        <v>0.25</v>
      </c>
      <c r="X803" s="25">
        <f>IFERROR(Data!$K803/Data!$D803,"")</f>
        <v>0.30357142857142855</v>
      </c>
      <c r="Y803" s="25">
        <f>IFERROR(Data!$L803/Data!$D803,"")</f>
        <v>0.21428571428571427</v>
      </c>
      <c r="Z803" s="25">
        <f>IFERROR(Data!$M803/Data!$D803,"")</f>
        <v>1.7857142857142856E-2</v>
      </c>
      <c r="AA803" s="26">
        <v>169</v>
      </c>
      <c r="AB803" s="26">
        <f t="shared" si="105"/>
        <v>12.071428571428571</v>
      </c>
      <c r="AC803" s="23">
        <f t="shared" si="102"/>
        <v>631.64285714285711</v>
      </c>
      <c r="AD803" s="23">
        <f t="shared" si="103"/>
        <v>14.5</v>
      </c>
      <c r="AE803" s="23">
        <f>YEAR(Data!$C803)</f>
        <v>2025</v>
      </c>
      <c r="AF803" s="23"/>
      <c r="AG803" s="23">
        <v>12</v>
      </c>
      <c r="AH803" s="27">
        <f>Data!$F803/Data!$D803</f>
        <v>11.410714285714286</v>
      </c>
      <c r="AI803" s="17" t="str">
        <f>RIGHT(Data!$O803,2)</f>
        <v>PM</v>
      </c>
      <c r="AJ803" s="23" t="str">
        <f>Data!$R803&amp;"-"&amp;WEEKNUM(Data!$C803,1)-WEEKNUM(DATE(YEAR(Data!$C803),MONTH(Data!$C803),1),1)+1</f>
        <v>5-2025-5</v>
      </c>
      <c r="AK803" s="23">
        <f>MONTH(Data!$C803)</f>
        <v>5</v>
      </c>
      <c r="AL803" s="23">
        <f>IFERROR(Data!$F803/Data!$E803,0)</f>
        <v>49.153846153846153</v>
      </c>
      <c r="AM803" s="23">
        <f>COUNTIF(Data!$N$2:$N$825,Data!$N803)</f>
        <v>42</v>
      </c>
      <c r="AN803" s="23" t="str">
        <f>VLOOKUP(Data!$N803,'Helpful Tables'!A:D,4,FALSE)</f>
        <v>Oregon</v>
      </c>
      <c r="AO803" s="23">
        <f>COUNTIF(AN:AN,Data!$AN803)/COUNTA(AN:AN)</f>
        <v>0.27393939393939393</v>
      </c>
      <c r="AP803" s="23">
        <f>VLOOKUP(Data!$N803,'Helpful Tables'!A:B,2,FALSE)</f>
        <v>45.525092999999998</v>
      </c>
      <c r="AQ803" s="23">
        <f>VLOOKUP(Data!$N803,'Helpful Tables'!A:C,3,FALSE)</f>
        <v>-122.681383</v>
      </c>
      <c r="AR803" s="23">
        <f>COUNTIF(Data!$P$2:$P$825,Data!$P803)</f>
        <v>20</v>
      </c>
      <c r="AS803" s="23" cm="1">
        <f t="array" ref="AS803">_xlfn.IFS(Data!$E803&lt;12,((Data!$E803/Data!$D803)*60)*1,AND(Data!$E803&gt;=12,Data!$E803&lt;=15),((Data!$E803/Data!$D803)*60)*1.2,AND(Data!$E803&gt;=16,Data!$E803&lt;=19),((Data!$E803/Data!$D803)*60)*1.5,Data!$E803&gt;=20,((Data!$E803/Data!$D803)*60)*1.8)</f>
        <v>16.714285714285715</v>
      </c>
      <c r="AT803" s="23" cm="1">
        <f t="array" ref="AT803">_xlfn.IFS(Data!$F803&lt;600,((Data!$F803/Data!$D803)*60)*1,AND(Data!$F803&gt;=600,Data!$F803&lt;=625),((Data!$F803/Data!$D803)*60)*1.2,AND(Data!$F803&gt;=626,Data!$F803&lt;=650),((Data!$F803/Data!$D803)*60)*1.5,Data!$F803&gt;=651,((Data!$F803/Data!$D803)*60)*1.8)</f>
        <v>1026.9642857142858</v>
      </c>
      <c r="AU803" s="23">
        <f>(Data!$I803*-1.2)+(Data!$J803*-1.1)+(Data!$K803*1.2)+(Data!$L803*1.3)+(Data!$M803*1.5)</f>
        <v>7.6999999999999993</v>
      </c>
      <c r="AV803" s="23">
        <f>(Data!$AS803*0.4)+(Data!$AT803*0.4)+(Data!$AU803*0.2)</f>
        <v>419.01142857142867</v>
      </c>
      <c r="AW803" s="35">
        <f>PERCENTRANK(AV:AV,Data!$AV803)*100</f>
        <v>60.699999999999996</v>
      </c>
      <c r="AX803" s="23" t="str">
        <f>_xlfn.CONCAT(TEXT(C803,"mmm"),"-",Data!$AE803)</f>
        <v>May-2025</v>
      </c>
    </row>
    <row r="804" spans="1:50" ht="17" thickTop="1" thickBot="1" x14ac:dyDescent="0.25">
      <c r="A804" s="28">
        <v>803</v>
      </c>
      <c r="B804" s="29">
        <f t="shared" si="98"/>
        <v>14</v>
      </c>
      <c r="C804" s="41">
        <v>45806</v>
      </c>
      <c r="D804" s="30">
        <f>SUM(Data!$I804:$M804)</f>
        <v>54</v>
      </c>
      <c r="E804" s="29">
        <v>16</v>
      </c>
      <c r="F804" s="29">
        <v>586</v>
      </c>
      <c r="G804" s="29">
        <v>164</v>
      </c>
      <c r="H804" s="29">
        <v>125</v>
      </c>
      <c r="I804" s="29">
        <v>17</v>
      </c>
      <c r="J804" s="29">
        <v>12</v>
      </c>
      <c r="K804" s="29">
        <v>9</v>
      </c>
      <c r="L804" s="29">
        <v>16</v>
      </c>
      <c r="M804" s="29">
        <v>0</v>
      </c>
      <c r="N804" s="29" t="s">
        <v>125</v>
      </c>
      <c r="O804" s="29" t="s">
        <v>127</v>
      </c>
      <c r="P804" s="29" t="s">
        <v>223</v>
      </c>
      <c r="Q804" s="29">
        <f t="shared" si="104"/>
        <v>2</v>
      </c>
      <c r="R804" s="29" t="str">
        <f t="shared" si="99"/>
        <v>5-2025</v>
      </c>
      <c r="S804" s="29" t="s">
        <v>104</v>
      </c>
      <c r="T804" s="29" t="str">
        <f t="shared" si="100"/>
        <v>Thursday</v>
      </c>
      <c r="U804" s="29">
        <f t="shared" si="101"/>
        <v>1</v>
      </c>
      <c r="V804" s="31">
        <f>IFERROR(Data!$I804/Data!$D804,"")</f>
        <v>0.31481481481481483</v>
      </c>
      <c r="W804" s="31">
        <f>IFERROR(Data!$J804/Data!$D804,"")</f>
        <v>0.22222222222222221</v>
      </c>
      <c r="X804" s="31">
        <f>IFERROR(Data!$K804/Data!$D804,"")</f>
        <v>0.16666666666666666</v>
      </c>
      <c r="Y804" s="31">
        <f>IFERROR(Data!$L804/Data!$D804,"")</f>
        <v>0.29629629629629628</v>
      </c>
      <c r="Z804" s="31">
        <f>IFERROR(Data!$M804/Data!$D804,"")</f>
        <v>0</v>
      </c>
      <c r="AA804" s="32">
        <v>169</v>
      </c>
      <c r="AB804" s="32">
        <f t="shared" si="105"/>
        <v>12.071428571428571</v>
      </c>
      <c r="AC804" s="29">
        <f t="shared" si="102"/>
        <v>631.64285714285711</v>
      </c>
      <c r="AD804" s="29">
        <f t="shared" si="103"/>
        <v>14.5</v>
      </c>
      <c r="AE804" s="29">
        <f>YEAR(Data!$C804)</f>
        <v>2025</v>
      </c>
      <c r="AF804" s="29"/>
      <c r="AG804" s="29">
        <v>12</v>
      </c>
      <c r="AH804" s="33">
        <f>Data!$F804/Data!$D804</f>
        <v>10.851851851851851</v>
      </c>
      <c r="AI804" s="17" t="str">
        <f>RIGHT(Data!$O804,2)</f>
        <v>PM</v>
      </c>
      <c r="AJ804" s="29" t="str">
        <f>Data!$R804&amp;"-"&amp;WEEKNUM(Data!$C804,1)-WEEKNUM(DATE(YEAR(Data!$C804),MONTH(Data!$C804),1),1)+1</f>
        <v>5-2025-5</v>
      </c>
      <c r="AK804" s="29">
        <f>MONTH(Data!$C804)</f>
        <v>5</v>
      </c>
      <c r="AL804" s="29">
        <f>IFERROR(Data!$F804/Data!$E804,0)</f>
        <v>36.625</v>
      </c>
      <c r="AM804" s="29">
        <f>COUNTIF(Data!$N$2:$N$825,Data!$N804)</f>
        <v>182</v>
      </c>
      <c r="AN804" s="29" t="str">
        <f>VLOOKUP(Data!$N804,'Helpful Tables'!A:D,4,FALSE)</f>
        <v>Oregon</v>
      </c>
      <c r="AO804" s="29">
        <f>COUNTIF(AN:AN,Data!$AN804)/COUNTA(AN:AN)</f>
        <v>0.27393939393939393</v>
      </c>
      <c r="AP804" s="29">
        <f>VLOOKUP(Data!$N804,'Helpful Tables'!A:B,2,FALSE)</f>
        <v>45.534162000000002</v>
      </c>
      <c r="AQ804" s="29">
        <f>VLOOKUP(Data!$N804,'Helpful Tables'!A:C,3,FALSE)</f>
        <v>-122.69670000000001</v>
      </c>
      <c r="AR804" s="29">
        <f>COUNTIF(Data!$P$2:$P$825,Data!$P804)</f>
        <v>3</v>
      </c>
      <c r="AS804" s="29" cm="1">
        <f t="array" ref="AS804">_xlfn.IFS(Data!$E804&lt;12,((Data!$E804/Data!$D804)*60)*1,AND(Data!$E804&gt;=12,Data!$E804&lt;=15),((Data!$E804/Data!$D804)*60)*1.2,AND(Data!$E804&gt;=16,Data!$E804&lt;=19),((Data!$E804/Data!$D804)*60)*1.5,Data!$E804&gt;=20,((Data!$E804/Data!$D804)*60)*1.8)</f>
        <v>26.666666666666668</v>
      </c>
      <c r="AT804" s="29" cm="1">
        <f t="array" ref="AT804">_xlfn.IFS(Data!$F804&lt;600,((Data!$F804/Data!$D804)*60)*1,AND(Data!$F804&gt;=600,Data!$F804&lt;=625),((Data!$F804/Data!$D804)*60)*1.2,AND(Data!$F804&gt;=626,Data!$F804&lt;=650),((Data!$F804/Data!$D804)*60)*1.5,Data!$F804&gt;=651,((Data!$F804/Data!$D804)*60)*1.8)</f>
        <v>651.11111111111109</v>
      </c>
      <c r="AU804" s="29">
        <f>(Data!$I804*-1.2)+(Data!$J804*-1.1)+(Data!$K804*1.2)+(Data!$L804*1.3)+(Data!$M804*1.5)</f>
        <v>-2.0000000000000036</v>
      </c>
      <c r="AV804" s="29">
        <f>(Data!$AS804*0.4)+(Data!$AT804*0.4)+(Data!$AU804*0.2)</f>
        <v>270.71111111111117</v>
      </c>
      <c r="AW804" s="34">
        <f>PERCENTRANK(AV:AV,Data!$AV804)*100</f>
        <v>22.400000000000002</v>
      </c>
      <c r="AX804" s="29" t="str">
        <f>_xlfn.CONCAT(TEXT(C804,"mmm"),"-",Data!$AE804)</f>
        <v>May-2025</v>
      </c>
    </row>
    <row r="805" spans="1:50" ht="17" thickTop="1" thickBot="1" x14ac:dyDescent="0.25">
      <c r="A805" s="22">
        <v>804</v>
      </c>
      <c r="B805" s="23">
        <f t="shared" si="98"/>
        <v>14</v>
      </c>
      <c r="C805" s="41">
        <v>45807</v>
      </c>
      <c r="D805" s="24">
        <f>SUM(Data!$I805:$M805)</f>
        <v>58</v>
      </c>
      <c r="E805" s="23">
        <v>17</v>
      </c>
      <c r="F805" s="23">
        <v>677</v>
      </c>
      <c r="G805" s="23">
        <v>166</v>
      </c>
      <c r="H805" s="23">
        <v>130</v>
      </c>
      <c r="I805" s="23">
        <v>5</v>
      </c>
      <c r="J805" s="23">
        <v>22</v>
      </c>
      <c r="K805" s="23">
        <v>14</v>
      </c>
      <c r="L805" s="23">
        <v>15</v>
      </c>
      <c r="M805" s="23">
        <v>2</v>
      </c>
      <c r="N805" s="23" t="s">
        <v>208</v>
      </c>
      <c r="O805" s="23" t="s">
        <v>83</v>
      </c>
      <c r="P805" s="23" t="s">
        <v>213</v>
      </c>
      <c r="Q805" s="23">
        <f t="shared" si="104"/>
        <v>1</v>
      </c>
      <c r="R805" s="23" t="str">
        <f t="shared" si="99"/>
        <v>5-2025</v>
      </c>
      <c r="S805" s="23" t="s">
        <v>104</v>
      </c>
      <c r="T805" s="23" t="str">
        <f t="shared" si="100"/>
        <v>Friday</v>
      </c>
      <c r="U805" s="23">
        <f t="shared" si="101"/>
        <v>1</v>
      </c>
      <c r="V805" s="25">
        <f>IFERROR(Data!$I805/Data!$D805,"")</f>
        <v>8.6206896551724144E-2</v>
      </c>
      <c r="W805" s="25">
        <f>IFERROR(Data!$J805/Data!$D805,"")</f>
        <v>0.37931034482758619</v>
      </c>
      <c r="X805" s="25">
        <f>IFERROR(Data!$K805/Data!$D805,"")</f>
        <v>0.2413793103448276</v>
      </c>
      <c r="Y805" s="25">
        <f>IFERROR(Data!$L805/Data!$D805,"")</f>
        <v>0.25862068965517243</v>
      </c>
      <c r="Z805" s="25">
        <f>IFERROR(Data!$M805/Data!$D805,"")</f>
        <v>3.4482758620689655E-2</v>
      </c>
      <c r="AA805" s="26">
        <v>169</v>
      </c>
      <c r="AB805" s="26">
        <f t="shared" si="105"/>
        <v>12.071428571428571</v>
      </c>
      <c r="AC805" s="23">
        <f t="shared" si="102"/>
        <v>631.64285714285711</v>
      </c>
      <c r="AD805" s="23">
        <f t="shared" si="103"/>
        <v>14.5</v>
      </c>
      <c r="AE805" s="23">
        <f>YEAR(Data!$C805)</f>
        <v>2025</v>
      </c>
      <c r="AF805" s="23"/>
      <c r="AG805" s="23">
        <v>12</v>
      </c>
      <c r="AH805" s="27">
        <f>Data!$F805/Data!$D805</f>
        <v>11.672413793103448</v>
      </c>
      <c r="AI805" s="17" t="str">
        <f>RIGHT(Data!$O805,2)</f>
        <v>PM</v>
      </c>
      <c r="AJ805" s="23" t="str">
        <f>Data!$R805&amp;"-"&amp;WEEKNUM(Data!$C805,1)-WEEKNUM(DATE(YEAR(Data!$C805),MONTH(Data!$C805),1),1)+1</f>
        <v>5-2025-5</v>
      </c>
      <c r="AK805" s="23">
        <f>MONTH(Data!$C805)</f>
        <v>5</v>
      </c>
      <c r="AL805" s="23">
        <f>IFERROR(Data!$F805/Data!$E805,0)</f>
        <v>39.823529411764703</v>
      </c>
      <c r="AM805" s="23">
        <f>COUNTIF(Data!$N$2:$N$825,Data!$N805)</f>
        <v>42</v>
      </c>
      <c r="AN805" s="23" t="str">
        <f>VLOOKUP(Data!$N805,'Helpful Tables'!A:D,4,FALSE)</f>
        <v>Oregon</v>
      </c>
      <c r="AO805" s="23">
        <f>COUNTIF(AN:AN,Data!$AN805)/COUNTA(AN:AN)</f>
        <v>0.27393939393939393</v>
      </c>
      <c r="AP805" s="23">
        <f>VLOOKUP(Data!$N805,'Helpful Tables'!A:B,2,FALSE)</f>
        <v>45.525092999999998</v>
      </c>
      <c r="AQ805" s="23">
        <f>VLOOKUP(Data!$N805,'Helpful Tables'!A:C,3,FALSE)</f>
        <v>-122.681383</v>
      </c>
      <c r="AR805" s="23">
        <f>COUNTIF(Data!$P$2:$P$825,Data!$P805)</f>
        <v>20</v>
      </c>
      <c r="AS805" s="23" cm="1">
        <f t="array" ref="AS805">_xlfn.IFS(Data!$E805&lt;12,((Data!$E805/Data!$D805)*60)*1,AND(Data!$E805&gt;=12,Data!$E805&lt;=15),((Data!$E805/Data!$D805)*60)*1.2,AND(Data!$E805&gt;=16,Data!$E805&lt;=19),((Data!$E805/Data!$D805)*60)*1.5,Data!$E805&gt;=20,((Data!$E805/Data!$D805)*60)*1.8)</f>
        <v>26.379310344827584</v>
      </c>
      <c r="AT805" s="23" cm="1">
        <f t="array" ref="AT805">_xlfn.IFS(Data!$F805&lt;600,((Data!$F805/Data!$D805)*60)*1,AND(Data!$F805&gt;=600,Data!$F805&lt;=625),((Data!$F805/Data!$D805)*60)*1.2,AND(Data!$F805&gt;=626,Data!$F805&lt;=650),((Data!$F805/Data!$D805)*60)*1.5,Data!$F805&gt;=651,((Data!$F805/Data!$D805)*60)*1.8)</f>
        <v>1260.6206896551723</v>
      </c>
      <c r="AU805" s="23">
        <f>(Data!$I805*-1.2)+(Data!$J805*-1.1)+(Data!$K805*1.2)+(Data!$L805*1.3)+(Data!$M805*1.5)</f>
        <v>9.0999999999999979</v>
      </c>
      <c r="AV805" s="23">
        <f>(Data!$AS805*0.4)+(Data!$AT805*0.4)+(Data!$AU805*0.2)</f>
        <v>516.62</v>
      </c>
      <c r="AW805" s="35">
        <f>PERCENTRANK(AV:AV,Data!$AV805)*100</f>
        <v>88</v>
      </c>
      <c r="AX805" s="23" t="str">
        <f>_xlfn.CONCAT(TEXT(C805,"mmm"),"-",Data!$AE805)</f>
        <v>May-2025</v>
      </c>
    </row>
    <row r="806" spans="1:50" ht="17" thickTop="1" thickBot="1" x14ac:dyDescent="0.25">
      <c r="A806" s="28">
        <v>805</v>
      </c>
      <c r="B806" s="29">
        <f t="shared" si="98"/>
        <v>12</v>
      </c>
      <c r="C806" s="41">
        <v>45810</v>
      </c>
      <c r="D806" s="30">
        <f>SUM(Data!$I806:$M806)</f>
        <v>60</v>
      </c>
      <c r="E806" s="29">
        <v>15</v>
      </c>
      <c r="F806" s="29">
        <v>621</v>
      </c>
      <c r="G806" s="29">
        <v>165</v>
      </c>
      <c r="H806" s="29">
        <v>122</v>
      </c>
      <c r="I806" s="29">
        <v>19</v>
      </c>
      <c r="J806" s="29">
        <v>17</v>
      </c>
      <c r="K806" s="29">
        <v>9</v>
      </c>
      <c r="L806" s="29">
        <v>14</v>
      </c>
      <c r="M806" s="29">
        <v>1</v>
      </c>
      <c r="N806" s="29" t="s">
        <v>125</v>
      </c>
      <c r="O806" s="29" t="s">
        <v>127</v>
      </c>
      <c r="P806" s="29" t="s">
        <v>214</v>
      </c>
      <c r="Q806" s="29">
        <f t="shared" si="104"/>
        <v>3</v>
      </c>
      <c r="R806" s="29" t="str">
        <f t="shared" si="99"/>
        <v>6-2025</v>
      </c>
      <c r="S806" s="29" t="s">
        <v>104</v>
      </c>
      <c r="T806" s="29" t="str">
        <f t="shared" si="100"/>
        <v>Monday</v>
      </c>
      <c r="U806" s="29">
        <f t="shared" si="101"/>
        <v>1</v>
      </c>
      <c r="V806" s="31">
        <f>IFERROR(Data!$I806/Data!$D806,"")</f>
        <v>0.31666666666666665</v>
      </c>
      <c r="W806" s="31">
        <f>IFERROR(Data!$J806/Data!$D806,"")</f>
        <v>0.28333333333333333</v>
      </c>
      <c r="X806" s="31">
        <f>IFERROR(Data!$K806/Data!$D806,"")</f>
        <v>0.15</v>
      </c>
      <c r="Y806" s="31">
        <f>IFERROR(Data!$L806/Data!$D806,"")</f>
        <v>0.23333333333333334</v>
      </c>
      <c r="Z806" s="31">
        <f>IFERROR(Data!$M806/Data!$D806,"")</f>
        <v>1.6666666666666666E-2</v>
      </c>
      <c r="AA806" s="32">
        <v>169</v>
      </c>
      <c r="AB806" s="32">
        <f t="shared" si="105"/>
        <v>14.083333333333334</v>
      </c>
      <c r="AC806" s="29">
        <f t="shared" si="102"/>
        <v>638</v>
      </c>
      <c r="AD806" s="29">
        <f t="shared" si="103"/>
        <v>16.416666666666668</v>
      </c>
      <c r="AE806" s="29">
        <f>YEAR(Data!$C806)</f>
        <v>2025</v>
      </c>
      <c r="AF806" s="29"/>
      <c r="AG806" s="29">
        <v>12</v>
      </c>
      <c r="AH806" s="33">
        <f>Data!$F806/Data!$D806</f>
        <v>10.35</v>
      </c>
      <c r="AI806" s="17" t="str">
        <f>RIGHT(Data!$O806,2)</f>
        <v>PM</v>
      </c>
      <c r="AJ806" s="29" t="str">
        <f>Data!$R806&amp;"-"&amp;WEEKNUM(Data!$C806,1)-WEEKNUM(DATE(YEAR(Data!$C806),MONTH(Data!$C806),1),1)+1</f>
        <v>6-2025-1</v>
      </c>
      <c r="AK806" s="29">
        <f>MONTH(Data!$C806)</f>
        <v>6</v>
      </c>
      <c r="AL806" s="29">
        <f>IFERROR(Data!$F806/Data!$E806,0)</f>
        <v>41.4</v>
      </c>
      <c r="AM806" s="29">
        <f>COUNTIF(Data!$N$2:$N$825,Data!$N806)</f>
        <v>182</v>
      </c>
      <c r="AN806" s="29" t="str">
        <f>VLOOKUP(Data!$N806,'Helpful Tables'!A:D,4,FALSE)</f>
        <v>Oregon</v>
      </c>
      <c r="AO806" s="29">
        <f>COUNTIF(AN:AN,Data!$AN806)/COUNTA(AN:AN)</f>
        <v>0.27393939393939393</v>
      </c>
      <c r="AP806" s="29">
        <f>VLOOKUP(Data!$N806,'Helpful Tables'!A:B,2,FALSE)</f>
        <v>45.534162000000002</v>
      </c>
      <c r="AQ806" s="29">
        <f>VLOOKUP(Data!$N806,'Helpful Tables'!A:C,3,FALSE)</f>
        <v>-122.69670000000001</v>
      </c>
      <c r="AR806" s="29">
        <f>COUNTIF(Data!$P$2:$P$825,Data!$P806)</f>
        <v>9</v>
      </c>
      <c r="AS806" s="29" cm="1">
        <f t="array" ref="AS806">_xlfn.IFS(Data!$E806&lt;12,((Data!$E806/Data!$D806)*60)*1,AND(Data!$E806&gt;=12,Data!$E806&lt;=15),((Data!$E806/Data!$D806)*60)*1.2,AND(Data!$E806&gt;=16,Data!$E806&lt;=19),((Data!$E806/Data!$D806)*60)*1.5,Data!$E806&gt;=20,((Data!$E806/Data!$D806)*60)*1.8)</f>
        <v>18</v>
      </c>
      <c r="AT806" s="29" cm="1">
        <f t="array" ref="AT806">_xlfn.IFS(Data!$F806&lt;600,((Data!$F806/Data!$D806)*60)*1,AND(Data!$F806&gt;=600,Data!$F806&lt;=625),((Data!$F806/Data!$D806)*60)*1.2,AND(Data!$F806&gt;=626,Data!$F806&lt;=650),((Data!$F806/Data!$D806)*60)*1.5,Data!$F806&gt;=651,((Data!$F806/Data!$D806)*60)*1.8)</f>
        <v>745.19999999999993</v>
      </c>
      <c r="AU806" s="29">
        <f>(Data!$I806*-1.2)+(Data!$J806*-1.1)+(Data!$K806*1.2)+(Data!$L806*1.3)+(Data!$M806*1.5)</f>
        <v>-11.000000000000004</v>
      </c>
      <c r="AV806" s="29">
        <f>(Data!$AS806*0.4)+(Data!$AT806*0.4)+(Data!$AU806*0.2)</f>
        <v>303.08</v>
      </c>
      <c r="AW806" s="34">
        <f>PERCENTRANK(AV:AV,Data!$AV806)*100</f>
        <v>27.6</v>
      </c>
      <c r="AX806" s="29" t="str">
        <f>_xlfn.CONCAT(TEXT(C806,"mmm"),"-",Data!$AE806)</f>
        <v>Jun-2025</v>
      </c>
    </row>
    <row r="807" spans="1:50" ht="17" thickTop="1" thickBot="1" x14ac:dyDescent="0.25">
      <c r="A807" s="22">
        <v>806</v>
      </c>
      <c r="B807" s="23">
        <f t="shared" si="98"/>
        <v>12</v>
      </c>
      <c r="C807" s="41">
        <v>45812</v>
      </c>
      <c r="D807" s="24">
        <f>SUM(Data!$I807:$M807)</f>
        <v>57</v>
      </c>
      <c r="E807" s="23">
        <v>18</v>
      </c>
      <c r="F807" s="23">
        <v>627</v>
      </c>
      <c r="G807" s="23">
        <v>170</v>
      </c>
      <c r="H807" s="23">
        <v>125</v>
      </c>
      <c r="I807" s="23">
        <v>16</v>
      </c>
      <c r="J807" s="23">
        <v>16</v>
      </c>
      <c r="K807" s="23">
        <v>7</v>
      </c>
      <c r="L807" s="23">
        <v>16</v>
      </c>
      <c r="M807" s="23">
        <v>2</v>
      </c>
      <c r="N807" s="23" t="s">
        <v>125</v>
      </c>
      <c r="O807" s="23" t="s">
        <v>127</v>
      </c>
      <c r="P807" s="23" t="s">
        <v>237</v>
      </c>
      <c r="Q807" s="23">
        <f t="shared" si="104"/>
        <v>2</v>
      </c>
      <c r="R807" s="23" t="str">
        <f t="shared" si="99"/>
        <v>6-2025</v>
      </c>
      <c r="S807" s="23" t="s">
        <v>104</v>
      </c>
      <c r="T807" s="23" t="str">
        <f t="shared" si="100"/>
        <v>Wednesday</v>
      </c>
      <c r="U807" s="23">
        <f t="shared" si="101"/>
        <v>1</v>
      </c>
      <c r="V807" s="25">
        <f>IFERROR(Data!$I807/Data!$D807,"")</f>
        <v>0.2807017543859649</v>
      </c>
      <c r="W807" s="25">
        <f>IFERROR(Data!$J807/Data!$D807,"")</f>
        <v>0.2807017543859649</v>
      </c>
      <c r="X807" s="25">
        <f>IFERROR(Data!$K807/Data!$D807,"")</f>
        <v>0.12280701754385964</v>
      </c>
      <c r="Y807" s="25">
        <f>IFERROR(Data!$L807/Data!$D807,"")</f>
        <v>0.2807017543859649</v>
      </c>
      <c r="Z807" s="25">
        <f>IFERROR(Data!$M807/Data!$D807,"")</f>
        <v>3.5087719298245612E-2</v>
      </c>
      <c r="AA807" s="26">
        <v>169</v>
      </c>
      <c r="AB807" s="26">
        <f t="shared" si="105"/>
        <v>14.083333333333334</v>
      </c>
      <c r="AC807" s="23">
        <f t="shared" si="102"/>
        <v>638</v>
      </c>
      <c r="AD807" s="23">
        <f t="shared" si="103"/>
        <v>16.416666666666668</v>
      </c>
      <c r="AE807" s="23">
        <f>YEAR(Data!$C807)</f>
        <v>2025</v>
      </c>
      <c r="AF807" s="23"/>
      <c r="AG807" s="23">
        <v>12</v>
      </c>
      <c r="AH807" s="27">
        <f>Data!$F807/Data!$D807</f>
        <v>11</v>
      </c>
      <c r="AI807" s="17" t="str">
        <f>RIGHT(Data!$O807,2)</f>
        <v>PM</v>
      </c>
      <c r="AJ807" s="23" t="str">
        <f>Data!$R807&amp;"-"&amp;WEEKNUM(Data!$C807,1)-WEEKNUM(DATE(YEAR(Data!$C807),MONTH(Data!$C807),1),1)+1</f>
        <v>6-2025-1</v>
      </c>
      <c r="AK807" s="23">
        <f>MONTH(Data!$C807)</f>
        <v>6</v>
      </c>
      <c r="AL807" s="23">
        <f>IFERROR(Data!$F807/Data!$E807,0)</f>
        <v>34.833333333333336</v>
      </c>
      <c r="AM807" s="23">
        <f>COUNTIF(Data!$N$2:$N$825,Data!$N807)</f>
        <v>182</v>
      </c>
      <c r="AN807" s="23" t="str">
        <f>VLOOKUP(Data!$N807,'Helpful Tables'!A:D,4,FALSE)</f>
        <v>Oregon</v>
      </c>
      <c r="AO807" s="23">
        <f>COUNTIF(AN:AN,Data!$AN807)/COUNTA(AN:AN)</f>
        <v>0.27393939393939393</v>
      </c>
      <c r="AP807" s="23">
        <f>VLOOKUP(Data!$N807,'Helpful Tables'!A:B,2,FALSE)</f>
        <v>45.534162000000002</v>
      </c>
      <c r="AQ807" s="23">
        <f>VLOOKUP(Data!$N807,'Helpful Tables'!A:C,3,FALSE)</f>
        <v>-122.69670000000001</v>
      </c>
      <c r="AR807" s="23">
        <f>COUNTIF(Data!$P$2:$P$825,Data!$P807)</f>
        <v>1</v>
      </c>
      <c r="AS807" s="23" cm="1">
        <f t="array" ref="AS807">_xlfn.IFS(Data!$E807&lt;12,((Data!$E807/Data!$D807)*60)*1,AND(Data!$E807&gt;=12,Data!$E807&lt;=15),((Data!$E807/Data!$D807)*60)*1.2,AND(Data!$E807&gt;=16,Data!$E807&lt;=19),((Data!$E807/Data!$D807)*60)*1.5,Data!$E807&gt;=20,((Data!$E807/Data!$D807)*60)*1.8)</f>
        <v>28.421052631578945</v>
      </c>
      <c r="AT807" s="23" cm="1">
        <f t="array" ref="AT807">_xlfn.IFS(Data!$F807&lt;600,((Data!$F807/Data!$D807)*60)*1,AND(Data!$F807&gt;=600,Data!$F807&lt;=625),((Data!$F807/Data!$D807)*60)*1.2,AND(Data!$F807&gt;=626,Data!$F807&lt;=650),((Data!$F807/Data!$D807)*60)*1.5,Data!$F807&gt;=651,((Data!$F807/Data!$D807)*60)*1.8)</f>
        <v>990</v>
      </c>
      <c r="AU807" s="23">
        <f>(Data!$I807*-1.2)+(Data!$J807*-1.1)+(Data!$K807*1.2)+(Data!$L807*1.3)+(Data!$M807*1.5)</f>
        <v>-4.5999999999999979</v>
      </c>
      <c r="AV807" s="23">
        <f>(Data!$AS807*0.4)+(Data!$AT807*0.4)+(Data!$AU807*0.2)</f>
        <v>406.44842105263155</v>
      </c>
      <c r="AW807" s="35">
        <f>PERCENTRANK(AV:AV,Data!$AV807)*100</f>
        <v>55.2</v>
      </c>
      <c r="AX807" s="23" t="str">
        <f>_xlfn.CONCAT(TEXT(C807,"mmm"),"-",Data!$AE807)</f>
        <v>Jun-2025</v>
      </c>
    </row>
    <row r="808" spans="1:50" ht="17" thickTop="1" thickBot="1" x14ac:dyDescent="0.25">
      <c r="A808" s="28">
        <v>807</v>
      </c>
      <c r="B808" s="29">
        <f t="shared" si="98"/>
        <v>12</v>
      </c>
      <c r="C808" s="41">
        <v>45814</v>
      </c>
      <c r="D808" s="30">
        <f>SUM(Data!$I808:$M808)</f>
        <v>59</v>
      </c>
      <c r="E808" s="29">
        <v>18</v>
      </c>
      <c r="F808" s="29">
        <v>679</v>
      </c>
      <c r="G808" s="29">
        <v>169</v>
      </c>
      <c r="H808" s="29">
        <v>128</v>
      </c>
      <c r="I808" s="29">
        <v>9</v>
      </c>
      <c r="J808" s="29">
        <v>19</v>
      </c>
      <c r="K808" s="29">
        <v>13</v>
      </c>
      <c r="L808" s="29">
        <v>15</v>
      </c>
      <c r="M808" s="29">
        <v>3</v>
      </c>
      <c r="N808" s="29" t="s">
        <v>208</v>
      </c>
      <c r="O808" s="29" t="s">
        <v>83</v>
      </c>
      <c r="P808" s="29" t="s">
        <v>213</v>
      </c>
      <c r="Q808" s="29">
        <f t="shared" si="104"/>
        <v>2</v>
      </c>
      <c r="R808" s="29" t="str">
        <f t="shared" si="99"/>
        <v>6-2025</v>
      </c>
      <c r="S808" s="29" t="s">
        <v>104</v>
      </c>
      <c r="T808" s="29" t="str">
        <f t="shared" si="100"/>
        <v>Friday</v>
      </c>
      <c r="U808" s="29">
        <f t="shared" si="101"/>
        <v>1</v>
      </c>
      <c r="V808" s="31">
        <f>IFERROR(Data!$I808/Data!$D808,"")</f>
        <v>0.15254237288135594</v>
      </c>
      <c r="W808" s="31">
        <f>IFERROR(Data!$J808/Data!$D808,"")</f>
        <v>0.32203389830508472</v>
      </c>
      <c r="X808" s="31">
        <f>IFERROR(Data!$K808/Data!$D808,"")</f>
        <v>0.22033898305084745</v>
      </c>
      <c r="Y808" s="31">
        <f>IFERROR(Data!$L808/Data!$D808,"")</f>
        <v>0.25423728813559321</v>
      </c>
      <c r="Z808" s="31">
        <f>IFERROR(Data!$M808/Data!$D808,"")</f>
        <v>5.0847457627118647E-2</v>
      </c>
      <c r="AA808" s="32">
        <v>169</v>
      </c>
      <c r="AB808" s="32">
        <f t="shared" si="105"/>
        <v>14.083333333333334</v>
      </c>
      <c r="AC808" s="29">
        <f t="shared" si="102"/>
        <v>638</v>
      </c>
      <c r="AD808" s="29">
        <f t="shared" si="103"/>
        <v>16.416666666666668</v>
      </c>
      <c r="AE808" s="29">
        <f>YEAR(Data!$C808)</f>
        <v>2025</v>
      </c>
      <c r="AF808" s="29"/>
      <c r="AG808" s="29">
        <v>12</v>
      </c>
      <c r="AH808" s="33">
        <f>Data!$F808/Data!$D808</f>
        <v>11.508474576271187</v>
      </c>
      <c r="AI808" s="17" t="str">
        <f>RIGHT(Data!$O808,2)</f>
        <v>PM</v>
      </c>
      <c r="AJ808" s="29" t="str">
        <f>Data!$R808&amp;"-"&amp;WEEKNUM(Data!$C808,1)-WEEKNUM(DATE(YEAR(Data!$C808),MONTH(Data!$C808),1),1)+1</f>
        <v>6-2025-1</v>
      </c>
      <c r="AK808" s="29">
        <f>MONTH(Data!$C808)</f>
        <v>6</v>
      </c>
      <c r="AL808" s="29">
        <f>IFERROR(Data!$F808/Data!$E808,0)</f>
        <v>37.722222222222221</v>
      </c>
      <c r="AM808" s="29">
        <f>COUNTIF(Data!$N$2:$N$825,Data!$N808)</f>
        <v>42</v>
      </c>
      <c r="AN808" s="29" t="str">
        <f>VLOOKUP(Data!$N808,'Helpful Tables'!A:D,4,FALSE)</f>
        <v>Oregon</v>
      </c>
      <c r="AO808" s="29">
        <f>COUNTIF(AN:AN,Data!$AN808)/COUNTA(AN:AN)</f>
        <v>0.27393939393939393</v>
      </c>
      <c r="AP808" s="29">
        <f>VLOOKUP(Data!$N808,'Helpful Tables'!A:B,2,FALSE)</f>
        <v>45.525092999999998</v>
      </c>
      <c r="AQ808" s="29">
        <f>VLOOKUP(Data!$N808,'Helpful Tables'!A:C,3,FALSE)</f>
        <v>-122.681383</v>
      </c>
      <c r="AR808" s="29">
        <f>COUNTIF(Data!$P$2:$P$825,Data!$P808)</f>
        <v>20</v>
      </c>
      <c r="AS808" s="29" cm="1">
        <f t="array" ref="AS808">_xlfn.IFS(Data!$E808&lt;12,((Data!$E808/Data!$D808)*60)*1,AND(Data!$E808&gt;=12,Data!$E808&lt;=15),((Data!$E808/Data!$D808)*60)*1.2,AND(Data!$E808&gt;=16,Data!$E808&lt;=19),((Data!$E808/Data!$D808)*60)*1.5,Data!$E808&gt;=20,((Data!$E808/Data!$D808)*60)*1.8)</f>
        <v>27.457627118644069</v>
      </c>
      <c r="AT808" s="29" cm="1">
        <f t="array" ref="AT808">_xlfn.IFS(Data!$F808&lt;600,((Data!$F808/Data!$D808)*60)*1,AND(Data!$F808&gt;=600,Data!$F808&lt;=625),((Data!$F808/Data!$D808)*60)*1.2,AND(Data!$F808&gt;=626,Data!$F808&lt;=650),((Data!$F808/Data!$D808)*60)*1.5,Data!$F808&gt;=651,((Data!$F808/Data!$D808)*60)*1.8)</f>
        <v>1242.9152542372881</v>
      </c>
      <c r="AU808" s="29">
        <f>(Data!$I808*-1.2)+(Data!$J808*-1.1)+(Data!$K808*1.2)+(Data!$L808*1.3)+(Data!$M808*1.5)</f>
        <v>7.8999999999999986</v>
      </c>
      <c r="AV808" s="29">
        <f>(Data!$AS808*0.4)+(Data!$AT808*0.4)+(Data!$AU808*0.2)</f>
        <v>509.72915254237284</v>
      </c>
      <c r="AW808" s="34">
        <f>PERCENTRANK(AV:AV,Data!$AV808)*100</f>
        <v>84.399999999999991</v>
      </c>
      <c r="AX808" s="29" t="str">
        <f>_xlfn.CONCAT(TEXT(C808,"mmm"),"-",Data!$AE808)</f>
        <v>Jun-2025</v>
      </c>
    </row>
    <row r="809" spans="1:50" ht="17" thickTop="1" thickBot="1" x14ac:dyDescent="0.25">
      <c r="A809" s="22">
        <v>808</v>
      </c>
      <c r="B809" s="23">
        <f t="shared" si="98"/>
        <v>12</v>
      </c>
      <c r="C809" s="41">
        <v>45815</v>
      </c>
      <c r="D809" s="24">
        <f>SUM(Data!$I809:$M809)</f>
        <v>59</v>
      </c>
      <c r="E809" s="23">
        <v>13</v>
      </c>
      <c r="F809" s="23">
        <v>601</v>
      </c>
      <c r="G809" s="23">
        <v>159</v>
      </c>
      <c r="H809" s="23">
        <v>120</v>
      </c>
      <c r="I809" s="23">
        <v>22</v>
      </c>
      <c r="J809" s="23">
        <v>10</v>
      </c>
      <c r="K809" s="23">
        <v>14</v>
      </c>
      <c r="L809" s="23">
        <v>13</v>
      </c>
      <c r="M809" s="23">
        <v>0</v>
      </c>
      <c r="N809" s="23" t="s">
        <v>125</v>
      </c>
      <c r="O809" s="23" t="s">
        <v>159</v>
      </c>
      <c r="P809" s="23" t="s">
        <v>126</v>
      </c>
      <c r="Q809" s="23">
        <f t="shared" si="104"/>
        <v>1</v>
      </c>
      <c r="R809" s="23" t="str">
        <f t="shared" si="99"/>
        <v>6-2025</v>
      </c>
      <c r="S809" s="23" t="s">
        <v>117</v>
      </c>
      <c r="T809" s="23" t="str">
        <f t="shared" si="100"/>
        <v>Saturday</v>
      </c>
      <c r="U809" s="23">
        <f t="shared" si="101"/>
        <v>1</v>
      </c>
      <c r="V809" s="25">
        <f>IFERROR(Data!$I809/Data!$D809,"")</f>
        <v>0.3728813559322034</v>
      </c>
      <c r="W809" s="25">
        <f>IFERROR(Data!$J809/Data!$D809,"")</f>
        <v>0.16949152542372881</v>
      </c>
      <c r="X809" s="25">
        <f>IFERROR(Data!$K809/Data!$D809,"")</f>
        <v>0.23728813559322035</v>
      </c>
      <c r="Y809" s="25">
        <f>IFERROR(Data!$L809/Data!$D809,"")</f>
        <v>0.22033898305084745</v>
      </c>
      <c r="Z809" s="25">
        <f>IFERROR(Data!$M809/Data!$D809,"")</f>
        <v>0</v>
      </c>
      <c r="AA809" s="26">
        <v>169</v>
      </c>
      <c r="AB809" s="26">
        <f t="shared" si="105"/>
        <v>14.083333333333334</v>
      </c>
      <c r="AC809" s="23">
        <f t="shared" si="102"/>
        <v>638</v>
      </c>
      <c r="AD809" s="23">
        <f t="shared" si="103"/>
        <v>16.416666666666668</v>
      </c>
      <c r="AE809" s="23">
        <f>YEAR(Data!$C809)</f>
        <v>2025</v>
      </c>
      <c r="AF809" s="23"/>
      <c r="AG809" s="23">
        <v>12</v>
      </c>
      <c r="AH809" s="27">
        <f>Data!$F809/Data!$D809</f>
        <v>10.186440677966102</v>
      </c>
      <c r="AI809" s="17" t="str">
        <f>RIGHT(Data!$O809,2)</f>
        <v>AM</v>
      </c>
      <c r="AJ809" s="23" t="str">
        <f>Data!$R809&amp;"-"&amp;WEEKNUM(Data!$C809,1)-WEEKNUM(DATE(YEAR(Data!$C809),MONTH(Data!$C809),1),1)+1</f>
        <v>6-2025-1</v>
      </c>
      <c r="AK809" s="23">
        <f>MONTH(Data!$C809)</f>
        <v>6</v>
      </c>
      <c r="AL809" s="23">
        <f>IFERROR(Data!$F809/Data!$E809,0)</f>
        <v>46.230769230769234</v>
      </c>
      <c r="AM809" s="23">
        <f>COUNTIF(Data!$N$2:$N$825,Data!$N809)</f>
        <v>182</v>
      </c>
      <c r="AN809" s="23" t="str">
        <f>VLOOKUP(Data!$N809,'Helpful Tables'!A:D,4,FALSE)</f>
        <v>Oregon</v>
      </c>
      <c r="AO809" s="23">
        <f>COUNTIF(AN:AN,Data!$AN809)/COUNTA(AN:AN)</f>
        <v>0.27393939393939393</v>
      </c>
      <c r="AP809" s="23">
        <f>VLOOKUP(Data!$N809,'Helpful Tables'!A:B,2,FALSE)</f>
        <v>45.534162000000002</v>
      </c>
      <c r="AQ809" s="23">
        <f>VLOOKUP(Data!$N809,'Helpful Tables'!A:C,3,FALSE)</f>
        <v>-122.69670000000001</v>
      </c>
      <c r="AR809" s="23">
        <f>COUNTIF(Data!$P$2:$P$825,Data!$P809)</f>
        <v>10</v>
      </c>
      <c r="AS809" s="23" cm="1">
        <f t="array" ref="AS809">_xlfn.IFS(Data!$E809&lt;12,((Data!$E809/Data!$D809)*60)*1,AND(Data!$E809&gt;=12,Data!$E809&lt;=15),((Data!$E809/Data!$D809)*60)*1.2,AND(Data!$E809&gt;=16,Data!$E809&lt;=19),((Data!$E809/Data!$D809)*60)*1.5,Data!$E809&gt;=20,((Data!$E809/Data!$D809)*60)*1.8)</f>
        <v>15.864406779661017</v>
      </c>
      <c r="AT809" s="23" cm="1">
        <f t="array" ref="AT809">_xlfn.IFS(Data!$F809&lt;600,((Data!$F809/Data!$D809)*60)*1,AND(Data!$F809&gt;=600,Data!$F809&lt;=625),((Data!$F809/Data!$D809)*60)*1.2,AND(Data!$F809&gt;=626,Data!$F809&lt;=650),((Data!$F809/Data!$D809)*60)*1.5,Data!$F809&gt;=651,((Data!$F809/Data!$D809)*60)*1.8)</f>
        <v>733.42372881355936</v>
      </c>
      <c r="AU809" s="23">
        <f>(Data!$I809*-1.2)+(Data!$J809*-1.1)+(Data!$K809*1.2)+(Data!$L809*1.3)+(Data!$M809*1.5)</f>
        <v>-3.6999999999999957</v>
      </c>
      <c r="AV809" s="23">
        <f>(Data!$AS809*0.4)+(Data!$AT809*0.4)+(Data!$AU809*0.2)</f>
        <v>298.97525423728814</v>
      </c>
      <c r="AW809" s="35">
        <f>PERCENTRANK(AV:AV,Data!$AV809)*100</f>
        <v>26</v>
      </c>
      <c r="AX809" s="23" t="str">
        <f>_xlfn.CONCAT(TEXT(C809,"mmm"),"-",Data!$AE809)</f>
        <v>Jun-2025</v>
      </c>
    </row>
    <row r="810" spans="1:50" ht="17" thickTop="1" thickBot="1" x14ac:dyDescent="0.25">
      <c r="A810" s="28">
        <v>809</v>
      </c>
      <c r="B810" s="29">
        <f t="shared" si="98"/>
        <v>12</v>
      </c>
      <c r="C810" s="41">
        <v>45817</v>
      </c>
      <c r="D810" s="30">
        <f>SUM(Data!$I810:$M810)</f>
        <v>59</v>
      </c>
      <c r="E810" s="29">
        <v>14</v>
      </c>
      <c r="F810" s="29">
        <v>595</v>
      </c>
      <c r="G810" s="29">
        <v>164</v>
      </c>
      <c r="H810" s="29">
        <v>120</v>
      </c>
      <c r="I810" s="29">
        <v>20</v>
      </c>
      <c r="J810" s="29">
        <v>14</v>
      </c>
      <c r="K810" s="29">
        <v>11</v>
      </c>
      <c r="L810" s="29">
        <v>13</v>
      </c>
      <c r="M810" s="29">
        <v>1</v>
      </c>
      <c r="N810" s="29" t="s">
        <v>125</v>
      </c>
      <c r="O810" s="29" t="s">
        <v>127</v>
      </c>
      <c r="P810" s="29" t="s">
        <v>126</v>
      </c>
      <c r="Q810" s="29">
        <f t="shared" si="104"/>
        <v>2</v>
      </c>
      <c r="R810" s="29" t="str">
        <f t="shared" si="99"/>
        <v>6-2025</v>
      </c>
      <c r="S810" s="29" t="s">
        <v>104</v>
      </c>
      <c r="T810" s="29" t="str">
        <f t="shared" si="100"/>
        <v>Monday</v>
      </c>
      <c r="U810" s="29">
        <f t="shared" si="101"/>
        <v>1</v>
      </c>
      <c r="V810" s="31">
        <f>IFERROR(Data!$I810/Data!$D810,"")</f>
        <v>0.33898305084745761</v>
      </c>
      <c r="W810" s="31">
        <f>IFERROR(Data!$J810/Data!$D810,"")</f>
        <v>0.23728813559322035</v>
      </c>
      <c r="X810" s="31">
        <f>IFERROR(Data!$K810/Data!$D810,"")</f>
        <v>0.1864406779661017</v>
      </c>
      <c r="Y810" s="31">
        <f>IFERROR(Data!$L810/Data!$D810,"")</f>
        <v>0.22033898305084745</v>
      </c>
      <c r="Z810" s="31">
        <f>IFERROR(Data!$M810/Data!$D810,"")</f>
        <v>1.6949152542372881E-2</v>
      </c>
      <c r="AA810" s="32">
        <v>169</v>
      </c>
      <c r="AB810" s="32">
        <f t="shared" si="105"/>
        <v>14.083333333333334</v>
      </c>
      <c r="AC810" s="29">
        <f t="shared" si="102"/>
        <v>638</v>
      </c>
      <c r="AD810" s="29">
        <f t="shared" si="103"/>
        <v>16.416666666666668</v>
      </c>
      <c r="AE810" s="29">
        <f>YEAR(Data!$C810)</f>
        <v>2025</v>
      </c>
      <c r="AF810" s="29"/>
      <c r="AG810" s="29">
        <v>12</v>
      </c>
      <c r="AH810" s="33">
        <f>Data!$F810/Data!$D810</f>
        <v>10.084745762711865</v>
      </c>
      <c r="AI810" s="17" t="str">
        <f>RIGHT(Data!$O810,2)</f>
        <v>PM</v>
      </c>
      <c r="AJ810" s="29" t="str">
        <f>Data!$R810&amp;"-"&amp;WEEKNUM(Data!$C810,1)-WEEKNUM(DATE(YEAR(Data!$C810),MONTH(Data!$C810),1),1)+1</f>
        <v>6-2025-2</v>
      </c>
      <c r="AK810" s="29">
        <f>MONTH(Data!$C810)</f>
        <v>6</v>
      </c>
      <c r="AL810" s="29">
        <f>IFERROR(Data!$F810/Data!$E810,0)</f>
        <v>42.5</v>
      </c>
      <c r="AM810" s="29">
        <f>COUNTIF(Data!$N$2:$N$825,Data!$N810)</f>
        <v>182</v>
      </c>
      <c r="AN810" s="29" t="str">
        <f>VLOOKUP(Data!$N810,'Helpful Tables'!A:D,4,FALSE)</f>
        <v>Oregon</v>
      </c>
      <c r="AO810" s="29">
        <f>COUNTIF(AN:AN,Data!$AN810)/COUNTA(AN:AN)</f>
        <v>0.27393939393939393</v>
      </c>
      <c r="AP810" s="29">
        <f>VLOOKUP(Data!$N810,'Helpful Tables'!A:B,2,FALSE)</f>
        <v>45.534162000000002</v>
      </c>
      <c r="AQ810" s="29">
        <f>VLOOKUP(Data!$N810,'Helpful Tables'!A:C,3,FALSE)</f>
        <v>-122.69670000000001</v>
      </c>
      <c r="AR810" s="29">
        <f>COUNTIF(Data!$P$2:$P$825,Data!$P810)</f>
        <v>10</v>
      </c>
      <c r="AS810" s="29" cm="1">
        <f t="array" ref="AS810">_xlfn.IFS(Data!$E810&lt;12,((Data!$E810/Data!$D810)*60)*1,AND(Data!$E810&gt;=12,Data!$E810&lt;=15),((Data!$E810/Data!$D810)*60)*1.2,AND(Data!$E810&gt;=16,Data!$E810&lt;=19),((Data!$E810/Data!$D810)*60)*1.5,Data!$E810&gt;=20,((Data!$E810/Data!$D810)*60)*1.8)</f>
        <v>17.084745762711865</v>
      </c>
      <c r="AT810" s="29" cm="1">
        <f t="array" ref="AT810">_xlfn.IFS(Data!$F810&lt;600,((Data!$F810/Data!$D810)*60)*1,AND(Data!$F810&gt;=600,Data!$F810&lt;=625),((Data!$F810/Data!$D810)*60)*1.2,AND(Data!$F810&gt;=626,Data!$F810&lt;=650),((Data!$F810/Data!$D810)*60)*1.5,Data!$F810&gt;=651,((Data!$F810/Data!$D810)*60)*1.8)</f>
        <v>605.08474576271192</v>
      </c>
      <c r="AU810" s="29">
        <f>(Data!$I810*-1.2)+(Data!$J810*-1.1)+(Data!$K810*1.2)+(Data!$L810*1.3)+(Data!$M810*1.5)</f>
        <v>-7.8000000000000043</v>
      </c>
      <c r="AV810" s="29">
        <f>(Data!$AS810*0.4)+(Data!$AT810*0.4)+(Data!$AU810*0.2)</f>
        <v>247.30779661016953</v>
      </c>
      <c r="AW810" s="34">
        <f>PERCENTRANK(AV:AV,Data!$AV810)*100</f>
        <v>16.100000000000001</v>
      </c>
      <c r="AX810" s="29" t="str">
        <f>_xlfn.CONCAT(TEXT(C810,"mmm"),"-",Data!$AE810)</f>
        <v>Jun-2025</v>
      </c>
    </row>
    <row r="811" spans="1:50" ht="17" thickTop="1" thickBot="1" x14ac:dyDescent="0.25">
      <c r="A811" s="22">
        <v>810</v>
      </c>
      <c r="B811" s="23">
        <f t="shared" si="98"/>
        <v>12</v>
      </c>
      <c r="C811" s="41">
        <v>45820</v>
      </c>
      <c r="D811" s="24">
        <f>SUM(Data!$I811:$M811)</f>
        <v>59</v>
      </c>
      <c r="E811" s="23">
        <v>20</v>
      </c>
      <c r="F811" s="23">
        <v>671</v>
      </c>
      <c r="G811" s="23">
        <v>164</v>
      </c>
      <c r="H811" s="23">
        <v>127</v>
      </c>
      <c r="I811" s="23">
        <v>14</v>
      </c>
      <c r="J811" s="23">
        <v>15</v>
      </c>
      <c r="K811" s="23">
        <v>10</v>
      </c>
      <c r="L811" s="23">
        <v>18</v>
      </c>
      <c r="M811" s="23">
        <v>2</v>
      </c>
      <c r="N811" s="23" t="s">
        <v>125</v>
      </c>
      <c r="O811" s="23" t="s">
        <v>127</v>
      </c>
      <c r="P811" s="23" t="s">
        <v>238</v>
      </c>
      <c r="Q811" s="23">
        <f t="shared" si="104"/>
        <v>3</v>
      </c>
      <c r="R811" s="23" t="str">
        <f t="shared" si="99"/>
        <v>6-2025</v>
      </c>
      <c r="S811" s="23" t="s">
        <v>104</v>
      </c>
      <c r="T811" s="23" t="str">
        <f t="shared" si="100"/>
        <v>Thursday</v>
      </c>
      <c r="U811" s="23">
        <f t="shared" si="101"/>
        <v>1</v>
      </c>
      <c r="V811" s="25">
        <f>IFERROR(Data!$I811/Data!$D811,"")</f>
        <v>0.23728813559322035</v>
      </c>
      <c r="W811" s="25">
        <f>IFERROR(Data!$J811/Data!$D811,"")</f>
        <v>0.25423728813559321</v>
      </c>
      <c r="X811" s="25">
        <f>IFERROR(Data!$K811/Data!$D811,"")</f>
        <v>0.16949152542372881</v>
      </c>
      <c r="Y811" s="25">
        <f>IFERROR(Data!$L811/Data!$D811,"")</f>
        <v>0.30508474576271188</v>
      </c>
      <c r="Z811" s="25">
        <f>IFERROR(Data!$M811/Data!$D811,"")</f>
        <v>3.3898305084745763E-2</v>
      </c>
      <c r="AA811" s="26">
        <v>169</v>
      </c>
      <c r="AB811" s="26">
        <f t="shared" si="105"/>
        <v>14.083333333333334</v>
      </c>
      <c r="AC811" s="23">
        <f t="shared" si="102"/>
        <v>638</v>
      </c>
      <c r="AD811" s="23">
        <f t="shared" si="103"/>
        <v>16.416666666666668</v>
      </c>
      <c r="AE811" s="23">
        <f>YEAR(Data!$C811)</f>
        <v>2025</v>
      </c>
      <c r="AF811" s="23"/>
      <c r="AG811" s="23">
        <v>12</v>
      </c>
      <c r="AH811" s="27">
        <f>Data!$F811/Data!$D811</f>
        <v>11.372881355932204</v>
      </c>
      <c r="AI811" s="17" t="str">
        <f>RIGHT(Data!$O811,2)</f>
        <v>PM</v>
      </c>
      <c r="AJ811" s="23" t="str">
        <f>Data!$R811&amp;"-"&amp;WEEKNUM(Data!$C811,1)-WEEKNUM(DATE(YEAR(Data!$C811),MONTH(Data!$C811),1),1)+1</f>
        <v>6-2025-2</v>
      </c>
      <c r="AK811" s="23">
        <f>MONTH(Data!$C811)</f>
        <v>6</v>
      </c>
      <c r="AL811" s="23">
        <f>IFERROR(Data!$F811/Data!$E811,0)</f>
        <v>33.549999999999997</v>
      </c>
      <c r="AM811" s="23">
        <f>COUNTIF(Data!$N$2:$N$825,Data!$N811)</f>
        <v>182</v>
      </c>
      <c r="AN811" s="23" t="str">
        <f>VLOOKUP(Data!$N811,'Helpful Tables'!A:D,4,FALSE)</f>
        <v>Oregon</v>
      </c>
      <c r="AO811" s="23">
        <f>COUNTIF(AN:AN,Data!$AN811)/COUNTA(AN:AN)</f>
        <v>0.27393939393939393</v>
      </c>
      <c r="AP811" s="23">
        <f>VLOOKUP(Data!$N811,'Helpful Tables'!A:B,2,FALSE)</f>
        <v>45.534162000000002</v>
      </c>
      <c r="AQ811" s="23">
        <f>VLOOKUP(Data!$N811,'Helpful Tables'!A:C,3,FALSE)</f>
        <v>-122.69670000000001</v>
      </c>
      <c r="AR811" s="23">
        <f>COUNTIF(Data!$P$2:$P$825,Data!$P811)</f>
        <v>4</v>
      </c>
      <c r="AS811" s="23" cm="1">
        <f t="array" ref="AS811">_xlfn.IFS(Data!$E811&lt;12,((Data!$E811/Data!$D811)*60)*1,AND(Data!$E811&gt;=12,Data!$E811&lt;=15),((Data!$E811/Data!$D811)*60)*1.2,AND(Data!$E811&gt;=16,Data!$E811&lt;=19),((Data!$E811/Data!$D811)*60)*1.5,Data!$E811&gt;=20,((Data!$E811/Data!$D811)*60)*1.8)</f>
        <v>36.610169491525426</v>
      </c>
      <c r="AT811" s="23" cm="1">
        <f t="array" ref="AT811">_xlfn.IFS(Data!$F811&lt;600,((Data!$F811/Data!$D811)*60)*1,AND(Data!$F811&gt;=600,Data!$F811&lt;=625),((Data!$F811/Data!$D811)*60)*1.2,AND(Data!$F811&gt;=626,Data!$F811&lt;=650),((Data!$F811/Data!$D811)*60)*1.5,Data!$F811&gt;=651,((Data!$F811/Data!$D811)*60)*1.8)</f>
        <v>1228.2711864406781</v>
      </c>
      <c r="AU811" s="23">
        <f>(Data!$I811*-1.2)+(Data!$J811*-1.1)+(Data!$K811*1.2)+(Data!$L811*1.3)+(Data!$M811*1.5)</f>
        <v>5.100000000000005</v>
      </c>
      <c r="AV811" s="23">
        <f>(Data!$AS811*0.4)+(Data!$AT811*0.4)+(Data!$AU811*0.2)</f>
        <v>506.97254237288138</v>
      </c>
      <c r="AW811" s="35">
        <f>PERCENTRANK(AV:AV,Data!$AV811)*100</f>
        <v>82.5</v>
      </c>
      <c r="AX811" s="23" t="str">
        <f>_xlfn.CONCAT(TEXT(C811,"mmm"),"-",Data!$AE811)</f>
        <v>Jun-2025</v>
      </c>
    </row>
    <row r="812" spans="1:50" ht="17" thickTop="1" thickBot="1" x14ac:dyDescent="0.25">
      <c r="A812" s="28">
        <v>811</v>
      </c>
      <c r="B812" s="29">
        <f t="shared" si="98"/>
        <v>12</v>
      </c>
      <c r="C812" s="41">
        <v>45828</v>
      </c>
      <c r="D812" s="30">
        <f>SUM(Data!$I812:$M812)</f>
        <v>56</v>
      </c>
      <c r="E812" s="29">
        <v>18</v>
      </c>
      <c r="F812" s="29">
        <v>675</v>
      </c>
      <c r="G812" s="29">
        <v>165</v>
      </c>
      <c r="H812" s="29">
        <v>132</v>
      </c>
      <c r="I812" s="29">
        <v>7</v>
      </c>
      <c r="J812" s="29">
        <v>15</v>
      </c>
      <c r="K812" s="29">
        <v>16</v>
      </c>
      <c r="L812" s="29">
        <v>17</v>
      </c>
      <c r="M812" s="29">
        <v>1</v>
      </c>
      <c r="N812" s="29" t="s">
        <v>125</v>
      </c>
      <c r="O812" s="29" t="s">
        <v>113</v>
      </c>
      <c r="P812" s="29" t="s">
        <v>126</v>
      </c>
      <c r="Q812" s="29">
        <f t="shared" si="104"/>
        <v>8</v>
      </c>
      <c r="R812" s="29" t="str">
        <f t="shared" si="99"/>
        <v>6-2025</v>
      </c>
      <c r="S812" s="29" t="s">
        <v>104</v>
      </c>
      <c r="T812" s="29" t="str">
        <f t="shared" si="100"/>
        <v>Friday</v>
      </c>
      <c r="U812" s="29">
        <f t="shared" si="101"/>
        <v>1</v>
      </c>
      <c r="V812" s="31">
        <f>IFERROR(Data!$I812/Data!$D812,"")</f>
        <v>0.125</v>
      </c>
      <c r="W812" s="31">
        <f>IFERROR(Data!$J812/Data!$D812,"")</f>
        <v>0.26785714285714285</v>
      </c>
      <c r="X812" s="31">
        <f>IFERROR(Data!$K812/Data!$D812,"")</f>
        <v>0.2857142857142857</v>
      </c>
      <c r="Y812" s="31">
        <f>IFERROR(Data!$L812/Data!$D812,"")</f>
        <v>0.30357142857142855</v>
      </c>
      <c r="Z812" s="31">
        <f>IFERROR(Data!$M812/Data!$D812,"")</f>
        <v>1.7857142857142856E-2</v>
      </c>
      <c r="AA812" s="32">
        <v>169</v>
      </c>
      <c r="AB812" s="32">
        <f t="shared" si="105"/>
        <v>14.083333333333334</v>
      </c>
      <c r="AC812" s="29">
        <f t="shared" si="102"/>
        <v>638</v>
      </c>
      <c r="AD812" s="29">
        <f t="shared" si="103"/>
        <v>16.416666666666668</v>
      </c>
      <c r="AE812" s="29">
        <f>YEAR(Data!$C812)</f>
        <v>2025</v>
      </c>
      <c r="AF812" s="29"/>
      <c r="AG812" s="29">
        <v>12</v>
      </c>
      <c r="AH812" s="33">
        <f>Data!$F812/Data!$D812</f>
        <v>12.053571428571429</v>
      </c>
      <c r="AI812" s="17" t="str">
        <f>RIGHT(Data!$O812,2)</f>
        <v>AM</v>
      </c>
      <c r="AJ812" s="29" t="str">
        <f>Data!$R812&amp;"-"&amp;WEEKNUM(Data!$C812,1)-WEEKNUM(DATE(YEAR(Data!$C812),MONTH(Data!$C812),1),1)+1</f>
        <v>6-2025-3</v>
      </c>
      <c r="AK812" s="29">
        <f>MONTH(Data!$C812)</f>
        <v>6</v>
      </c>
      <c r="AL812" s="29">
        <f>IFERROR(Data!$F812/Data!$E812,0)</f>
        <v>37.5</v>
      </c>
      <c r="AM812" s="29">
        <f>COUNTIF(Data!$N$2:$N$825,Data!$N812)</f>
        <v>182</v>
      </c>
      <c r="AN812" s="29" t="str">
        <f>VLOOKUP(Data!$N812,'Helpful Tables'!A:D,4,FALSE)</f>
        <v>Oregon</v>
      </c>
      <c r="AO812" s="29">
        <f>COUNTIF(AN:AN,Data!$AN812)/COUNTA(AN:AN)</f>
        <v>0.27393939393939393</v>
      </c>
      <c r="AP812" s="29">
        <f>VLOOKUP(Data!$N812,'Helpful Tables'!A:B,2,FALSE)</f>
        <v>45.534162000000002</v>
      </c>
      <c r="AQ812" s="29">
        <f>VLOOKUP(Data!$N812,'Helpful Tables'!A:C,3,FALSE)</f>
        <v>-122.69670000000001</v>
      </c>
      <c r="AR812" s="29">
        <f>COUNTIF(Data!$P$2:$P$825,Data!$P812)</f>
        <v>10</v>
      </c>
      <c r="AS812" s="29" cm="1">
        <f t="array" ref="AS812">_xlfn.IFS(Data!$E812&lt;12,((Data!$E812/Data!$D812)*60)*1,AND(Data!$E812&gt;=12,Data!$E812&lt;=15),((Data!$E812/Data!$D812)*60)*1.2,AND(Data!$E812&gt;=16,Data!$E812&lt;=19),((Data!$E812/Data!$D812)*60)*1.5,Data!$E812&gt;=20,((Data!$E812/Data!$D812)*60)*1.8)</f>
        <v>28.928571428571431</v>
      </c>
      <c r="AT812" s="29" cm="1">
        <f t="array" ref="AT812">_xlfn.IFS(Data!$F812&lt;600,((Data!$F812/Data!$D812)*60)*1,AND(Data!$F812&gt;=600,Data!$F812&lt;=625),((Data!$F812/Data!$D812)*60)*1.2,AND(Data!$F812&gt;=626,Data!$F812&lt;=650),((Data!$F812/Data!$D812)*60)*1.5,Data!$F812&gt;=651,((Data!$F812/Data!$D812)*60)*1.8)</f>
        <v>1301.7857142857144</v>
      </c>
      <c r="AU812" s="29">
        <f>(Data!$I812*-1.2)+(Data!$J812*-1.1)+(Data!$K812*1.2)+(Data!$L812*1.3)+(Data!$M812*1.5)</f>
        <v>17.900000000000002</v>
      </c>
      <c r="AV812" s="29">
        <f>(Data!$AS812*0.4)+(Data!$AT812*0.4)+(Data!$AU812*0.2)</f>
        <v>535.86571428571438</v>
      </c>
      <c r="AW812" s="34">
        <f>PERCENTRANK(AV:AV,Data!$AV812)*100</f>
        <v>95.5</v>
      </c>
      <c r="AX812" s="29" t="str">
        <f>_xlfn.CONCAT(TEXT(C812,"mmm"),"-",Data!$AE812)</f>
        <v>Jun-2025</v>
      </c>
    </row>
    <row r="813" spans="1:50" ht="17" thickTop="1" thickBot="1" x14ac:dyDescent="0.25">
      <c r="A813" s="22">
        <v>812</v>
      </c>
      <c r="B813" s="23">
        <f t="shared" si="98"/>
        <v>12</v>
      </c>
      <c r="C813" s="41">
        <v>45829</v>
      </c>
      <c r="D813" s="24">
        <f>SUM(Data!$I813:$M813)</f>
        <v>58</v>
      </c>
      <c r="E813" s="23">
        <v>20</v>
      </c>
      <c r="F813" s="23">
        <v>675</v>
      </c>
      <c r="G813" s="23">
        <v>167</v>
      </c>
      <c r="H813" s="23">
        <v>129</v>
      </c>
      <c r="I813" s="23">
        <v>12</v>
      </c>
      <c r="J813" s="23">
        <v>20</v>
      </c>
      <c r="K813" s="23">
        <v>6</v>
      </c>
      <c r="L813" s="23">
        <v>16</v>
      </c>
      <c r="M813" s="23">
        <v>4</v>
      </c>
      <c r="N813" s="23" t="s">
        <v>125</v>
      </c>
      <c r="O813" s="23" t="s">
        <v>159</v>
      </c>
      <c r="P813" s="23" t="s">
        <v>239</v>
      </c>
      <c r="Q813" s="23">
        <f t="shared" si="104"/>
        <v>1</v>
      </c>
      <c r="R813" s="23" t="str">
        <f t="shared" si="99"/>
        <v>6-2025</v>
      </c>
      <c r="S813" s="23" t="s">
        <v>104</v>
      </c>
      <c r="T813" s="23" t="str">
        <f t="shared" si="100"/>
        <v>Saturday</v>
      </c>
      <c r="U813" s="23">
        <f t="shared" si="101"/>
        <v>1</v>
      </c>
      <c r="V813" s="25">
        <f>IFERROR(Data!$I813/Data!$D813,"")</f>
        <v>0.20689655172413793</v>
      </c>
      <c r="W813" s="25">
        <f>IFERROR(Data!$J813/Data!$D813,"")</f>
        <v>0.34482758620689657</v>
      </c>
      <c r="X813" s="25">
        <f>IFERROR(Data!$K813/Data!$D813,"")</f>
        <v>0.10344827586206896</v>
      </c>
      <c r="Y813" s="25">
        <f>IFERROR(Data!$L813/Data!$D813,"")</f>
        <v>0.27586206896551724</v>
      </c>
      <c r="Z813" s="25">
        <f>IFERROR(Data!$M813/Data!$D813,"")</f>
        <v>6.8965517241379309E-2</v>
      </c>
      <c r="AA813" s="26">
        <v>169</v>
      </c>
      <c r="AB813" s="26">
        <f t="shared" si="105"/>
        <v>14.083333333333334</v>
      </c>
      <c r="AC813" s="23">
        <f t="shared" si="102"/>
        <v>638</v>
      </c>
      <c r="AD813" s="23">
        <f t="shared" si="103"/>
        <v>16.416666666666668</v>
      </c>
      <c r="AE813" s="23">
        <f>YEAR(Data!$C813)</f>
        <v>2025</v>
      </c>
      <c r="AF813" s="23"/>
      <c r="AG813" s="23">
        <v>12</v>
      </c>
      <c r="AH813" s="27">
        <f>Data!$F813/Data!$D813</f>
        <v>11.637931034482758</v>
      </c>
      <c r="AI813" s="17" t="str">
        <f>RIGHT(Data!$O813,2)</f>
        <v>AM</v>
      </c>
      <c r="AJ813" s="23" t="str">
        <f>Data!$R813&amp;"-"&amp;WEEKNUM(Data!$C813,1)-WEEKNUM(DATE(YEAR(Data!$C813),MONTH(Data!$C813),1),1)+1</f>
        <v>6-2025-3</v>
      </c>
      <c r="AK813" s="23">
        <f>MONTH(Data!$C813)</f>
        <v>6</v>
      </c>
      <c r="AL813" s="23">
        <f>IFERROR(Data!$F813/Data!$E813,0)</f>
        <v>33.75</v>
      </c>
      <c r="AM813" s="23">
        <f>COUNTIF(Data!$N$2:$N$825,Data!$N813)</f>
        <v>182</v>
      </c>
      <c r="AN813" s="23" t="str">
        <f>VLOOKUP(Data!$N813,'Helpful Tables'!A:D,4,FALSE)</f>
        <v>Oregon</v>
      </c>
      <c r="AO813" s="23">
        <f>COUNTIF(AN:AN,Data!$AN813)/COUNTA(AN:AN)</f>
        <v>0.27393939393939393</v>
      </c>
      <c r="AP813" s="23">
        <f>VLOOKUP(Data!$N813,'Helpful Tables'!A:B,2,FALSE)</f>
        <v>45.534162000000002</v>
      </c>
      <c r="AQ813" s="23">
        <f>VLOOKUP(Data!$N813,'Helpful Tables'!A:C,3,FALSE)</f>
        <v>-122.69670000000001</v>
      </c>
      <c r="AR813" s="23">
        <f>COUNTIF(Data!$P$2:$P$825,Data!$P813)</f>
        <v>1</v>
      </c>
      <c r="AS813" s="23" cm="1">
        <f t="array" ref="AS813">_xlfn.IFS(Data!$E813&lt;12,((Data!$E813/Data!$D813)*60)*1,AND(Data!$E813&gt;=12,Data!$E813&lt;=15),((Data!$E813/Data!$D813)*60)*1.2,AND(Data!$E813&gt;=16,Data!$E813&lt;=19),((Data!$E813/Data!$D813)*60)*1.5,Data!$E813&gt;=20,((Data!$E813/Data!$D813)*60)*1.8)</f>
        <v>37.241379310344833</v>
      </c>
      <c r="AT813" s="23" cm="1">
        <f t="array" ref="AT813">_xlfn.IFS(Data!$F813&lt;600,((Data!$F813/Data!$D813)*60)*1,AND(Data!$F813&gt;=600,Data!$F813&lt;=625),((Data!$F813/Data!$D813)*60)*1.2,AND(Data!$F813&gt;=626,Data!$F813&lt;=650),((Data!$F813/Data!$D813)*60)*1.5,Data!$F813&gt;=651,((Data!$F813/Data!$D813)*60)*1.8)</f>
        <v>1256.8965517241379</v>
      </c>
      <c r="AU813" s="23">
        <f>(Data!$I813*-1.2)+(Data!$J813*-1.1)+(Data!$K813*1.2)+(Data!$L813*1.3)+(Data!$M813*1.5)</f>
        <v>-2.3999999999999986</v>
      </c>
      <c r="AV813" s="23">
        <f>(Data!$AS813*0.4)+(Data!$AT813*0.4)+(Data!$AU813*0.2)</f>
        <v>517.17517241379312</v>
      </c>
      <c r="AW813" s="35">
        <f>PERCENTRANK(AV:AV,Data!$AV813)*100</f>
        <v>88.2</v>
      </c>
      <c r="AX813" s="23" t="str">
        <f>_xlfn.CONCAT(TEXT(C813,"mmm"),"-",Data!$AE813)</f>
        <v>Jun-2025</v>
      </c>
    </row>
    <row r="814" spans="1:50" ht="17" thickTop="1" thickBot="1" x14ac:dyDescent="0.25">
      <c r="A814" s="28">
        <v>813</v>
      </c>
      <c r="B814" s="29">
        <f t="shared" si="98"/>
        <v>12</v>
      </c>
      <c r="C814" s="41">
        <v>45831</v>
      </c>
      <c r="D814" s="30">
        <f>SUM(Data!$I814:$M814)</f>
        <v>56</v>
      </c>
      <c r="E814" s="29">
        <v>17</v>
      </c>
      <c r="F814" s="29">
        <v>649</v>
      </c>
      <c r="G814" s="29">
        <v>166</v>
      </c>
      <c r="H814" s="29">
        <v>129</v>
      </c>
      <c r="I814" s="29">
        <v>9</v>
      </c>
      <c r="J814" s="29">
        <v>17</v>
      </c>
      <c r="K814" s="29">
        <v>13</v>
      </c>
      <c r="L814" s="29">
        <v>16</v>
      </c>
      <c r="M814" s="29">
        <v>1</v>
      </c>
      <c r="N814" s="29" t="s">
        <v>125</v>
      </c>
      <c r="O814" s="29" t="s">
        <v>127</v>
      </c>
      <c r="P814" s="29" t="s">
        <v>217</v>
      </c>
      <c r="Q814" s="29">
        <f t="shared" si="104"/>
        <v>2</v>
      </c>
      <c r="R814" s="29" t="str">
        <f t="shared" si="99"/>
        <v>6-2025</v>
      </c>
      <c r="S814" s="29" t="s">
        <v>104</v>
      </c>
      <c r="T814" s="29" t="str">
        <f t="shared" si="100"/>
        <v>Monday</v>
      </c>
      <c r="U814" s="29">
        <f t="shared" si="101"/>
        <v>1</v>
      </c>
      <c r="V814" s="31">
        <f>IFERROR(Data!$I814/Data!$D814,"")</f>
        <v>0.16071428571428573</v>
      </c>
      <c r="W814" s="31">
        <f>IFERROR(Data!$J814/Data!$D814,"")</f>
        <v>0.30357142857142855</v>
      </c>
      <c r="X814" s="31">
        <f>IFERROR(Data!$K814/Data!$D814,"")</f>
        <v>0.23214285714285715</v>
      </c>
      <c r="Y814" s="31">
        <f>IFERROR(Data!$L814/Data!$D814,"")</f>
        <v>0.2857142857142857</v>
      </c>
      <c r="Z814" s="31">
        <f>IFERROR(Data!$M814/Data!$D814,"")</f>
        <v>1.7857142857142856E-2</v>
      </c>
      <c r="AA814" s="32">
        <v>169</v>
      </c>
      <c r="AB814" s="32">
        <f t="shared" si="105"/>
        <v>14.083333333333334</v>
      </c>
      <c r="AC814" s="29">
        <f t="shared" si="102"/>
        <v>638</v>
      </c>
      <c r="AD814" s="29">
        <f t="shared" si="103"/>
        <v>16.416666666666668</v>
      </c>
      <c r="AE814" s="29">
        <f>YEAR(Data!$C814)</f>
        <v>2025</v>
      </c>
      <c r="AF814" s="29"/>
      <c r="AG814" s="29">
        <v>12</v>
      </c>
      <c r="AH814" s="33">
        <f>Data!$F814/Data!$D814</f>
        <v>11.589285714285714</v>
      </c>
      <c r="AI814" s="17" t="str">
        <f>RIGHT(Data!$O814,2)</f>
        <v>PM</v>
      </c>
      <c r="AJ814" s="29" t="str">
        <f>Data!$R814&amp;"-"&amp;WEEKNUM(Data!$C814,1)-WEEKNUM(DATE(YEAR(Data!$C814),MONTH(Data!$C814),1),1)+1</f>
        <v>6-2025-4</v>
      </c>
      <c r="AK814" s="29">
        <f>MONTH(Data!$C814)</f>
        <v>6</v>
      </c>
      <c r="AL814" s="29">
        <f>IFERROR(Data!$F814/Data!$E814,0)</f>
        <v>38.176470588235297</v>
      </c>
      <c r="AM814" s="29">
        <f>COUNTIF(Data!$N$2:$N$825,Data!$N814)</f>
        <v>182</v>
      </c>
      <c r="AN814" s="29" t="str">
        <f>VLOOKUP(Data!$N814,'Helpful Tables'!A:D,4,FALSE)</f>
        <v>Oregon</v>
      </c>
      <c r="AO814" s="29">
        <f>COUNTIF(AN:AN,Data!$AN814)/COUNTA(AN:AN)</f>
        <v>0.27393939393939393</v>
      </c>
      <c r="AP814" s="29">
        <f>VLOOKUP(Data!$N814,'Helpful Tables'!A:B,2,FALSE)</f>
        <v>45.534162000000002</v>
      </c>
      <c r="AQ814" s="29">
        <f>VLOOKUP(Data!$N814,'Helpful Tables'!A:C,3,FALSE)</f>
        <v>-122.69670000000001</v>
      </c>
      <c r="AR814" s="29">
        <f>COUNTIF(Data!$P$2:$P$825,Data!$P814)</f>
        <v>7</v>
      </c>
      <c r="AS814" s="29" cm="1">
        <f t="array" ref="AS814">_xlfn.IFS(Data!$E814&lt;12,((Data!$E814/Data!$D814)*60)*1,AND(Data!$E814&gt;=12,Data!$E814&lt;=15),((Data!$E814/Data!$D814)*60)*1.2,AND(Data!$E814&gt;=16,Data!$E814&lt;=19),((Data!$E814/Data!$D814)*60)*1.5,Data!$E814&gt;=20,((Data!$E814/Data!$D814)*60)*1.8)</f>
        <v>27.321428571428569</v>
      </c>
      <c r="AT814" s="29" cm="1">
        <f t="array" ref="AT814">_xlfn.IFS(Data!$F814&lt;600,((Data!$F814/Data!$D814)*60)*1,AND(Data!$F814&gt;=600,Data!$F814&lt;=625),((Data!$F814/Data!$D814)*60)*1.2,AND(Data!$F814&gt;=626,Data!$F814&lt;=650),((Data!$F814/Data!$D814)*60)*1.5,Data!$F814&gt;=651,((Data!$F814/Data!$D814)*60)*1.8)</f>
        <v>1043.0357142857142</v>
      </c>
      <c r="AU814" s="29">
        <f>(Data!$I814*-1.2)+(Data!$J814*-1.1)+(Data!$K814*1.2)+(Data!$L814*1.3)+(Data!$M814*1.5)</f>
        <v>8.4</v>
      </c>
      <c r="AV814" s="29">
        <f>(Data!$AS814*0.4)+(Data!$AT814*0.4)+(Data!$AU814*0.2)</f>
        <v>429.82285714285717</v>
      </c>
      <c r="AW814" s="34">
        <f>PERCENTRANK(AV:AV,Data!$AV814)*100</f>
        <v>64.400000000000006</v>
      </c>
      <c r="AX814" s="29" t="str">
        <f>_xlfn.CONCAT(TEXT(C814,"mmm"),"-",Data!$AE814)</f>
        <v>Jun-2025</v>
      </c>
    </row>
    <row r="815" spans="1:50" ht="17" thickTop="1" thickBot="1" x14ac:dyDescent="0.25">
      <c r="A815" s="22">
        <v>814</v>
      </c>
      <c r="B815" s="23">
        <f t="shared" si="98"/>
        <v>12</v>
      </c>
      <c r="C815" s="41">
        <v>45833</v>
      </c>
      <c r="D815" s="24">
        <f>SUM(Data!$I815:$M815)</f>
        <v>60</v>
      </c>
      <c r="E815" s="23">
        <v>16</v>
      </c>
      <c r="F815" s="23">
        <v>641</v>
      </c>
      <c r="G815" s="23">
        <v>165</v>
      </c>
      <c r="H815" s="23">
        <v>124</v>
      </c>
      <c r="I815" s="23">
        <v>18</v>
      </c>
      <c r="J815" s="23">
        <v>13</v>
      </c>
      <c r="K815" s="23">
        <v>13</v>
      </c>
      <c r="L815" s="23">
        <v>16</v>
      </c>
      <c r="M815" s="23">
        <v>0</v>
      </c>
      <c r="N815" s="23" t="s">
        <v>125</v>
      </c>
      <c r="O815" s="23" t="s">
        <v>215</v>
      </c>
      <c r="P815" s="23" t="s">
        <v>240</v>
      </c>
      <c r="Q815" s="23">
        <f t="shared" si="104"/>
        <v>2</v>
      </c>
      <c r="R815" s="23" t="str">
        <f t="shared" si="99"/>
        <v>6-2025</v>
      </c>
      <c r="S815" s="23" t="s">
        <v>104</v>
      </c>
      <c r="T815" s="23" t="str">
        <f t="shared" si="100"/>
        <v>Wednesday</v>
      </c>
      <c r="U815" s="23">
        <f t="shared" si="101"/>
        <v>1</v>
      </c>
      <c r="V815" s="25">
        <f>IFERROR(Data!$I815/Data!$D815,"")</f>
        <v>0.3</v>
      </c>
      <c r="W815" s="25">
        <f>IFERROR(Data!$J815/Data!$D815,"")</f>
        <v>0.21666666666666667</v>
      </c>
      <c r="X815" s="25">
        <f>IFERROR(Data!$K815/Data!$D815,"")</f>
        <v>0.21666666666666667</v>
      </c>
      <c r="Y815" s="25">
        <f>IFERROR(Data!$L815/Data!$D815,"")</f>
        <v>0.26666666666666666</v>
      </c>
      <c r="Z815" s="25">
        <f>IFERROR(Data!$M815/Data!$D815,"")</f>
        <v>0</v>
      </c>
      <c r="AA815" s="26">
        <v>169</v>
      </c>
      <c r="AB815" s="26">
        <f t="shared" si="105"/>
        <v>14.083333333333334</v>
      </c>
      <c r="AC815" s="23">
        <f t="shared" si="102"/>
        <v>638</v>
      </c>
      <c r="AD815" s="23">
        <f t="shared" si="103"/>
        <v>16.416666666666668</v>
      </c>
      <c r="AE815" s="23">
        <f>YEAR(Data!$C815)</f>
        <v>2025</v>
      </c>
      <c r="AF815" s="23"/>
      <c r="AG815" s="23">
        <v>12</v>
      </c>
      <c r="AH815" s="27">
        <f>Data!$F815/Data!$D815</f>
        <v>10.683333333333334</v>
      </c>
      <c r="AI815" s="17" t="str">
        <f>RIGHT(Data!$O815,2)</f>
        <v>PM</v>
      </c>
      <c r="AJ815" s="23" t="str">
        <f>Data!$R815&amp;"-"&amp;WEEKNUM(Data!$C815,1)-WEEKNUM(DATE(YEAR(Data!$C815),MONTH(Data!$C815),1),1)+1</f>
        <v>6-2025-4</v>
      </c>
      <c r="AK815" s="23">
        <f>MONTH(Data!$C815)</f>
        <v>6</v>
      </c>
      <c r="AL815" s="23">
        <f>IFERROR(Data!$F815/Data!$E815,0)</f>
        <v>40.0625</v>
      </c>
      <c r="AM815" s="23">
        <f>COUNTIF(Data!$N$2:$N$825,Data!$N815)</f>
        <v>182</v>
      </c>
      <c r="AN815" s="23" t="str">
        <f>VLOOKUP(Data!$N815,'Helpful Tables'!A:D,4,FALSE)</f>
        <v>Oregon</v>
      </c>
      <c r="AO815" s="23">
        <f>COUNTIF(AN:AN,Data!$AN815)/COUNTA(AN:AN)</f>
        <v>0.27393939393939393</v>
      </c>
      <c r="AP815" s="23">
        <f>VLOOKUP(Data!$N815,'Helpful Tables'!A:B,2,FALSE)</f>
        <v>45.534162000000002</v>
      </c>
      <c r="AQ815" s="23">
        <f>VLOOKUP(Data!$N815,'Helpful Tables'!A:C,3,FALSE)</f>
        <v>-122.69670000000001</v>
      </c>
      <c r="AR815" s="23">
        <f>COUNTIF(Data!$P$2:$P$825,Data!$P815)</f>
        <v>1</v>
      </c>
      <c r="AS815" s="23" cm="1">
        <f t="array" ref="AS815">_xlfn.IFS(Data!$E815&lt;12,((Data!$E815/Data!$D815)*60)*1,AND(Data!$E815&gt;=12,Data!$E815&lt;=15),((Data!$E815/Data!$D815)*60)*1.2,AND(Data!$E815&gt;=16,Data!$E815&lt;=19),((Data!$E815/Data!$D815)*60)*1.5,Data!$E815&gt;=20,((Data!$E815/Data!$D815)*60)*1.8)</f>
        <v>24</v>
      </c>
      <c r="AT815" s="23" cm="1">
        <f t="array" ref="AT815">_xlfn.IFS(Data!$F815&lt;600,((Data!$F815/Data!$D815)*60)*1,AND(Data!$F815&gt;=600,Data!$F815&lt;=625),((Data!$F815/Data!$D815)*60)*1.2,AND(Data!$F815&gt;=626,Data!$F815&lt;=650),((Data!$F815/Data!$D815)*60)*1.5,Data!$F815&gt;=651,((Data!$F815/Data!$D815)*60)*1.8)</f>
        <v>961.5</v>
      </c>
      <c r="AU815" s="23">
        <f>(Data!$I815*-1.2)+(Data!$J815*-1.1)+(Data!$K815*1.2)+(Data!$L815*1.3)+(Data!$M815*1.5)</f>
        <v>0.50000000000000355</v>
      </c>
      <c r="AV815" s="23">
        <f>(Data!$AS815*0.4)+(Data!$AT815*0.4)+(Data!$AU815*0.2)</f>
        <v>394.30000000000007</v>
      </c>
      <c r="AW815" s="35">
        <f>PERCENTRANK(AV:AV,Data!$AV815)*100</f>
        <v>49.1</v>
      </c>
      <c r="AX815" s="23" t="str">
        <f>_xlfn.CONCAT(TEXT(C815,"mmm"),"-",Data!$AE815)</f>
        <v>Jun-2025</v>
      </c>
    </row>
    <row r="816" spans="1:50" ht="17" thickTop="1" thickBot="1" x14ac:dyDescent="0.25">
      <c r="A816" s="28">
        <v>815</v>
      </c>
      <c r="B816" s="29">
        <f t="shared" si="98"/>
        <v>12</v>
      </c>
      <c r="C816" s="41">
        <v>45835</v>
      </c>
      <c r="D816" s="30">
        <f>SUM(Data!$I816:$M816)</f>
        <v>58</v>
      </c>
      <c r="E816" s="29">
        <v>15</v>
      </c>
      <c r="F816" s="29">
        <v>629</v>
      </c>
      <c r="G816" s="29">
        <v>163</v>
      </c>
      <c r="H816" s="29">
        <v>124</v>
      </c>
      <c r="I816" s="29">
        <v>15</v>
      </c>
      <c r="J816" s="29">
        <v>16</v>
      </c>
      <c r="K816" s="29">
        <v>12</v>
      </c>
      <c r="L816" s="29">
        <v>15</v>
      </c>
      <c r="M816" s="29">
        <v>0</v>
      </c>
      <c r="N816" s="29" t="s">
        <v>208</v>
      </c>
      <c r="O816" s="29" t="s">
        <v>83</v>
      </c>
      <c r="P816" s="29" t="s">
        <v>209</v>
      </c>
      <c r="Q816" s="29">
        <f t="shared" si="104"/>
        <v>2</v>
      </c>
      <c r="R816" s="29" t="str">
        <f t="shared" si="99"/>
        <v>6-2025</v>
      </c>
      <c r="S816" s="29" t="s">
        <v>104</v>
      </c>
      <c r="T816" s="29" t="str">
        <f t="shared" si="100"/>
        <v>Friday</v>
      </c>
      <c r="U816" s="29">
        <f t="shared" si="101"/>
        <v>1</v>
      </c>
      <c r="V816" s="31">
        <f>IFERROR(Data!$I816/Data!$D816,"")</f>
        <v>0.25862068965517243</v>
      </c>
      <c r="W816" s="31">
        <f>IFERROR(Data!$J816/Data!$D816,"")</f>
        <v>0.27586206896551724</v>
      </c>
      <c r="X816" s="31">
        <f>IFERROR(Data!$K816/Data!$D816,"")</f>
        <v>0.20689655172413793</v>
      </c>
      <c r="Y816" s="31">
        <f>IFERROR(Data!$L816/Data!$D816,"")</f>
        <v>0.25862068965517243</v>
      </c>
      <c r="Z816" s="31">
        <f>IFERROR(Data!$M816/Data!$D816,"")</f>
        <v>0</v>
      </c>
      <c r="AA816" s="32">
        <v>169</v>
      </c>
      <c r="AB816" s="32">
        <f t="shared" si="105"/>
        <v>14.083333333333334</v>
      </c>
      <c r="AC816" s="29">
        <f t="shared" si="102"/>
        <v>638</v>
      </c>
      <c r="AD816" s="29">
        <f t="shared" si="103"/>
        <v>16.416666666666668</v>
      </c>
      <c r="AE816" s="29">
        <f>YEAR(Data!$C816)</f>
        <v>2025</v>
      </c>
      <c r="AF816" s="29"/>
      <c r="AG816" s="29">
        <v>12</v>
      </c>
      <c r="AH816" s="33">
        <f>Data!$F816/Data!$D816</f>
        <v>10.844827586206897</v>
      </c>
      <c r="AI816" s="17" t="str">
        <f>RIGHT(Data!$O816,2)</f>
        <v>PM</v>
      </c>
      <c r="AJ816" s="29" t="str">
        <f>Data!$R816&amp;"-"&amp;WEEKNUM(Data!$C816,1)-WEEKNUM(DATE(YEAR(Data!$C816),MONTH(Data!$C816),1),1)+1</f>
        <v>6-2025-4</v>
      </c>
      <c r="AK816" s="29">
        <f>MONTH(Data!$C816)</f>
        <v>6</v>
      </c>
      <c r="AL816" s="29">
        <f>IFERROR(Data!$F816/Data!$E816,0)</f>
        <v>41.93333333333333</v>
      </c>
      <c r="AM816" s="29">
        <f>COUNTIF(Data!$N$2:$N$825,Data!$N816)</f>
        <v>42</v>
      </c>
      <c r="AN816" s="29" t="str">
        <f>VLOOKUP(Data!$N816,'Helpful Tables'!A:D,4,FALSE)</f>
        <v>Oregon</v>
      </c>
      <c r="AO816" s="29">
        <f>COUNTIF(AN:AN,Data!$AN816)/COUNTA(AN:AN)</f>
        <v>0.27393939393939393</v>
      </c>
      <c r="AP816" s="29">
        <f>VLOOKUP(Data!$N816,'Helpful Tables'!A:B,2,FALSE)</f>
        <v>45.525092999999998</v>
      </c>
      <c r="AQ816" s="29">
        <f>VLOOKUP(Data!$N816,'Helpful Tables'!A:C,3,FALSE)</f>
        <v>-122.681383</v>
      </c>
      <c r="AR816" s="29">
        <f>COUNTIF(Data!$P$2:$P$825,Data!$P816)</f>
        <v>18</v>
      </c>
      <c r="AS816" s="29" cm="1">
        <f t="array" ref="AS816">_xlfn.IFS(Data!$E816&lt;12,((Data!$E816/Data!$D816)*60)*1,AND(Data!$E816&gt;=12,Data!$E816&lt;=15),((Data!$E816/Data!$D816)*60)*1.2,AND(Data!$E816&gt;=16,Data!$E816&lt;=19),((Data!$E816/Data!$D816)*60)*1.5,Data!$E816&gt;=20,((Data!$E816/Data!$D816)*60)*1.8)</f>
        <v>18.620689655172413</v>
      </c>
      <c r="AT816" s="29" cm="1">
        <f t="array" ref="AT816">_xlfn.IFS(Data!$F816&lt;600,((Data!$F816/Data!$D816)*60)*1,AND(Data!$F816&gt;=600,Data!$F816&lt;=625),((Data!$F816/Data!$D816)*60)*1.2,AND(Data!$F816&gt;=626,Data!$F816&lt;=650),((Data!$F816/Data!$D816)*60)*1.5,Data!$F816&gt;=651,((Data!$F816/Data!$D816)*60)*1.8)</f>
        <v>976.0344827586207</v>
      </c>
      <c r="AU816" s="29">
        <f>(Data!$I816*-1.2)+(Data!$J816*-1.1)+(Data!$K816*1.2)+(Data!$L816*1.3)+(Data!$M816*1.5)</f>
        <v>-1.7000000000000028</v>
      </c>
      <c r="AV816" s="29">
        <f>(Data!$AS816*0.4)+(Data!$AT816*0.4)+(Data!$AU816*0.2)</f>
        <v>397.52206896551729</v>
      </c>
      <c r="AW816" s="34">
        <f>PERCENTRANK(AV:AV,Data!$AV816)*100</f>
        <v>51.2</v>
      </c>
      <c r="AX816" s="29" t="str">
        <f>_xlfn.CONCAT(TEXT(C816,"mmm"),"-",Data!$AE816)</f>
        <v>Jun-2025</v>
      </c>
    </row>
    <row r="817" spans="1:50" ht="17" thickTop="1" thickBot="1" x14ac:dyDescent="0.25">
      <c r="A817" s="22">
        <v>816</v>
      </c>
      <c r="B817" s="23">
        <f t="shared" si="98"/>
        <v>12</v>
      </c>
      <c r="C817" s="41">
        <v>45838</v>
      </c>
      <c r="D817" s="24">
        <f>SUM(Data!$I817:$M817)</f>
        <v>60</v>
      </c>
      <c r="E817" s="23">
        <v>13</v>
      </c>
      <c r="F817" s="23">
        <v>593</v>
      </c>
      <c r="G817" s="23">
        <v>167</v>
      </c>
      <c r="H817" s="23">
        <v>119</v>
      </c>
      <c r="I817" s="23">
        <v>22</v>
      </c>
      <c r="J817" s="23">
        <v>14</v>
      </c>
      <c r="K817" s="23">
        <v>11</v>
      </c>
      <c r="L817" s="23">
        <v>12</v>
      </c>
      <c r="M817" s="23">
        <v>1</v>
      </c>
      <c r="N817" s="23" t="s">
        <v>125</v>
      </c>
      <c r="O817" s="23" t="s">
        <v>127</v>
      </c>
      <c r="P817" s="23" t="s">
        <v>238</v>
      </c>
      <c r="Q817" s="23">
        <f t="shared" si="104"/>
        <v>3</v>
      </c>
      <c r="R817" s="23" t="str">
        <f t="shared" si="99"/>
        <v>6-2025</v>
      </c>
      <c r="S817" s="23" t="s">
        <v>104</v>
      </c>
      <c r="T817" s="23" t="str">
        <f t="shared" si="100"/>
        <v>Monday</v>
      </c>
      <c r="U817" s="23">
        <f t="shared" si="101"/>
        <v>1</v>
      </c>
      <c r="V817" s="25">
        <f>IFERROR(Data!$I817/Data!$D817,"")</f>
        <v>0.36666666666666664</v>
      </c>
      <c r="W817" s="25">
        <f>IFERROR(Data!$J817/Data!$D817,"")</f>
        <v>0.23333333333333334</v>
      </c>
      <c r="X817" s="25">
        <f>IFERROR(Data!$K817/Data!$D817,"")</f>
        <v>0.18333333333333332</v>
      </c>
      <c r="Y817" s="25">
        <f>IFERROR(Data!$L817/Data!$D817,"")</f>
        <v>0.2</v>
      </c>
      <c r="Z817" s="25">
        <f>IFERROR(Data!$M817/Data!$D817,"")</f>
        <v>1.6666666666666666E-2</v>
      </c>
      <c r="AA817" s="26">
        <v>169</v>
      </c>
      <c r="AB817" s="26">
        <f t="shared" si="105"/>
        <v>14.083333333333334</v>
      </c>
      <c r="AC817" s="23">
        <f t="shared" si="102"/>
        <v>638</v>
      </c>
      <c r="AD817" s="23">
        <f t="shared" si="103"/>
        <v>16.416666666666668</v>
      </c>
      <c r="AE817" s="23">
        <f>YEAR(Data!$C817)</f>
        <v>2025</v>
      </c>
      <c r="AF817" s="23"/>
      <c r="AG817" s="23">
        <v>12</v>
      </c>
      <c r="AH817" s="27">
        <f>Data!$F817/Data!$D817</f>
        <v>9.8833333333333329</v>
      </c>
      <c r="AI817" s="17" t="str">
        <f>RIGHT(Data!$O817,2)</f>
        <v>PM</v>
      </c>
      <c r="AJ817" s="23" t="str">
        <f>Data!$R817&amp;"-"&amp;WEEKNUM(Data!$C817,1)-WEEKNUM(DATE(YEAR(Data!$C817),MONTH(Data!$C817),1),1)+1</f>
        <v>6-2025-5</v>
      </c>
      <c r="AK817" s="23">
        <f>MONTH(Data!$C817)</f>
        <v>6</v>
      </c>
      <c r="AL817" s="23">
        <f>IFERROR(Data!$F817/Data!$E817,0)</f>
        <v>45.615384615384613</v>
      </c>
      <c r="AM817" s="23">
        <f>COUNTIF(Data!$N$2:$N$825,Data!$N817)</f>
        <v>182</v>
      </c>
      <c r="AN817" s="23" t="str">
        <f>VLOOKUP(Data!$N817,'Helpful Tables'!A:D,4,FALSE)</f>
        <v>Oregon</v>
      </c>
      <c r="AO817" s="23">
        <f>COUNTIF(AN:AN,Data!$AN817)/COUNTA(AN:AN)</f>
        <v>0.27393939393939393</v>
      </c>
      <c r="AP817" s="23">
        <f>VLOOKUP(Data!$N817,'Helpful Tables'!A:B,2,FALSE)</f>
        <v>45.534162000000002</v>
      </c>
      <c r="AQ817" s="23">
        <f>VLOOKUP(Data!$N817,'Helpful Tables'!A:C,3,FALSE)</f>
        <v>-122.69670000000001</v>
      </c>
      <c r="AR817" s="23">
        <f>COUNTIF(Data!$P$2:$P$825,Data!$P817)</f>
        <v>4</v>
      </c>
      <c r="AS817" s="23" cm="1">
        <f t="array" ref="AS817">_xlfn.IFS(Data!$E817&lt;12,((Data!$E817/Data!$D817)*60)*1,AND(Data!$E817&gt;=12,Data!$E817&lt;=15),((Data!$E817/Data!$D817)*60)*1.2,AND(Data!$E817&gt;=16,Data!$E817&lt;=19),((Data!$E817/Data!$D817)*60)*1.5,Data!$E817&gt;=20,((Data!$E817/Data!$D817)*60)*1.8)</f>
        <v>15.6</v>
      </c>
      <c r="AT817" s="23" cm="1">
        <f t="array" ref="AT817">_xlfn.IFS(Data!$F817&lt;600,((Data!$F817/Data!$D817)*60)*1,AND(Data!$F817&gt;=600,Data!$F817&lt;=625),((Data!$F817/Data!$D817)*60)*1.2,AND(Data!$F817&gt;=626,Data!$F817&lt;=650),((Data!$F817/Data!$D817)*60)*1.5,Data!$F817&gt;=651,((Data!$F817/Data!$D817)*60)*1.8)</f>
        <v>593</v>
      </c>
      <c r="AU817" s="23">
        <f>(Data!$I817*-1.2)+(Data!$J817*-1.1)+(Data!$K817*1.2)+(Data!$L817*1.3)+(Data!$M817*1.5)</f>
        <v>-11.499999999999996</v>
      </c>
      <c r="AV817" s="23">
        <f>(Data!$AS817*0.4)+(Data!$AT817*0.4)+(Data!$AU817*0.2)</f>
        <v>241.14000000000001</v>
      </c>
      <c r="AW817" s="35">
        <f>PERCENTRANK(AV:AV,Data!$AV817)*100</f>
        <v>12.7</v>
      </c>
      <c r="AX817" s="23" t="str">
        <f>_xlfn.CONCAT(TEXT(C817,"mmm"),"-",Data!$AE817)</f>
        <v>Jun-2025</v>
      </c>
    </row>
    <row r="818" spans="1:50" ht="17" thickTop="1" thickBot="1" x14ac:dyDescent="0.25">
      <c r="A818" s="28">
        <v>817</v>
      </c>
      <c r="B818" s="29">
        <f t="shared" si="98"/>
        <v>8</v>
      </c>
      <c r="C818" s="41">
        <v>45840</v>
      </c>
      <c r="D818" s="30">
        <f>SUM(Data!$I818:$M818)</f>
        <v>60</v>
      </c>
      <c r="E818" s="29">
        <v>13</v>
      </c>
      <c r="F818" s="29">
        <v>617</v>
      </c>
      <c r="G818" s="29">
        <v>168</v>
      </c>
      <c r="H818" s="29">
        <v>121</v>
      </c>
      <c r="I818" s="29">
        <v>22</v>
      </c>
      <c r="J818" s="29">
        <v>10</v>
      </c>
      <c r="K818" s="29">
        <v>15</v>
      </c>
      <c r="L818" s="29">
        <v>11</v>
      </c>
      <c r="M818" s="29">
        <v>2</v>
      </c>
      <c r="N818" s="29" t="s">
        <v>125</v>
      </c>
      <c r="O818" s="29" t="s">
        <v>127</v>
      </c>
      <c r="P818" s="29" t="s">
        <v>214</v>
      </c>
      <c r="Q818" s="29">
        <f t="shared" si="104"/>
        <v>2</v>
      </c>
      <c r="R818" s="29" t="str">
        <f t="shared" si="99"/>
        <v>7-2025</v>
      </c>
      <c r="S818" s="29" t="s">
        <v>104</v>
      </c>
      <c r="T818" s="29" t="str">
        <f t="shared" si="100"/>
        <v>Wednesday</v>
      </c>
      <c r="U818" s="29">
        <f t="shared" si="101"/>
        <v>1</v>
      </c>
      <c r="V818" s="31">
        <f>IFERROR(Data!$I818/Data!$D818,"")</f>
        <v>0.36666666666666664</v>
      </c>
      <c r="W818" s="31">
        <f>IFERROR(Data!$J818/Data!$D818,"")</f>
        <v>0.16666666666666666</v>
      </c>
      <c r="X818" s="31">
        <f>IFERROR(Data!$K818/Data!$D818,"")</f>
        <v>0.25</v>
      </c>
      <c r="Y818" s="31">
        <f>IFERROR(Data!$L818/Data!$D818,"")</f>
        <v>0.18333333333333332</v>
      </c>
      <c r="Z818" s="31">
        <f>IFERROR(Data!$M818/Data!$D818,"")</f>
        <v>3.3333333333333333E-2</v>
      </c>
      <c r="AA818" s="32">
        <v>139</v>
      </c>
      <c r="AB818" s="32">
        <f t="shared" si="105"/>
        <v>17.375</v>
      </c>
      <c r="AC818" s="29">
        <f t="shared" si="102"/>
        <v>641.375</v>
      </c>
      <c r="AD818" s="29">
        <f t="shared" si="103"/>
        <v>15.125</v>
      </c>
      <c r="AE818" s="29">
        <f>YEAR(Data!$C818)</f>
        <v>2025</v>
      </c>
      <c r="AF818" s="29"/>
      <c r="AG818" s="29">
        <v>12</v>
      </c>
      <c r="AH818" s="33">
        <f>Data!$F818/Data!$D818</f>
        <v>10.283333333333333</v>
      </c>
      <c r="AI818" s="17" t="str">
        <f>RIGHT(Data!$O818,2)</f>
        <v>PM</v>
      </c>
      <c r="AJ818" s="29" t="str">
        <f>Data!$R818&amp;"-"&amp;WEEKNUM(Data!$C818,1)-WEEKNUM(DATE(YEAR(Data!$C818),MONTH(Data!$C818),1),1)+1</f>
        <v>7-2025-1</v>
      </c>
      <c r="AK818" s="29">
        <f>MONTH(Data!$C818)</f>
        <v>7</v>
      </c>
      <c r="AL818" s="29">
        <f>IFERROR(Data!$F818/Data!$E818,0)</f>
        <v>47.46153846153846</v>
      </c>
      <c r="AM818" s="29">
        <f>COUNTIF(Data!$N$2:$N$825,Data!$N818)</f>
        <v>182</v>
      </c>
      <c r="AN818" s="29" t="str">
        <f>VLOOKUP(Data!$N818,'Helpful Tables'!A:D,4,FALSE)</f>
        <v>Oregon</v>
      </c>
      <c r="AO818" s="29">
        <f>COUNTIF(AN:AN,Data!$AN818)/COUNTA(AN:AN)</f>
        <v>0.27393939393939393</v>
      </c>
      <c r="AP818" s="29">
        <f>VLOOKUP(Data!$N818,'Helpful Tables'!A:B,2,FALSE)</f>
        <v>45.534162000000002</v>
      </c>
      <c r="AQ818" s="29">
        <f>VLOOKUP(Data!$N818,'Helpful Tables'!A:C,3,FALSE)</f>
        <v>-122.69670000000001</v>
      </c>
      <c r="AR818" s="29">
        <f>COUNTIF(Data!$P$2:$P$825,Data!$P818)</f>
        <v>9</v>
      </c>
      <c r="AS818" s="29" cm="1">
        <f t="array" ref="AS818">_xlfn.IFS(Data!$E818&lt;12,((Data!$E818/Data!$D818)*60)*1,AND(Data!$E818&gt;=12,Data!$E818&lt;=15),((Data!$E818/Data!$D818)*60)*1.2,AND(Data!$E818&gt;=16,Data!$E818&lt;=19),((Data!$E818/Data!$D818)*60)*1.5,Data!$E818&gt;=20,((Data!$E818/Data!$D818)*60)*1.8)</f>
        <v>15.6</v>
      </c>
      <c r="AT818" s="29" cm="1">
        <f t="array" ref="AT818">_xlfn.IFS(Data!$F818&lt;600,((Data!$F818/Data!$D818)*60)*1,AND(Data!$F818&gt;=600,Data!$F818&lt;=625),((Data!$F818/Data!$D818)*60)*1.2,AND(Data!$F818&gt;=626,Data!$F818&lt;=650),((Data!$F818/Data!$D818)*60)*1.5,Data!$F818&gt;=651,((Data!$F818/Data!$D818)*60)*1.8)</f>
        <v>740.4</v>
      </c>
      <c r="AU818" s="29">
        <f>(Data!$I818*-1.2)+(Data!$J818*-1.1)+(Data!$K818*1.2)+(Data!$L818*1.3)+(Data!$M818*1.5)</f>
        <v>-2.0999999999999979</v>
      </c>
      <c r="AV818" s="29">
        <f>(Data!$AS818*0.4)+(Data!$AT818*0.4)+(Data!$AU818*0.2)</f>
        <v>301.98</v>
      </c>
      <c r="AW818" s="34">
        <f>PERCENTRANK(AV:AV,Data!$AV818)*100</f>
        <v>26.8</v>
      </c>
      <c r="AX818" s="29" t="str">
        <f>_xlfn.CONCAT(TEXT(C818,"mmm"),"-",Data!$AE818)</f>
        <v>Jul-2025</v>
      </c>
    </row>
    <row r="819" spans="1:50" ht="17" thickTop="1" thickBot="1" x14ac:dyDescent="0.25">
      <c r="A819" s="22">
        <v>818</v>
      </c>
      <c r="B819" s="23">
        <f t="shared" si="98"/>
        <v>8</v>
      </c>
      <c r="C819" s="41">
        <v>45842</v>
      </c>
      <c r="D819" s="24">
        <f>SUM(Data!$I819:$M819)</f>
        <v>63</v>
      </c>
      <c r="E819" s="23">
        <v>10</v>
      </c>
      <c r="F819" s="23">
        <v>689</v>
      </c>
      <c r="G819" s="23">
        <v>166</v>
      </c>
      <c r="H819" s="23">
        <v>125</v>
      </c>
      <c r="I819" s="23">
        <v>15</v>
      </c>
      <c r="J819" s="23">
        <v>15</v>
      </c>
      <c r="K819" s="23">
        <v>23</v>
      </c>
      <c r="L819" s="23">
        <v>9</v>
      </c>
      <c r="M819" s="23">
        <v>1</v>
      </c>
      <c r="N819" s="23" t="s">
        <v>208</v>
      </c>
      <c r="O819" s="23" t="s">
        <v>76</v>
      </c>
      <c r="P819" s="23" t="s">
        <v>241</v>
      </c>
      <c r="Q819" s="23">
        <f t="shared" si="104"/>
        <v>2</v>
      </c>
      <c r="R819" s="23" t="str">
        <f t="shared" si="99"/>
        <v>7-2025</v>
      </c>
      <c r="S819" s="23" t="s">
        <v>117</v>
      </c>
      <c r="T819" s="23" t="str">
        <f t="shared" si="100"/>
        <v>Friday</v>
      </c>
      <c r="U819" s="23">
        <f t="shared" si="101"/>
        <v>0</v>
      </c>
      <c r="V819" s="25">
        <f>IFERROR(Data!$I819/Data!$D819,"")</f>
        <v>0.23809523809523808</v>
      </c>
      <c r="W819" s="25">
        <f>IFERROR(Data!$J819/Data!$D819,"")</f>
        <v>0.23809523809523808</v>
      </c>
      <c r="X819" s="25">
        <f>IFERROR(Data!$K819/Data!$D819,"")</f>
        <v>0.36507936507936506</v>
      </c>
      <c r="Y819" s="25">
        <f>IFERROR(Data!$L819/Data!$D819,"")</f>
        <v>0.14285714285714285</v>
      </c>
      <c r="Z819" s="25">
        <f>IFERROR(Data!$M819/Data!$D819,"")</f>
        <v>1.5873015873015872E-2</v>
      </c>
      <c r="AA819" s="26">
        <v>139</v>
      </c>
      <c r="AB819" s="26">
        <f t="shared" si="105"/>
        <v>17.375</v>
      </c>
      <c r="AC819" s="23">
        <f t="shared" si="102"/>
        <v>641.375</v>
      </c>
      <c r="AD819" s="23">
        <f t="shared" si="103"/>
        <v>15.125</v>
      </c>
      <c r="AE819" s="23">
        <f>YEAR(Data!$C819)</f>
        <v>2025</v>
      </c>
      <c r="AF819" s="23"/>
      <c r="AG819" s="23">
        <v>12</v>
      </c>
      <c r="AH819" s="27">
        <f>Data!$F819/Data!$D819</f>
        <v>10.936507936507937</v>
      </c>
      <c r="AI819" s="17" t="str">
        <f>RIGHT(Data!$O819,2)</f>
        <v>AM</v>
      </c>
      <c r="AJ819" s="23" t="str">
        <f>Data!$R819&amp;"-"&amp;WEEKNUM(Data!$C819,1)-WEEKNUM(DATE(YEAR(Data!$C819),MONTH(Data!$C819),1),1)+1</f>
        <v>7-2025-1</v>
      </c>
      <c r="AK819" s="23">
        <f>MONTH(Data!$C819)</f>
        <v>7</v>
      </c>
      <c r="AL819" s="23">
        <f>IFERROR(Data!$F819/Data!$E819,0)</f>
        <v>68.900000000000006</v>
      </c>
      <c r="AM819" s="23">
        <f>COUNTIF(Data!$N$2:$N$825,Data!$N819)</f>
        <v>42</v>
      </c>
      <c r="AN819" s="23" t="str">
        <f>VLOOKUP(Data!$N819,'Helpful Tables'!A:D,4,FALSE)</f>
        <v>Oregon</v>
      </c>
      <c r="AO819" s="23">
        <f>COUNTIF(AN:AN,Data!$AN819)/COUNTA(AN:AN)</f>
        <v>0.27393939393939393</v>
      </c>
      <c r="AP819" s="23">
        <f>VLOOKUP(Data!$N819,'Helpful Tables'!A:B,2,FALSE)</f>
        <v>45.525092999999998</v>
      </c>
      <c r="AQ819" s="23">
        <f>VLOOKUP(Data!$N819,'Helpful Tables'!A:C,3,FALSE)</f>
        <v>-122.681383</v>
      </c>
      <c r="AR819" s="23">
        <f>COUNTIF(Data!$P$2:$P$825,Data!$P819)</f>
        <v>1</v>
      </c>
      <c r="AS819" s="23" cm="1">
        <f t="array" ref="AS819">_xlfn.IFS(Data!$E819&lt;12,((Data!$E819/Data!$D819)*60)*1,AND(Data!$E819&gt;=12,Data!$E819&lt;=15),((Data!$E819/Data!$D819)*60)*1.2,AND(Data!$E819&gt;=16,Data!$E819&lt;=19),((Data!$E819/Data!$D819)*60)*1.5,Data!$E819&gt;=20,((Data!$E819/Data!$D819)*60)*1.8)</f>
        <v>9.5238095238095237</v>
      </c>
      <c r="AT819" s="23" cm="1">
        <f t="array" ref="AT819">_xlfn.IFS(Data!$F819&lt;600,((Data!$F819/Data!$D819)*60)*1,AND(Data!$F819&gt;=600,Data!$F819&lt;=625),((Data!$F819/Data!$D819)*60)*1.2,AND(Data!$F819&gt;=626,Data!$F819&lt;=650),((Data!$F819/Data!$D819)*60)*1.5,Data!$F819&gt;=651,((Data!$F819/Data!$D819)*60)*1.8)</f>
        <v>1181.1428571428571</v>
      </c>
      <c r="AU819" s="23">
        <f>(Data!$I819*-1.2)+(Data!$J819*-1.1)+(Data!$K819*1.2)+(Data!$L819*1.3)+(Data!$M819*1.5)</f>
        <v>6.2999999999999989</v>
      </c>
      <c r="AV819" s="23">
        <f>(Data!$AS819*0.4)+(Data!$AT819*0.4)+(Data!$AU819*0.2)</f>
        <v>477.52666666666664</v>
      </c>
      <c r="AW819" s="35">
        <f>PERCENTRANK(AV:AV,Data!$AV819)*100</f>
        <v>68</v>
      </c>
      <c r="AX819" s="23" t="str">
        <f>_xlfn.CONCAT(TEXT(C819,"mmm"),"-",Data!$AE819)</f>
        <v>Jul-2025</v>
      </c>
    </row>
    <row r="820" spans="1:50" ht="17" thickTop="1" thickBot="1" x14ac:dyDescent="0.25">
      <c r="A820" s="28">
        <v>819</v>
      </c>
      <c r="B820" s="29">
        <f t="shared" si="98"/>
        <v>8</v>
      </c>
      <c r="C820" s="41">
        <v>45843</v>
      </c>
      <c r="D820" s="30">
        <f>SUM(Data!$I820:$M820)</f>
        <v>61</v>
      </c>
      <c r="E820" s="29">
        <v>20</v>
      </c>
      <c r="F820" s="29">
        <v>659</v>
      </c>
      <c r="G820" s="29">
        <v>167</v>
      </c>
      <c r="H820" s="29">
        <v>125</v>
      </c>
      <c r="I820" s="29">
        <v>17</v>
      </c>
      <c r="J820" s="29">
        <v>17</v>
      </c>
      <c r="K820" s="29">
        <v>7</v>
      </c>
      <c r="L820" s="29">
        <v>17</v>
      </c>
      <c r="M820" s="29">
        <v>3</v>
      </c>
      <c r="N820" s="29" t="s">
        <v>208</v>
      </c>
      <c r="O820" s="29" t="s">
        <v>76</v>
      </c>
      <c r="P820" s="29" t="s">
        <v>213</v>
      </c>
      <c r="Q820" s="29">
        <f t="shared" si="104"/>
        <v>1</v>
      </c>
      <c r="R820" s="29" t="str">
        <f t="shared" si="99"/>
        <v>7-2025</v>
      </c>
      <c r="S820" s="29" t="s">
        <v>104</v>
      </c>
      <c r="T820" s="29" t="str">
        <f t="shared" si="100"/>
        <v>Saturday</v>
      </c>
      <c r="U820" s="29">
        <f t="shared" si="101"/>
        <v>1</v>
      </c>
      <c r="V820" s="31">
        <f>IFERROR(Data!$I820/Data!$D820,"")</f>
        <v>0.27868852459016391</v>
      </c>
      <c r="W820" s="31">
        <f>IFERROR(Data!$J820/Data!$D820,"")</f>
        <v>0.27868852459016391</v>
      </c>
      <c r="X820" s="31">
        <f>IFERROR(Data!$K820/Data!$D820,"")</f>
        <v>0.11475409836065574</v>
      </c>
      <c r="Y820" s="31">
        <f>IFERROR(Data!$L820/Data!$D820,"")</f>
        <v>0.27868852459016391</v>
      </c>
      <c r="Z820" s="31">
        <f>IFERROR(Data!$M820/Data!$D820,"")</f>
        <v>4.9180327868852458E-2</v>
      </c>
      <c r="AA820" s="32">
        <v>139</v>
      </c>
      <c r="AB820" s="32">
        <f t="shared" si="105"/>
        <v>17.375</v>
      </c>
      <c r="AC820" s="29">
        <f t="shared" si="102"/>
        <v>641.375</v>
      </c>
      <c r="AD820" s="29">
        <f t="shared" si="103"/>
        <v>15.125</v>
      </c>
      <c r="AE820" s="29">
        <f>YEAR(Data!$C820)</f>
        <v>2025</v>
      </c>
      <c r="AF820" s="29"/>
      <c r="AG820" s="29">
        <v>12</v>
      </c>
      <c r="AH820" s="33">
        <f>Data!$F820/Data!$D820</f>
        <v>10.803278688524591</v>
      </c>
      <c r="AI820" s="17" t="str">
        <f>RIGHT(Data!$O820,2)</f>
        <v>AM</v>
      </c>
      <c r="AJ820" s="29" t="str">
        <f>Data!$R820&amp;"-"&amp;WEEKNUM(Data!$C820,1)-WEEKNUM(DATE(YEAR(Data!$C820),MONTH(Data!$C820),1),1)+1</f>
        <v>7-2025-1</v>
      </c>
      <c r="AK820" s="29">
        <f>MONTH(Data!$C820)</f>
        <v>7</v>
      </c>
      <c r="AL820" s="29">
        <f>IFERROR(Data!$F820/Data!$E820,0)</f>
        <v>32.950000000000003</v>
      </c>
      <c r="AM820" s="29">
        <f>COUNTIF(Data!$N$2:$N$825,Data!$N820)</f>
        <v>42</v>
      </c>
      <c r="AN820" s="29" t="str">
        <f>VLOOKUP(Data!$N820,'Helpful Tables'!A:D,4,FALSE)</f>
        <v>Oregon</v>
      </c>
      <c r="AO820" s="29">
        <f>COUNTIF(AN:AN,Data!$AN820)/COUNTA(AN:AN)</f>
        <v>0.27393939393939393</v>
      </c>
      <c r="AP820" s="29">
        <f>VLOOKUP(Data!$N820,'Helpful Tables'!A:B,2,FALSE)</f>
        <v>45.525092999999998</v>
      </c>
      <c r="AQ820" s="29">
        <f>VLOOKUP(Data!$N820,'Helpful Tables'!A:C,3,FALSE)</f>
        <v>-122.681383</v>
      </c>
      <c r="AR820" s="29">
        <f>COUNTIF(Data!$P$2:$P$825,Data!$P820)</f>
        <v>20</v>
      </c>
      <c r="AS820" s="29" cm="1">
        <f t="array" ref="AS820">_xlfn.IFS(Data!$E820&lt;12,((Data!$E820/Data!$D820)*60)*1,AND(Data!$E820&gt;=12,Data!$E820&lt;=15),((Data!$E820/Data!$D820)*60)*1.2,AND(Data!$E820&gt;=16,Data!$E820&lt;=19),((Data!$E820/Data!$D820)*60)*1.5,Data!$E820&gt;=20,((Data!$E820/Data!$D820)*60)*1.8)</f>
        <v>35.409836065573764</v>
      </c>
      <c r="AT820" s="29" cm="1">
        <f t="array" ref="AT820">_xlfn.IFS(Data!$F820&lt;600,((Data!$F820/Data!$D820)*60)*1,AND(Data!$F820&gt;=600,Data!$F820&lt;=625),((Data!$F820/Data!$D820)*60)*1.2,AND(Data!$F820&gt;=626,Data!$F820&lt;=650),((Data!$F820/Data!$D820)*60)*1.5,Data!$F820&gt;=651,((Data!$F820/Data!$D820)*60)*1.8)</f>
        <v>1166.7540983606559</v>
      </c>
      <c r="AU820" s="29">
        <f>(Data!$I820*-1.2)+(Data!$J820*-1.1)+(Data!$K820*1.2)+(Data!$L820*1.3)+(Data!$M820*1.5)</f>
        <v>-4.1000000000000014</v>
      </c>
      <c r="AV820" s="29">
        <f>(Data!$AS820*0.4)+(Data!$AT820*0.4)+(Data!$AU820*0.2)</f>
        <v>480.0455737704919</v>
      </c>
      <c r="AW820" s="34">
        <f>PERCENTRANK(AV:AV,Data!$AV820)*100</f>
        <v>69</v>
      </c>
      <c r="AX820" s="29" t="str">
        <f>_xlfn.CONCAT(TEXT(C820,"mmm"),"-",Data!$AE820)</f>
        <v>Jul-2025</v>
      </c>
    </row>
    <row r="821" spans="1:50" ht="17" thickTop="1" thickBot="1" x14ac:dyDescent="0.25">
      <c r="A821" s="28">
        <v>820</v>
      </c>
      <c r="B821" s="36">
        <f t="shared" si="98"/>
        <v>8</v>
      </c>
      <c r="C821" s="41">
        <v>45845</v>
      </c>
      <c r="D821" s="24">
        <f>SUM(Data!$I821:$M821)</f>
        <v>60</v>
      </c>
      <c r="E821" s="29">
        <v>20</v>
      </c>
      <c r="F821" s="29">
        <v>748</v>
      </c>
      <c r="G821" s="29">
        <v>135</v>
      </c>
      <c r="H821" s="29">
        <v>169</v>
      </c>
      <c r="I821" s="29">
        <v>5</v>
      </c>
      <c r="J821" s="29">
        <v>10</v>
      </c>
      <c r="K821" s="29">
        <v>25</v>
      </c>
      <c r="L821" s="29">
        <v>16</v>
      </c>
      <c r="M821" s="29">
        <v>4</v>
      </c>
      <c r="N821" s="29" t="s">
        <v>125</v>
      </c>
      <c r="O821" s="29" t="s">
        <v>127</v>
      </c>
      <c r="P821" s="29" t="s">
        <v>238</v>
      </c>
      <c r="Q821" s="29">
        <f t="shared" si="104"/>
        <v>2</v>
      </c>
      <c r="R821" s="37" t="str">
        <f t="shared" si="99"/>
        <v>7-2025</v>
      </c>
      <c r="S821" s="29" t="s">
        <v>104</v>
      </c>
      <c r="T821" s="29" t="str">
        <f t="shared" si="100"/>
        <v>Monday</v>
      </c>
      <c r="U821" s="29">
        <f>IF(E821&gt;=12,1,0)</f>
        <v>1</v>
      </c>
      <c r="V821" s="38">
        <f>IFERROR(Data!$I821/Data!$D821,"")</f>
        <v>8.3333333333333329E-2</v>
      </c>
      <c r="W821" s="38">
        <f>IFERROR(Data!$J821/Data!$D821,"")</f>
        <v>0.16666666666666666</v>
      </c>
      <c r="X821" s="38">
        <f>IFERROR(Data!$K821/Data!$D821,"")</f>
        <v>0.41666666666666669</v>
      </c>
      <c r="Y821" s="38">
        <f>IFERROR(Data!$L821/Data!$D821,"")</f>
        <v>0.26666666666666666</v>
      </c>
      <c r="Z821" s="38">
        <f>IFERROR(Data!$M821/Data!$D821,"")</f>
        <v>6.6666666666666666E-2</v>
      </c>
      <c r="AA821" s="32">
        <v>139</v>
      </c>
      <c r="AB821" s="26">
        <f t="shared" si="105"/>
        <v>17.375</v>
      </c>
      <c r="AC821" s="33">
        <f t="shared" si="102"/>
        <v>641.375</v>
      </c>
      <c r="AD821" s="33">
        <f t="shared" si="103"/>
        <v>15.125</v>
      </c>
      <c r="AE821" s="23">
        <f>YEAR(Data!$C821)</f>
        <v>2025</v>
      </c>
      <c r="AF821" s="29"/>
      <c r="AG821" s="29">
        <v>12</v>
      </c>
      <c r="AH821" s="33">
        <f>Data!$F821/Data!$D821</f>
        <v>12.466666666666667</v>
      </c>
      <c r="AI821" s="17" t="str">
        <f>RIGHT(Data!$O821,2)</f>
        <v>PM</v>
      </c>
      <c r="AJ821" s="29" t="str">
        <f>Data!$R821&amp;"-"&amp;WEEKNUM(Data!$C821,1)-WEEKNUM(DATE(YEAR(Data!$C821),MONTH(Data!$C821),1),1)+1</f>
        <v>7-2025-2</v>
      </c>
      <c r="AK821" s="29">
        <f>MONTH(Data!$C821)</f>
        <v>7</v>
      </c>
      <c r="AL821" s="33">
        <f>IFERROR(Data!$F821/Data!$E821,0)</f>
        <v>37.4</v>
      </c>
      <c r="AM821" s="29">
        <f>COUNTIF(Data!$N$2:$N$825,Data!$N821)</f>
        <v>182</v>
      </c>
      <c r="AN821" s="29" t="str">
        <f>VLOOKUP(Data!$N821,'Helpful Tables'!A:D,4,FALSE)</f>
        <v>Oregon</v>
      </c>
      <c r="AO821" s="38">
        <f>COUNTIF(AN:AN,Data!$AN821)/COUNTA(AN:AN)</f>
        <v>0.27393939393939393</v>
      </c>
      <c r="AP821" s="23">
        <f>VLOOKUP(Data!$N821,'Helpful Tables'!A:B,2,FALSE)</f>
        <v>45.534162000000002</v>
      </c>
      <c r="AQ821" s="23">
        <f>VLOOKUP(Data!$N821,'Helpful Tables'!A:C,3,FALSE)</f>
        <v>-122.69670000000001</v>
      </c>
      <c r="AR821" s="29">
        <f>COUNTIF(Data!$P$2:$P$825,Data!$P821)</f>
        <v>4</v>
      </c>
      <c r="AS821" s="30" cm="1">
        <f t="array" ref="AS821">_xlfn.IFS(Data!$E821&lt;12,((Data!$E821/Data!$D821)*60)*1,AND(Data!$E821&gt;=12,Data!$E821&lt;=15),((Data!$E821/Data!$D821)*60)*1.2,AND(Data!$E821&gt;=16,Data!$E821&lt;=19),((Data!$E821/Data!$D821)*60)*1.5,Data!$E821&gt;=20,((Data!$E821/Data!$D821)*60)*1.8)</f>
        <v>36</v>
      </c>
      <c r="AT821" s="30" cm="1">
        <f t="array" ref="AT821">_xlfn.IFS(Data!$F821&lt;600,((Data!$F821/Data!$D821)*60)*1,AND(Data!$F821&gt;=600,Data!$F821&lt;=625),((Data!$F821/Data!$D821)*60)*1.2,AND(Data!$F821&gt;=626,Data!$F821&lt;=650),((Data!$F821/Data!$D821)*60)*1.5,Data!$F821&gt;=651,((Data!$F821/Data!$D821)*60)*1.8)</f>
        <v>1346.4</v>
      </c>
      <c r="AU821" s="30">
        <f>(Data!$I821*-1.2)+(Data!$J821*-1.1)+(Data!$K821*1.2)+(Data!$L821*1.3)+(Data!$M821*1.5)</f>
        <v>39.799999999999997</v>
      </c>
      <c r="AV821" s="29">
        <f>(Data!$AS821*0.4)+(Data!$AT821*0.4)+(Data!$AU821*0.2)</f>
        <v>560.92000000000007</v>
      </c>
      <c r="AW821" s="34">
        <f>PERCENTRANK(AV:AV,Data!$AV821)*100</f>
        <v>98.8</v>
      </c>
      <c r="AX821" s="39" t="str">
        <f>_xlfn.CONCAT(TEXT(C821,"mmm"),"-",Data!$AE821)</f>
        <v>Jul-2025</v>
      </c>
    </row>
    <row r="822" spans="1:50" ht="16" thickTop="1" x14ac:dyDescent="0.2">
      <c r="A822" s="28">
        <v>821</v>
      </c>
      <c r="B822">
        <f t="shared" si="98"/>
        <v>8</v>
      </c>
      <c r="C822" s="41">
        <v>45848</v>
      </c>
      <c r="D822" s="24">
        <f>SUM(Data!$I822:$M822)</f>
        <v>57</v>
      </c>
      <c r="E822" s="29">
        <v>15</v>
      </c>
      <c r="F822" s="29">
        <v>507</v>
      </c>
      <c r="G822" s="29">
        <v>111</v>
      </c>
      <c r="H822" s="29">
        <v>165</v>
      </c>
      <c r="I822" s="29">
        <v>29</v>
      </c>
      <c r="J822" s="29">
        <v>4</v>
      </c>
      <c r="K822" s="29">
        <v>9</v>
      </c>
      <c r="L822" s="29">
        <v>14</v>
      </c>
      <c r="M822" s="29">
        <v>1</v>
      </c>
      <c r="N822" s="29" t="s">
        <v>125</v>
      </c>
      <c r="O822" s="29" t="s">
        <v>127</v>
      </c>
      <c r="P822" s="29" t="s">
        <v>268</v>
      </c>
      <c r="Q822" s="29">
        <f t="shared" si="104"/>
        <v>3</v>
      </c>
      <c r="R822" t="str">
        <f t="shared" si="99"/>
        <v>7-2025</v>
      </c>
      <c r="S822" s="29" t="s">
        <v>104</v>
      </c>
      <c r="T822" s="29" t="str">
        <f t="shared" si="100"/>
        <v>Thursday</v>
      </c>
      <c r="U822" s="29">
        <f>IF(E822&gt;=12,1,0)</f>
        <v>1</v>
      </c>
      <c r="V822" s="38">
        <f>IFERROR(Data!$I822/Data!$D822,"")</f>
        <v>0.50877192982456143</v>
      </c>
      <c r="W822" s="38">
        <f>IFERROR(Data!$J822/Data!$D822,"")</f>
        <v>7.0175438596491224E-2</v>
      </c>
      <c r="X822" s="38">
        <f>IFERROR(Data!$K822/Data!$D822,"")</f>
        <v>0.15789473684210525</v>
      </c>
      <c r="Y822" s="38">
        <f>IFERROR(Data!$L822/Data!$D822,"")</f>
        <v>0.24561403508771928</v>
      </c>
      <c r="Z822" s="38">
        <f>IFERROR(Data!$M822/Data!$D822,"")</f>
        <v>1.7543859649122806E-2</v>
      </c>
      <c r="AA822" s="32">
        <v>139</v>
      </c>
      <c r="AB822" s="26">
        <f t="shared" si="105"/>
        <v>17.375</v>
      </c>
      <c r="AC822">
        <f t="shared" si="102"/>
        <v>641.375</v>
      </c>
      <c r="AD822">
        <f t="shared" si="103"/>
        <v>15.125</v>
      </c>
      <c r="AE822" s="23">
        <f>YEAR(Data!$C822)</f>
        <v>2025</v>
      </c>
      <c r="AF822" s="29"/>
      <c r="AG822" s="29">
        <v>12</v>
      </c>
      <c r="AH822" s="33">
        <f>Data!$F822/Data!$D822</f>
        <v>8.8947368421052637</v>
      </c>
      <c r="AI822" s="17" t="str">
        <f>RIGHT(Data!$O822,2)</f>
        <v>PM</v>
      </c>
      <c r="AJ822" s="29" t="str">
        <f>Data!$R822&amp;"-"&amp;WEEKNUM(Data!$C822,1)-WEEKNUM(DATE(YEAR(Data!$C822),MONTH(Data!$C822),1),1)+1</f>
        <v>7-2025-2</v>
      </c>
      <c r="AK822" s="29">
        <f>MONTH(Data!$C822)</f>
        <v>7</v>
      </c>
      <c r="AL822">
        <f>IFERROR(Data!$F822/Data!$E822,0)</f>
        <v>33.799999999999997</v>
      </c>
      <c r="AM822" s="29">
        <f>COUNTIF(Data!$N$2:$N$825,Data!$N822)</f>
        <v>182</v>
      </c>
      <c r="AN822" s="29" t="str">
        <f>VLOOKUP(Data!$N822,'Helpful Tables'!A:D,4,FALSE)</f>
        <v>Oregon</v>
      </c>
      <c r="AO822">
        <f>COUNTIF(AN:AN,Data!$AN822)/COUNTA(AN:AN)</f>
        <v>0.27393939393939393</v>
      </c>
      <c r="AP822" s="23">
        <f>VLOOKUP(Data!$N822,'Helpful Tables'!A:B,2,FALSE)</f>
        <v>45.534162000000002</v>
      </c>
      <c r="AQ822" s="23">
        <f>VLOOKUP(Data!$N822,'Helpful Tables'!A:C,3,FALSE)</f>
        <v>-122.69670000000001</v>
      </c>
      <c r="AR822" s="29">
        <f>COUNTIF(Data!$P$2:$P$825,Data!$P822)</f>
        <v>1</v>
      </c>
      <c r="AS822" cm="1">
        <f t="array" ref="AS822">_xlfn.IFS(Data!$E822&lt;12,((Data!$E822/Data!$D822)*60)*1,AND(Data!$E822&gt;=12,Data!$E822&lt;=15),((Data!$E822/Data!$D822)*60)*1.2,AND(Data!$E822&gt;=16,Data!$E822&lt;=19),((Data!$E822/Data!$D822)*60)*1.5,Data!$E822&gt;=20,((Data!$E822/Data!$D822)*60)*1.8)</f>
        <v>18.94736842105263</v>
      </c>
      <c r="AT822" cm="1">
        <f t="array" ref="AT822">_xlfn.IFS(Data!$F822&lt;600,((Data!$F822/Data!$D822)*60)*1,AND(Data!$F822&gt;=600,Data!$F822&lt;=625),((Data!$F822/Data!$D822)*60)*1.2,AND(Data!$F822&gt;=626,Data!$F822&lt;=650),((Data!$F822/Data!$D822)*60)*1.5,Data!$F822&gt;=651,((Data!$F822/Data!$D822)*60)*1.8)</f>
        <v>533.68421052631584</v>
      </c>
      <c r="AU822">
        <f>(Data!$I822*-1.2)+(Data!$J822*-1.1)+(Data!$K822*1.2)+(Data!$L822*1.3)+(Data!$M822*1.5)</f>
        <v>-8.6999999999999993</v>
      </c>
      <c r="AV822" s="29">
        <f>(Data!$AS822*0.4)+(Data!$AT822*0.4)+(Data!$AU822*0.2)</f>
        <v>219.31263157894739</v>
      </c>
      <c r="AW822" s="34">
        <f>PERCENTRANK(AV:AV,Data!$AV822)*100</f>
        <v>3.5000000000000004</v>
      </c>
      <c r="AX822" t="str">
        <f>_xlfn.CONCAT(TEXT(C822,"mmm"),"-",Data!$AE822)</f>
        <v>Jul-2025</v>
      </c>
    </row>
    <row r="823" spans="1:50" x14ac:dyDescent="0.2">
      <c r="A823" s="28">
        <v>822</v>
      </c>
      <c r="B823">
        <f t="shared" si="98"/>
        <v>8</v>
      </c>
      <c r="C823" s="41">
        <v>45849</v>
      </c>
      <c r="D823" s="24">
        <f>SUM(Data!$I823:$M823)</f>
        <v>60</v>
      </c>
      <c r="E823" s="29">
        <v>12</v>
      </c>
      <c r="F823" s="29">
        <v>643</v>
      </c>
      <c r="G823" s="29">
        <v>124</v>
      </c>
      <c r="H823" s="29">
        <v>163</v>
      </c>
      <c r="I823" s="29">
        <v>14</v>
      </c>
      <c r="J823" s="29">
        <v>19</v>
      </c>
      <c r="K823" s="29">
        <v>15</v>
      </c>
      <c r="L823" s="29">
        <v>12</v>
      </c>
      <c r="M823" s="29">
        <v>0</v>
      </c>
      <c r="N823" s="29" t="s">
        <v>208</v>
      </c>
      <c r="O823" s="29" t="s">
        <v>83</v>
      </c>
      <c r="P823" s="29" t="s">
        <v>209</v>
      </c>
      <c r="Q823" s="29">
        <f>C823-C822</f>
        <v>1</v>
      </c>
      <c r="R823" t="str">
        <f>MONTH(C823)&amp;"-"&amp;YEAR(C823)</f>
        <v>7-2025</v>
      </c>
      <c r="S823" s="29" t="s">
        <v>104</v>
      </c>
      <c r="T823" s="29" t="str">
        <f>IF(WEEKDAY(C823)=1,"Sunday",IF(WEEKDAY(C823)=2,"Monday",IF(WEEKDAY(C823)=3,"Tuesday",IF(WEEKDAY(C823)=4,"Wednesday",IF(WEEKDAY(C823)=5,"Thursday",IF(WEEKDAY(C823)=6,"Friday","Saturday"))))))</f>
        <v>Friday</v>
      </c>
      <c r="U823" s="29">
        <f>IF(E823&gt;=12,1,0)</f>
        <v>1</v>
      </c>
      <c r="V823" s="38">
        <f>IFERROR(Data!$I823/Data!$D823,"")</f>
        <v>0.23333333333333334</v>
      </c>
      <c r="W823" s="38">
        <f>IFERROR(Data!$J823/Data!$D823,"")</f>
        <v>0.31666666666666665</v>
      </c>
      <c r="X823" s="38">
        <f>IFERROR(Data!$K823/Data!$D823,"")</f>
        <v>0.25</v>
      </c>
      <c r="Y823" s="38">
        <f>IFERROR(Data!$L823/Data!$D823,"")</f>
        <v>0.2</v>
      </c>
      <c r="Z823" s="38">
        <f>IFERROR(Data!$M823/Data!$D823,"")</f>
        <v>0</v>
      </c>
      <c r="AA823" s="32">
        <v>139</v>
      </c>
      <c r="AB823" s="26">
        <f>AA823/B823</f>
        <v>17.375</v>
      </c>
      <c r="AC823">
        <f t="shared" si="102"/>
        <v>641.375</v>
      </c>
      <c r="AD823">
        <f t="shared" si="103"/>
        <v>15.125</v>
      </c>
      <c r="AE823" s="23">
        <f>YEAR(Data!$C823)</f>
        <v>2025</v>
      </c>
      <c r="AF823" s="29"/>
      <c r="AG823" s="29">
        <v>12</v>
      </c>
      <c r="AH823" s="33">
        <f>Data!$F823/Data!$D823</f>
        <v>10.716666666666667</v>
      </c>
      <c r="AI823" s="23" t="str">
        <f>RIGHT(Data!$O823,2)</f>
        <v>PM</v>
      </c>
      <c r="AJ823" s="29" t="str">
        <f>Data!$R823&amp;"-"&amp;WEEKNUM(Data!$C823,1)-WEEKNUM(DATE(YEAR(Data!$C823),MONTH(Data!$C823),1),1)+1</f>
        <v>7-2025-2</v>
      </c>
      <c r="AK823" s="29">
        <f>MONTH(Data!$C823)</f>
        <v>7</v>
      </c>
      <c r="AL823">
        <f>IFERROR(Data!$F823/Data!$E823,0)</f>
        <v>53.583333333333336</v>
      </c>
      <c r="AM823" s="29">
        <f>COUNTIF(Data!$N$2:$N$825,Data!$N823)</f>
        <v>42</v>
      </c>
      <c r="AN823" s="29" t="str">
        <f>VLOOKUP(Data!$N823,'Helpful Tables'!A:D,4,FALSE)</f>
        <v>Oregon</v>
      </c>
      <c r="AO823">
        <f>COUNTIF(AN:AN,Data!$AN823)/COUNTA(AN:AN)</f>
        <v>0.27393939393939393</v>
      </c>
      <c r="AP823" s="23">
        <f>VLOOKUP(Data!$N823,'Helpful Tables'!A:B,2,FALSE)</f>
        <v>45.525092999999998</v>
      </c>
      <c r="AQ823" s="23">
        <f>VLOOKUP(Data!$N823,'Helpful Tables'!A:C,3,FALSE)</f>
        <v>-122.681383</v>
      </c>
      <c r="AR823" s="29">
        <f>COUNTIF(Data!$P$2:$P$825,Data!$P823)</f>
        <v>18</v>
      </c>
      <c r="AS823" cm="1">
        <f t="array" ref="AS823">_xlfn.IFS(Data!$E823&lt;12,((Data!$E823/Data!$D823)*60)*1,AND(Data!$E823&gt;=12,Data!$E823&lt;=15),((Data!$E823/Data!$D823)*60)*1.2,AND(Data!$E823&gt;=16,Data!$E823&lt;=19),((Data!$E823/Data!$D823)*60)*1.5,Data!$E823&gt;=20,((Data!$E823/Data!$D823)*60)*1.8)</f>
        <v>14.399999999999999</v>
      </c>
      <c r="AT823" cm="1">
        <f t="array" ref="AT823">_xlfn.IFS(Data!$F823&lt;600,((Data!$F823/Data!$D823)*60)*1,AND(Data!$F823&gt;=600,Data!$F823&lt;=625),((Data!$F823/Data!$D823)*60)*1.2,AND(Data!$F823&gt;=626,Data!$F823&lt;=650),((Data!$F823/Data!$D823)*60)*1.5,Data!$F823&gt;=651,((Data!$F823/Data!$D823)*60)*1.8)</f>
        <v>964.5</v>
      </c>
      <c r="AU823">
        <f>(Data!$I823*-1.2)+(Data!$J823*-1.1)+(Data!$K823*1.2)+(Data!$L823*1.3)+(Data!$M823*1.5)</f>
        <v>-4.1000000000000014</v>
      </c>
      <c r="AV823" s="29">
        <f>(Data!$AS823*0.4)+(Data!$AT823*0.4)+(Data!$AU823*0.2)</f>
        <v>390.74</v>
      </c>
      <c r="AW823" s="34">
        <f>PERCENTRANK(AV:AV,Data!$AV823)*100</f>
        <v>48</v>
      </c>
      <c r="AX823" t="str">
        <f>_xlfn.CONCAT(TEXT(C823,"mmm"),"-",Data!$AE823)</f>
        <v>Jul-2025</v>
      </c>
    </row>
    <row r="824" spans="1:50" x14ac:dyDescent="0.2">
      <c r="A824" s="28">
        <v>823</v>
      </c>
      <c r="B824">
        <f t="shared" si="98"/>
        <v>8</v>
      </c>
      <c r="C824" s="41">
        <v>45852</v>
      </c>
      <c r="D824" s="24">
        <f>SUM(Data!$I824:$M824)</f>
        <v>59</v>
      </c>
      <c r="E824" s="29">
        <v>15</v>
      </c>
      <c r="F824" s="29">
        <v>648</v>
      </c>
      <c r="G824" s="29">
        <v>126</v>
      </c>
      <c r="H824" s="29">
        <v>168</v>
      </c>
      <c r="I824" s="29">
        <v>15</v>
      </c>
      <c r="J824" s="29">
        <v>13</v>
      </c>
      <c r="K824" s="29">
        <v>16</v>
      </c>
      <c r="L824" s="29">
        <v>14</v>
      </c>
      <c r="M824" s="29">
        <v>1</v>
      </c>
      <c r="N824" s="29" t="s">
        <v>125</v>
      </c>
      <c r="O824" s="29" t="s">
        <v>127</v>
      </c>
      <c r="P824" s="29" t="s">
        <v>238</v>
      </c>
      <c r="Q824" s="29">
        <f>C824-C823</f>
        <v>3</v>
      </c>
      <c r="R824" t="str">
        <f>MONTH(C824)&amp;"-"&amp;YEAR(C824)</f>
        <v>7-2025</v>
      </c>
      <c r="S824" s="29" t="s">
        <v>104</v>
      </c>
      <c r="T824" s="29" t="str">
        <f>IF(WEEKDAY(C824)=1,"Sunday",IF(WEEKDAY(C824)=2,"Monday",IF(WEEKDAY(C824)=3,"Tuesday",IF(WEEKDAY(C824)=4,"Wednesday",IF(WEEKDAY(C824)=5,"Thursday",IF(WEEKDAY(C824)=6,"Friday","Saturday"))))))</f>
        <v>Monday</v>
      </c>
      <c r="U824" s="29">
        <f>IF(E824&gt;=12,1,0)</f>
        <v>1</v>
      </c>
      <c r="V824" s="38">
        <f>IFERROR(Data!$I824/Data!$D824,"")</f>
        <v>0.25423728813559321</v>
      </c>
      <c r="W824" s="38">
        <f>IFERROR(Data!$J824/Data!$D824,"")</f>
        <v>0.22033898305084745</v>
      </c>
      <c r="X824" s="38">
        <f>IFERROR(Data!$K824/Data!$D824,"")</f>
        <v>0.2711864406779661</v>
      </c>
      <c r="Y824" s="38">
        <f>IFERROR(Data!$L824/Data!$D824,"")</f>
        <v>0.23728813559322035</v>
      </c>
      <c r="Z824" s="38">
        <f>IFERROR(Data!$M824/Data!$D824,"")</f>
        <v>1.6949152542372881E-2</v>
      </c>
      <c r="AA824" s="32">
        <v>139</v>
      </c>
      <c r="AB824" s="26">
        <f>AA824/B824</f>
        <v>17.375</v>
      </c>
      <c r="AC824">
        <f t="shared" si="102"/>
        <v>641.375</v>
      </c>
      <c r="AD824">
        <f t="shared" si="103"/>
        <v>15.125</v>
      </c>
      <c r="AE824" s="23">
        <f>YEAR(Data!$C824)</f>
        <v>2025</v>
      </c>
      <c r="AF824" s="29"/>
      <c r="AG824" s="29">
        <v>12</v>
      </c>
      <c r="AH824" s="33">
        <f>Data!$F824/Data!$D824</f>
        <v>10.983050847457626</v>
      </c>
      <c r="AI824" s="23" t="str">
        <f>RIGHT(Data!$O824,2)</f>
        <v>PM</v>
      </c>
      <c r="AJ824" s="29" t="str">
        <f>Data!$R824&amp;"-"&amp;WEEKNUM(Data!$C824,1)-WEEKNUM(DATE(YEAR(Data!$C824),MONTH(Data!$C824),1),1)+1</f>
        <v>7-2025-3</v>
      </c>
      <c r="AK824" s="29">
        <f>MONTH(Data!$C824)</f>
        <v>7</v>
      </c>
      <c r="AL824">
        <f>IFERROR(Data!$F824/Data!$E824,0)</f>
        <v>43.2</v>
      </c>
      <c r="AM824" s="29">
        <f>COUNTIF(Data!$N$2:$N$825,Data!$N824)</f>
        <v>182</v>
      </c>
      <c r="AN824" s="29" t="str">
        <f>VLOOKUP(Data!$N824,'Helpful Tables'!A:D,4,FALSE)</f>
        <v>Oregon</v>
      </c>
      <c r="AO824">
        <f>COUNTIF(AN:AN,Data!$AN824)/COUNTA(AN:AN)</f>
        <v>0.27393939393939393</v>
      </c>
      <c r="AP824" s="23">
        <f>VLOOKUP(Data!$N824,'Helpful Tables'!A:B,2,FALSE)</f>
        <v>45.534162000000002</v>
      </c>
      <c r="AQ824" s="23">
        <f>VLOOKUP(Data!$N824,'Helpful Tables'!A:C,3,FALSE)</f>
        <v>-122.69670000000001</v>
      </c>
      <c r="AR824" s="29">
        <f>COUNTIF(Data!$P$2:$P$825,Data!$P824)</f>
        <v>4</v>
      </c>
      <c r="AS824" cm="1">
        <f t="array" ref="AS824">_xlfn.IFS(Data!$E824&lt;12,((Data!$E824/Data!$D824)*60)*1,AND(Data!$E824&gt;=12,Data!$E824&lt;=15),((Data!$E824/Data!$D824)*60)*1.2,AND(Data!$E824&gt;=16,Data!$E824&lt;=19),((Data!$E824/Data!$D824)*60)*1.5,Data!$E824&gt;=20,((Data!$E824/Data!$D824)*60)*1.8)</f>
        <v>18.305084745762709</v>
      </c>
      <c r="AT824" cm="1">
        <f t="array" ref="AT824">_xlfn.IFS(Data!$F824&lt;600,((Data!$F824/Data!$D824)*60)*1,AND(Data!$F824&gt;=600,Data!$F824&lt;=625),((Data!$F824/Data!$D824)*60)*1.2,AND(Data!$F824&gt;=626,Data!$F824&lt;=650),((Data!$F824/Data!$D824)*60)*1.5,Data!$F824&gt;=651,((Data!$F824/Data!$D824)*60)*1.8)</f>
        <v>988.47457627118638</v>
      </c>
      <c r="AU824">
        <f>(Data!$I824*-1.2)+(Data!$J824*-1.1)+(Data!$K824*1.2)+(Data!$L824*1.3)+(Data!$M824*1.5)</f>
        <v>6.6000000000000014</v>
      </c>
      <c r="AV824" s="29">
        <f>(Data!$AS824*0.4)+(Data!$AT824*0.4)+(Data!$AU824*0.2)</f>
        <v>404.03186440677968</v>
      </c>
      <c r="AW824" s="34">
        <f>PERCENTRANK(AV:AV,Data!$AV824)*100</f>
        <v>54.800000000000004</v>
      </c>
      <c r="AX824" t="str">
        <f>_xlfn.CONCAT(TEXT(C824,"mmm"),"-",Data!$AE824)</f>
        <v>Jul-2025</v>
      </c>
    </row>
    <row r="825" spans="1:50" x14ac:dyDescent="0.2">
      <c r="A825" s="28">
        <v>824</v>
      </c>
      <c r="B825">
        <f t="shared" si="98"/>
        <v>8</v>
      </c>
      <c r="C825" s="41">
        <v>45854</v>
      </c>
      <c r="D825" s="24">
        <f>SUM(Data!$I825:$M825)</f>
        <v>57</v>
      </c>
      <c r="E825" s="29">
        <v>16</v>
      </c>
      <c r="F825" s="29">
        <v>620</v>
      </c>
      <c r="G825" s="29">
        <v>125</v>
      </c>
      <c r="H825" s="29">
        <v>167</v>
      </c>
      <c r="I825" s="29">
        <v>16</v>
      </c>
      <c r="J825" s="29">
        <v>15</v>
      </c>
      <c r="K825" s="29">
        <v>10</v>
      </c>
      <c r="L825" s="29">
        <v>14</v>
      </c>
      <c r="M825" s="29">
        <v>2</v>
      </c>
      <c r="N825" s="29" t="s">
        <v>125</v>
      </c>
      <c r="O825" s="29" t="s">
        <v>127</v>
      </c>
      <c r="P825" s="29" t="s">
        <v>217</v>
      </c>
      <c r="Q825" s="29">
        <f>C825-C824</f>
        <v>2</v>
      </c>
      <c r="R825" t="str">
        <f>MONTH(C825)&amp;"-"&amp;YEAR(C825)</f>
        <v>7-2025</v>
      </c>
      <c r="S825" s="29" t="s">
        <v>104</v>
      </c>
      <c r="T825" s="29" t="str">
        <f>IF(WEEKDAY(C825)=1,"Sunday",IF(WEEKDAY(C825)=2,"Monday",IF(WEEKDAY(C825)=3,"Tuesday",IF(WEEKDAY(C825)=4,"Wednesday",IF(WEEKDAY(C825)=5,"Thursday",IF(WEEKDAY(C825)=6,"Friday","Saturday"))))))</f>
        <v>Wednesday</v>
      </c>
      <c r="U825" s="29">
        <f>IF(E825&gt;=12,1,0)</f>
        <v>1</v>
      </c>
      <c r="V825" s="38">
        <f>IFERROR(Data!$I825/Data!$D825,"")</f>
        <v>0.2807017543859649</v>
      </c>
      <c r="W825" s="38">
        <f>IFERROR(Data!$J825/Data!$D825,"")</f>
        <v>0.26315789473684209</v>
      </c>
      <c r="X825" s="38">
        <f>IFERROR(Data!$K825/Data!$D825,"")</f>
        <v>0.17543859649122806</v>
      </c>
      <c r="Y825" s="38">
        <f>IFERROR(Data!$L825/Data!$D825,"")</f>
        <v>0.24561403508771928</v>
      </c>
      <c r="Z825" s="38">
        <f>IFERROR(Data!$M825/Data!$D825,"")</f>
        <v>3.5087719298245612E-2</v>
      </c>
      <c r="AA825" s="32">
        <v>139</v>
      </c>
      <c r="AB825" s="26">
        <f>AA825/B825</f>
        <v>17.375</v>
      </c>
      <c r="AC825">
        <f t="shared" si="102"/>
        <v>641.375</v>
      </c>
      <c r="AD825">
        <f t="shared" si="103"/>
        <v>15.125</v>
      </c>
      <c r="AE825" s="23">
        <f>YEAR(Data!$C825)</f>
        <v>2025</v>
      </c>
      <c r="AF825" s="29"/>
      <c r="AG825" s="29">
        <v>12</v>
      </c>
      <c r="AH825" s="33">
        <f>Data!$F825/Data!$D825</f>
        <v>10.87719298245614</v>
      </c>
      <c r="AI825" s="23" t="str">
        <f>RIGHT(Data!$O825,2)</f>
        <v>PM</v>
      </c>
      <c r="AJ825" s="29" t="str">
        <f>Data!$R825&amp;"-"&amp;WEEKNUM(Data!$C825,1)-WEEKNUM(DATE(YEAR(Data!$C825),MONTH(Data!$C825),1),1)+1</f>
        <v>7-2025-3</v>
      </c>
      <c r="AK825" s="29">
        <f>MONTH(Data!$C825)</f>
        <v>7</v>
      </c>
      <c r="AL825">
        <f>IFERROR(Data!$F825/Data!$E825,0)</f>
        <v>38.75</v>
      </c>
      <c r="AM825" s="29">
        <f>COUNTIF(Data!$N$2:$N$825,Data!$N825)</f>
        <v>182</v>
      </c>
      <c r="AN825" s="29" t="str">
        <f>VLOOKUP(Data!$N825,'Helpful Tables'!A:D,4,FALSE)</f>
        <v>Oregon</v>
      </c>
      <c r="AO825">
        <f>COUNTIF(AN:AN,Data!$AN825)/COUNTA(AN:AN)</f>
        <v>0.27393939393939393</v>
      </c>
      <c r="AP825" s="23">
        <f>VLOOKUP(Data!$N825,'Helpful Tables'!A:B,2,FALSE)</f>
        <v>45.534162000000002</v>
      </c>
      <c r="AQ825" s="23">
        <f>VLOOKUP(Data!$N825,'Helpful Tables'!A:C,3,FALSE)</f>
        <v>-122.69670000000001</v>
      </c>
      <c r="AR825" s="29">
        <f>COUNTIF(Data!$P$2:$P$825,Data!$P825)</f>
        <v>7</v>
      </c>
      <c r="AS825" cm="1">
        <f t="array" ref="AS825">_xlfn.IFS(Data!$E825&lt;12,((Data!$E825/Data!$D825)*60)*1,AND(Data!$E825&gt;=12,Data!$E825&lt;=15),((Data!$E825/Data!$D825)*60)*1.2,AND(Data!$E825&gt;=16,Data!$E825&lt;=19),((Data!$E825/Data!$D825)*60)*1.5,Data!$E825&gt;=20,((Data!$E825/Data!$D825)*60)*1.8)</f>
        <v>25.263157894736842</v>
      </c>
      <c r="AT825" cm="1">
        <f t="array" ref="AT825">_xlfn.IFS(Data!$F825&lt;600,((Data!$F825/Data!$D825)*60)*1,AND(Data!$F825&gt;=600,Data!$F825&lt;=625),((Data!$F825/Data!$D825)*60)*1.2,AND(Data!$F825&gt;=626,Data!$F825&lt;=650),((Data!$F825/Data!$D825)*60)*1.5,Data!$F825&gt;=651,((Data!$F825/Data!$D825)*60)*1.8)</f>
        <v>783.15789473684208</v>
      </c>
      <c r="AU825">
        <f>(Data!$I825*-1.2)+(Data!$J825*-1.1)+(Data!$K825*1.2)+(Data!$L825*1.3)+(Data!$M825*1.5)</f>
        <v>-2.5000000000000036</v>
      </c>
      <c r="AV825" s="29">
        <f>(Data!$AS825*0.4)+(Data!$AT825*0.4)+(Data!$AU825*0.2)</f>
        <v>322.86842105263162</v>
      </c>
      <c r="AW825" s="34">
        <f>PERCENTRANK(AV:AV,Data!$AV825)*100</f>
        <v>38.700000000000003</v>
      </c>
      <c r="AX825" t="str">
        <f>_xlfn.CONCAT(TEXT(C825,"mmm"),"-",Data!$AE825)</f>
        <v>Jul-2025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7980-008A-A941-A958-650096A58AC7}">
  <dimension ref="A1:D27"/>
  <sheetViews>
    <sheetView workbookViewId="0">
      <selection activeCell="E15" sqref="E15"/>
    </sheetView>
  </sheetViews>
  <sheetFormatPr baseColWidth="10" defaultRowHeight="15" x14ac:dyDescent="0.2"/>
  <cols>
    <col min="1" max="1" width="28" bestFit="1" customWidth="1"/>
  </cols>
  <sheetData>
    <row r="1" spans="1:4" ht="16" thickBot="1" x14ac:dyDescent="0.25">
      <c r="A1" s="4" t="s">
        <v>1</v>
      </c>
      <c r="B1" t="s">
        <v>19</v>
      </c>
      <c r="C1" t="s">
        <v>20</v>
      </c>
      <c r="D1" t="s">
        <v>15</v>
      </c>
    </row>
    <row r="2" spans="1:4" ht="16" thickTop="1" x14ac:dyDescent="0.2">
      <c r="A2" s="5" t="s">
        <v>24</v>
      </c>
      <c r="B2" s="8">
        <v>38.881884999999997</v>
      </c>
      <c r="C2" s="8">
        <v>-77.229702000000003</v>
      </c>
      <c r="D2" t="s">
        <v>27</v>
      </c>
    </row>
    <row r="3" spans="1:4" x14ac:dyDescent="0.2">
      <c r="A3" s="6" t="s">
        <v>30</v>
      </c>
      <c r="B3" s="8">
        <v>38.894024999999999</v>
      </c>
      <c r="C3" s="8">
        <v>-77.078213000000005</v>
      </c>
      <c r="D3" t="s">
        <v>27</v>
      </c>
    </row>
    <row r="4" spans="1:4" x14ac:dyDescent="0.2">
      <c r="A4" s="7" t="s">
        <v>33</v>
      </c>
      <c r="B4" s="8">
        <v>38.916486999999996</v>
      </c>
      <c r="C4" s="8">
        <v>-77.031514000000001</v>
      </c>
      <c r="D4" t="s">
        <v>36</v>
      </c>
    </row>
    <row r="5" spans="1:4" x14ac:dyDescent="0.2">
      <c r="A5" s="7" t="s">
        <v>40</v>
      </c>
      <c r="B5" s="8">
        <v>38.903509999999997</v>
      </c>
      <c r="C5" s="8">
        <v>-77.051809000000006</v>
      </c>
      <c r="D5" t="s">
        <v>36</v>
      </c>
    </row>
    <row r="6" spans="1:4" x14ac:dyDescent="0.2">
      <c r="A6" s="7" t="s">
        <v>51</v>
      </c>
      <c r="B6" s="8">
        <v>38.904280999999997</v>
      </c>
      <c r="C6" s="8">
        <v>-77.031495000000007</v>
      </c>
      <c r="D6" t="s">
        <v>36</v>
      </c>
    </row>
    <row r="7" spans="1:4" x14ac:dyDescent="0.2">
      <c r="A7" s="6" t="s">
        <v>55</v>
      </c>
      <c r="B7" s="8">
        <v>38.901815999999997</v>
      </c>
      <c r="C7" s="8">
        <v>-77.017055999999997</v>
      </c>
      <c r="D7" t="s">
        <v>36</v>
      </c>
    </row>
    <row r="8" spans="1:4" x14ac:dyDescent="0.2">
      <c r="A8" s="7" t="s">
        <v>60</v>
      </c>
      <c r="B8" s="8">
        <v>38.879828000000003</v>
      </c>
      <c r="C8" s="8">
        <v>-77.005566000000002</v>
      </c>
      <c r="D8" t="s">
        <v>36</v>
      </c>
    </row>
    <row r="9" spans="1:4" x14ac:dyDescent="0.2">
      <c r="A9" s="6" t="s">
        <v>77</v>
      </c>
      <c r="B9" s="8">
        <v>40.724210999999997</v>
      </c>
      <c r="C9" s="8">
        <v>-74.036191000000002</v>
      </c>
      <c r="D9" t="s">
        <v>80</v>
      </c>
    </row>
    <row r="10" spans="1:4" x14ac:dyDescent="0.2">
      <c r="A10" s="6" t="s">
        <v>85</v>
      </c>
      <c r="B10" s="8">
        <v>38.915415000000003</v>
      </c>
      <c r="C10" s="8">
        <v>-77.067172999999997</v>
      </c>
      <c r="D10" t="s">
        <v>36</v>
      </c>
    </row>
    <row r="11" spans="1:4" x14ac:dyDescent="0.2">
      <c r="A11" s="7" t="s">
        <v>91</v>
      </c>
      <c r="B11" s="8">
        <v>38.934710000000003</v>
      </c>
      <c r="C11" s="8">
        <v>-77.058222999999998</v>
      </c>
      <c r="D11" t="s">
        <v>36</v>
      </c>
    </row>
    <row r="12" spans="1:4" x14ac:dyDescent="0.2">
      <c r="A12" s="6" t="s">
        <v>101</v>
      </c>
      <c r="B12" s="8">
        <v>38.949649000000001</v>
      </c>
      <c r="C12" s="8">
        <v>-77.080878999999996</v>
      </c>
      <c r="D12" t="s">
        <v>36</v>
      </c>
    </row>
    <row r="13" spans="1:4" x14ac:dyDescent="0.2">
      <c r="A13" s="7" t="s">
        <v>111</v>
      </c>
      <c r="B13" s="8">
        <v>42.383611000000002</v>
      </c>
      <c r="C13" s="8">
        <v>-71.181432999999998</v>
      </c>
      <c r="D13" t="s">
        <v>115</v>
      </c>
    </row>
    <row r="14" spans="1:4" x14ac:dyDescent="0.2">
      <c r="A14" s="6" t="s">
        <v>121</v>
      </c>
      <c r="B14" s="8">
        <v>41.370860999999998</v>
      </c>
      <c r="C14" s="8">
        <v>-72.915813999999997</v>
      </c>
      <c r="D14" t="s">
        <v>123</v>
      </c>
    </row>
    <row r="15" spans="1:4" x14ac:dyDescent="0.2">
      <c r="A15" s="6" t="s">
        <v>125</v>
      </c>
      <c r="B15" s="8">
        <v>45.534162000000002</v>
      </c>
      <c r="C15" s="8">
        <v>-122.69670000000001</v>
      </c>
      <c r="D15" t="s">
        <v>129</v>
      </c>
    </row>
    <row r="16" spans="1:4" x14ac:dyDescent="0.2">
      <c r="A16" s="6" t="s">
        <v>138</v>
      </c>
      <c r="B16" s="8">
        <v>42.350487000000001</v>
      </c>
      <c r="C16" s="8">
        <v>-71.152720000000002</v>
      </c>
      <c r="D16" t="s">
        <v>115</v>
      </c>
    </row>
    <row r="17" spans="1:4" x14ac:dyDescent="0.2">
      <c r="A17" s="6" t="s">
        <v>149</v>
      </c>
      <c r="B17" s="8">
        <v>38.643540000000002</v>
      </c>
      <c r="C17" s="8">
        <v>-90.261263999999997</v>
      </c>
      <c r="D17" t="s">
        <v>151</v>
      </c>
    </row>
    <row r="18" spans="1:4" x14ac:dyDescent="0.2">
      <c r="A18" s="7" t="s">
        <v>152</v>
      </c>
      <c r="B18" s="8">
        <v>36.152177000000002</v>
      </c>
      <c r="C18" s="8">
        <v>-86.793220000000005</v>
      </c>
      <c r="D18" t="s">
        <v>154</v>
      </c>
    </row>
    <row r="19" spans="1:4" x14ac:dyDescent="0.2">
      <c r="A19" s="7" t="s">
        <v>156</v>
      </c>
      <c r="B19" s="8">
        <v>32.752273000000002</v>
      </c>
      <c r="C19" s="8">
        <v>-97.354583000000005</v>
      </c>
      <c r="D19" t="s">
        <v>158</v>
      </c>
    </row>
    <row r="20" spans="1:4" x14ac:dyDescent="0.2">
      <c r="A20" s="7" t="s">
        <v>160</v>
      </c>
      <c r="B20" s="8">
        <v>38.880467000000003</v>
      </c>
      <c r="C20" s="8">
        <v>-77.111583999999993</v>
      </c>
      <c r="D20" t="s">
        <v>27</v>
      </c>
    </row>
    <row r="21" spans="1:4" x14ac:dyDescent="0.2">
      <c r="A21" s="7" t="s">
        <v>162</v>
      </c>
      <c r="B21" s="8">
        <v>38.989806999999999</v>
      </c>
      <c r="C21" s="8">
        <v>-77.096371000000005</v>
      </c>
      <c r="D21" t="s">
        <v>164</v>
      </c>
    </row>
    <row r="22" spans="1:4" x14ac:dyDescent="0.2">
      <c r="A22" s="6" t="s">
        <v>194</v>
      </c>
      <c r="B22" s="8">
        <v>42.366121999999997</v>
      </c>
      <c r="C22" s="8">
        <v>-71.082223999999997</v>
      </c>
      <c r="D22" t="s">
        <v>115</v>
      </c>
    </row>
    <row r="23" spans="1:4" x14ac:dyDescent="0.2">
      <c r="A23" s="7" t="s">
        <v>197</v>
      </c>
      <c r="B23" s="8">
        <v>45.516534</v>
      </c>
      <c r="C23" s="8">
        <v>-122.656554</v>
      </c>
      <c r="D23" t="s">
        <v>129</v>
      </c>
    </row>
    <row r="24" spans="1:4" x14ac:dyDescent="0.2">
      <c r="A24" s="6" t="s">
        <v>200</v>
      </c>
      <c r="B24" s="8">
        <v>45.496763000000001</v>
      </c>
      <c r="C24" s="8">
        <v>-122.669736</v>
      </c>
      <c r="D24" t="s">
        <v>129</v>
      </c>
    </row>
    <row r="25" spans="1:4" x14ac:dyDescent="0.2">
      <c r="A25" s="7" t="s">
        <v>208</v>
      </c>
      <c r="B25" s="8">
        <v>45.525092999999998</v>
      </c>
      <c r="C25" s="8">
        <v>-122.681383</v>
      </c>
      <c r="D25" t="s">
        <v>129</v>
      </c>
    </row>
    <row r="26" spans="1:4" x14ac:dyDescent="0.2">
      <c r="A26" s="6" t="s">
        <v>228</v>
      </c>
      <c r="B26" s="8">
        <v>45.679749999999999</v>
      </c>
      <c r="C26" s="8">
        <v>-122.667</v>
      </c>
      <c r="D26" t="s">
        <v>229</v>
      </c>
    </row>
    <row r="27" spans="1:4" x14ac:dyDescent="0.2">
      <c r="A27" s="7" t="s">
        <v>232</v>
      </c>
      <c r="B27" s="8">
        <v>45.617420000000003</v>
      </c>
      <c r="C27" s="8">
        <v>-122.47685799999999</v>
      </c>
      <c r="D2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Helpful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Zimmerman</cp:lastModifiedBy>
  <dcterms:created xsi:type="dcterms:W3CDTF">2025-07-06T00:23:38Z</dcterms:created>
  <dcterms:modified xsi:type="dcterms:W3CDTF">2025-07-17T00:09:11Z</dcterms:modified>
</cp:coreProperties>
</file>