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<sst xmlns="http://schemas.openxmlformats.org/spreadsheetml/2006/main" count="5064" uniqueCount="1592">
  <si>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</si>
  <si>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</si>
  <si>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</si>
  <si>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</si>
  <si>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</si>
  <si>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</si>
  <si>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</si>
  <si>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</si>
  <si>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</si>
  <si>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</si>
  <si>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</si>
  <si>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</si>
  <si>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</si>
  <si>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</si>
  <si>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</si>
  <si>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</si>
  <si>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</si>
  <si>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</si>
  <si>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</si>
  <si>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</si>
  <si>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</si>
  <si>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</si>
  <si>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</si>
  <si>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</si>
  <si>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</si>
  <si>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</si>
  <si>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</si>
  <si>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</si>
  <si>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</si>
  <si>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</si>
  <si>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</si>
  <si>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</si>
  <si>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</si>
  <si>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</si>
  <si>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</si>
  <si>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</si>
  <si>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</si>
  <si>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</si>
  <si>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</si>
  <si>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</si>
  <si>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</si>
  <si>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</si>
  <si>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</si>
  <si>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</si>
  <si>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</si>
  <si>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</si>
  <si>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</si>
  <si>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</si>
  <si>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</si>
  <si>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</si>
  <si>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</si>
  <si>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</si>
  <si>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</si>
  <si>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</si>
  <si>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</si>
  <si>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</si>
  <si>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</si>
  <si>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</si>
  <si>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</si>
  <si>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</si>
  <si>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</si>
  <si>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</si>
  <si>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</si>
  <si>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</si>
  <si>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</si>
  <si>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</si>
  <si>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</si>
  <si>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</si>
  <si>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</si>
  <si>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</si>
  <si>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</si>
  <si>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</si>
  <si>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</si>
  <si>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</si>
  <si>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</si>
  <si>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</si>
  <si>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</si>
  <si>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</si>
  <si>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</si>
  <si>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</si>
  <si>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</si>
  <si>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</si>
  <si>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</si>
  <si>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</si>
  <si>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</si>
  <si>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</si>
  <si>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</si>
  <si>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</si>
  <si>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</si>
  <si>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</si>
  <si>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</si>
  <si>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</si>
  <si>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</si>
  <si>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</si>
  <si>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</si>
  <si>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</si>
  <si>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</si>
  <si>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</si>
  <si>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</si>
  <si>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</si>
  <si>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</si>
  <si>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</si>
  <si>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</si>
  <si>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</si>
  <si>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</si>
  <si>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</si>
  <si>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</si>
  <si>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</si>
  <si>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</si>
  <si>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</si>
  <si>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</si>
  <si>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</si>
  <si>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</si>
  <si>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</si>
  <si>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</si>
  <si>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</si>
  <si>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</si>
  <si>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</si>
  <si>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</si>
  <si>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</si>
  <si>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</si>
  <si>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</si>
  <si>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</si>
  <si>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</si>
  <si>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</si>
  <si>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</si>
  <si>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</si>
  <si>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</si>
  <si>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</si>
  <si>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</si>
  <si>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</si>
  <si>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</si>
  <si>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</si>
  <si>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</si>
  <si>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</si>
  <si>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</si>
  <si>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</si>
  <si>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</si>
  <si>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</si>
  <si>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</si>
  <si>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</si>
  <si>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</si>
  <si>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</si>
  <si>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</si>
  <si>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</si>
  <si>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</si>
  <si>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</si>
  <si>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</si>
  <si>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</si>
  <si>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</si>
  <si>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</si>
  <si>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</si>
  <si>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</si>
  <si>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</si>
  <si>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</si>
  <si>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</si>
  <si>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</si>
  <si>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</si>
  <si>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</si>
  <si>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</si>
  <si>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</si>
  <si>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</si>
  <si>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</si>
  <si>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</si>
  <si>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</si>
  <si>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</si>
  <si>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</si>
  <si>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</si>
  <si>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</si>
  <si>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</si>
  <si>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</si>
  <si>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</si>
  <si>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</si>
  <si>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</si>
  <si>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</si>
  <si>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</si>
  <si>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</si>
  <si>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</si>
  <si>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</si>
  <si>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</si>
  <si>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</si>
  <si>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</si>
  <si>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</si>
  <si>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</si>
  <si>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</si>
  <si>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</si>
  <si>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</si>
  <si>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</si>
  <si>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</si>
  <si>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</si>
  <si>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</si>
  <si>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</si>
  <si>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</si>
  <si>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</si>
  <si>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</si>
  <si>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</si>
  <si>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</si>
  <si>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</si>
  <si>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</si>
  <si>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</si>
  <si>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</si>
  <si>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</si>
  <si>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</si>
  <si>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</si>
  <si>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</si>
  <si>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</si>
  <si>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</si>
  <si>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</si>
  <si>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</si>
  <si>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</si>
  <si>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</si>
  <si>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</si>
  <si>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</si>
  <si>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</si>
  <si>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</si>
  <si>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</si>
  <si>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</si>
  <si>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</si>
  <si>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</si>
  <si>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</si>
  <si>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</si>
  <si>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</si>
  <si>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</si>
  <si>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</si>
  <si>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</si>
  <si>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</si>
  <si>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</si>
  <si>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</si>
  <si>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</si>
  <si>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</si>
  <si>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</si>
  <si>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</si>
  <si>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</si>
  <si>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</si>
  <si>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</si>
  <si>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</si>
  <si>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</si>
  <si>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</si>
  <si>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</si>
  <si>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</si>
  <si>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</si>
  <si>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</si>
  <si>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</si>
  <si>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</si>
  <si>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</si>
  <si>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</si>
  <si>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</si>
  <si>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</si>
  <si>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</si>
  <si>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</si>
  <si>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</si>
  <si>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</si>
  <si>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</si>
  <si>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</si>
  <si>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</si>
  <si>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</si>
  <si>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</si>
  <si>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</si>
  <si>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</si>
  <si>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</si>
  <si>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</si>
  <si>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</si>
  <si>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</si>
  <si>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</si>
  <si>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</si>
  <si>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</si>
  <si>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</si>
  <si>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</si>
  <si>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</si>
  <si>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</si>
  <si>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</si>
  <si>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</si>
  <si>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</si>
  <si>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</si>
  <si>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</si>
  <si>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</si>
  <si>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</si>
  <si>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</si>
  <si>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</si>
  <si>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</si>
  <si>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</si>
  <si>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</si>
  <si>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</si>
  <si>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</si>
  <si>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</si>
  <si>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</si>
  <si>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</si>
  <si>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</si>
  <si>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</si>
  <si>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</si>
  <si>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</si>
  <si>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</si>
  <si>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</si>
  <si>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</si>
  <si>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</si>
  <si>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</si>
  <si>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</si>
  <si>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</si>
  <si>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</si>
  <si>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</si>
  <si>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</si>
  <si>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</si>
  <si>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</si>
  <si>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</si>
  <si>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</si>
  <si>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</si>
  <si>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</si>
  <si>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</si>
  <si>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</si>
  <si>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</si>
  <si>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</si>
  <si>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</si>
  <si>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</si>
  <si>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</si>
  <si>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</si>
  <si>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</si>
  <si>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</si>
  <si>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</si>
  <si>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</si>
  <si>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</si>
  <si>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</si>
  <si>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</si>
  <si>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</si>
  <si>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</si>
  <si>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</si>
  <si>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</si>
  <si>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</si>
  <si>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</si>
  <si>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</si>
  <si>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</si>
  <si>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</si>
  <si>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</si>
  <si>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</si>
  <si>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</si>
  <si>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</si>
  <si>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</si>
  <si>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</si>
  <si>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</si>
  <si>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</si>
  <si>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</si>
  <si>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</si>
  <si>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</si>
  <si>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</si>
  <si>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</si>
  <si>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</si>
  <si>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</si>
  <si>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</si>
  <si>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</si>
  <si>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</si>
  <si>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</si>
  <si>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</si>
  <si>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</si>
  <si>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</si>
  <si>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</si>
  <si>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</si>
  <si>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</si>
  <si>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</si>
  <si>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</si>
  <si>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</si>
  <si>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</si>
  <si>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</si>
  <si>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</si>
  <si>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</si>
  <si>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</si>
  <si>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</si>
  <si>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</si>
  <si>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</si>
  <si>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</si>
  <si>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</si>
  <si>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</si>
  <si>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</si>
  <si>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</si>
  <si>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</si>
  <si>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</si>
  <si>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</si>
  <si>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</si>
  <si>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</si>
  <si>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</si>
  <si>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</si>
  <si>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</si>
  <si>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</si>
  <si>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</si>
  <si>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</si>
  <si>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</si>
  <si>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</si>
  <si>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</si>
  <si>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</si>
  <si>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</si>
  <si>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</si>
  <si>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</si>
  <si>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</si>
  <si>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</si>
  <si>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</si>
  <si>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</si>
  <si>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</si>
  <si>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</si>
  <si>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</si>
  <si>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</si>
  <si>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</si>
  <si>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</si>
  <si>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</si>
  <si>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</si>
  <si>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</si>
  <si>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</si>
  <si>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</si>
  <si>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</si>
  <si>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</si>
  <si>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</si>
  <si>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</si>
  <si>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</si>
  <si>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</si>
  <si>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</si>
  <si>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</si>
  <si>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</si>
  <si>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</si>
  <si>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</si>
  <si>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</si>
  <si>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</si>
  <si>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</si>
  <si>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</si>
  <si>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</si>
  <si>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</si>
  <si>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</si>
  <si>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</si>
  <si>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</si>
  <si>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</si>
  <si>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</si>
  <si>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</si>
  <si>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</si>
  <si>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</si>
  <si>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</si>
  <si>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</si>
  <si>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</si>
  <si>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</si>
  <si>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</si>
  <si>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</si>
  <si>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</si>
  <si>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</si>
  <si>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</si>
  <si>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</si>
  <si>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</si>
  <si>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</si>
  <si>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</si>
  <si>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</si>
  <si>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</si>
  <si>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</si>
  <si>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</si>
  <si>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</si>
  <si>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</si>
  <si>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</si>
  <si>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</si>
  <si>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</si>
  <si>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</si>
  <si>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</si>
  <si>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</si>
  <si>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</si>
  <si>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</si>
  <si>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</si>
  <si>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</si>
  <si>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</si>
  <si>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</si>
  <si>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</si>
  <si>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</si>
  <si>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</si>
  <si>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</si>
  <si>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</si>
  <si>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</si>
  <si>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</si>
  <si>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</si>
  <si>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</si>
  <si>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</si>
  <si>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</si>
  <si>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</si>
  <si>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</si>
  <si>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</si>
  <si>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</si>
  <si>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</si>
  <si>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</si>
  <si>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</si>
  <si>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</si>
  <si>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</si>
  <si>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</si>
  <si>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</si>
  <si>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</si>
  <si>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</si>
  <si>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</si>
  <si>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</si>
  <si>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</si>
  <si>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</si>
  <si>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</si>
  <si>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</si>
  <si>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</si>
  <si>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</si>
  <si>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</si>
  <si>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</si>
  <si>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</si>
  <si>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</si>
  <si>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</si>
  <si>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</si>
  <si>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</si>
  <si>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</si>
  <si>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</si>
  <si>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</si>
  <si>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</si>
  <si>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</si>
  <si>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</si>
  <si>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</si>
  <si>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</si>
  <si>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</si>
  <si>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</si>
  <si>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</si>
  <si>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</si>
  <si>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</si>
  <si>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</si>
  <si>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</si>
  <si>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</si>
  <si>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</si>
  <si>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</si>
  <si>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</si>
  <si>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</si>
  <si>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</si>
  <si>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</si>
  <si>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</si>
  <si>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</si>
  <si>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</si>
  <si>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</si>
  <si>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</si>
  <si>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</si>
  <si>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</si>
  <si>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</si>
  <si>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</si>
  <si>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</si>
  <si>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</si>
  <si>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</si>
  <si>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</si>
  <si>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</si>
  <si>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</si>
  <si>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</si>
  <si>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</si>
  <si>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</si>
  <si>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</si>
  <si>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</si>
  <si>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</si>
  <si>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</si>
  <si>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</si>
  <si>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</si>
  <si>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</si>
  <si>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</si>
  <si>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</si>
  <si>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</si>
  <si>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</si>
  <si>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</si>
  <si>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</si>
  <si>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</si>
  <si>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</si>
  <si>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</si>
  <si>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</si>
  <si>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</si>
  <si>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</si>
  <si>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</si>
  <si>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</si>
  <si>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</si>
  <si>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</si>
  <si>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</si>
  <si>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</si>
  <si>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</si>
  <si>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</si>
  <si>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</si>
  <si>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</si>
  <si>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</si>
  <si>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</si>
  <si>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</si>
  <si>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</si>
  <si>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</si>
  <si>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</si>
  <si>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</si>
  <si>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</si>
  <si>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</si>
  <si>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</si>
  <si>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</si>
  <si>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</si>
  <si>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</si>
  <si>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</si>
  <si>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</si>
  <si>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</si>
  <si>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</si>
  <si>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</si>
  <si>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</si>
  <si>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</si>
  <si>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</si>
  <si>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</si>
  <si>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</si>
  <si>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</si>
  <si>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</si>
  <si>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</si>
  <si>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</si>
  <si>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</si>
  <si>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</si>
  <si>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</si>
  <si>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</si>
  <si>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</si>
  <si>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</si>
  <si>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</si>
  <si>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</si>
  <si>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</si>
  <si>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</si>
  <si>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</si>
  <si>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</si>
  <si>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</si>
  <si>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</si>
  <si>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</si>
  <si>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</si>
  <si>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</si>
  <si>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</si>
  <si>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</si>
  <si>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</si>
  <si>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</si>
  <si>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</si>
  <si>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</si>
  <si>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</si>
  <si>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</si>
  <si>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</si>
  <si>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</si>
  <si>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</si>
  <si>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</si>
  <si>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</si>
  <si>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</si>
  <si>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</si>
  <si>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</si>
  <si>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</si>
  <si>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</si>
  <si>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</si>
  <si>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</si>
  <si>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</si>
  <si>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</si>
  <si>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</si>
  <si>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</si>
  <si>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</si>
  <si>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</si>
  <si>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</si>
  <si>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</si>
  <si>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</si>
  <si>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</si>
  <si>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</si>
  <si>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</si>
  <si>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</si>
  <si>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</si>
  <si>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</si>
  <si>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</si>
  <si>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</si>
  <si>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</si>
  <si>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</si>
  <si>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</si>
  <si>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</si>
  <si>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</si>
  <si>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</si>
  <si>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</si>
  <si>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</si>
  <si>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</si>
  <si>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</si>
  <si>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</si>
  <si>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</si>
  <si>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</si>
  <si>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</si>
  <si>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</si>
  <si>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</si>
  <si>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</si>
  <si>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</si>
  <si>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</si>
  <si>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</si>
  <si>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</si>
  <si>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</si>
  <si>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</si>
  <si>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</si>
  <si>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</si>
  <si>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</si>
  <si>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</si>
  <si>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</si>
  <si>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</si>
  <si>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</si>
  <si>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</si>
  <si>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</si>
  <si>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</si>
  <si>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</si>
  <si>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</si>
  <si>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</si>
  <si>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</si>
  <si>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</si>
  <si>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</si>
  <si>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</si>
  <si>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</si>
  <si>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</si>
  <si>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</si>
  <si>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</si>
  <si>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</si>
  <si>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</si>
  <si>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</si>
  <si>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</si>
  <si>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</si>
  <si>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</si>
  <si>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</si>
  <si>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</si>
  <si>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</si>
  <si>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</si>
  <si>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</si>
  <si>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</si>
  <si>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</si>
  <si>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</si>
  <si>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</si>
  <si>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</si>
  <si>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</si>
  <si>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</si>
  <si>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</si>
  <si>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</si>
  <si>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</si>
  <si>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</si>
  <si>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</si>
  <si>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</si>
  <si>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</si>
  <si>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</si>
  <si>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</si>
  <si>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</si>
  <si>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</si>
  <si>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</si>
  <si>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</si>
  <si>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</si>
  <si>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</si>
  <si>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</si>
  <si>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</si>
  <si>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</si>
  <si>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</si>
  <si>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</si>
  <si>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</si>
  <si>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</si>
  <si>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</si>
  <si>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</si>
  <si>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</si>
  <si>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</si>
  <si>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</si>
  <si>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</si>
  <si>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</si>
  <si>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</si>
  <si>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</si>
  <si>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</si>
  <si>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</si>
  <si>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</si>
  <si>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</si>
  <si>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</si>
  <si>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</si>
  <si>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</si>
  <si>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</si>
  <si>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</si>
  <si>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</si>
  <si>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</si>
  <si>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</si>
  <si>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</si>
  <si>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</si>
  <si>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</si>
  <si>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</si>
  <si>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</si>
  <si>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</si>
  <si>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</si>
  <si>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</si>
  <si>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</si>
  <si>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</si>
  <si>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</si>
  <si>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</si>
  <si>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</si>
  <si>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</si>
  <si>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</si>
  <si>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</si>
  <si>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</si>
  <si>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</si>
  <si>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</si>
  <si>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</si>
  <si>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</si>
  <si>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</si>
  <si>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</si>
  <si>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</si>
  <si>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</si>
  <si>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</si>
  <si>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</si>
  <si>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</si>
  <si>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</si>
  <si>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</si>
  <si>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</si>
  <si>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</si>
  <si>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</si>
  <si>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</si>
  <si>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</si>
  <si>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</si>
  <si>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</si>
  <si>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</si>
  <si>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</si>
  <si>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</si>
  <si>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</si>
  <si>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</si>
  <si>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</si>
  <si>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</si>
  <si>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</si>
  <si>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</si>
  <si>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</si>
  <si>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</si>
  <si>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</si>
  <si>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</si>
  <si>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</si>
  <si>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</si>
  <si>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</si>
  <si>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</si>
  <si>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</si>
  <si>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</si>
  <si>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</si>
  <si>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</si>
  <si>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</si>
  <si>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</si>
  <si>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</si>
  <si>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</si>
  <si>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</si>
  <si>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</si>
  <si>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</si>
  <si>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</si>
  <si>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</si>
  <si>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</si>
  <si>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</si>
  <si>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</si>
  <si>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</si>
  <si>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</si>
  <si>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</si>
  <si>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</si>
  <si>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</si>
  <si>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</si>
  <si>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</si>
  <si>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</si>
  <si>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</si>
  <si>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</si>
  <si>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</si>
  <si>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</si>
  <si>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</si>
  <si>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</si>
  <si>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</si>
  <si>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</si>
  <si>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</si>
  <si>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</si>
  <si>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</si>
  <si>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</si>
  <si>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</si>
  <si>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</si>
  <si>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</si>
  <si>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</si>
  <si>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</si>
  <si>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</si>
  <si>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</si>
  <si>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</si>
  <si>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</si>
  <si>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</si>
  <si>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</si>
  <si>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</si>
  <si>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</si>
  <si>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</si>
  <si>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</si>
  <si>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</si>
  <si>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</si>
  <si>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</si>
  <si>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</si>
  <si>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</si>
  <si>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</si>
  <si>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</si>
  <si>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</si>
  <si>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</si>
  <si>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</si>
  <si>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</si>
  <si>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</si>
  <si>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</si>
  <si>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</si>
  <si>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</si>
  <si>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</si>
  <si>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</si>
  <si>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</si>
  <si>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</si>
  <si>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</si>
  <si>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</si>
  <si>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</si>
  <si>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</si>
  <si>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</si>
  <si>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</si>
  <si>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</si>
  <si>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</si>
  <si>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</si>
  <si>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</si>
  <si>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</si>
  <si>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</si>
  <si>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</si>
  <si>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</si>
  <si>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</si>
  <si>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</si>
  <si>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</si>
  <si>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</si>
  <si>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</si>
  <si>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</si>
  <si>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</si>
  <si>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</si>
  <si>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</si>
  <si>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</si>
  <si>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</si>
  <si>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</si>
  <si>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</si>
  <si>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</si>
  <si>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</si>
  <si>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</si>
  <si>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</si>
  <si>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</si>
  <si>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</si>
  <si>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</si>
  <si>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</si>
  <si>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</si>
  <si>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</si>
  <si>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</si>
  <si>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</si>
  <si>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</si>
  <si>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</si>
  <si>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</si>
  <si>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</si>
  <si>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</si>
  <si>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</si>
  <si>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</si>
  <si>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</si>
  <si>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</si>
  <si>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</si>
  <si>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</si>
  <si>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</si>
  <si>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</si>
  <si>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</si>
  <si>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</si>
  <si>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</si>
  <si>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</si>
  <si>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</si>
  <si>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</si>
  <si>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Venusaur-F</t>
  </si>
  <si>
    <t>TODO: venusaur-f (image not found)</t>
  </si>
  <si>
    <t>Butterfree-F</t>
  </si>
  <si>
    <t>TODO: butterfree-f (image not found)</t>
  </si>
  <si>
    <t>Rattata-F</t>
  </si>
  <si>
    <t>TODO: rattata-f (image not found)</t>
  </si>
  <si>
    <t>Raticate-F</t>
  </si>
  <si>
    <t>TODO: raticate-f (image not found)</t>
  </si>
  <si>
    <t>Pikachu-F</t>
  </si>
  <si>
    <t>TODO: pikachu-f (image not found)</t>
  </si>
  <si>
    <t>Raichu-F</t>
  </si>
  <si>
    <t>TODO: raichu-f (image not found)</t>
  </si>
  <si>
    <t>Zubat-F</t>
  </si>
  <si>
    <t>TODO: zubat-f (image not found)</t>
  </si>
  <si>
    <t>Golbat-F</t>
  </si>
  <si>
    <t>TODO: golbat-f (image not found)</t>
  </si>
  <si>
    <t>Gloom-F</t>
  </si>
  <si>
    <t>TODO: gloom-f (image not found)</t>
  </si>
  <si>
    <t>Vileplume-F</t>
  </si>
  <si>
    <t>TODO: vileplume-f (image not found)</t>
  </si>
  <si>
    <t>Kadabra-F</t>
  </si>
  <si>
    <t>TODO: kadabra-f (image not found)</t>
  </si>
  <si>
    <t>Alakazam-F</t>
  </si>
  <si>
    <t>TODO: alakazam-f (image not found)</t>
  </si>
  <si>
    <t>Doduo-F</t>
  </si>
  <si>
    <t>TODO: doduo-f (image not found)</t>
  </si>
  <si>
    <t>Dodrio-F</t>
  </si>
  <si>
    <t>TODO: dodrio-f (image not found)</t>
  </si>
  <si>
    <t>Hypno-F</t>
  </si>
  <si>
    <t>TODO: hypno-f (image not found)</t>
  </si>
  <si>
    <t>Rhyhorn-F</t>
  </si>
  <si>
    <t>TODO: rhyhorn-f (image not found)</t>
  </si>
  <si>
    <t>Rhydon-F</t>
  </si>
  <si>
    <t>TODO: rhydon-f (image not found)</t>
  </si>
  <si>
    <t>Goldeen-F</t>
  </si>
  <si>
    <t>TODO: goldeen-f (image not found)</t>
  </si>
  <si>
    <t>Seaking-F</t>
  </si>
  <si>
    <t>TODO: seaking-f (image not found)</t>
  </si>
  <si>
    <t>Scyther-F</t>
  </si>
  <si>
    <t>TODO: scyther-f (image not found)</t>
  </si>
  <si>
    <t>Magikarp-F</t>
  </si>
  <si>
    <t>TODO: magikarp-f (image not found)</t>
  </si>
  <si>
    <t>Gyarados-F</t>
  </si>
  <si>
    <t>TODO: gyarados-f (image not found)</t>
  </si>
  <si>
    <t>Eevee-F</t>
  </si>
  <si>
    <t>TODO: eevee-f (image not found)</t>
  </si>
  <si>
    <t>Meganium-F</t>
  </si>
  <si>
    <t>TODO: meganium-f (image not found)</t>
  </si>
  <si>
    <t>Ledyba-F</t>
  </si>
  <si>
    <t>TODO: ledyba-f (image not found)</t>
  </si>
  <si>
    <t>Ledian-F</t>
  </si>
  <si>
    <t>TODO: ledian-f (image not found)</t>
  </si>
  <si>
    <t>Xatu-F</t>
  </si>
  <si>
    <t>TODO: xatu-f (image not found)</t>
  </si>
  <si>
    <t>Sudowoodo-F</t>
  </si>
  <si>
    <t>TODO: sudowoodo-f (image not found)</t>
  </si>
  <si>
    <t>Politoed-F</t>
  </si>
  <si>
    <t>TODO: politoed-f (image not found)</t>
  </si>
  <si>
    <t>Aipom-F</t>
  </si>
  <si>
    <t>TODO: aipom-f (image not found)</t>
  </si>
  <si>
    <t>Wooper-F</t>
  </si>
  <si>
    <t>TODO: wooper-f (image not found)</t>
  </si>
  <si>
    <t>Quagsire-F</t>
  </si>
  <si>
    <t>TODO: quagsire-f (image not found)</t>
  </si>
  <si>
    <t>Murkrow-F</t>
  </si>
  <si>
    <t>TODO: murkrow-f (image not found)</t>
  </si>
  <si>
    <t>Wobbuffet-F</t>
  </si>
  <si>
    <t>TODO: wobbuffet-f (image not found)</t>
  </si>
  <si>
    <t>Girafarig-F</t>
  </si>
  <si>
    <t>TODO: girafarig-f (image not found)</t>
  </si>
  <si>
    <t>Gligar-F</t>
  </si>
  <si>
    <t>TODO: gligar-f (image not found)</t>
  </si>
  <si>
    <t>Steelix-F</t>
  </si>
  <si>
    <t>TODO: steelix-f (image not found)</t>
  </si>
  <si>
    <t>Scizor-F</t>
  </si>
  <si>
    <t>TODO: scizor-f (image not found)</t>
  </si>
  <si>
    <t>Heracross-F</t>
  </si>
  <si>
    <t>TODO: heracross-f (image not found)</t>
  </si>
  <si>
    <t>Sneasel-F</t>
  </si>
  <si>
    <t>TODO: sneasel-f (image not found)</t>
  </si>
  <si>
    <t>Sneasel-Hisui-F</t>
  </si>
  <si>
    <t>TODO: sneasel-hisui-f (image not found)</t>
  </si>
  <si>
    <t>Ursaring-F</t>
  </si>
  <si>
    <t>TODO: ursaring-f (image not found)</t>
  </si>
  <si>
    <t>Piloswine-F</t>
  </si>
  <si>
    <t>TODO: piloswine-f (image not found)</t>
  </si>
  <si>
    <t>Octillery-F</t>
  </si>
  <si>
    <t>TODO: octillery-f (image not found)</t>
  </si>
  <si>
    <t>Houndoom-F</t>
  </si>
  <si>
    <t>TODO: houndoom-f (image not found)</t>
  </si>
  <si>
    <t>Donphan-F</t>
  </si>
  <si>
    <t>TODO: donphan-f (image not found)</t>
  </si>
  <si>
    <t>Torchic-F</t>
  </si>
  <si>
    <t>TODO: torchic-f (image not found)</t>
  </si>
  <si>
    <t>Combusken-F</t>
  </si>
  <si>
    <t>TODO: combusken-f (image not found)</t>
  </si>
  <si>
    <t>Blaziken-F</t>
  </si>
  <si>
    <t>TODO: blaziken-f (image not found)</t>
  </si>
  <si>
    <t>Beautifly-F</t>
  </si>
  <si>
    <t>TODO: beautifly-f (image not found)</t>
  </si>
  <si>
    <t>Dustox-F</t>
  </si>
  <si>
    <t>TODO: dustox-f (image not found)</t>
  </si>
  <si>
    <t>Ludicolo-F</t>
  </si>
  <si>
    <t>TODO: ludicolo-f (image not found)</t>
  </si>
  <si>
    <t>Nuzleaf-F</t>
  </si>
  <si>
    <t>TODO: nuzleaf-f (image not found)</t>
  </si>
  <si>
    <t>Shiftry-F</t>
  </si>
  <si>
    <t>TODO: shiftry-f (image not found)</t>
  </si>
  <si>
    <t>Meditite-F</t>
  </si>
  <si>
    <t>TODO: meditite-f (image not found)</t>
  </si>
  <si>
    <t>Medicham-F</t>
  </si>
  <si>
    <t>TODO: medicham-f (image not found)</t>
  </si>
  <si>
    <t>Roselia-F</t>
  </si>
  <si>
    <t>TODO: roselia-f (image not found)</t>
  </si>
  <si>
    <t>Gulpin-F</t>
  </si>
  <si>
    <t>TODO: gulpin-f (image not found)</t>
  </si>
  <si>
    <t>Swalot-F</t>
  </si>
  <si>
    <t>TODO: swalot-f (image not found)</t>
  </si>
  <si>
    <t>Numel-F</t>
  </si>
  <si>
    <t>TODO: numel-f (image not found)</t>
  </si>
  <si>
    <t>Camerupt-F</t>
  </si>
  <si>
    <t>TODO: camerupt-f (image not found)</t>
  </si>
  <si>
    <t>Cacturne-F</t>
  </si>
  <si>
    <t>TODO: cacturne-f (image not found)</t>
  </si>
  <si>
    <t>Milotic-F</t>
  </si>
  <si>
    <t>TODO: milotic-f (image not found)</t>
  </si>
  <si>
    <t>Relicanth-F</t>
  </si>
  <si>
    <t>TODO: relicanth-f (image not found)</t>
  </si>
  <si>
    <t>Starly-F</t>
  </si>
  <si>
    <t>TODO: starly-f (image not found)</t>
  </si>
  <si>
    <t>Staravia-F</t>
  </si>
  <si>
    <t>TODO: staravia-f (image not found)</t>
  </si>
  <si>
    <t>Staraptor-F</t>
  </si>
  <si>
    <t>TODO: staraptor-f (image not found)</t>
  </si>
  <si>
    <t>Bidoof-F</t>
  </si>
  <si>
    <t>TODO: bidoof-f (image not found)</t>
  </si>
  <si>
    <t>Bibarel-F</t>
  </si>
  <si>
    <t>TODO: bibarel-f (image not found)</t>
  </si>
  <si>
    <t>Kricketot-F</t>
  </si>
  <si>
    <t>TODO: kricketot-f (image not found)</t>
  </si>
  <si>
    <t>Kricketune-F</t>
  </si>
  <si>
    <t>TODO: kricketune-f (image not found)</t>
  </si>
  <si>
    <t>Shinx-F</t>
  </si>
  <si>
    <t>TODO: shinx-f (image not found)</t>
  </si>
  <si>
    <t>Luxio-F</t>
  </si>
  <si>
    <t>TODO: luxio-f (image not found)</t>
  </si>
  <si>
    <t>Luxray-F</t>
  </si>
  <si>
    <t>TODO: luxray-f (image not found)</t>
  </si>
  <si>
    <t>Roserade-F</t>
  </si>
  <si>
    <t>TODO: roserade-f (image not found)</t>
  </si>
  <si>
    <t>Combee-F</t>
  </si>
  <si>
    <t>TODO: combee-f (image not found)</t>
  </si>
  <si>
    <t>Pachirisu-F</t>
  </si>
  <si>
    <t>TODO: pachirisu-f (image not found)</t>
  </si>
  <si>
    <t>Buizel-F</t>
  </si>
  <si>
    <t>TODO: buizel-f (image not found)</t>
  </si>
  <si>
    <t>Floatzel-F</t>
  </si>
  <si>
    <t>TODO: floatzel-f (image not found)</t>
  </si>
  <si>
    <t>Ambipom-F</t>
  </si>
  <si>
    <t>TODO: ambipom-f (image not found)</t>
  </si>
  <si>
    <t>Gible-F</t>
  </si>
  <si>
    <t>TODO: gible-f (image not found)</t>
  </si>
  <si>
    <t>Gabite-F</t>
  </si>
  <si>
    <t>TODO: gabite-f (image not found)</t>
  </si>
  <si>
    <t>Garchomp-F</t>
  </si>
  <si>
    <t>TODO: garchomp-f (image not found)</t>
  </si>
  <si>
    <t>Hippopotas-F</t>
  </si>
  <si>
    <t>TODO: hippopotas-f (image not found)</t>
  </si>
  <si>
    <t>Hippowdon-F</t>
  </si>
  <si>
    <t>TODO: hippowdon-f (image not found)</t>
  </si>
  <si>
    <t>Croagunk-F</t>
  </si>
  <si>
    <t>TODO: croagunk-f (image not found)</t>
  </si>
  <si>
    <t>Toxicroak-F</t>
  </si>
  <si>
    <t>TODO: toxicroak-f (image not found)</t>
  </si>
  <si>
    <t>Finneon-F</t>
  </si>
  <si>
    <t>TODO: finneon-f (image not found)</t>
  </si>
  <si>
    <t>Lumineon-F</t>
  </si>
  <si>
    <t>TODO: lumineon-f (image not found)</t>
  </si>
  <si>
    <t>Snover-F</t>
  </si>
  <si>
    <t>TODO: snover-f (image not found)</t>
  </si>
  <si>
    <t>Abomasnow-F</t>
  </si>
  <si>
    <t>TODO: abomasnow-f (image not found)</t>
  </si>
  <si>
    <t>Weavile-F</t>
  </si>
  <si>
    <t>TODO: weavile-f (image not found)</t>
  </si>
  <si>
    <t>Rhyperior-F</t>
  </si>
  <si>
    <t>TODO: rhyperior-f (image not found)</t>
  </si>
  <si>
    <t>Tangrowth-F</t>
  </si>
  <si>
    <t>TODO: tangrowth-f (image not found)</t>
  </si>
  <si>
    <t>Mamoswine-F</t>
  </si>
  <si>
    <t>TODO: mamoswine-f (image not found)</t>
  </si>
  <si>
    <t>Unfezant-F</t>
  </si>
  <si>
    <t>TODO: unfezant-f (image not found)</t>
  </si>
  <si>
    <t>Frillish-F</t>
  </si>
  <si>
    <t>TODO: frillish-f (image not found)</t>
  </si>
  <si>
    <t>Jellicent-F</t>
  </si>
  <si>
    <t>TODO: jellicent-f (image not found)</t>
  </si>
  <si>
    <t>Pyroar-F</t>
  </si>
  <si>
    <t>TODO: pyroar-f (image not found)</t>
  </si>
  <si>
    <t>Meowstic-F</t>
  </si>
  <si>
    <t>TODO: meowstic-f (image not found)</t>
  </si>
  <si>
    <t>Indeedee-F</t>
  </si>
  <si>
    <t>TODO: indeedee-f (image not found)</t>
  </si>
  <si>
    <t>Basculegion-F</t>
  </si>
  <si>
    <t>TODO: basculegion-f (image not found)</t>
  </si>
  <si>
    <t>Pikachu-Original</t>
  </si>
  <si>
    <t>TODO: pikachu-original (image not found)</t>
  </si>
  <si>
    <t>Pikachu-Hoenn</t>
  </si>
  <si>
    <t>TODO: pikachu-hoenn (image not found)</t>
  </si>
  <si>
    <t>Pikachu-Sinnoh</t>
  </si>
  <si>
    <t>TODO: pikachu-sinnoh (image not found)</t>
  </si>
  <si>
    <t>Pikachu-Unova</t>
  </si>
  <si>
    <t>TODO: pikachu-unova (image not found)</t>
  </si>
  <si>
    <t>Pikachu-Kalos</t>
  </si>
  <si>
    <t>TODO: pikachu-kalos (image not found)</t>
  </si>
  <si>
    <t>Pikachu-Alola</t>
  </si>
  <si>
    <t>TODO: pikachu-alola (image not found)</t>
  </si>
  <si>
    <t>Pikachu-Partner</t>
  </si>
  <si>
    <t>TODO: pikachu-partner (image not found)</t>
  </si>
  <si>
    <t>Pikachu-World</t>
  </si>
  <si>
    <t>TODO: pikachu-world (image not found)</t>
  </si>
  <si>
    <t>Unown-B</t>
  </si>
  <si>
    <t>Unown-C</t>
  </si>
  <si>
    <t>Unown-D</t>
  </si>
  <si>
    <t>Unown-E</t>
  </si>
  <si>
    <t>Unown-F</t>
  </si>
  <si>
    <t>Unown-G</t>
  </si>
  <si>
    <t>Unown-H</t>
  </si>
  <si>
    <t>Unown-I</t>
  </si>
  <si>
    <t>Unown-J</t>
  </si>
  <si>
    <t>Unown-K</t>
  </si>
  <si>
    <t>Unown-L</t>
  </si>
  <si>
    <t>Unown-M</t>
  </si>
  <si>
    <t>Unown-N</t>
  </si>
  <si>
    <t>Unown-O</t>
  </si>
  <si>
    <t>Unown-P</t>
  </si>
  <si>
    <t>Unown-Q</t>
  </si>
  <si>
    <t>Unown-R</t>
  </si>
  <si>
    <t>Unown-S</t>
  </si>
  <si>
    <t>Unown-T</t>
  </si>
  <si>
    <t>Unown-U</t>
  </si>
  <si>
    <t>Unown-V</t>
  </si>
  <si>
    <t>Unown-W</t>
  </si>
  <si>
    <t>Unown-X</t>
  </si>
  <si>
    <t>Unown-Y</t>
  </si>
  <si>
    <t>Unown-Z</t>
  </si>
  <si>
    <t>Unown-Exclamation</t>
  </si>
  <si>
    <t>Unown-Question</t>
  </si>
  <si>
    <t>Deoxys-Attack</t>
  </si>
  <si>
    <t>Deoxys-Defense</t>
  </si>
  <si>
    <t>Deoxys-Speed</t>
  </si>
  <si>
    <t>Burmy-Sandy</t>
  </si>
  <si>
    <t>Burmy-Trash</t>
  </si>
  <si>
    <t>Wormadam-Sandy</t>
  </si>
  <si>
    <t>Wormadam-Trash</t>
  </si>
  <si>
    <t>Shellos-East</t>
  </si>
  <si>
    <t>Gastrodon-East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</si>
  <si>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</si>
  <si>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</si>
  <si>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</si>
  <si>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</si>
  <si>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</si>
  <si>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</si>
  <si>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</si>
  <si>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Deerling-Autumn</t>
  </si>
  <si>
    <t>Deerling-Winter</t>
  </si>
  <si>
    <t>Sawsbuck-Summer</t>
  </si>
  <si>
    <t>Sawsbuck-Autumn</t>
  </si>
  <si>
    <t>Sawsbuck-Winter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</si>
  <si>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</si>
  <si>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</si>
  <si>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</si>
  <si>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</si>
  <si>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</si>
  <si>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</si>
  <si>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</si>
  <si>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</si>
  <si>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</si>
  <si>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</si>
  <si>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</si>
  <si>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</si>
  <si>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Furfrou-Star</t>
  </si>
  <si>
    <t>Furfrou-Diamond</t>
  </si>
  <si>
    <t>Furfrou-Debutante</t>
  </si>
  <si>
    <t>Furfrou-Matron</t>
  </si>
  <si>
    <t>Furfrou-Dandy</t>
  </si>
  <si>
    <t>Furfrou-La-Reine</t>
  </si>
  <si>
    <t>Furfrou-Kabuki</t>
  </si>
  <si>
    <t>Furfrou-Pharaoh</t>
  </si>
  <si>
    <t>TODO: furfrou-pharaoh (image not found)</t>
  </si>
  <si>
    <t>Flabebe-Yellow</t>
  </si>
  <si>
    <t>TODO: flabebe-yellow (image not found)</t>
  </si>
  <si>
    <t>Flabebe-Orange</t>
  </si>
  <si>
    <t>TODO: flabebe-orange (image not found)</t>
  </si>
  <si>
    <t>Flabebe-Blue</t>
  </si>
  <si>
    <t>TODO: flabebe-blue (image not found)</t>
  </si>
  <si>
    <t>Flabebe-White</t>
  </si>
  <si>
    <t>TODO: flabebe-white (image not found)</t>
  </si>
  <si>
    <t>Floette-Yellow</t>
  </si>
  <si>
    <t>TODO: floette-yellow (image not found)</t>
  </si>
  <si>
    <t>Floette-Orange</t>
  </si>
  <si>
    <t>TODO: floette-orange (image not found)</t>
  </si>
  <si>
    <t>Floette-Blue</t>
  </si>
  <si>
    <t>TODO: floette-blue (image not found)</t>
  </si>
  <si>
    <t>Floette-White</t>
  </si>
  <si>
    <t>TODO: floette-white (image not found)</t>
  </si>
  <si>
    <t>Florges-Yellow</t>
  </si>
  <si>
    <t>TODO: florges-yellow (image not found)</t>
  </si>
  <si>
    <t>Florges-Orange</t>
  </si>
  <si>
    <t>TODO: florges-orange (image not found)</t>
  </si>
  <si>
    <t>Florges-Blue</t>
  </si>
  <si>
    <t>TODO: florges-blue (image not found)</t>
  </si>
  <si>
    <t>Florges-White</t>
  </si>
  <si>
    <t>TODO: florges-white (image not found)</t>
  </si>
  <si>
    <t>Hoopa-Unbound</t>
  </si>
  <si>
    <t>Greninja--Battle-Bond</t>
  </si>
  <si>
    <t>TODO: greninja--battle-bond (image not found)</t>
  </si>
  <si>
    <t>Zygarde-10</t>
  </si>
  <si>
    <t>TODO: zygarde-10 (image not found)</t>
  </si>
  <si>
    <t>Zygarde--Power-Construct</t>
  </si>
  <si>
    <t>TODO: zygarde--power-construct (image not found)</t>
  </si>
  <si>
    <t>Zygarde-10--Power-Construct</t>
  </si>
  <si>
    <t>TODO: zygarde-10--power-construct (image not found)</t>
  </si>
  <si>
    <t>Vivillon-Polar</t>
  </si>
  <si>
    <t>TODO: vivillon-polar (image not found)</t>
  </si>
  <si>
    <t>Vivillon-Tundra</t>
  </si>
  <si>
    <t>TODO: vivillon-tundra (image not found)</t>
  </si>
  <si>
    <t>Vivillon-Continental</t>
  </si>
  <si>
    <t>TODO: vivillon-continental (image not found)</t>
  </si>
  <si>
    <t>Vivillon-Garden</t>
  </si>
  <si>
    <t>TODO: vivillon-garden (image not found)</t>
  </si>
  <si>
    <t>Vivillon-Elegant</t>
  </si>
  <si>
    <t>TODO: vivillon-elegant (image not found)</t>
  </si>
  <si>
    <t>Vivillon-Meadow</t>
  </si>
  <si>
    <t>TODO: vivillon-meadow (image not found)</t>
  </si>
  <si>
    <t>Vivillon-Modern</t>
  </si>
  <si>
    <t>TODO: vivillon-modern (image not found)</t>
  </si>
  <si>
    <t>Vivillon-Marine</t>
  </si>
  <si>
    <t>TODO: vivillon-marine (image not found)</t>
  </si>
  <si>
    <t>Vivillon-Archipelago</t>
  </si>
  <si>
    <t>TODO: vivillon-archipelago (image not found)</t>
  </si>
  <si>
    <t>Vivillon-High-Plains</t>
  </si>
  <si>
    <t>TODO: vivillon-high-plains (image not found)</t>
  </si>
  <si>
    <t>Vivillon-Sandstorm</t>
  </si>
  <si>
    <t>TODO: vivillon-sandstorm (image not found)</t>
  </si>
  <si>
    <t>Vivillon-River</t>
  </si>
  <si>
    <t>TODO: vivillon-river (image not found)</t>
  </si>
  <si>
    <t>Vivillon-Monsoon</t>
  </si>
  <si>
    <t>TODO: vivillon-monsoon (image not found)</t>
  </si>
  <si>
    <t>Vivillon-Savanna</t>
  </si>
  <si>
    <t>TODO: vivillon-savanna (image not found)</t>
  </si>
  <si>
    <t>Vivillon-Sun</t>
  </si>
  <si>
    <t>TODO: vivillon-sun (image not found)</t>
  </si>
  <si>
    <t>Vivillon-Ocean</t>
  </si>
  <si>
    <t>TODO: vivillon-ocean (image not found)</t>
  </si>
  <si>
    <t>Vivillon-Jungle</t>
  </si>
  <si>
    <t>TODO: vivillon-jungle (image not found)</t>
  </si>
  <si>
    <t>Vivillon-Fancy</t>
  </si>
  <si>
    <t>TODO: vivillon-fancy (image not found)</t>
  </si>
  <si>
    <t>Vivillon-Pokeball</t>
  </si>
  <si>
    <t>TODO: vivillon-pokeball (image not found)</t>
  </si>
  <si>
    <t>Oricorio-Pau</t>
  </si>
  <si>
    <t>Oricorio-Sensu</t>
  </si>
  <si>
    <t>Rockruff--Own-Tempo</t>
  </si>
  <si>
    <t>TODO: rockruff--own-tempo (image not found)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</si>
  <si>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</si>
  <si>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</si>
  <si>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</si>
  <si>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</si>
  <si>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</si>
  <si>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</si>
  <si>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</si>
  <si>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</si>
  <si>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</si>
  <si>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</si>
  <si>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</si>
  <si>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TODO: sinistea-antique (image not found)</t>
  </si>
  <si>
    <t>Polteageist-Antique</t>
  </si>
  <si>
    <t>TODO: polteageist-antique (image not found)</t>
  </si>
  <si>
    <t>Urshifu-Rapid-Strike</t>
  </si>
  <si>
    <t>Zarude-Dada</t>
  </si>
  <si>
    <t>TODO: zarude-dada (image not found)</t>
  </si>
  <si>
    <t>Enamorus-Therian</t>
  </si>
  <si>
    <t>Alcremie-Vanilla-Cream-Berry</t>
  </si>
  <si>
    <t>TODO: alcremie-vanilla-cream-berry (image not found)</t>
  </si>
  <si>
    <t>Alcremie-Vanilla-Cream-Love</t>
  </si>
  <si>
    <t>TODO: alcremie-vanilla-cream-love (image not found)</t>
  </si>
  <si>
    <t>Alcremie-Vanilla-Cream-Star</t>
  </si>
  <si>
    <t>TODO: alcremie-vanilla-cream-star (image not found)</t>
  </si>
  <si>
    <t>Alcremie-Vanilla-Cream-Clover</t>
  </si>
  <si>
    <t>TODO: alcremie-vanilla-cream-clover (image not found)</t>
  </si>
  <si>
    <t>Alcremie-Vanilla-Cream-Flower</t>
  </si>
  <si>
    <t>TODO: alcremie-vanilla-cream-flower (image not found)</t>
  </si>
  <si>
    <t>Alcremie-Vanilla-Cream-Ribbon</t>
  </si>
  <si>
    <t>TODO: alcremie-vanilla-cream-ribbon (image not found)</t>
  </si>
  <si>
    <t>Alcremie-Ruby-Cream-Strawberry</t>
  </si>
  <si>
    <t>TODO: alcremie-ruby-cream-strawberry (image not found)</t>
  </si>
  <si>
    <t>Alcremie-Ruby-Cream-Berry</t>
  </si>
  <si>
    <t>TODO: alcremie-ruby-cream-berry (image not found)</t>
  </si>
  <si>
    <t>Alcremie-Ruby-Cream-Love</t>
  </si>
  <si>
    <t>TODO: alcremie-ruby-cream-love (image not found)</t>
  </si>
  <si>
    <t>Alcremie-Ruby-Cream-Star</t>
  </si>
  <si>
    <t>TODO: alcremie-ruby-cream-star (image not found)</t>
  </si>
  <si>
    <t>Alcremie-Ruby-Cream-Clover</t>
  </si>
  <si>
    <t>TODO: alcremie-ruby-cream-clover (image not found)</t>
  </si>
  <si>
    <t>Alcremie-Ruby-Cream-Flower</t>
  </si>
  <si>
    <t>TODO: alcremie-ruby-cream-flower (image not found)</t>
  </si>
  <si>
    <t>Alcremie-Ruby-Cream-Ribbon</t>
  </si>
  <si>
    <t>TODO: alcremie-ruby-cream-ribbon (image not found)</t>
  </si>
  <si>
    <t>Alcremie-Matcha-Cream-Strawberry</t>
  </si>
  <si>
    <t>TODO: alcremie-matcha-cream-strawberry (image not found)</t>
  </si>
  <si>
    <t>Alcremie-Matcha-Cream-Berry</t>
  </si>
  <si>
    <t>TODO: alcremie-matcha-cream-berry (image not found)</t>
  </si>
  <si>
    <t>Alcremie-Matcha-Cream-Love</t>
  </si>
  <si>
    <t>TODO: alcremie-matcha-cream-love (image not found)</t>
  </si>
  <si>
    <t>Alcremie-Matcha-Cream-Star</t>
  </si>
  <si>
    <t>TODO: alcremie-matcha-cream-star (image not found)</t>
  </si>
  <si>
    <t>Alcremie-Matcha-Cream-Clover</t>
  </si>
  <si>
    <t>TODO: alcremie-matcha-cream-clover (image not found)</t>
  </si>
  <si>
    <t>Alcremie-Matcha-Cream-Flower</t>
  </si>
  <si>
    <t>TODO: alcremie-matcha-cream-flower (image not found)</t>
  </si>
  <si>
    <t>Alcremie-Matcha-Cream-Ribbon</t>
  </si>
  <si>
    <t>TODO: alcremie-matcha-cream-ribbon (image not found)</t>
  </si>
  <si>
    <t>Alcremie-Mint-Cream-Strawberry</t>
  </si>
  <si>
    <t>TODO: alcremie-mint-cream-strawberry (image not found)</t>
  </si>
  <si>
    <t>Alcremie-Mint-Cream-Berry</t>
  </si>
  <si>
    <t>TODO: alcremie-mint-cream-berry (image not found)</t>
  </si>
  <si>
    <t>Alcremie-Mint-Cream-Love</t>
  </si>
  <si>
    <t>TODO: alcremie-mint-cream-love (image not found)</t>
  </si>
  <si>
    <t>Alcremie-Mint-Cream-Star</t>
  </si>
  <si>
    <t>TODO: alcremie-mint-cream-star (image not found)</t>
  </si>
  <si>
    <t>Alcremie-Mint-Cream-Clover</t>
  </si>
  <si>
    <t>TODO: alcremie-mint-cream-clover (image not found)</t>
  </si>
  <si>
    <t>Alcremie-Mint-Cream-Flower</t>
  </si>
  <si>
    <t>TODO: alcremie-mint-cream-flower (image not found)</t>
  </si>
  <si>
    <t>Alcremie-Mint-Cream-Ribbon</t>
  </si>
  <si>
    <t>TODO: alcremie-mint-cream-ribbon (image not found)</t>
  </si>
  <si>
    <t>Alcremie-Lemon-Cream-Strawberry</t>
  </si>
  <si>
    <t>TODO: alcremie-lemon-cream-strawberry (image not found)</t>
  </si>
  <si>
    <t>Alcremie-Lemon-Cream-Berry</t>
  </si>
  <si>
    <t>TODO: alcremie-lemon-cream-berry (image not found)</t>
  </si>
  <si>
    <t>Alcremie-Lemon-Cream-Love</t>
  </si>
  <si>
    <t>TODO: alcremie-lemon-cream-love (image not found)</t>
  </si>
  <si>
    <t>Alcremie-Lemon-Cream-Star</t>
  </si>
  <si>
    <t>TODO: alcremie-lemon-cream-star (image not found)</t>
  </si>
  <si>
    <t>Alcremie-Lemon-Cream-Clover</t>
  </si>
  <si>
    <t>TODO: alcremie-lemon-cream-clover (image not found)</t>
  </si>
  <si>
    <t>Alcremie-Lemon-Cream-Flower</t>
  </si>
  <si>
    <t>TODO: alcremie-lemon-cream-flower (image not found)</t>
  </si>
  <si>
    <t>Alcremie-Lemon-Cream-Ribbon</t>
  </si>
  <si>
    <t>TODO: alcremie-lemon-cream-ribbon (image not found)</t>
  </si>
  <si>
    <t>Alcremie-Salted-Cream-Strawberry</t>
  </si>
  <si>
    <t>TODO: alcremie-salted-cream-strawberry (image not found)</t>
  </si>
  <si>
    <t>Alcremie-Salted-Cream-Berry</t>
  </si>
  <si>
    <t>TODO: alcremie-salted-cream-berry (image not found)</t>
  </si>
  <si>
    <t>Alcremie-Salted-Cream-Love</t>
  </si>
  <si>
    <t>TODO: alcremie-salted-cream-love (image not found)</t>
  </si>
  <si>
    <t>Alcremie-Salted-Cream-Star</t>
  </si>
  <si>
    <t>TODO: alcremie-salted-cream-star (image not found)</t>
  </si>
  <si>
    <t>Alcremie-Salted-Cream-Clover</t>
  </si>
  <si>
    <t>TODO: alcremie-salted-cream-clover (image not found)</t>
  </si>
  <si>
    <t>Alcremie-Salted-Cream-Flower</t>
  </si>
  <si>
    <t>TODO: alcremie-salted-cream-flower (image not found)</t>
  </si>
  <si>
    <t>Alcremie-Salted-Cream-Ribbon</t>
  </si>
  <si>
    <t>TODO: alcremie-salted-cream-ribbon (image not found)</t>
  </si>
  <si>
    <t>Alcremie-Ruby-Swirl-Strawberry</t>
  </si>
  <si>
    <t>TODO: alcremie-ruby-swirl-strawberry (image not found)</t>
  </si>
  <si>
    <t>Alcremie-Ruby-Swirl-Berry</t>
  </si>
  <si>
    <t>TODO: alcremie-ruby-swirl-berry (image not found)</t>
  </si>
  <si>
    <t>Alcremie-Ruby-Swirl-Love</t>
  </si>
  <si>
    <t>TODO: alcremie-ruby-swirl-love (image not found)</t>
  </si>
  <si>
    <t>Alcremie-Ruby-Swirl-Star</t>
  </si>
  <si>
    <t>TODO: alcremie-ruby-swirl-star (image not found)</t>
  </si>
  <si>
    <t>Alcremie-Ruby-Swirl-Clover</t>
  </si>
  <si>
    <t>TODO: alcremie-ruby-swirl-clover (image not found)</t>
  </si>
  <si>
    <t>Alcremie-Ruby-Swirl-Flower</t>
  </si>
  <si>
    <t>TODO: alcremie-ruby-swirl-flower (image not found)</t>
  </si>
  <si>
    <t>Alcremie-Ruby-Swirl-Ribbon</t>
  </si>
  <si>
    <t>TODO: alcremie-ruby-swirl-ribbon (image not found)</t>
  </si>
  <si>
    <t>Alcremie-Caramel-Swirl-Strawberry</t>
  </si>
  <si>
    <t>TODO: alcremie-caramel-swirl-strawberry (image not found)</t>
  </si>
  <si>
    <t>Alcremie-Caramel-Swirl-Berry</t>
  </si>
  <si>
    <t>TODO: alcremie-caramel-swirl-berry (image not found)</t>
  </si>
  <si>
    <t>Alcremie-Caramel-Swirl-Love</t>
  </si>
  <si>
    <t>TODO: alcremie-caramel-swirl-love (image not found)</t>
  </si>
  <si>
    <t>Alcremie-Caramel-Swirl-Star</t>
  </si>
  <si>
    <t>TODO: alcremie-caramel-swirl-star (image not found)</t>
  </si>
  <si>
    <t>Alcremie-Caramel-Swirl-Clover</t>
  </si>
  <si>
    <t>TODO: alcremie-caramel-swirl-clover (image not found)</t>
  </si>
  <si>
    <t>Alcremie-Caramel-Swirl-Flower</t>
  </si>
  <si>
    <t>TODO: alcremie-caramel-swirl-flower (image not found)</t>
  </si>
  <si>
    <t>Alcremie-Caramel-Swirl-Ribbon</t>
  </si>
  <si>
    <t>TODO: alcremie-caramel-swirl-ribbon (image not found)</t>
  </si>
  <si>
    <t>Alcremie-Rainbow-Swirl-Strawberry</t>
  </si>
  <si>
    <t>TODO: alcremie-rainbow-swirl-strawberry (image not found)</t>
  </si>
  <si>
    <t>Alcremie-Rainbow-Swirl-Berry</t>
  </si>
  <si>
    <t>TODO: alcremie-rainbow-swirl-berry (image not found)</t>
  </si>
  <si>
    <t>Alcremie-Rainbow-Swirl-Love</t>
  </si>
  <si>
    <t>TODO: alcremie-rainbow-swirl-love (image not found)</t>
  </si>
  <si>
    <t>Alcremie-Rainbow-Swirl-Star</t>
  </si>
  <si>
    <t>TODO: alcremie-rainbow-swirl-star (image not found)</t>
  </si>
  <si>
    <t>Alcremie-Rainbow-Swirl-Clover</t>
  </si>
  <si>
    <t>TODO: alcremie-rainbow-swirl-clover (image not found)</t>
  </si>
  <si>
    <t>Alcremie-Rainbow-Swirl-Flower</t>
  </si>
  <si>
    <t>TODO: alcremie-rainbow-swirl-flower (image not found)</t>
  </si>
  <si>
    <t>Alcremie-Rainbow-Swirl-Ribbon</t>
  </si>
  <si>
    <t>TODO: alcremie-rainbow-swirl-ribbon (image not found)</t>
  </si>
  <si>
    <t>Gigantamax Venusaur</t>
  </si>
  <si>
    <t>Gigantamax Venusaur-F</t>
  </si>
  <si>
    <t>Gigantamax Charizard</t>
  </si>
  <si>
    <t>Gigantamax Blastoise</t>
  </si>
  <si>
    <t>Gigantamax Butterfree</t>
  </si>
  <si>
    <t>Gigantamax Butterfree-F</t>
  </si>
  <si>
    <t>Gigantamax Pikachu</t>
  </si>
  <si>
    <t>Gigantamax Pikachu-F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</si>
  <si>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</si>
  <si>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</si>
  <si>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</si>
  <si>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</si>
  <si>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</si>
  <si>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</si>
  <si>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Eevee-F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</si>
  <si>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</si>
  <si>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</si>
  <si>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</si>
  <si>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</si>
  <si>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</si>
  <si>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</si>
  <si>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</si>
  <si>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</si>
  <si>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</si>
  <si>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</si>
  <si>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</si>
  <si>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</si>
  <si>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</si>
  <si>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</si>
  <si>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</si>
  <si>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</si>
  <si>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</si>
  <si>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</si>
  <si>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</si>
  <si>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</si>
  <si>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</si>
  <si>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</si>
  <si>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</si>
  <si>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</si>
  <si>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</si>
  <si>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</si>
  <si>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</si>
  <si>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</si>
  <si>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</si>
  <si>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</si>
  <si>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</si>
  <si>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</si>
  <si>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</si>
  <si>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</si>
  <si>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</si>
  <si>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</si>
  <si>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</si>
  <si>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</si>
  <si>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</si>
  <si>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</si>
  <si>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</si>
  <si>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</si>
  <si>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</si>
  <si>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</si>
  <si>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</si>
  <si>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</si>
  <si>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</si>
  <si>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</si>
  <si>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</si>
  <si>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TODO: mrmime-galar (image not found)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</si>
  <si>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</si>
  <si>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</si>
  <si>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</si>
  <si>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</si>
  <si>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</si>
  <si>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</si>
  <si>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</si>
  <si>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</si>
  <si>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</si>
  <si>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TODO: darmanitan-galar (image not found)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</si>
  <si>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</si>
  <si>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</si>
  <si>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</si>
  <si>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</si>
  <si>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</si>
  <si>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</si>
  <si>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</si>
  <si>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</si>
  <si>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</si>
  <si>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</si>
  <si>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</si>
  <si>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</si>
  <si>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</si>
  <si>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</si>
  <si>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</si>
  <si>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</si>
  <si>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</si>
  <si>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</si>
  <si>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</si>
  <si>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</si>
  <si>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</si>
  <si>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</si>
  <si>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</si>
  <si>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</si>
  <si>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</si>
  <si>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</si>
  <si>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</si>
  <si>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</si>
  <si>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</si>
  <si>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</si>
  <si>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</si>
  <si>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</si>
  <si>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</si>
  <si>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</si>
  <si>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</si>
  <si>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</si>
  <si>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</si>
  <si>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</si>
  <si>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</si>
  <si>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</si>
  <si>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</si>
  <si>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</si>
  <si>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</si>
  <si>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</si>
  <si>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</si>
  <si>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</si>
  <si>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</si>
  <si>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</si>
  <si>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</si>
  <si>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</si>
  <si>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</si>
  <si>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</si>
  <si>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</si>
  <si>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</si>
  <si>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</si>
  <si>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</si>
  <si>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</si>
  <si>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</si>
  <si>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TODO: None (image not found)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</si>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</sst>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IMAGE("https://raw.githubusercontent.com/stautonico/pokemon-home-pokedex/main/sprites/porygon-z.png",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0</v>
      </c>
      <c r="C907" s="1" t="s">
        <v>937</v>
      </c>
      <c r="D907" t="s">
        <v>938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0</v>
      </c>
      <c r="C908" s="1" t="s">
        <v>939</v>
      </c>
      <c r="D908" t="s">
        <v>940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0</v>
      </c>
      <c r="C909" s="1" t="s">
        <v>941</v>
      </c>
      <c r="D909" t="s">
        <v>942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0</v>
      </c>
      <c r="C910" s="1" t="s">
        <v>943</v>
      </c>
      <c r="D910" t="s">
        <v>944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0</v>
      </c>
      <c r="C911" s="1" t="s">
        <v>945</v>
      </c>
      <c r="D911" t="s">
        <v>946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0</v>
      </c>
      <c r="C912" s="1" t="s">
        <v>947</v>
      </c>
      <c r="D912" t="s">
        <v>948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0</v>
      </c>
      <c r="C913" s="1" t="s">
        <v>949</v>
      </c>
      <c r="D913" t="s">
        <v>950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0</v>
      </c>
      <c r="C914" s="1" t="s">
        <v>951</v>
      </c>
      <c r="D914" t="s">
        <v>952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0</v>
      </c>
      <c r="C915" s="1" t="s">
        <v>953</v>
      </c>
      <c r="D915" t="s">
        <v>954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0</v>
      </c>
      <c r="C916" s="1" t="s">
        <v>955</v>
      </c>
      <c r="D916" t="s">
        <v>956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0</v>
      </c>
      <c r="C917" s="1" t="s">
        <v>957</v>
      </c>
      <c r="D917" t="s">
        <v>958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0</v>
      </c>
      <c r="C918" s="1" t="s">
        <v>959</v>
      </c>
      <c r="D918" t="s">
        <v>960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0</v>
      </c>
      <c r="C919" s="1" t="s">
        <v>961</v>
      </c>
      <c r="D919" t="s">
        <v>962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0</v>
      </c>
      <c r="C920" s="1" t="s">
        <v>963</v>
      </c>
      <c r="D920" t="s">
        <v>964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0</v>
      </c>
      <c r="C921" s="1" t="s">
        <v>965</v>
      </c>
      <c r="D921" t="s">
        <v>966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0</v>
      </c>
      <c r="C922" s="1" t="s">
        <v>967</v>
      </c>
      <c r="D922" t="s">
        <v>968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0</v>
      </c>
      <c r="C923" s="1" t="s">
        <v>969</v>
      </c>
      <c r="D923" t="s">
        <v>970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0</v>
      </c>
      <c r="C924" s="1" t="s">
        <v>971</v>
      </c>
      <c r="D924" t="s">
        <v>972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0</v>
      </c>
      <c r="C925" s="1" t="s">
        <v>973</v>
      </c>
      <c r="D925" t="s">
        <v>974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0</v>
      </c>
      <c r="C926" s="1" t="s">
        <v>975</v>
      </c>
      <c r="D926" t="s">
        <v>976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0</v>
      </c>
      <c r="C927" s="1" t="s">
        <v>977</v>
      </c>
      <c r="D927" t="s">
        <v>978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0</v>
      </c>
      <c r="C928" s="1" t="s">
        <v>979</v>
      </c>
      <c r="D928" t="s">
        <v>980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0</v>
      </c>
      <c r="C929" s="1" t="s">
        <v>981</v>
      </c>
      <c r="D929" t="s">
        <v>982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0</v>
      </c>
      <c r="C930" s="1" t="s">
        <v>983</v>
      </c>
      <c r="D930" t="s">
        <v>984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0</v>
      </c>
      <c r="C931" s="1" t="s">
        <v>985</v>
      </c>
      <c r="D931" t="s">
        <v>986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0</v>
      </c>
      <c r="C932" s="1" t="s">
        <v>987</v>
      </c>
      <c r="D932" t="s">
        <v>988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0</v>
      </c>
      <c r="C933" s="1" t="s">
        <v>989</v>
      </c>
      <c r="D933" t="s">
        <v>990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0</v>
      </c>
      <c r="C934" s="1" t="s">
        <v>991</v>
      </c>
      <c r="D934" t="s">
        <v>992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0</v>
      </c>
      <c r="C935" s="1" t="s">
        <v>993</v>
      </c>
      <c r="D935" t="s">
        <v>994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0</v>
      </c>
      <c r="C936" s="1" t="s">
        <v>995</v>
      </c>
      <c r="D936" t="s">
        <v>996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0</v>
      </c>
      <c r="C937" s="1" t="s">
        <v>997</v>
      </c>
      <c r="D937" t="s">
        <v>998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0</v>
      </c>
      <c r="C938" s="1" t="s">
        <v>999</v>
      </c>
      <c r="D938" t="s">
        <v>1000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0</v>
      </c>
      <c r="C939" s="1" t="s">
        <v>1001</v>
      </c>
      <c r="D939" t="s">
        <v>1002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0</v>
      </c>
      <c r="C940" s="1" t="s">
        <v>1003</v>
      </c>
      <c r="D940" t="s">
        <v>1004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0</v>
      </c>
      <c r="C941" s="1" t="s">
        <v>1005</v>
      </c>
      <c r="D941" t="s">
        <v>1006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0</v>
      </c>
      <c r="C942" s="1" t="s">
        <v>1007</v>
      </c>
      <c r="D942" t="s">
        <v>1008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0</v>
      </c>
      <c r="C943" s="1" t="s">
        <v>1009</v>
      </c>
      <c r="D943" t="s">
        <v>1010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0</v>
      </c>
      <c r="C944" s="1" t="s">
        <v>1011</v>
      </c>
      <c r="D944" t="s">
        <v>1012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0</v>
      </c>
      <c r="C945" s="1" t="s">
        <v>1013</v>
      </c>
      <c r="D945" t="s">
        <v>1014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0</v>
      </c>
      <c r="C946" s="1" t="s">
        <v>1015</v>
      </c>
      <c r="D946" t="s">
        <v>1016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0</v>
      </c>
      <c r="C947" s="1" t="s">
        <v>1017</v>
      </c>
      <c r="D947" t="s">
        <v>1018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0</v>
      </c>
      <c r="C948" s="1" t="s">
        <v>1019</v>
      </c>
      <c r="D948" t="s">
        <v>1020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0</v>
      </c>
      <c r="C949" s="1" t="s">
        <v>1021</v>
      </c>
      <c r="D949" t="s">
        <v>1022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0</v>
      </c>
      <c r="C950" s="1" t="s">
        <v>1023</v>
      </c>
      <c r="D950" t="s">
        <v>1024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0</v>
      </c>
      <c r="C951" s="1" t="s">
        <v>1025</v>
      </c>
      <c r="D951" t="s">
        <v>1026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0</v>
      </c>
      <c r="C952" s="1" t="s">
        <v>1027</v>
      </c>
      <c r="D952" t="s">
        <v>1028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0</v>
      </c>
      <c r="C953" s="1" t="s">
        <v>1029</v>
      </c>
      <c r="D953" t="s">
        <v>1030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0</v>
      </c>
      <c r="C954" s="1" t="s">
        <v>1031</v>
      </c>
      <c r="D954" t="s">
        <v>1032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0</v>
      </c>
      <c r="C955" s="1" t="s">
        <v>1033</v>
      </c>
      <c r="D955" t="s">
        <v>1034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0</v>
      </c>
      <c r="C956" s="1" t="s">
        <v>1035</v>
      </c>
      <c r="D956" t="s">
        <v>1036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0</v>
      </c>
      <c r="C957" s="1" t="s">
        <v>1037</v>
      </c>
      <c r="D957" t="s">
        <v>1038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0</v>
      </c>
      <c r="C958" s="1" t="s">
        <v>1039</v>
      </c>
      <c r="D958" t="s">
        <v>1040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0</v>
      </c>
      <c r="C959" s="1" t="s">
        <v>1041</v>
      </c>
      <c r="D959" t="s">
        <v>1042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0</v>
      </c>
      <c r="C960" s="1" t="s">
        <v>1043</v>
      </c>
      <c r="D960" t="s">
        <v>1044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0</v>
      </c>
      <c r="C961" s="1" t="s">
        <v>1045</v>
      </c>
      <c r="D961" t="s">
        <v>1046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0</v>
      </c>
      <c r="C962" s="1" t="s">
        <v>1047</v>
      </c>
      <c r="D962" t="s">
        <v>1048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0</v>
      </c>
      <c r="C963" s="1" t="s">
        <v>1049</v>
      </c>
      <c r="D963" t="s">
        <v>1050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0</v>
      </c>
      <c r="C964" s="1" t="s">
        <v>1051</v>
      </c>
      <c r="D964" t="s">
        <v>1052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0</v>
      </c>
      <c r="C965" s="1" t="s">
        <v>1053</v>
      </c>
      <c r="D965" t="s">
        <v>1054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0</v>
      </c>
      <c r="C966" s="1" t="s">
        <v>1055</v>
      </c>
      <c r="D966" t="s">
        <v>1056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0</v>
      </c>
      <c r="C967" s="1" t="s">
        <v>1057</v>
      </c>
      <c r="D967" t="s">
        <v>1058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0</v>
      </c>
      <c r="C968" s="1" t="s">
        <v>1059</v>
      </c>
      <c r="D968" t="s">
        <v>1060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0</v>
      </c>
      <c r="C969" s="1" t="s">
        <v>1061</v>
      </c>
      <c r="D969" t="s">
        <v>1062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0</v>
      </c>
      <c r="C970" s="1" t="s">
        <v>1063</v>
      </c>
      <c r="D970" t="s">
        <v>1064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0</v>
      </c>
      <c r="C971" s="1" t="s">
        <v>1065</v>
      </c>
      <c r="D971" t="s">
        <v>1066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0</v>
      </c>
      <c r="C972" s="1" t="s">
        <v>1067</v>
      </c>
      <c r="D972" t="s">
        <v>1068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0</v>
      </c>
      <c r="C973" s="1" t="s">
        <v>1069</v>
      </c>
      <c r="D973" t="s">
        <v>1070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0</v>
      </c>
      <c r="C974" s="1" t="s">
        <v>1071</v>
      </c>
      <c r="D974" t="s">
        <v>1072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0</v>
      </c>
      <c r="C975" s="1" t="s">
        <v>1073</v>
      </c>
      <c r="D975" t="s">
        <v>1074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0</v>
      </c>
      <c r="C976" s="1" t="s">
        <v>1075</v>
      </c>
      <c r="D976" t="s">
        <v>1076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0</v>
      </c>
      <c r="C977" s="1" t="s">
        <v>1077</v>
      </c>
      <c r="D977" t="s">
        <v>1078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0</v>
      </c>
      <c r="C978" s="1" t="s">
        <v>1079</v>
      </c>
      <c r="D978" t="s">
        <v>1080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0</v>
      </c>
      <c r="C979" s="1" t="s">
        <v>1081</v>
      </c>
      <c r="D979" t="s">
        <v>1082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0</v>
      </c>
      <c r="C980" s="1" t="s">
        <v>1083</v>
      </c>
      <c r="D980" t="s">
        <v>1084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0</v>
      </c>
      <c r="C981" s="1" t="s">
        <v>1085</v>
      </c>
      <c r="D981" t="s">
        <v>1086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0</v>
      </c>
      <c r="C982" s="1" t="s">
        <v>1087</v>
      </c>
      <c r="D982" t="s">
        <v>1088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0</v>
      </c>
      <c r="C983" s="1" t="s">
        <v>1089</v>
      </c>
      <c r="D983" t="s">
        <v>1090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0</v>
      </c>
      <c r="C984" s="1" t="s">
        <v>1091</v>
      </c>
      <c r="D984" t="s">
        <v>1092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0</v>
      </c>
      <c r="C985" s="1" t="s">
        <v>1093</v>
      </c>
      <c r="D985" t="s">
        <v>1094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0</v>
      </c>
      <c r="C986" s="1" t="s">
        <v>1095</v>
      </c>
      <c r="D986" t="s">
        <v>1096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0</v>
      </c>
      <c r="C987" s="1" t="s">
        <v>1097</v>
      </c>
      <c r="D987" t="s">
        <v>1098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0</v>
      </c>
      <c r="C988" s="1" t="s">
        <v>1099</v>
      </c>
      <c r="D988" t="s">
        <v>1100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0</v>
      </c>
      <c r="C989" s="1" t="s">
        <v>1101</v>
      </c>
      <c r="D989" t="s">
        <v>1102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0</v>
      </c>
      <c r="C990" s="1" t="s">
        <v>1103</v>
      </c>
      <c r="D990" t="s">
        <v>1104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0</v>
      </c>
      <c r="C991" s="1" t="s">
        <v>1105</v>
      </c>
      <c r="D991" t="s">
        <v>1106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0</v>
      </c>
      <c r="C992" s="1" t="s">
        <v>1107</v>
      </c>
      <c r="D992" t="s">
        <v>1108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0</v>
      </c>
      <c r="C993" s="1" t="s">
        <v>1109</v>
      </c>
      <c r="D993" t="s">
        <v>1110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0</v>
      </c>
      <c r="C994" s="1" t="s">
        <v>1111</v>
      </c>
      <c r="D994" t="s">
        <v>1112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0</v>
      </c>
      <c r="C995" s="1" t="s">
        <v>1113</v>
      </c>
      <c r="D995" t="s">
        <v>1114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0</v>
      </c>
      <c r="C996" s="1" t="s">
        <v>1115</v>
      </c>
      <c r="D996" t="s">
        <v>1116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0</v>
      </c>
      <c r="C997" s="1" t="s">
        <v>1117</v>
      </c>
      <c r="D997" t="s">
        <v>1118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0</v>
      </c>
      <c r="C998" s="1" t="s">
        <v>1119</v>
      </c>
      <c r="D998" t="s">
        <v>1120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0</v>
      </c>
      <c r="C999" s="1" t="s">
        <v>1121</v>
      </c>
      <c r="D999" t="s">
        <v>1122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0</v>
      </c>
      <c r="C1000" s="1" t="s">
        <v>1123</v>
      </c>
      <c r="D1000" t="s">
        <v>1124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0</v>
      </c>
      <c r="C1001" s="1" t="s">
        <v>1125</v>
      </c>
      <c r="D1001" t="s">
        <v>1126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0</v>
      </c>
      <c r="C1002" s="1" t="s">
        <v>1127</v>
      </c>
      <c r="D1002" t="s">
        <v>1128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0</v>
      </c>
      <c r="C1003" s="1" t="s">
        <v>1129</v>
      </c>
      <c r="D1003" t="s">
        <v>1130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0</v>
      </c>
      <c r="C1004" s="1" t="s">
        <v>1131</v>
      </c>
      <c r="D1004" t="s">
        <v>1132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0</v>
      </c>
      <c r="C1005" s="1" t="s">
        <v>1133</v>
      </c>
      <c r="D1005" t="s">
        <v>1134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0</v>
      </c>
      <c r="C1006" s="1" t="s">
        <v>1135</v>
      </c>
      <c r="D1006" t="s">
        <v>1136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0</v>
      </c>
      <c r="C1007" s="1" t="s">
        <v>1137</v>
      </c>
      <c r="D1007" t="s">
        <v>1138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0</v>
      </c>
      <c r="C1008" s="1" t="s">
        <v>1139</v>
      </c>
      <c r="D1008" t="s">
        <v>1140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0</v>
      </c>
      <c r="C1009" s="1" t="s">
        <v>1141</v>
      </c>
      <c r="D1009" t="s">
        <v>1142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0</v>
      </c>
      <c r="C1010" s="1" t="s">
        <v>1143</v>
      </c>
      <c r="D1010" t="s">
        <v>1144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0</v>
      </c>
      <c r="C1011" s="1" t="s">
        <v>1145</v>
      </c>
      <c r="D1011" t="s">
        <v>1146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0</v>
      </c>
      <c r="C1012" s="1" t="s">
        <v>1147</v>
      </c>
      <c r="D1012" t="s">
        <v>1148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0</v>
      </c>
      <c r="C1013" s="1" t="s">
        <v>1149</v>
      </c>
      <c r="D1013" t="s">
        <v>1150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0</v>
      </c>
      <c r="C1014" s="1" t="s">
        <v>1151</v>
      </c>
      <c r="D1014" t="s">
        <v>1152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0</v>
      </c>
      <c r="C1015" s="1" t="s">
        <v>1153</v>
      </c>
      <c r="D1015" t="s">
        <v>1154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0</v>
      </c>
      <c r="C1016" s="1" t="s">
        <v>1155</v>
      </c>
      <c r="D1016" t="s">
        <v>1156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0</v>
      </c>
      <c r="C1017" s="1" t="s">
        <v>1157</v>
      </c>
      <c r="D1017">
        <f>IMAGE("https://raw.githubusercontent.com/stautonico/pokemon-home-pokedex/main/sprites/unown-b.png", 2)</f>
        <v>0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0</v>
      </c>
      <c r="C1018" s="1" t="s">
        <v>1158</v>
      </c>
      <c r="D1018">
        <f>IMAGE("https://raw.githubusercontent.com/stautonico/pokemon-home-pokedex/main/sprites/unown-c.png", 2)</f>
        <v>0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0</v>
      </c>
      <c r="C1019" s="1" t="s">
        <v>1159</v>
      </c>
      <c r="D1019">
        <f>IMAGE("https://raw.githubusercontent.com/stautonico/pokemon-home-pokedex/main/sprites/unown-d.png", 2)</f>
        <v>0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0</v>
      </c>
      <c r="C1020" s="1" t="s">
        <v>1160</v>
      </c>
      <c r="D1020">
        <f>IMAGE("https://raw.githubusercontent.com/stautonico/pokemon-home-pokedex/main/sprites/unown-e.png", 2)</f>
        <v>0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0</v>
      </c>
      <c r="C1021" s="1" t="s">
        <v>1161</v>
      </c>
      <c r="D1021">
        <f>IMAGE("https://raw.githubusercontent.com/stautonico/pokemon-home-pokedex/main/sprites/unown-f.png", 2)</f>
        <v>0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0</v>
      </c>
      <c r="C1022" s="1" t="s">
        <v>1162</v>
      </c>
      <c r="D1022">
        <f>IMAGE("https://raw.githubusercontent.com/stautonico/pokemon-home-pokedex/main/sprites/unown-g.png", 2)</f>
        <v>0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0</v>
      </c>
      <c r="C1023" s="1" t="s">
        <v>1163</v>
      </c>
      <c r="D1023">
        <f>IMAGE("https://raw.githubusercontent.com/stautonico/pokemon-home-pokedex/main/sprites/unown-h.png", 2)</f>
        <v>0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0</v>
      </c>
      <c r="C1024" s="1" t="s">
        <v>1164</v>
      </c>
      <c r="D1024">
        <f>IMAGE("https://raw.githubusercontent.com/stautonico/pokemon-home-pokedex/main/sprites/unown-i.png", 2)</f>
        <v>0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0</v>
      </c>
      <c r="C1025" s="1" t="s">
        <v>1165</v>
      </c>
      <c r="D1025">
        <f>IMAGE("https://raw.githubusercontent.com/stautonico/pokemon-home-pokedex/main/sprites/unown-j.png", 2)</f>
        <v>0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0</v>
      </c>
      <c r="C1026" s="1" t="s">
        <v>1166</v>
      </c>
      <c r="D1026">
        <f>IMAGE("https://raw.githubusercontent.com/stautonico/pokemon-home-pokedex/main/sprites/unown-k.png", 2)</f>
        <v>0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0</v>
      </c>
      <c r="C1027" s="1" t="s">
        <v>1167</v>
      </c>
      <c r="D1027">
        <f>IMAGE("https://raw.githubusercontent.com/stautonico/pokemon-home-pokedex/main/sprites/unown-l.png", 2)</f>
        <v>0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0</v>
      </c>
      <c r="C1028" s="1" t="s">
        <v>1168</v>
      </c>
      <c r="D1028">
        <f>IMAGE("https://raw.githubusercontent.com/stautonico/pokemon-home-pokedex/main/sprites/unown-m.png", 2)</f>
        <v>0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0</v>
      </c>
      <c r="C1029" s="1" t="s">
        <v>1169</v>
      </c>
      <c r="D1029">
        <f>IMAGE("https://raw.githubusercontent.com/stautonico/pokemon-home-pokedex/main/sprites/unown-n.png", 2)</f>
        <v>0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0</v>
      </c>
      <c r="C1030" s="1" t="s">
        <v>1170</v>
      </c>
      <c r="D1030">
        <f>IMAGE("https://raw.githubusercontent.com/stautonico/pokemon-home-pokedex/main/sprites/unown-o.png", 2)</f>
        <v>0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0</v>
      </c>
      <c r="C1031" s="1" t="s">
        <v>1171</v>
      </c>
      <c r="D1031">
        <f>IMAGE("https://raw.githubusercontent.com/stautonico/pokemon-home-pokedex/main/sprites/unown-p.png", 2)</f>
        <v>0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0</v>
      </c>
      <c r="C1032" s="1" t="s">
        <v>1172</v>
      </c>
      <c r="D1032">
        <f>IMAGE("https://raw.githubusercontent.com/stautonico/pokemon-home-pokedex/main/sprites/unown-q.png", 2)</f>
        <v>0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0</v>
      </c>
      <c r="C1033" s="1" t="s">
        <v>1173</v>
      </c>
      <c r="D1033">
        <f>IMAGE("https://raw.githubusercontent.com/stautonico/pokemon-home-pokedex/main/sprites/unown-r.png", 2)</f>
        <v>0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0</v>
      </c>
      <c r="C1034" s="1" t="s">
        <v>1174</v>
      </c>
      <c r="D1034">
        <f>IMAGE("https://raw.githubusercontent.com/stautonico/pokemon-home-pokedex/main/sprites/unown-s.png", 2)</f>
        <v>0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0</v>
      </c>
      <c r="C1035" s="1" t="s">
        <v>1175</v>
      </c>
      <c r="D1035">
        <f>IMAGE("https://raw.githubusercontent.com/stautonico/pokemon-home-pokedex/main/sprites/unown-t.png", 2)</f>
        <v>0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0</v>
      </c>
      <c r="C1036" s="1" t="s">
        <v>1176</v>
      </c>
      <c r="D1036">
        <f>IMAGE("https://raw.githubusercontent.com/stautonico/pokemon-home-pokedex/main/sprites/unown-u.png", 2)</f>
        <v>0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0</v>
      </c>
      <c r="C1037" s="1" t="s">
        <v>1177</v>
      </c>
      <c r="D1037">
        <f>IMAGE("https://raw.githubusercontent.com/stautonico/pokemon-home-pokedex/main/sprites/unown-v.png", 2)</f>
        <v>0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0</v>
      </c>
      <c r="C1038" s="1" t="s">
        <v>1178</v>
      </c>
      <c r="D1038">
        <f>IMAGE("https://raw.githubusercontent.com/stautonico/pokemon-home-pokedex/main/sprites/unown-w.png", 2)</f>
        <v>0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0</v>
      </c>
      <c r="C1039" s="1" t="s">
        <v>1179</v>
      </c>
      <c r="D1039">
        <f>IMAGE("https://raw.githubusercontent.com/stautonico/pokemon-home-pokedex/main/sprites/unown-x.png", 2)</f>
        <v>0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0</v>
      </c>
      <c r="C1040" s="1" t="s">
        <v>1180</v>
      </c>
      <c r="D1040">
        <f>IMAGE("https://raw.githubusercontent.com/stautonico/pokemon-home-pokedex/main/sprites/unown-y.png", 2)</f>
        <v>0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0</v>
      </c>
      <c r="C1041" s="1" t="s">
        <v>1181</v>
      </c>
      <c r="D1041">
        <f>IMAGE("https://raw.githubusercontent.com/stautonico/pokemon-home-pokedex/main/sprites/unown-z.png", 2)</f>
        <v>0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0</v>
      </c>
      <c r="C1042" s="1" t="s">
        <v>1182</v>
      </c>
      <c r="D1042">
        <f>IMAGE("https://raw.githubusercontent.com/stautonico/pokemon-home-pokedex/main/sprites/unown-exclamation.png", 2)</f>
        <v>0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0</v>
      </c>
      <c r="C1043" s="1" t="s">
        <v>1183</v>
      </c>
      <c r="D1043">
        <f>IMAGE("https://raw.githubusercontent.com/stautonico/pokemon-home-pokedex/main/sprites/unown-question.png", 2)</f>
        <v>0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1184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1185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1186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0</v>
      </c>
      <c r="C1047" s="1" t="s">
        <v>1187</v>
      </c>
      <c r="D1047">
        <f>IMAGE("https://raw.githubusercontent.com/stautonico/pokemon-home-pokedex/main/sprites/burmy-sandy.png", 2)</f>
        <v>0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0</v>
      </c>
      <c r="C1048" s="1" t="s">
        <v>1188</v>
      </c>
      <c r="D1048">
        <f>IMAGE("https://raw.githubusercontent.com/stautonico/pokemon-home-pokedex/main/sprites/burmy-trash.png", 2)</f>
        <v>0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1189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1190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0</v>
      </c>
      <c r="C1051" s="1" t="s">
        <v>1191</v>
      </c>
      <c r="D1051">
        <f>IMAGE("https://raw.githubusercontent.com/stautonico/pokemon-home-pokedex/main/sprites/shellos-east.png", 2)</f>
        <v>0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0</v>
      </c>
      <c r="C1052" s="1" t="s">
        <v>1192</v>
      </c>
      <c r="D1052">
        <f>IMAGE("https://raw.githubusercontent.com/stautonico/pokemon-home-pokedex/main/sprites/gastrodon-east.png", 2)</f>
        <v>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1193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1194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1195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1196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1197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1198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0</v>
      </c>
      <c r="C1059" s="1" t="s">
        <v>1199</v>
      </c>
      <c r="D1059">
        <f>IMAGE("https://raw.githubusercontent.com/stautonico/pokemon-home-pokedex/main/sprites/deerling-summer.png",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0</v>
      </c>
      <c r="C1060" s="1" t="s">
        <v>1200</v>
      </c>
      <c r="D1060">
        <f>IMAGE("https://raw.githubusercontent.com/stautonico/pokemon-home-pokedex/main/sprites/deerling-autumn.png",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0</v>
      </c>
      <c r="C1061" s="1" t="s">
        <v>1201</v>
      </c>
      <c r="D1061">
        <f>IMAGE("https://raw.githubusercontent.com/stautonico/pokemon-home-pokedex/main/sprites/deerling-winter.png",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0</v>
      </c>
      <c r="C1062" s="1" t="s">
        <v>1202</v>
      </c>
      <c r="D1062">
        <f>IMAGE("https://raw.githubusercontent.com/stautonico/pokemon-home-pokedex/main/sprites/sawsbuck-summer.png",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0</v>
      </c>
      <c r="C1063" s="1" t="s">
        <v>1203</v>
      </c>
      <c r="D1063">
        <f>IMAGE("https://raw.githubusercontent.com/stautonico/pokemon-home-pokedex/main/sprites/sawsbuck-autumn.png",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0</v>
      </c>
      <c r="C1064" s="1" t="s">
        <v>1204</v>
      </c>
      <c r="D1064">
        <f>IMAGE("https://raw.githubusercontent.com/stautonico/pokemon-home-pokedex/main/sprites/sawsbuck-winter.png",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1205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1206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1207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1208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1209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1210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1211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1212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1213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1214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1215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0</v>
      </c>
      <c r="C1076" s="1" t="s">
        <v>1216</v>
      </c>
      <c r="D1076">
        <f>IMAGE("https://raw.githubusercontent.com/stautonico/pokemon-home-pokedex/main/sprites/furfrou-heart.png",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0</v>
      </c>
      <c r="C1077" s="1" t="s">
        <v>1217</v>
      </c>
      <c r="D1077">
        <f>IMAGE("https://raw.githubusercontent.com/stautonico/pokemon-home-pokedex/main/sprites/furfrou-star.png",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0</v>
      </c>
      <c r="C1078" s="1" t="s">
        <v>1218</v>
      </c>
      <c r="D1078">
        <f>IMAGE("https://raw.githubusercontent.com/stautonico/pokemon-home-pokedex/main/sprites/furfrou-diamond.png",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0</v>
      </c>
      <c r="C1079" s="1" t="s">
        <v>1219</v>
      </c>
      <c r="D1079">
        <f>IMAGE("https://raw.githubusercontent.com/stautonico/pokemon-home-pokedex/main/sprites/furfrou-debutante.png",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0</v>
      </c>
      <c r="C1080" s="1" t="s">
        <v>1220</v>
      </c>
      <c r="D1080">
        <f>IMAGE("https://raw.githubusercontent.com/stautonico/pokemon-home-pokedex/main/sprites/furfrou-matron.png",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0</v>
      </c>
      <c r="C1081" s="1" t="s">
        <v>1221</v>
      </c>
      <c r="D1081">
        <f>IMAGE("https://raw.githubusercontent.com/stautonico/pokemon-home-pokedex/main/sprites/furfrou-dandy.png",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0</v>
      </c>
      <c r="C1082" s="1" t="s">
        <v>1222</v>
      </c>
      <c r="D1082">
        <f>IMAGE("https://raw.githubusercontent.com/stautonico/pokemon-home-pokedex/main/sprites/furfrou-la-reine.png",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0</v>
      </c>
      <c r="C1083" s="1" t="s">
        <v>1223</v>
      </c>
      <c r="D1083">
        <f>IMAGE("https://raw.githubusercontent.com/stautonico/pokemon-home-pokedex/main/sprites/furfrou-kabuki.png",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0</v>
      </c>
      <c r="C1084" s="1" t="s">
        <v>1224</v>
      </c>
      <c r="D1084" t="s">
        <v>1225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0</v>
      </c>
      <c r="C1085" s="1" t="s">
        <v>1226</v>
      </c>
      <c r="D1085" t="s">
        <v>1227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0</v>
      </c>
      <c r="C1086" s="1" t="s">
        <v>1228</v>
      </c>
      <c r="D1086" t="s">
        <v>1229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0</v>
      </c>
      <c r="C1087" s="1" t="s">
        <v>1230</v>
      </c>
      <c r="D1087" t="s">
        <v>1231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0</v>
      </c>
      <c r="C1088" s="1" t="s">
        <v>1232</v>
      </c>
      <c r="D1088" t="s">
        <v>1233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0</v>
      </c>
      <c r="C1089" s="1" t="s">
        <v>1234</v>
      </c>
      <c r="D1089" t="s">
        <v>1235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0</v>
      </c>
      <c r="C1090" s="1" t="s">
        <v>1236</v>
      </c>
      <c r="D1090" t="s">
        <v>1237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0</v>
      </c>
      <c r="C1091" s="1" t="s">
        <v>1238</v>
      </c>
      <c r="D1091" t="s">
        <v>1239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0</v>
      </c>
      <c r="C1092" s="1" t="s">
        <v>1240</v>
      </c>
      <c r="D1092" t="s">
        <v>1241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0</v>
      </c>
      <c r="C1093" s="1" t="s">
        <v>1242</v>
      </c>
      <c r="D1093" t="s">
        <v>1243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0</v>
      </c>
      <c r="C1094" s="1" t="s">
        <v>1244</v>
      </c>
      <c r="D1094" t="s">
        <v>1245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0</v>
      </c>
      <c r="C1095" s="1" t="s">
        <v>1246</v>
      </c>
      <c r="D1095" t="s">
        <v>1247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0</v>
      </c>
      <c r="C1096" s="1" t="s">
        <v>1248</v>
      </c>
      <c r="D1096" t="s">
        <v>1249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1250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0</v>
      </c>
      <c r="C1098" s="1" t="s">
        <v>1251</v>
      </c>
      <c r="D1098" t="s">
        <v>1252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1253</v>
      </c>
      <c r="D1099" t="s">
        <v>1254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0</v>
      </c>
      <c r="C1100" s="1" t="s">
        <v>1255</v>
      </c>
      <c r="D1100" t="s">
        <v>1256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0</v>
      </c>
      <c r="C1101" s="1" t="s">
        <v>1257</v>
      </c>
      <c r="D1101" t="s">
        <v>1258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0</v>
      </c>
      <c r="C1102" s="1" t="s">
        <v>1259</v>
      </c>
      <c r="D1102" t="s">
        <v>1260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0</v>
      </c>
      <c r="C1103" s="1" t="s">
        <v>1261</v>
      </c>
      <c r="D1103" t="s">
        <v>1262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0</v>
      </c>
      <c r="C1104" s="1" t="s">
        <v>1263</v>
      </c>
      <c r="D1104" t="s">
        <v>1264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0</v>
      </c>
      <c r="C1105" s="1" t="s">
        <v>1265</v>
      </c>
      <c r="D1105" t="s">
        <v>1266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0</v>
      </c>
      <c r="C1106" s="1" t="s">
        <v>1267</v>
      </c>
      <c r="D1106" t="s">
        <v>1268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0</v>
      </c>
      <c r="C1107" s="1" t="s">
        <v>1269</v>
      </c>
      <c r="D1107" t="s">
        <v>1270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0</v>
      </c>
      <c r="C1108" s="1" t="s">
        <v>1271</v>
      </c>
      <c r="D1108" t="s">
        <v>1272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0</v>
      </c>
      <c r="C1109" s="1" t="s">
        <v>1273</v>
      </c>
      <c r="D1109" t="s">
        <v>1274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0</v>
      </c>
      <c r="C1110" s="1" t="s">
        <v>1275</v>
      </c>
      <c r="D1110" t="s">
        <v>1276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0</v>
      </c>
      <c r="C1111" s="1" t="s">
        <v>1277</v>
      </c>
      <c r="D1111" t="s">
        <v>1278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0</v>
      </c>
      <c r="C1112" s="1" t="s">
        <v>1279</v>
      </c>
      <c r="D1112" t="s">
        <v>1280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0</v>
      </c>
      <c r="C1113" s="1" t="s">
        <v>1281</v>
      </c>
      <c r="D1113" t="s">
        <v>1282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0</v>
      </c>
      <c r="C1114" s="1" t="s">
        <v>1283</v>
      </c>
      <c r="D1114" t="s">
        <v>1284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0</v>
      </c>
      <c r="C1115" s="1" t="s">
        <v>1285</v>
      </c>
      <c r="D1115" t="s">
        <v>1286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0</v>
      </c>
      <c r="C1116" s="1" t="s">
        <v>1287</v>
      </c>
      <c r="D1116" t="s">
        <v>1288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0</v>
      </c>
      <c r="C1117" s="1" t="s">
        <v>1289</v>
      </c>
      <c r="D1117" t="s">
        <v>1290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0</v>
      </c>
      <c r="C1118" s="1" t="s">
        <v>1291</v>
      </c>
      <c r="D1118" t="s">
        <v>1292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0</v>
      </c>
      <c r="C1119" s="1" t="s">
        <v>1293</v>
      </c>
      <c r="D1119" t="s">
        <v>1294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0</v>
      </c>
      <c r="C1120" s="1" t="s">
        <v>1295</v>
      </c>
      <c r="D1120" t="s">
        <v>1296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1297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1298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0</v>
      </c>
      <c r="C1124" s="1" t="s">
        <v>1299</v>
      </c>
      <c r="D1124" t="s">
        <v>1300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1301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1302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1303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1304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1305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1306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1307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1308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1309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1310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0</v>
      </c>
      <c r="C1135" s="1" t="s">
        <v>1311</v>
      </c>
      <c r="D1135" t="s">
        <v>1312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0</v>
      </c>
      <c r="C1136" s="1" t="s">
        <v>1313</v>
      </c>
      <c r="D1136" t="s">
        <v>1314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1315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1316</v>
      </c>
      <c r="D1138" t="s">
        <v>1317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1318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0</v>
      </c>
      <c r="C1140" s="1" t="s">
        <v>1319</v>
      </c>
      <c r="D1140" t="s">
        <v>1320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0</v>
      </c>
      <c r="C1141" s="1" t="s">
        <v>1321</v>
      </c>
      <c r="D1141" t="s">
        <v>1322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0</v>
      </c>
      <c r="C1142" s="1" t="s">
        <v>1323</v>
      </c>
      <c r="D1142" t="s">
        <v>1324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0</v>
      </c>
      <c r="C1143" s="1" t="s">
        <v>1325</v>
      </c>
      <c r="D1143" t="s">
        <v>1326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0</v>
      </c>
      <c r="C1144" s="1" t="s">
        <v>1327</v>
      </c>
      <c r="D1144" t="s">
        <v>1328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0</v>
      </c>
      <c r="C1145" s="1" t="s">
        <v>1329</v>
      </c>
      <c r="D1145" t="s">
        <v>1330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0</v>
      </c>
      <c r="C1146" s="1" t="s">
        <v>1331</v>
      </c>
      <c r="D1146" t="s">
        <v>1332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0</v>
      </c>
      <c r="C1147" s="1" t="s">
        <v>1333</v>
      </c>
      <c r="D1147" t="s">
        <v>1334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0</v>
      </c>
      <c r="C1148" s="1" t="s">
        <v>1335</v>
      </c>
      <c r="D1148" t="s">
        <v>1336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0</v>
      </c>
      <c r="C1149" s="1" t="s">
        <v>1337</v>
      </c>
      <c r="D1149" t="s">
        <v>1338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0</v>
      </c>
      <c r="C1150" s="1" t="s">
        <v>1339</v>
      </c>
      <c r="D1150" t="s">
        <v>1340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0</v>
      </c>
      <c r="C1151" s="1" t="s">
        <v>1341</v>
      </c>
      <c r="D1151" t="s">
        <v>1342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0</v>
      </c>
      <c r="C1152" s="1" t="s">
        <v>1343</v>
      </c>
      <c r="D1152" t="s">
        <v>1344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0</v>
      </c>
      <c r="C1153" s="1" t="s">
        <v>1345</v>
      </c>
      <c r="D1153" t="s">
        <v>1346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0</v>
      </c>
      <c r="C1154" s="1" t="s">
        <v>1347</v>
      </c>
      <c r="D1154" t="s">
        <v>1348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0</v>
      </c>
      <c r="C1155" s="1" t="s">
        <v>1349</v>
      </c>
      <c r="D1155" t="s">
        <v>1350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0</v>
      </c>
      <c r="C1156" s="1" t="s">
        <v>1351</v>
      </c>
      <c r="D1156" t="s">
        <v>1352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0</v>
      </c>
      <c r="C1157" s="1" t="s">
        <v>1353</v>
      </c>
      <c r="D1157" t="s">
        <v>1354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0</v>
      </c>
      <c r="C1158" s="1" t="s">
        <v>1355</v>
      </c>
      <c r="D1158" t="s">
        <v>1356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0</v>
      </c>
      <c r="C1159" s="1" t="s">
        <v>1357</v>
      </c>
      <c r="D1159" t="s">
        <v>1358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0</v>
      </c>
      <c r="C1160" s="1" t="s">
        <v>1359</v>
      </c>
      <c r="D1160" t="s">
        <v>1360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0</v>
      </c>
      <c r="C1161" s="1" t="s">
        <v>1361</v>
      </c>
      <c r="D1161" t="s">
        <v>1362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0</v>
      </c>
      <c r="C1162" s="1" t="s">
        <v>1363</v>
      </c>
      <c r="D1162" t="s">
        <v>1364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0</v>
      </c>
      <c r="C1163" s="1" t="s">
        <v>1365</v>
      </c>
      <c r="D1163" t="s">
        <v>1366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0</v>
      </c>
      <c r="C1164" s="1" t="s">
        <v>1367</v>
      </c>
      <c r="D1164" t="s">
        <v>1368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0</v>
      </c>
      <c r="C1165" s="1" t="s">
        <v>1369</v>
      </c>
      <c r="D1165" t="s">
        <v>1370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0</v>
      </c>
      <c r="C1166" s="1" t="s">
        <v>1371</v>
      </c>
      <c r="D1166" t="s">
        <v>1372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0</v>
      </c>
      <c r="C1167" s="1" t="s">
        <v>1373</v>
      </c>
      <c r="D1167" t="s">
        <v>1374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0</v>
      </c>
      <c r="C1168" s="1" t="s">
        <v>1375</v>
      </c>
      <c r="D1168" t="s">
        <v>1376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0</v>
      </c>
      <c r="C1169" s="1" t="s">
        <v>1377</v>
      </c>
      <c r="D1169" t="s">
        <v>1378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0</v>
      </c>
      <c r="C1170" s="1" t="s">
        <v>1379</v>
      </c>
      <c r="D1170" t="s">
        <v>1380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0</v>
      </c>
      <c r="C1171" s="1" t="s">
        <v>1381</v>
      </c>
      <c r="D1171" t="s">
        <v>1382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0</v>
      </c>
      <c r="C1172" s="1" t="s">
        <v>1383</v>
      </c>
      <c r="D1172" t="s">
        <v>1384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0</v>
      </c>
      <c r="C1173" s="1" t="s">
        <v>1385</v>
      </c>
      <c r="D1173" t="s">
        <v>1386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0</v>
      </c>
      <c r="C1174" s="1" t="s">
        <v>1387</v>
      </c>
      <c r="D1174" t="s">
        <v>1388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0</v>
      </c>
      <c r="C1175" s="1" t="s">
        <v>1389</v>
      </c>
      <c r="D1175" t="s">
        <v>1390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0</v>
      </c>
      <c r="C1176" s="1" t="s">
        <v>1391</v>
      </c>
      <c r="D1176" t="s">
        <v>1392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0</v>
      </c>
      <c r="C1177" s="1" t="s">
        <v>1393</v>
      </c>
      <c r="D1177" t="s">
        <v>1394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0</v>
      </c>
      <c r="C1178" s="1" t="s">
        <v>1395</v>
      </c>
      <c r="D1178" t="s">
        <v>1396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0</v>
      </c>
      <c r="C1179" s="1" t="s">
        <v>1397</v>
      </c>
      <c r="D1179" t="s">
        <v>1398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0</v>
      </c>
      <c r="C1180" s="1" t="s">
        <v>1399</v>
      </c>
      <c r="D1180" t="s">
        <v>1400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0</v>
      </c>
      <c r="C1181" s="1" t="s">
        <v>1401</v>
      </c>
      <c r="D1181" t="s">
        <v>1402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0</v>
      </c>
      <c r="C1182" s="1" t="s">
        <v>1403</v>
      </c>
      <c r="D1182" t="s">
        <v>1404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0</v>
      </c>
      <c r="C1183" s="1" t="s">
        <v>1405</v>
      </c>
      <c r="D1183" t="s">
        <v>1406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0</v>
      </c>
      <c r="C1184" s="1" t="s">
        <v>1407</v>
      </c>
      <c r="D1184" t="s">
        <v>1408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0</v>
      </c>
      <c r="C1185" s="1" t="s">
        <v>1409</v>
      </c>
      <c r="D1185" t="s">
        <v>1410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0</v>
      </c>
      <c r="C1186" s="1" t="s">
        <v>1411</v>
      </c>
      <c r="D1186" t="s">
        <v>1412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0</v>
      </c>
      <c r="C1187" s="1" t="s">
        <v>1413</v>
      </c>
      <c r="D1187" t="s">
        <v>1414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0</v>
      </c>
      <c r="C1188" s="1" t="s">
        <v>1415</v>
      </c>
      <c r="D1188" t="s">
        <v>1416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0</v>
      </c>
      <c r="C1189" s="1" t="s">
        <v>1417</v>
      </c>
      <c r="D1189" t="s">
        <v>1418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0</v>
      </c>
      <c r="C1190" s="1" t="s">
        <v>1419</v>
      </c>
      <c r="D1190" t="s">
        <v>1420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0</v>
      </c>
      <c r="C1191" s="1" t="s">
        <v>1421</v>
      </c>
      <c r="D1191" t="s">
        <v>1422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0</v>
      </c>
      <c r="C1192" s="1" t="s">
        <v>1423</v>
      </c>
      <c r="D1192" t="s">
        <v>1424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0</v>
      </c>
      <c r="C1193" s="1" t="s">
        <v>1425</v>
      </c>
      <c r="D1193" t="s">
        <v>1426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0</v>
      </c>
      <c r="C1194" s="1" t="s">
        <v>1427</v>
      </c>
      <c r="D1194" t="s">
        <v>1428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0</v>
      </c>
      <c r="C1195" s="1" t="s">
        <v>1429</v>
      </c>
      <c r="D1195" t="s">
        <v>1430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0</v>
      </c>
      <c r="C1196" s="1" t="s">
        <v>1431</v>
      </c>
      <c r="D1196" t="s">
        <v>1432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0</v>
      </c>
      <c r="C1197" s="1" t="s">
        <v>1433</v>
      </c>
      <c r="D1197" t="s">
        <v>1434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0</v>
      </c>
      <c r="C1198" s="1" t="s">
        <v>1435</v>
      </c>
      <c r="D1198" t="s">
        <v>1436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0</v>
      </c>
      <c r="C1199" s="1" t="s">
        <v>1437</v>
      </c>
      <c r="D1199" t="s">
        <v>1438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0</v>
      </c>
      <c r="C1200" s="1" t="s">
        <v>1439</v>
      </c>
      <c r="D1200" t="s">
        <v>1440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0</v>
      </c>
      <c r="C1201" s="1" t="s">
        <v>1441</v>
      </c>
      <c r="D1201" t="s">
        <v>1442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1443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0</v>
      </c>
      <c r="C1203" s="1" t="s">
        <v>1444</v>
      </c>
      <c r="D1203" t="s">
        <v>938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1445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1446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1447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0</v>
      </c>
      <c r="C1207" s="1" t="s">
        <v>1448</v>
      </c>
      <c r="D1207" t="s">
        <v>940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1449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0</v>
      </c>
      <c r="C1209" s="1" t="s">
        <v>1450</v>
      </c>
      <c r="D1209" t="s">
        <v>946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1451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1452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1453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1454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1455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1456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0</v>
      </c>
      <c r="C1216" s="1" t="s">
        <v>1457</v>
      </c>
      <c r="D1216" t="s">
        <v>982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1458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1459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1460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1461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1462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1463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1464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1465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1466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1467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1468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1469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1470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1471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1472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1473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1474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1475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1476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1477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1478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1479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1480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1481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1482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1483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1484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1485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1486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1487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1488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1489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1490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1491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1492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1493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1494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1495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1496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1497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1498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1499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1500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1501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1502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1503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1504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1505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0</v>
      </c>
      <c r="C1265" s="1" t="s">
        <v>1506</v>
      </c>
      <c r="D1265" t="s">
        <v>1507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1508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1509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1510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1511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1512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1513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1514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1515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0</v>
      </c>
      <c r="C1274" s="1" t="s">
        <v>1516</v>
      </c>
      <c r="D1274" t="s">
        <v>1517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1518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1519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1520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1521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1522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1523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1524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1525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1526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1527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1528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1529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1530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1531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1532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1533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1534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1535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1536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3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1537</v>
      </c>
      <c r="I2" s="37" t="s">
        <v>1538</v>
      </c>
    </row>
    <row r="3" spans="2:14" ht="72" customHeight="1">
      <c r="B3">
        <f>IMAGE("https://raw.githubusercontent.com/stautonico/pokemon-home-pokedex/main/sprites/bulbasaur.png", 2)</f>
        <v>0</v>
      </c>
      <c r="C3">
        <f>IMAGE("https://raw.githubusercontent.com/stautonico/pokemon-home-pokedex/main/sprites/ivysaur.png", 2)</f>
        <v>0</v>
      </c>
      <c r="D3">
        <f>IMAGE("https://raw.githubusercontent.com/stautonico/pokemon-home-pokedex/main/sprites/venusaur.png", 2)</f>
        <v>0</v>
      </c>
      <c r="E3">
        <f>IMAGE("https://raw.githubusercontent.com/stautonico/pokemon-home-pokedex/main/sprites/charmander.png", 2)</f>
        <v>0</v>
      </c>
      <c r="F3">
        <f>IMAGE("https://raw.githubusercontent.com/stautonico/pokemon-home-pokedex/main/sprites/charmeleon.png", 2)</f>
        <v>0</v>
      </c>
      <c r="G3">
        <f>IMAGE("https://raw.githubusercontent.com/stautonico/pokemon-home-pokedex/main/sprites/charizard.png", 2)</f>
        <v>0</v>
      </c>
      <c r="I3">
        <f>IMAGE("https://raw.githubusercontent.com/stautonico/pokemon-home-pokedex/main/sprites/nidoqueen.png", 2)</f>
        <v>0</v>
      </c>
      <c r="J3">
        <f>IMAGE("https://raw.githubusercontent.com/stautonico/pokemon-home-pokedex/main/sprites/nidoran-f.png", 2)</f>
        <v>0</v>
      </c>
      <c r="K3">
        <f>IMAGE("https://raw.githubusercontent.com/stautonico/pokemon-home-pokedex/main/sprites/nidorino.png", 2)</f>
        <v>0</v>
      </c>
      <c r="L3">
        <f>IMAGE("https://raw.githubusercontent.com/stautonico/pokemon-home-pokedex/main/sprites/nidoking.png", 2)</f>
        <v>0</v>
      </c>
      <c r="M3">
        <f>IMAGE("https://raw.githubusercontent.com/stautonico/pokemon-home-pokedex/main/sprites/clefairy.png", 2)</f>
        <v>0</v>
      </c>
      <c r="N3">
        <f>IMAGE("https://raw.githubusercontent.com/stautonico/pokemon-home-pokedex/main/sprites/clefable.png", 2)</f>
        <v>0</v>
      </c>
    </row>
    <row r="4" spans="2:14" ht="72" customHeight="1">
      <c r="B4">
        <f>IMAGE("https://raw.githubusercontent.com/stautonico/pokemon-home-pokedex/main/sprites/squirtle.png", 2)</f>
        <v>0</v>
      </c>
      <c r="C4">
        <f>IMAGE("https://raw.githubusercontent.com/stautonico/pokemon-home-pokedex/main/sprites/wartortle.png", 2)</f>
        <v>0</v>
      </c>
      <c r="D4">
        <f>IMAGE("https://raw.githubusercontent.com/stautonico/pokemon-home-pokedex/main/sprites/blastoise.png", 2)</f>
        <v>0</v>
      </c>
      <c r="E4">
        <f>IMAGE("https://raw.githubusercontent.com/stautonico/pokemon-home-pokedex/main/sprites/caterpie.png", 2)</f>
        <v>0</v>
      </c>
      <c r="F4">
        <f>IMAGE("https://raw.githubusercontent.com/stautonico/pokemon-home-pokedex/main/sprites/metapod.png", 2)</f>
        <v>0</v>
      </c>
      <c r="G4">
        <f>IMAGE("https://raw.githubusercontent.com/stautonico/pokemon-home-pokedex/main/sprites/butterfree.png", 2)</f>
        <v>0</v>
      </c>
      <c r="I4">
        <f>IMAGE("https://raw.githubusercontent.com/stautonico/pokemon-home-pokedex/main/sprites/vulpix.png", 2)</f>
        <v>0</v>
      </c>
      <c r="J4">
        <f>IMAGE("https://raw.githubusercontent.com/stautonico/pokemon-home-pokedex/main/sprites/ninetales.png", 2)</f>
        <v>0</v>
      </c>
      <c r="K4">
        <f>IMAGE("https://raw.githubusercontent.com/stautonico/pokemon-home-pokedex/main/sprites/jigglypuff.png", 2)</f>
        <v>0</v>
      </c>
      <c r="L4">
        <f>IMAGE("https://raw.githubusercontent.com/stautonico/pokemon-home-pokedex/main/sprites/wigglytuff.png", 2)</f>
        <v>0</v>
      </c>
      <c r="M4">
        <f>IMAGE("https://raw.githubusercontent.com/stautonico/pokemon-home-pokedex/main/sprites/zubat.png", 2)</f>
        <v>0</v>
      </c>
      <c r="N4">
        <f>IMAGE("https://raw.githubusercontent.com/stautonico/pokemon-home-pokedex/main/sprites/golbat.png", 2)</f>
        <v>0</v>
      </c>
    </row>
    <row r="5" spans="2:14" ht="72" customHeight="1">
      <c r="B5">
        <f>IMAGE("https://raw.githubusercontent.com/stautonico/pokemon-home-pokedex/main/sprites/weedle.png", 2)</f>
        <v>0</v>
      </c>
      <c r="C5">
        <f>IMAGE("https://raw.githubusercontent.com/stautonico/pokemon-home-pokedex/main/sprites/kakuna.png", 2)</f>
        <v>0</v>
      </c>
      <c r="D5">
        <f>IMAGE("https://raw.githubusercontent.com/stautonico/pokemon-home-pokedex/main/sprites/beedrill.png", 2)</f>
        <v>0</v>
      </c>
      <c r="E5">
        <f>IMAGE("https://raw.githubusercontent.com/stautonico/pokemon-home-pokedex/main/sprites/pidgey.png", 2)</f>
        <v>0</v>
      </c>
      <c r="F5">
        <f>IMAGE("https://raw.githubusercontent.com/stautonico/pokemon-home-pokedex/main/sprites/pidgeotto.png", 2)</f>
        <v>0</v>
      </c>
      <c r="G5">
        <f>IMAGE("https://raw.githubusercontent.com/stautonico/pokemon-home-pokedex/main/sprites/pidgeot.png", 2)</f>
        <v>0</v>
      </c>
      <c r="I5">
        <f>IMAGE("https://raw.githubusercontent.com/stautonico/pokemon-home-pokedex/main/sprites/oddish.png", 2)</f>
        <v>0</v>
      </c>
      <c r="J5">
        <f>IMAGE("https://raw.githubusercontent.com/stautonico/pokemon-home-pokedex/main/sprites/gloom.png", 2)</f>
        <v>0</v>
      </c>
      <c r="K5">
        <f>IMAGE("https://raw.githubusercontent.com/stautonico/pokemon-home-pokedex/main/sprites/vileplume.png", 2)</f>
        <v>0</v>
      </c>
      <c r="L5">
        <f>IMAGE("https://raw.githubusercontent.com/stautonico/pokemon-home-pokedex/main/sprites/paras.png", 2)</f>
        <v>0</v>
      </c>
      <c r="M5">
        <f>IMAGE("https://raw.githubusercontent.com/stautonico/pokemon-home-pokedex/main/sprites/parasect.png", 2)</f>
        <v>0</v>
      </c>
      <c r="N5">
        <f>IMAGE("https://raw.githubusercontent.com/stautonico/pokemon-home-pokedex/main/sprites/venonat.png", 2)</f>
        <v>0</v>
      </c>
    </row>
    <row r="6" spans="2:14" ht="72" customHeight="1">
      <c r="B6">
        <f>IMAGE("https://raw.githubusercontent.com/stautonico/pokemon-home-pokedex/main/sprites/rattata.png", 2)</f>
        <v>0</v>
      </c>
      <c r="C6">
        <f>IMAGE("https://raw.githubusercontent.com/stautonico/pokemon-home-pokedex/main/sprites/raticate.png", 2)</f>
        <v>0</v>
      </c>
      <c r="D6">
        <f>IMAGE("https://raw.githubusercontent.com/stautonico/pokemon-home-pokedex/main/sprites/spearow.png", 2)</f>
        <v>0</v>
      </c>
      <c r="E6">
        <f>IMAGE("https://raw.githubusercontent.com/stautonico/pokemon-home-pokedex/main/sprites/fearow.png", 2)</f>
        <v>0</v>
      </c>
      <c r="F6">
        <f>IMAGE("https://raw.githubusercontent.com/stautonico/pokemon-home-pokedex/main/sprites/ekans.png", 2)</f>
        <v>0</v>
      </c>
      <c r="G6">
        <f>IMAGE("https://raw.githubusercontent.com/stautonico/pokemon-home-pokedex/main/sprites/arbok.png", 2)</f>
        <v>0</v>
      </c>
      <c r="I6">
        <f>IMAGE("https://raw.githubusercontent.com/stautonico/pokemon-home-pokedex/main/sprites/venomoth.png", 2)</f>
        <v>0</v>
      </c>
      <c r="J6">
        <f>IMAGE("https://raw.githubusercontent.com/stautonico/pokemon-home-pokedex/main/sprites/diglett.png", 2)</f>
        <v>0</v>
      </c>
      <c r="K6">
        <f>IMAGE("https://raw.githubusercontent.com/stautonico/pokemon-home-pokedex/main/sprites/dugtrio.png", 2)</f>
        <v>0</v>
      </c>
      <c r="L6">
        <f>IMAGE("https://raw.githubusercontent.com/stautonico/pokemon-home-pokedex/main/sprites/meowth.png", 2)</f>
        <v>0</v>
      </c>
      <c r="M6">
        <f>IMAGE("https://raw.githubusercontent.com/stautonico/pokemon-home-pokedex/main/sprites/persian.png", 2)</f>
        <v>0</v>
      </c>
      <c r="N6">
        <f>IMAGE("https://raw.githubusercontent.com/stautonico/pokemon-home-pokedex/main/sprites/psyduck.png", 2)</f>
        <v>0</v>
      </c>
    </row>
    <row r="7" spans="2:14" ht="72" customHeight="1">
      <c r="B7">
        <f>IMAGE("https://raw.githubusercontent.com/stautonico/pokemon-home-pokedex/main/sprites/pikachu.png", 2)</f>
        <v>0</v>
      </c>
      <c r="C7">
        <f>IMAGE("https://raw.githubusercontent.com/stautonico/pokemon-home-pokedex/main/sprites/raichu.png", 2)</f>
        <v>0</v>
      </c>
      <c r="D7">
        <f>IMAGE("https://raw.githubusercontent.com/stautonico/pokemon-home-pokedex/main/sprites/sandshrew.png", 2)</f>
        <v>0</v>
      </c>
      <c r="E7">
        <f>IMAGE("https://raw.githubusercontent.com/stautonico/pokemon-home-pokedex/main/sprites/sandslash.png", 2)</f>
        <v>0</v>
      </c>
      <c r="F7">
        <f>IMAGE("https://raw.githubusercontent.com/stautonico/pokemon-home-pokedex/main/sprites/nidoran-f.png", 2)</f>
        <v>0</v>
      </c>
      <c r="G7">
        <f>IMAGE("https://raw.githubusercontent.com/stautonico/pokemon-home-pokedex/main/sprites/nidorina.png", 2)</f>
        <v>0</v>
      </c>
      <c r="I7">
        <f>IMAGE("https://raw.githubusercontent.com/stautonico/pokemon-home-pokedex/main/sprites/golduck.png", 2)</f>
        <v>0</v>
      </c>
      <c r="J7">
        <f>IMAGE("https://raw.githubusercontent.com/stautonico/pokemon-home-pokedex/main/sprites/mankey.png", 2)</f>
        <v>0</v>
      </c>
      <c r="K7">
        <f>IMAGE("https://raw.githubusercontent.com/stautonico/pokemon-home-pokedex/main/sprites/primeape.png", 2)</f>
        <v>0</v>
      </c>
      <c r="L7">
        <f>IMAGE("https://raw.githubusercontent.com/stautonico/pokemon-home-pokedex/main/sprites/growlithe.png", 2)</f>
        <v>0</v>
      </c>
      <c r="M7">
        <f>IMAGE("https://raw.githubusercontent.com/stautonico/pokemon-home-pokedex/main/sprites/arcanine.png", 2)</f>
        <v>0</v>
      </c>
      <c r="N7">
        <f>IMAGE("https://raw.githubusercontent.com/stautonico/pokemon-home-pokedex/main/sprites/poliwag.png", 2)</f>
        <v>0</v>
      </c>
    </row>
    <row r="10" spans="2:14">
      <c r="B10" s="37" t="s">
        <v>1539</v>
      </c>
      <c r="I10" s="37" t="s">
        <v>1540</v>
      </c>
    </row>
    <row r="11" spans="2:14" ht="72" customHeight="1">
      <c r="B11">
        <f>IMAGE("https://raw.githubusercontent.com/stautonico/pokemon-home-pokedex/main/sprites/poliwhirl.png", 2)</f>
        <v>0</v>
      </c>
      <c r="C11">
        <f>IMAGE("https://raw.githubusercontent.com/stautonico/pokemon-home-pokedex/main/sprites/poliwrath.png", 2)</f>
        <v>0</v>
      </c>
      <c r="D11">
        <f>IMAGE("https://raw.githubusercontent.com/stautonico/pokemon-home-pokedex/main/sprites/abra.png", 2)</f>
        <v>0</v>
      </c>
      <c r="E11">
        <f>IMAGE("https://raw.githubusercontent.com/stautonico/pokemon-home-pokedex/main/sprites/kadabra.png", 2)</f>
        <v>0</v>
      </c>
      <c r="F11">
        <f>IMAGE("https://raw.githubusercontent.com/stautonico/pokemon-home-pokedex/main/sprites/alakazam.png", 2)</f>
        <v>0</v>
      </c>
      <c r="G11">
        <f>IMAGE("https://raw.githubusercontent.com/stautonico/pokemon-home-pokedex/main/sprites/machop.png", 2)</f>
        <v>0</v>
      </c>
      <c r="I11">
        <f>IMAGE("https://raw.githubusercontent.com/stautonico/pokemon-home-pokedex/main/sprites/cloyster.png", 2)</f>
        <v>0</v>
      </c>
      <c r="J11">
        <f>IMAGE("https://raw.githubusercontent.com/stautonico/pokemon-home-pokedex/main/sprites/gastly.png", 2)</f>
        <v>0</v>
      </c>
      <c r="K11">
        <f>IMAGE("https://raw.githubusercontent.com/stautonico/pokemon-home-pokedex/main/sprites/haunter.png", 2)</f>
        <v>0</v>
      </c>
      <c r="L11">
        <f>IMAGE("https://raw.githubusercontent.com/stautonico/pokemon-home-pokedex/main/sprites/gengar.png", 2)</f>
        <v>0</v>
      </c>
      <c r="M11">
        <f>IMAGE("https://raw.githubusercontent.com/stautonico/pokemon-home-pokedex/main/sprites/onix.png", 2)</f>
        <v>0</v>
      </c>
      <c r="N11">
        <f>IMAGE("https://raw.githubusercontent.com/stautonico/pokemon-home-pokedex/main/sprites/drowzee.png", 2)</f>
        <v>0</v>
      </c>
    </row>
    <row r="12" spans="2:14" ht="72" customHeight="1">
      <c r="B12">
        <f>IMAGE("https://raw.githubusercontent.com/stautonico/pokemon-home-pokedex/main/sprites/machoke.png", 2)</f>
        <v>0</v>
      </c>
      <c r="C12">
        <f>IMAGE("https://raw.githubusercontent.com/stautonico/pokemon-home-pokedex/main/sprites/machamp.png", 2)</f>
        <v>0</v>
      </c>
      <c r="D12">
        <f>IMAGE("https://raw.githubusercontent.com/stautonico/pokemon-home-pokedex/main/sprites/bellsprout.png", 2)</f>
        <v>0</v>
      </c>
      <c r="E12">
        <f>IMAGE("https://raw.githubusercontent.com/stautonico/pokemon-home-pokedex/main/sprites/weepinbell.png", 2)</f>
        <v>0</v>
      </c>
      <c r="F12">
        <f>IMAGE("https://raw.githubusercontent.com/stautonico/pokemon-home-pokedex/main/sprites/victreebel.png", 2)</f>
        <v>0</v>
      </c>
      <c r="G12">
        <f>IMAGE("https://raw.githubusercontent.com/stautonico/pokemon-home-pokedex/main/sprites/tentacool.png", 2)</f>
        <v>0</v>
      </c>
      <c r="I12">
        <f>IMAGE("https://raw.githubusercontent.com/stautonico/pokemon-home-pokedex/main/sprites/hypno.png", 2)</f>
        <v>0</v>
      </c>
      <c r="J12">
        <f>IMAGE("https://raw.githubusercontent.com/stautonico/pokemon-home-pokedex/main/sprites/krabby.png", 2)</f>
        <v>0</v>
      </c>
      <c r="K12">
        <f>IMAGE("https://raw.githubusercontent.com/stautonico/pokemon-home-pokedex/main/sprites/kingler.png", 2)</f>
        <v>0</v>
      </c>
      <c r="L12">
        <f>IMAGE("https://raw.githubusercontent.com/stautonico/pokemon-home-pokedex/main/sprites/voltorb.png", 2)</f>
        <v>0</v>
      </c>
      <c r="M12">
        <f>IMAGE("https://raw.githubusercontent.com/stautonico/pokemon-home-pokedex/main/sprites/electrode.png", 2)</f>
        <v>0</v>
      </c>
      <c r="N12">
        <f>IMAGE("https://raw.githubusercontent.com/stautonico/pokemon-home-pokedex/main/sprites/exeggcute.png", 2)</f>
        <v>0</v>
      </c>
    </row>
    <row r="13" spans="2:14" ht="72" customHeight="1">
      <c r="B13">
        <f>IMAGE("https://raw.githubusercontent.com/stautonico/pokemon-home-pokedex/main/sprites/tentacruel.png", 2)</f>
        <v>0</v>
      </c>
      <c r="C13">
        <f>IMAGE("https://raw.githubusercontent.com/stautonico/pokemon-home-pokedex/main/sprites/geodude.png", 2)</f>
        <v>0</v>
      </c>
      <c r="D13">
        <f>IMAGE("https://raw.githubusercontent.com/stautonico/pokemon-home-pokedex/main/sprites/graveler.png", 2)</f>
        <v>0</v>
      </c>
      <c r="E13">
        <f>IMAGE("https://raw.githubusercontent.com/stautonico/pokemon-home-pokedex/main/sprites/golem.png", 2)</f>
        <v>0</v>
      </c>
      <c r="F13">
        <f>IMAGE("https://raw.githubusercontent.com/stautonico/pokemon-home-pokedex/main/sprites/ponyta.png", 2)</f>
        <v>0</v>
      </c>
      <c r="G13">
        <f>IMAGE("https://raw.githubusercontent.com/stautonico/pokemon-home-pokedex/main/sprites/rapidash.png", 2)</f>
        <v>0</v>
      </c>
      <c r="I13">
        <f>IMAGE("https://raw.githubusercontent.com/stautonico/pokemon-home-pokedex/main/sprites/exeggutor.png", 2)</f>
        <v>0</v>
      </c>
      <c r="J13">
        <f>IMAGE("https://raw.githubusercontent.com/stautonico/pokemon-home-pokedex/main/sprites/cubone.png", 2)</f>
        <v>0</v>
      </c>
      <c r="K13">
        <f>IMAGE("https://raw.githubusercontent.com/stautonico/pokemon-home-pokedex/main/sprites/marowak.png", 2)</f>
        <v>0</v>
      </c>
      <c r="L13">
        <f>IMAGE("https://raw.githubusercontent.com/stautonico/pokemon-home-pokedex/main/sprites/hitmonlee.png", 2)</f>
        <v>0</v>
      </c>
      <c r="M13">
        <f>IMAGE("https://raw.githubusercontent.com/stautonico/pokemon-home-pokedex/main/sprites/hitmonchan.png", 2)</f>
        <v>0</v>
      </c>
      <c r="N13">
        <f>IMAGE("https://raw.githubusercontent.com/stautonico/pokemon-home-pokedex/main/sprites/lickitung.png", 2)</f>
        <v>0</v>
      </c>
    </row>
    <row r="14" spans="2:14" ht="72" customHeight="1">
      <c r="B14">
        <f>IMAGE("https://raw.githubusercontent.com/stautonico/pokemon-home-pokedex/main/sprites/slowpoke.png", 2)</f>
        <v>0</v>
      </c>
      <c r="C14">
        <f>IMAGE("https://raw.githubusercontent.com/stautonico/pokemon-home-pokedex/main/sprites/slowbro.png", 2)</f>
        <v>0</v>
      </c>
      <c r="D14">
        <f>IMAGE("https://raw.githubusercontent.com/stautonico/pokemon-home-pokedex/main/sprites/magnemite.png", 2)</f>
        <v>0</v>
      </c>
      <c r="E14">
        <f>IMAGE("https://raw.githubusercontent.com/stautonico/pokemon-home-pokedex/main/sprites/magneton.png", 2)</f>
        <v>0</v>
      </c>
      <c r="F14">
        <f>IMAGE("https://raw.githubusercontent.com/stautonico/pokemon-home-pokedex/main/sprites/farfetchd.png", 2)</f>
        <v>0</v>
      </c>
      <c r="G14">
        <f>IMAGE("https://raw.githubusercontent.com/stautonico/pokemon-home-pokedex/main/sprites/doduo.png", 2)</f>
        <v>0</v>
      </c>
      <c r="I14">
        <f>IMAGE("https://raw.githubusercontent.com/stautonico/pokemon-home-pokedex/main/sprites/koffing.png", 2)</f>
        <v>0</v>
      </c>
      <c r="J14">
        <f>IMAGE("https://raw.githubusercontent.com/stautonico/pokemon-home-pokedex/main/sprites/weezing.png", 2)</f>
        <v>0</v>
      </c>
      <c r="K14">
        <f>IMAGE("https://raw.githubusercontent.com/stautonico/pokemon-home-pokedex/main/sprites/rhyhorn.png", 2)</f>
        <v>0</v>
      </c>
      <c r="L14">
        <f>IMAGE("https://raw.githubusercontent.com/stautonico/pokemon-home-pokedex/main/sprites/rhydon.png", 2)</f>
        <v>0</v>
      </c>
      <c r="M14">
        <f>IMAGE("https://raw.githubusercontent.com/stautonico/pokemon-home-pokedex/main/sprites/chansey.png", 2)</f>
        <v>0</v>
      </c>
      <c r="N14">
        <f>IMAGE("https://raw.githubusercontent.com/stautonico/pokemon-home-pokedex/main/sprites/tangela.png", 2)</f>
        <v>0</v>
      </c>
    </row>
    <row r="15" spans="2:14" ht="72" customHeight="1">
      <c r="B15">
        <f>IMAGE("https://raw.githubusercontent.com/stautonico/pokemon-home-pokedex/main/sprites/dodrio.png", 2)</f>
        <v>0</v>
      </c>
      <c r="C15">
        <f>IMAGE("https://raw.githubusercontent.com/stautonico/pokemon-home-pokedex/main/sprites/seel.png", 2)</f>
        <v>0</v>
      </c>
      <c r="D15">
        <f>IMAGE("https://raw.githubusercontent.com/stautonico/pokemon-home-pokedex/main/sprites/dewgong.png", 2)</f>
        <v>0</v>
      </c>
      <c r="E15">
        <f>IMAGE("https://raw.githubusercontent.com/stautonico/pokemon-home-pokedex/main/sprites/grimer.png", 2)</f>
        <v>0</v>
      </c>
      <c r="F15">
        <f>IMAGE("https://raw.githubusercontent.com/stautonico/pokemon-home-pokedex/main/sprites/muk.png", 2)</f>
        <v>0</v>
      </c>
      <c r="G15">
        <f>IMAGE("https://raw.githubusercontent.com/stautonico/pokemon-home-pokedex/main/sprites/shellder.png", 2)</f>
        <v>0</v>
      </c>
      <c r="I15">
        <f>IMAGE("https://raw.githubusercontent.com/stautonico/pokemon-home-pokedex/main/sprites/kangaskhan.png", 2)</f>
        <v>0</v>
      </c>
      <c r="J15">
        <f>IMAGE("https://raw.githubusercontent.com/stautonico/pokemon-home-pokedex/main/sprites/horsea.png", 2)</f>
        <v>0</v>
      </c>
      <c r="K15">
        <f>IMAGE("https://raw.githubusercontent.com/stautonico/pokemon-home-pokedex/main/sprites/seadra.png", 2)</f>
        <v>0</v>
      </c>
      <c r="L15">
        <f>IMAGE("https://raw.githubusercontent.com/stautonico/pokemon-home-pokedex/main/sprites/goldeen.png", 2)</f>
        <v>0</v>
      </c>
      <c r="M15">
        <f>IMAGE("https://raw.githubusercontent.com/stautonico/pokemon-home-pokedex/main/sprites/seaking.png", 2)</f>
        <v>0</v>
      </c>
      <c r="N15">
        <f>IMAGE("https://raw.githubusercontent.com/stautonico/pokemon-home-pokedex/main/sprites/staryu.png", 2)</f>
        <v>0</v>
      </c>
    </row>
    <row r="18" spans="2:14">
      <c r="B18" s="37" t="s">
        <v>1541</v>
      </c>
      <c r="I18" s="37" t="s">
        <v>1542</v>
      </c>
    </row>
    <row r="19" spans="2:14" ht="72" customHeight="1">
      <c r="B19">
        <f>IMAGE("https://raw.githubusercontent.com/stautonico/pokemon-home-pokedex/main/sprites/starmie.png", 2)</f>
        <v>0</v>
      </c>
      <c r="C19">
        <f>IMAGE("https://raw.githubusercontent.com/stautonico/pokemon-home-pokedex/main/sprites/mrmime.png", 2)</f>
        <v>0</v>
      </c>
      <c r="D19">
        <f>IMAGE("https://raw.githubusercontent.com/stautonico/pokemon-home-pokedex/main/sprites/scyther.png", 2)</f>
        <v>0</v>
      </c>
      <c r="E19">
        <f>IMAGE("https://raw.githubusercontent.com/stautonico/pokemon-home-pokedex/main/sprites/jynx.png", 2)</f>
        <v>0</v>
      </c>
      <c r="F19">
        <f>IMAGE("https://raw.githubusercontent.com/stautonico/pokemon-home-pokedex/main/sprites/electabuzz.png", 2)</f>
        <v>0</v>
      </c>
      <c r="G19">
        <f>IMAGE("https://raw.githubusercontent.com/stautonico/pokemon-home-pokedex/main/sprites/magmar.png", 2)</f>
        <v>0</v>
      </c>
      <c r="I19">
        <f>IMAGE("https://raw.githubusercontent.com/stautonico/pokemon-home-pokedex/main/sprites/mew.png", 2)</f>
        <v>0</v>
      </c>
      <c r="J19">
        <f>IMAGE("https://raw.githubusercontent.com/stautonico/pokemon-home-pokedex/main/sprites/chikorita.png", 2)</f>
        <v>0</v>
      </c>
      <c r="K19">
        <f>IMAGE("https://raw.githubusercontent.com/stautonico/pokemon-home-pokedex/main/sprites/bayleef.png", 2)</f>
        <v>0</v>
      </c>
      <c r="L19">
        <f>IMAGE("https://raw.githubusercontent.com/stautonico/pokemon-home-pokedex/main/sprites/meganium.png", 2)</f>
        <v>0</v>
      </c>
      <c r="M19">
        <f>IMAGE("https://raw.githubusercontent.com/stautonico/pokemon-home-pokedex/main/sprites/cyndaquil.png", 2)</f>
        <v>0</v>
      </c>
      <c r="N19">
        <f>IMAGE("https://raw.githubusercontent.com/stautonico/pokemon-home-pokedex/main/sprites/quilava.png", 2)</f>
        <v>0</v>
      </c>
    </row>
    <row r="20" spans="2:14" ht="72" customHeight="1">
      <c r="B20">
        <f>IMAGE("https://raw.githubusercontent.com/stautonico/pokemon-home-pokedex/main/sprites/pinsir.png", 2)</f>
        <v>0</v>
      </c>
      <c r="C20">
        <f>IMAGE("https://raw.githubusercontent.com/stautonico/pokemon-home-pokedex/main/sprites/tauros.png", 2)</f>
        <v>0</v>
      </c>
      <c r="D20">
        <f>IMAGE("https://raw.githubusercontent.com/stautonico/pokemon-home-pokedex/main/sprites/magikarp.png", 2)</f>
        <v>0</v>
      </c>
      <c r="E20">
        <f>IMAGE("https://raw.githubusercontent.com/stautonico/pokemon-home-pokedex/main/sprites/gyarados.png", 2)</f>
        <v>0</v>
      </c>
      <c r="F20">
        <f>IMAGE("https://raw.githubusercontent.com/stautonico/pokemon-home-pokedex/main/sprites/lapras.png", 2)</f>
        <v>0</v>
      </c>
      <c r="G20">
        <f>IMAGE("https://raw.githubusercontent.com/stautonico/pokemon-home-pokedex/main/sprites/ditto.png", 2)</f>
        <v>0</v>
      </c>
      <c r="I20">
        <f>IMAGE("https://raw.githubusercontent.com/stautonico/pokemon-home-pokedex/main/sprites/typhlosion.png", 2)</f>
        <v>0</v>
      </c>
      <c r="J20">
        <f>IMAGE("https://raw.githubusercontent.com/stautonico/pokemon-home-pokedex/main/sprites/totodile.png", 2)</f>
        <v>0</v>
      </c>
      <c r="K20">
        <f>IMAGE("https://raw.githubusercontent.com/stautonico/pokemon-home-pokedex/main/sprites/croconaw.png", 2)</f>
        <v>0</v>
      </c>
      <c r="L20">
        <f>IMAGE("https://raw.githubusercontent.com/stautonico/pokemon-home-pokedex/main/sprites/feraligatr.png", 2)</f>
        <v>0</v>
      </c>
      <c r="M20">
        <f>IMAGE("https://raw.githubusercontent.com/stautonico/pokemon-home-pokedex/main/sprites/sentret.png", 2)</f>
        <v>0</v>
      </c>
      <c r="N20">
        <f>IMAGE("https://raw.githubusercontent.com/stautonico/pokemon-home-pokedex/main/sprites/furret.png", 2)</f>
        <v>0</v>
      </c>
    </row>
    <row r="21" spans="2:14" ht="72" customHeight="1">
      <c r="B21">
        <f>IMAGE("https://raw.githubusercontent.com/stautonico/pokemon-home-pokedex/main/sprites/eevee.png", 2)</f>
        <v>0</v>
      </c>
      <c r="C21">
        <f>IMAGE("https://raw.githubusercontent.com/stautonico/pokemon-home-pokedex/main/sprites/vaporeon.png", 2)</f>
        <v>0</v>
      </c>
      <c r="D21">
        <f>IMAGE("https://raw.githubusercontent.com/stautonico/pokemon-home-pokedex/main/sprites/jolteon.png", 2)</f>
        <v>0</v>
      </c>
      <c r="E21">
        <f>IMAGE("https://raw.githubusercontent.com/stautonico/pokemon-home-pokedex/main/sprites/flareon.png", 2)</f>
        <v>0</v>
      </c>
      <c r="F21">
        <f>IMAGE("https://raw.githubusercontent.com/stautonico/pokemon-home-pokedex/main/sprites/porygon.png", 2)</f>
        <v>0</v>
      </c>
      <c r="G21">
        <f>IMAGE("https://raw.githubusercontent.com/stautonico/pokemon-home-pokedex/main/sprites/omanyte.png", 2)</f>
        <v>0</v>
      </c>
      <c r="I21">
        <f>IMAGE("https://raw.githubusercontent.com/stautonico/pokemon-home-pokedex/main/sprites/hoothoot.png", 2)</f>
        <v>0</v>
      </c>
      <c r="J21">
        <f>IMAGE("https://raw.githubusercontent.com/stautonico/pokemon-home-pokedex/main/sprites/noctowl.png", 2)</f>
        <v>0</v>
      </c>
      <c r="K21">
        <f>IMAGE("https://raw.githubusercontent.com/stautonico/pokemon-home-pokedex/main/sprites/ledyba.png", 2)</f>
        <v>0</v>
      </c>
      <c r="L21">
        <f>IMAGE("https://raw.githubusercontent.com/stautonico/pokemon-home-pokedex/main/sprites/ledian.png", 2)</f>
        <v>0</v>
      </c>
      <c r="M21">
        <f>IMAGE("https://raw.githubusercontent.com/stautonico/pokemon-home-pokedex/main/sprites/spinarak.png", 2)</f>
        <v>0</v>
      </c>
      <c r="N21">
        <f>IMAGE("https://raw.githubusercontent.com/stautonico/pokemon-home-pokedex/main/sprites/ariados.png", 2)</f>
        <v>0</v>
      </c>
    </row>
    <row r="22" spans="2:14" ht="72" customHeight="1">
      <c r="B22">
        <f>IMAGE("https://raw.githubusercontent.com/stautonico/pokemon-home-pokedex/main/sprites/omastar.png", 2)</f>
        <v>0</v>
      </c>
      <c r="C22">
        <f>IMAGE("https://raw.githubusercontent.com/stautonico/pokemon-home-pokedex/main/sprites/kabuto.png", 2)</f>
        <v>0</v>
      </c>
      <c r="D22">
        <f>IMAGE("https://raw.githubusercontent.com/stautonico/pokemon-home-pokedex/main/sprites/kabutops.png", 2)</f>
        <v>0</v>
      </c>
      <c r="E22">
        <f>IMAGE("https://raw.githubusercontent.com/stautonico/pokemon-home-pokedex/main/sprites/aerodactyl.png", 2)</f>
        <v>0</v>
      </c>
      <c r="F22">
        <f>IMAGE("https://raw.githubusercontent.com/stautonico/pokemon-home-pokedex/main/sprites/snorlax.png", 2)</f>
        <v>0</v>
      </c>
      <c r="G22">
        <f>IMAGE("https://raw.githubusercontent.com/stautonico/pokemon-home-pokedex/main/sprites/articuno.png", 2)</f>
        <v>0</v>
      </c>
      <c r="I22">
        <f>IMAGE("https://raw.githubusercontent.com/stautonico/pokemon-home-pokedex/main/sprites/crobat.png", 2)</f>
        <v>0</v>
      </c>
      <c r="J22">
        <f>IMAGE("https://raw.githubusercontent.com/stautonico/pokemon-home-pokedex/main/sprites/chinchou.png", 2)</f>
        <v>0</v>
      </c>
      <c r="K22">
        <f>IMAGE("https://raw.githubusercontent.com/stautonico/pokemon-home-pokedex/main/sprites/lanturn.png", 2)</f>
        <v>0</v>
      </c>
      <c r="L22">
        <f>IMAGE("https://raw.githubusercontent.com/stautonico/pokemon-home-pokedex/main/sprites/pichu.png", 2)</f>
        <v>0</v>
      </c>
      <c r="M22">
        <f>IMAGE("https://raw.githubusercontent.com/stautonico/pokemon-home-pokedex/main/sprites/cleffa.png", 2)</f>
        <v>0</v>
      </c>
      <c r="N22">
        <f>IMAGE("https://raw.githubusercontent.com/stautonico/pokemon-home-pokedex/main/sprites/igglybuff.png", 2)</f>
        <v>0</v>
      </c>
    </row>
    <row r="23" spans="2:14" ht="72" customHeight="1">
      <c r="B23">
        <f>IMAGE("https://raw.githubusercontent.com/stautonico/pokemon-home-pokedex/main/sprites/zapdos.png", 2)</f>
        <v>0</v>
      </c>
      <c r="C23">
        <f>IMAGE("https://raw.githubusercontent.com/stautonico/pokemon-home-pokedex/main/sprites/moltres.png", 2)</f>
        <v>0</v>
      </c>
      <c r="D23">
        <f>IMAGE("https://raw.githubusercontent.com/stautonico/pokemon-home-pokedex/main/sprites/dratini.png", 2)</f>
        <v>0</v>
      </c>
      <c r="E23">
        <f>IMAGE("https://raw.githubusercontent.com/stautonico/pokemon-home-pokedex/main/sprites/dragonair.png", 2)</f>
        <v>0</v>
      </c>
      <c r="F23">
        <f>IMAGE("https://raw.githubusercontent.com/stautonico/pokemon-home-pokedex/main/sprites/dragonite.png", 2)</f>
        <v>0</v>
      </c>
      <c r="G23">
        <f>IMAGE("https://raw.githubusercontent.com/stautonico/pokemon-home-pokedex/main/sprites/mewtwo.png", 2)</f>
        <v>0</v>
      </c>
      <c r="I23">
        <f>IMAGE("https://raw.githubusercontent.com/stautonico/pokemon-home-pokedex/main/sprites/togepi.png", 2)</f>
        <v>0</v>
      </c>
      <c r="J23">
        <f>IMAGE("https://raw.githubusercontent.com/stautonico/pokemon-home-pokedex/main/sprites/togetic.png", 2)</f>
        <v>0</v>
      </c>
      <c r="K23">
        <f>IMAGE("https://raw.githubusercontent.com/stautonico/pokemon-home-pokedex/main/sprites/natu.png", 2)</f>
        <v>0</v>
      </c>
      <c r="L23">
        <f>IMAGE("https://raw.githubusercontent.com/stautonico/pokemon-home-pokedex/main/sprites/xatu.png", 2)</f>
        <v>0</v>
      </c>
      <c r="M23">
        <f>IMAGE("https://raw.githubusercontent.com/stautonico/pokemon-home-pokedex/main/sprites/mareep.png", 2)</f>
        <v>0</v>
      </c>
      <c r="N23">
        <f>IMAGE("https://raw.githubusercontent.com/stautonico/pokemon-home-pokedex/main/sprites/flaaffy.png", 2)</f>
        <v>0</v>
      </c>
    </row>
    <row r="26" spans="2:14">
      <c r="B26" s="37" t="s">
        <v>1543</v>
      </c>
      <c r="I26" s="37" t="s">
        <v>1544</v>
      </c>
    </row>
    <row r="27" spans="2:14" ht="72" customHeight="1">
      <c r="B27">
        <f>IMAGE("https://raw.githubusercontent.com/stautonico/pokemon-home-pokedex/main/sprites/ampharos.png", 2)</f>
        <v>0</v>
      </c>
      <c r="C27">
        <f>IMAGE("https://raw.githubusercontent.com/stautonico/pokemon-home-pokedex/main/sprites/bellossom.png", 2)</f>
        <v>0</v>
      </c>
      <c r="D27">
        <f>IMAGE("https://raw.githubusercontent.com/stautonico/pokemon-home-pokedex/main/sprites/marill.png", 2)</f>
        <v>0</v>
      </c>
      <c r="E27">
        <f>IMAGE("https://raw.githubusercontent.com/stautonico/pokemon-home-pokedex/main/sprites/azumarill.png", 2)</f>
        <v>0</v>
      </c>
      <c r="F27">
        <f>IMAGE("https://raw.githubusercontent.com/stautonico/pokemon-home-pokedex/main/sprites/sudowoodo.png", 2)</f>
        <v>0</v>
      </c>
      <c r="G27">
        <f>IMAGE("https://raw.githubusercontent.com/stautonico/pokemon-home-pokedex/main/sprites/politoed.png", 2)</f>
        <v>0</v>
      </c>
      <c r="I27">
        <f>IMAGE("https://raw.githubusercontent.com/stautonico/pokemon-home-pokedex/main/sprites/qwilfish.png", 2)</f>
        <v>0</v>
      </c>
      <c r="J27">
        <f>IMAGE("https://raw.githubusercontent.com/stautonico/pokemon-home-pokedex/main/sprites/scizor.png", 2)</f>
        <v>0</v>
      </c>
      <c r="K27">
        <f>IMAGE("https://raw.githubusercontent.com/stautonico/pokemon-home-pokedex/main/sprites/shuckle.png", 2)</f>
        <v>0</v>
      </c>
      <c r="L27">
        <f>IMAGE("https://raw.githubusercontent.com/stautonico/pokemon-home-pokedex/main/sprites/heracross.png", 2)</f>
        <v>0</v>
      </c>
      <c r="M27">
        <f>IMAGE("https://raw.githubusercontent.com/stautonico/pokemon-home-pokedex/main/sprites/sneasel.png", 2)</f>
        <v>0</v>
      </c>
      <c r="N27">
        <f>IMAGE("https://raw.githubusercontent.com/stautonico/pokemon-home-pokedex/main/sprites/teddiursa.png", 2)</f>
        <v>0</v>
      </c>
    </row>
    <row r="28" spans="2:14" ht="72" customHeight="1">
      <c r="B28">
        <f>IMAGE("https://raw.githubusercontent.com/stautonico/pokemon-home-pokedex/main/sprites/hoppip.png", 2)</f>
        <v>0</v>
      </c>
      <c r="C28">
        <f>IMAGE("https://raw.githubusercontent.com/stautonico/pokemon-home-pokedex/main/sprites/skiploom.png", 2)</f>
        <v>0</v>
      </c>
      <c r="D28">
        <f>IMAGE("https://raw.githubusercontent.com/stautonico/pokemon-home-pokedex/main/sprites/jumpluff.png", 2)</f>
        <v>0</v>
      </c>
      <c r="E28">
        <f>IMAGE("https://raw.githubusercontent.com/stautonico/pokemon-home-pokedex/main/sprites/aipom.png", 2)</f>
        <v>0</v>
      </c>
      <c r="F28">
        <f>IMAGE("https://raw.githubusercontent.com/stautonico/pokemon-home-pokedex/main/sprites/sunkern.png", 2)</f>
        <v>0</v>
      </c>
      <c r="G28">
        <f>IMAGE("https://raw.githubusercontent.com/stautonico/pokemon-home-pokedex/main/sprites/sunflora.png", 2)</f>
        <v>0</v>
      </c>
      <c r="I28">
        <f>IMAGE("https://raw.githubusercontent.com/stautonico/pokemon-home-pokedex/main/sprites/ursaring.png", 2)</f>
        <v>0</v>
      </c>
      <c r="J28">
        <f>IMAGE("https://raw.githubusercontent.com/stautonico/pokemon-home-pokedex/main/sprites/slugma.png", 2)</f>
        <v>0</v>
      </c>
      <c r="K28">
        <f>IMAGE("https://raw.githubusercontent.com/stautonico/pokemon-home-pokedex/main/sprites/magcargo.png", 2)</f>
        <v>0</v>
      </c>
      <c r="L28">
        <f>IMAGE("https://raw.githubusercontent.com/stautonico/pokemon-home-pokedex/main/sprites/swinub.png", 2)</f>
        <v>0</v>
      </c>
      <c r="M28">
        <f>IMAGE("https://raw.githubusercontent.com/stautonico/pokemon-home-pokedex/main/sprites/piloswine.png", 2)</f>
        <v>0</v>
      </c>
      <c r="N28">
        <f>IMAGE("https://raw.githubusercontent.com/stautonico/pokemon-home-pokedex/main/sprites/corsola.png", 2)</f>
        <v>0</v>
      </c>
    </row>
    <row r="29" spans="2:14" ht="72" customHeight="1">
      <c r="B29">
        <f>IMAGE("https://raw.githubusercontent.com/stautonico/pokemon-home-pokedex/main/sprites/yanma.png", 2)</f>
        <v>0</v>
      </c>
      <c r="C29">
        <f>IMAGE("https://raw.githubusercontent.com/stautonico/pokemon-home-pokedex/main/sprites/wooper.png", 2)</f>
        <v>0</v>
      </c>
      <c r="D29">
        <f>IMAGE("https://raw.githubusercontent.com/stautonico/pokemon-home-pokedex/main/sprites/quagsire.png", 2)</f>
        <v>0</v>
      </c>
      <c r="E29">
        <f>IMAGE("https://raw.githubusercontent.com/stautonico/pokemon-home-pokedex/main/sprites/espeon.png", 2)</f>
        <v>0</v>
      </c>
      <c r="F29">
        <f>IMAGE("https://raw.githubusercontent.com/stautonico/pokemon-home-pokedex/main/sprites/umbreon.png", 2)</f>
        <v>0</v>
      </c>
      <c r="G29">
        <f>IMAGE("https://raw.githubusercontent.com/stautonico/pokemon-home-pokedex/main/sprites/murkrow.png", 2)</f>
        <v>0</v>
      </c>
      <c r="I29">
        <f>IMAGE("https://raw.githubusercontent.com/stautonico/pokemon-home-pokedex/main/sprites/remoraid.png", 2)</f>
        <v>0</v>
      </c>
      <c r="J29">
        <f>IMAGE("https://raw.githubusercontent.com/stautonico/pokemon-home-pokedex/main/sprites/octillery.png", 2)</f>
        <v>0</v>
      </c>
      <c r="K29">
        <f>IMAGE("https://raw.githubusercontent.com/stautonico/pokemon-home-pokedex/main/sprites/delibird.png", 2)</f>
        <v>0</v>
      </c>
      <c r="L29">
        <f>IMAGE("https://raw.githubusercontent.com/stautonico/pokemon-home-pokedex/main/sprites/mantine.png", 2)</f>
        <v>0</v>
      </c>
      <c r="M29">
        <f>IMAGE("https://raw.githubusercontent.com/stautonico/pokemon-home-pokedex/main/sprites/skarmory.png", 2)</f>
        <v>0</v>
      </c>
      <c r="N29">
        <f>IMAGE("https://raw.githubusercontent.com/stautonico/pokemon-home-pokedex/main/sprites/houndour.png", 2)</f>
        <v>0</v>
      </c>
    </row>
    <row r="30" spans="2:14" ht="72" customHeight="1">
      <c r="B30">
        <f>IMAGE("https://raw.githubusercontent.com/stautonico/pokemon-home-pokedex/main/sprites/slowking.png", 2)</f>
        <v>0</v>
      </c>
      <c r="C30">
        <f>IMAGE("https://raw.githubusercontent.com/stautonico/pokemon-home-pokedex/main/sprites/misdreavus.png", 2)</f>
        <v>0</v>
      </c>
      <c r="D30">
        <f>IMAGE("https://raw.githubusercontent.com/stautonico/pokemon-home-pokedex/main/sprites/unown.png", 2)</f>
        <v>0</v>
      </c>
      <c r="E30">
        <f>IMAGE("https://raw.githubusercontent.com/stautonico/pokemon-home-pokedex/main/sprites/wobbuffet.png", 2)</f>
        <v>0</v>
      </c>
      <c r="F30">
        <f>IMAGE("https://raw.githubusercontent.com/stautonico/pokemon-home-pokedex/main/sprites/girafarig.png", 2)</f>
        <v>0</v>
      </c>
      <c r="G30">
        <f>IMAGE("https://raw.githubusercontent.com/stautonico/pokemon-home-pokedex/main/sprites/pineco.png", 2)</f>
        <v>0</v>
      </c>
      <c r="I30">
        <f>IMAGE("https://raw.githubusercontent.com/stautonico/pokemon-home-pokedex/main/sprites/houndoom.png", 2)</f>
        <v>0</v>
      </c>
      <c r="J30">
        <f>IMAGE("https://raw.githubusercontent.com/stautonico/pokemon-home-pokedex/main/sprites/kingdra.png", 2)</f>
        <v>0</v>
      </c>
      <c r="K30">
        <f>IMAGE("https://raw.githubusercontent.com/stautonico/pokemon-home-pokedex/main/sprites/phanpy.png", 2)</f>
        <v>0</v>
      </c>
      <c r="L30">
        <f>IMAGE("https://raw.githubusercontent.com/stautonico/pokemon-home-pokedex/main/sprites/donphan.png", 2)</f>
        <v>0</v>
      </c>
      <c r="M30">
        <f>IMAGE("https://raw.githubusercontent.com/stautonico/pokemon-home-pokedex/main/sprites/porygon2.png", 2)</f>
        <v>0</v>
      </c>
      <c r="N30">
        <f>IMAGE("https://raw.githubusercontent.com/stautonico/pokemon-home-pokedex/main/sprites/stantler.png", 2)</f>
        <v>0</v>
      </c>
    </row>
    <row r="31" spans="2:14" ht="72" customHeight="1">
      <c r="B31">
        <f>IMAGE("https://raw.githubusercontent.com/stautonico/pokemon-home-pokedex/main/sprites/forretress.png", 2)</f>
        <v>0</v>
      </c>
      <c r="C31">
        <f>IMAGE("https://raw.githubusercontent.com/stautonico/pokemon-home-pokedex/main/sprites/dunsparce.png", 2)</f>
        <v>0</v>
      </c>
      <c r="D31">
        <f>IMAGE("https://raw.githubusercontent.com/stautonico/pokemon-home-pokedex/main/sprites/gligar.png", 2)</f>
        <v>0</v>
      </c>
      <c r="E31">
        <f>IMAGE("https://raw.githubusercontent.com/stautonico/pokemon-home-pokedex/main/sprites/steelix.png", 2)</f>
        <v>0</v>
      </c>
      <c r="F31">
        <f>IMAGE("https://raw.githubusercontent.com/stautonico/pokemon-home-pokedex/main/sprites/snubbull.png", 2)</f>
        <v>0</v>
      </c>
      <c r="G31">
        <f>IMAGE("https://raw.githubusercontent.com/stautonico/pokemon-home-pokedex/main/sprites/granbull.png", 2)</f>
        <v>0</v>
      </c>
      <c r="I31">
        <f>IMAGE("https://raw.githubusercontent.com/stautonico/pokemon-home-pokedex/main/sprites/smeargle.png", 2)</f>
        <v>0</v>
      </c>
      <c r="J31">
        <f>IMAGE("https://raw.githubusercontent.com/stautonico/pokemon-home-pokedex/main/sprites/tyrogue.png", 2)</f>
        <v>0</v>
      </c>
      <c r="K31">
        <f>IMAGE("https://raw.githubusercontent.com/stautonico/pokemon-home-pokedex/main/sprites/hitmontop.png", 2)</f>
        <v>0</v>
      </c>
      <c r="L31">
        <f>IMAGE("https://raw.githubusercontent.com/stautonico/pokemon-home-pokedex/main/sprites/smoochum.png", 2)</f>
        <v>0</v>
      </c>
      <c r="M31">
        <f>IMAGE("https://raw.githubusercontent.com/stautonico/pokemon-home-pokedex/main/sprites/elekid.png", 2)</f>
        <v>0</v>
      </c>
      <c r="N31">
        <f>IMAGE("https://raw.githubusercontent.com/stautonico/pokemon-home-pokedex/main/sprites/magby.png", 2)</f>
        <v>0</v>
      </c>
    </row>
    <row r="34" spans="2:14">
      <c r="B34" s="37" t="s">
        <v>1545</v>
      </c>
      <c r="I34" s="37" t="s">
        <v>1546</v>
      </c>
    </row>
    <row r="35" spans="2:14" ht="72" customHeight="1">
      <c r="B35">
        <f>IMAGE("https://raw.githubusercontent.com/stautonico/pokemon-home-pokedex/main/sprites/miltank.png", 2)</f>
        <v>0</v>
      </c>
      <c r="C35">
        <f>IMAGE("https://raw.githubusercontent.com/stautonico/pokemon-home-pokedex/main/sprites/blissey.png", 2)</f>
        <v>0</v>
      </c>
      <c r="D35">
        <f>IMAGE("https://raw.githubusercontent.com/stautonico/pokemon-home-pokedex/main/sprites/raikou.png", 2)</f>
        <v>0</v>
      </c>
      <c r="E35">
        <f>IMAGE("https://raw.githubusercontent.com/stautonico/pokemon-home-pokedex/main/sprites/entei.png", 2)</f>
        <v>0</v>
      </c>
      <c r="F35">
        <f>IMAGE("https://raw.githubusercontent.com/stautonico/pokemon-home-pokedex/main/sprites/suicune.png", 2)</f>
        <v>0</v>
      </c>
      <c r="G35">
        <f>IMAGE("https://raw.githubusercontent.com/stautonico/pokemon-home-pokedex/main/sprites/larvitar.png", 2)</f>
        <v>0</v>
      </c>
      <c r="I35">
        <f>IMAGE("https://raw.githubusercontent.com/stautonico/pokemon-home-pokedex/main/sprites/lombre.png", 2)</f>
        <v>0</v>
      </c>
      <c r="J35">
        <f>IMAGE("https://raw.githubusercontent.com/stautonico/pokemon-home-pokedex/main/sprites/ludicolo.png", 2)</f>
        <v>0</v>
      </c>
      <c r="K35">
        <f>IMAGE("https://raw.githubusercontent.com/stautonico/pokemon-home-pokedex/main/sprites/seedot.png", 2)</f>
        <v>0</v>
      </c>
      <c r="L35">
        <f>IMAGE("https://raw.githubusercontent.com/stautonico/pokemon-home-pokedex/main/sprites/nuzleaf.png", 2)</f>
        <v>0</v>
      </c>
      <c r="M35">
        <f>IMAGE("https://raw.githubusercontent.com/stautonico/pokemon-home-pokedex/main/sprites/shiftry.png", 2)</f>
        <v>0</v>
      </c>
      <c r="N35">
        <f>IMAGE("https://raw.githubusercontent.com/stautonico/pokemon-home-pokedex/main/sprites/taillow.png", 2)</f>
        <v>0</v>
      </c>
    </row>
    <row r="36" spans="2:14" ht="72" customHeight="1">
      <c r="B36">
        <f>IMAGE("https://raw.githubusercontent.com/stautonico/pokemon-home-pokedex/main/sprites/pupitar.png", 2)</f>
        <v>0</v>
      </c>
      <c r="C36">
        <f>IMAGE("https://raw.githubusercontent.com/stautonico/pokemon-home-pokedex/main/sprites/tyranitar.png", 2)</f>
        <v>0</v>
      </c>
      <c r="D36">
        <f>IMAGE("https://raw.githubusercontent.com/stautonico/pokemon-home-pokedex/main/sprites/lugia.png", 2)</f>
        <v>0</v>
      </c>
      <c r="E36">
        <f>IMAGE("https://raw.githubusercontent.com/stautonico/pokemon-home-pokedex/main/sprites/hooh.png", 2)</f>
        <v>0</v>
      </c>
      <c r="F36">
        <f>IMAGE("https://raw.githubusercontent.com/stautonico/pokemon-home-pokedex/main/sprites/celebi.png", 2)</f>
        <v>0</v>
      </c>
      <c r="G36">
        <f>IMAGE("https://raw.githubusercontent.com/stautonico/pokemon-home-pokedex/main/sprites/treecko.png", 2)</f>
        <v>0</v>
      </c>
      <c r="I36">
        <f>IMAGE("https://raw.githubusercontent.com/stautonico/pokemon-home-pokedex/main/sprites/swellow.png", 2)</f>
        <v>0</v>
      </c>
      <c r="J36">
        <f>IMAGE("https://raw.githubusercontent.com/stautonico/pokemon-home-pokedex/main/sprites/wingull.png", 2)</f>
        <v>0</v>
      </c>
      <c r="K36">
        <f>IMAGE("https://raw.githubusercontent.com/stautonico/pokemon-home-pokedex/main/sprites/pelipper.png", 2)</f>
        <v>0</v>
      </c>
      <c r="L36">
        <f>IMAGE("https://raw.githubusercontent.com/stautonico/pokemon-home-pokedex/main/sprites/ralts.png", 2)</f>
        <v>0</v>
      </c>
      <c r="M36">
        <f>IMAGE("https://raw.githubusercontent.com/stautonico/pokemon-home-pokedex/main/sprites/kirlia.png", 2)</f>
        <v>0</v>
      </c>
      <c r="N36">
        <f>IMAGE("https://raw.githubusercontent.com/stautonico/pokemon-home-pokedex/main/sprites/gardevoir.png", 2)</f>
        <v>0</v>
      </c>
    </row>
    <row r="37" spans="2:14" ht="72" customHeight="1">
      <c r="B37">
        <f>IMAGE("https://raw.githubusercontent.com/stautonico/pokemon-home-pokedex/main/sprites/grovyle.png", 2)</f>
        <v>0</v>
      </c>
      <c r="C37">
        <f>IMAGE("https://raw.githubusercontent.com/stautonico/pokemon-home-pokedex/main/sprites/sceptile.png", 2)</f>
        <v>0</v>
      </c>
      <c r="D37">
        <f>IMAGE("https://raw.githubusercontent.com/stautonico/pokemon-home-pokedex/main/sprites/torchic.png", 2)</f>
        <v>0</v>
      </c>
      <c r="E37">
        <f>IMAGE("https://raw.githubusercontent.com/stautonico/pokemon-home-pokedex/main/sprites/combusken.png", 2)</f>
        <v>0</v>
      </c>
      <c r="F37">
        <f>IMAGE("https://raw.githubusercontent.com/stautonico/pokemon-home-pokedex/main/sprites/blaziken.png", 2)</f>
        <v>0</v>
      </c>
      <c r="G37">
        <f>IMAGE("https://raw.githubusercontent.com/stautonico/pokemon-home-pokedex/main/sprites/mudkip.png", 2)</f>
        <v>0</v>
      </c>
      <c r="I37">
        <f>IMAGE("https://raw.githubusercontent.com/stautonico/pokemon-home-pokedex/main/sprites/surskit.png", 2)</f>
        <v>0</v>
      </c>
      <c r="J37">
        <f>IMAGE("https://raw.githubusercontent.com/stautonico/pokemon-home-pokedex/main/sprites/masquerain.png", 2)</f>
        <v>0</v>
      </c>
      <c r="K37">
        <f>IMAGE("https://raw.githubusercontent.com/stautonico/pokemon-home-pokedex/main/sprites/shroomish.png", 2)</f>
        <v>0</v>
      </c>
      <c r="L37">
        <f>IMAGE("https://raw.githubusercontent.com/stautonico/pokemon-home-pokedex/main/sprites/breloom.png", 2)</f>
        <v>0</v>
      </c>
      <c r="M37">
        <f>IMAGE("https://raw.githubusercontent.com/stautonico/pokemon-home-pokedex/main/sprites/slakoth.png", 2)</f>
        <v>0</v>
      </c>
      <c r="N37">
        <f>IMAGE("https://raw.githubusercontent.com/stautonico/pokemon-home-pokedex/main/sprites/vigoroth.png", 2)</f>
        <v>0</v>
      </c>
    </row>
    <row r="38" spans="2:14" ht="72" customHeight="1">
      <c r="B38">
        <f>IMAGE("https://raw.githubusercontent.com/stautonico/pokemon-home-pokedex/main/sprites/marshtomp.png", 2)</f>
        <v>0</v>
      </c>
      <c r="C38">
        <f>IMAGE("https://raw.githubusercontent.com/stautonico/pokemon-home-pokedex/main/sprites/swampert.png", 2)</f>
        <v>0</v>
      </c>
      <c r="D38">
        <f>IMAGE("https://raw.githubusercontent.com/stautonico/pokemon-home-pokedex/main/sprites/poochyena.png", 2)</f>
        <v>0</v>
      </c>
      <c r="E38">
        <f>IMAGE("https://raw.githubusercontent.com/stautonico/pokemon-home-pokedex/main/sprites/mightyena.png", 2)</f>
        <v>0</v>
      </c>
      <c r="F38">
        <f>IMAGE("https://raw.githubusercontent.com/stautonico/pokemon-home-pokedex/main/sprites/zigzagoon.png", 2)</f>
        <v>0</v>
      </c>
      <c r="G38">
        <f>IMAGE("https://raw.githubusercontent.com/stautonico/pokemon-home-pokedex/main/sprites/linoone.png", 2)</f>
        <v>0</v>
      </c>
      <c r="I38">
        <f>IMAGE("https://raw.githubusercontent.com/stautonico/pokemon-home-pokedex/main/sprites/slaking.png", 2)</f>
        <v>0</v>
      </c>
      <c r="J38">
        <f>IMAGE("https://raw.githubusercontent.com/stautonico/pokemon-home-pokedex/main/sprites/nincada.png", 2)</f>
        <v>0</v>
      </c>
      <c r="K38">
        <f>IMAGE("https://raw.githubusercontent.com/stautonico/pokemon-home-pokedex/main/sprites/ninjask.png", 2)</f>
        <v>0</v>
      </c>
      <c r="L38">
        <f>IMAGE("https://raw.githubusercontent.com/stautonico/pokemon-home-pokedex/main/sprites/shedinja.png", 2)</f>
        <v>0</v>
      </c>
      <c r="M38">
        <f>IMAGE("https://raw.githubusercontent.com/stautonico/pokemon-home-pokedex/main/sprites/whismur.png", 2)</f>
        <v>0</v>
      </c>
      <c r="N38">
        <f>IMAGE("https://raw.githubusercontent.com/stautonico/pokemon-home-pokedex/main/sprites/loudred.png", 2)</f>
        <v>0</v>
      </c>
    </row>
    <row r="39" spans="2:14" ht="72" customHeight="1">
      <c r="B39">
        <f>IMAGE("https://raw.githubusercontent.com/stautonico/pokemon-home-pokedex/main/sprites/wurmple.png", 2)</f>
        <v>0</v>
      </c>
      <c r="C39">
        <f>IMAGE("https://raw.githubusercontent.com/stautonico/pokemon-home-pokedex/main/sprites/silcoon.png", 2)</f>
        <v>0</v>
      </c>
      <c r="D39">
        <f>IMAGE("https://raw.githubusercontent.com/stautonico/pokemon-home-pokedex/main/sprites/beautifly.png", 2)</f>
        <v>0</v>
      </c>
      <c r="E39">
        <f>IMAGE("https://raw.githubusercontent.com/stautonico/pokemon-home-pokedex/main/sprites/cascoon.png", 2)</f>
        <v>0</v>
      </c>
      <c r="F39">
        <f>IMAGE("https://raw.githubusercontent.com/stautonico/pokemon-home-pokedex/main/sprites/dustox.png", 2)</f>
        <v>0</v>
      </c>
      <c r="G39">
        <f>IMAGE("https://raw.githubusercontent.com/stautonico/pokemon-home-pokedex/main/sprites/lotad.png", 2)</f>
        <v>0</v>
      </c>
      <c r="I39">
        <f>IMAGE("https://raw.githubusercontent.com/stautonico/pokemon-home-pokedex/main/sprites/exploud.png", 2)</f>
        <v>0</v>
      </c>
      <c r="J39">
        <f>IMAGE("https://raw.githubusercontent.com/stautonico/pokemon-home-pokedex/main/sprites/makuhita.png", 2)</f>
        <v>0</v>
      </c>
      <c r="K39">
        <f>IMAGE("https://raw.githubusercontent.com/stautonico/pokemon-home-pokedex/main/sprites/hariyama.png", 2)</f>
        <v>0</v>
      </c>
      <c r="L39">
        <f>IMAGE("https://raw.githubusercontent.com/stautonico/pokemon-home-pokedex/main/sprites/azurill.png", 2)</f>
        <v>0</v>
      </c>
      <c r="M39">
        <f>IMAGE("https://raw.githubusercontent.com/stautonico/pokemon-home-pokedex/main/sprites/nosepass.png", 2)</f>
        <v>0</v>
      </c>
      <c r="N39">
        <f>IMAGE("https://raw.githubusercontent.com/stautonico/pokemon-home-pokedex/main/sprites/skitty.png", 2)</f>
        <v>0</v>
      </c>
    </row>
    <row r="42" spans="2:14">
      <c r="B42" s="37" t="s">
        <v>1547</v>
      </c>
      <c r="I42" s="37" t="s">
        <v>1548</v>
      </c>
    </row>
    <row r="43" spans="2:14" ht="72" customHeight="1">
      <c r="B43">
        <f>IMAGE("https://raw.githubusercontent.com/stautonico/pokemon-home-pokedex/main/sprites/delcatty.png", 2)</f>
        <v>0</v>
      </c>
      <c r="C43">
        <f>IMAGE("https://raw.githubusercontent.com/stautonico/pokemon-home-pokedex/main/sprites/sableye.png", 2)</f>
        <v>0</v>
      </c>
      <c r="D43">
        <f>IMAGE("https://raw.githubusercontent.com/stautonico/pokemon-home-pokedex/main/sprites/mawile.png", 2)</f>
        <v>0</v>
      </c>
      <c r="E43">
        <f>IMAGE("https://raw.githubusercontent.com/stautonico/pokemon-home-pokedex/main/sprites/aron.png", 2)</f>
        <v>0</v>
      </c>
      <c r="F43">
        <f>IMAGE("https://raw.githubusercontent.com/stautonico/pokemon-home-pokedex/main/sprites/lairon.png", 2)</f>
        <v>0</v>
      </c>
      <c r="G43">
        <f>IMAGE("https://raw.githubusercontent.com/stautonico/pokemon-home-pokedex/main/sprites/aggron.png", 2)</f>
        <v>0</v>
      </c>
      <c r="I43">
        <f>IMAGE("https://raw.githubusercontent.com/stautonico/pokemon-home-pokedex/main/sprites/cacnea.png", 2)</f>
        <v>0</v>
      </c>
      <c r="J43">
        <f>IMAGE("https://raw.githubusercontent.com/stautonico/pokemon-home-pokedex/main/sprites/cacturne.png", 2)</f>
        <v>0</v>
      </c>
      <c r="K43">
        <f>IMAGE("https://raw.githubusercontent.com/stautonico/pokemon-home-pokedex/main/sprites/swablu.png", 2)</f>
        <v>0</v>
      </c>
      <c r="L43">
        <f>IMAGE("https://raw.githubusercontent.com/stautonico/pokemon-home-pokedex/main/sprites/altaria.png", 2)</f>
        <v>0</v>
      </c>
      <c r="M43">
        <f>IMAGE("https://raw.githubusercontent.com/stautonico/pokemon-home-pokedex/main/sprites/zangoose.png", 2)</f>
        <v>0</v>
      </c>
      <c r="N43">
        <f>IMAGE("https://raw.githubusercontent.com/stautonico/pokemon-home-pokedex/main/sprites/seviper.png", 2)</f>
        <v>0</v>
      </c>
    </row>
    <row r="44" spans="2:14" ht="72" customHeight="1">
      <c r="B44">
        <f>IMAGE("https://raw.githubusercontent.com/stautonico/pokemon-home-pokedex/main/sprites/meditite.png", 2)</f>
        <v>0</v>
      </c>
      <c r="C44">
        <f>IMAGE("https://raw.githubusercontent.com/stautonico/pokemon-home-pokedex/main/sprites/medicham.png", 2)</f>
        <v>0</v>
      </c>
      <c r="D44">
        <f>IMAGE("https://raw.githubusercontent.com/stautonico/pokemon-home-pokedex/main/sprites/electrike.png", 2)</f>
        <v>0</v>
      </c>
      <c r="E44">
        <f>IMAGE("https://raw.githubusercontent.com/stautonico/pokemon-home-pokedex/main/sprites/manectric.png", 2)</f>
        <v>0</v>
      </c>
      <c r="F44">
        <f>IMAGE("https://raw.githubusercontent.com/stautonico/pokemon-home-pokedex/main/sprites/plusle.png", 2)</f>
        <v>0</v>
      </c>
      <c r="G44">
        <f>IMAGE("https://raw.githubusercontent.com/stautonico/pokemon-home-pokedex/main/sprites/minun.png", 2)</f>
        <v>0</v>
      </c>
      <c r="I44">
        <f>IMAGE("https://raw.githubusercontent.com/stautonico/pokemon-home-pokedex/main/sprites/lunatone.png", 2)</f>
        <v>0</v>
      </c>
      <c r="J44">
        <f>IMAGE("https://raw.githubusercontent.com/stautonico/pokemon-home-pokedex/main/sprites/solrock.png", 2)</f>
        <v>0</v>
      </c>
      <c r="K44">
        <f>IMAGE("https://raw.githubusercontent.com/stautonico/pokemon-home-pokedex/main/sprites/barboach.png", 2)</f>
        <v>0</v>
      </c>
      <c r="L44">
        <f>IMAGE("https://raw.githubusercontent.com/stautonico/pokemon-home-pokedex/main/sprites/whiscash.png", 2)</f>
        <v>0</v>
      </c>
      <c r="M44">
        <f>IMAGE("https://raw.githubusercontent.com/stautonico/pokemon-home-pokedex/main/sprites/corphish.png", 2)</f>
        <v>0</v>
      </c>
      <c r="N44">
        <f>IMAGE("https://raw.githubusercontent.com/stautonico/pokemon-home-pokedex/main/sprites/crawdaunt.png", 2)</f>
        <v>0</v>
      </c>
    </row>
    <row r="45" spans="2:14" ht="72" customHeight="1">
      <c r="B45">
        <f>IMAGE("https://raw.githubusercontent.com/stautonico/pokemon-home-pokedex/main/sprites/volbeat.png", 2)</f>
        <v>0</v>
      </c>
      <c r="C45">
        <f>IMAGE("https://raw.githubusercontent.com/stautonico/pokemon-home-pokedex/main/sprites/illumise.png", 2)</f>
        <v>0</v>
      </c>
      <c r="D45">
        <f>IMAGE("https://raw.githubusercontent.com/stautonico/pokemon-home-pokedex/main/sprites/roselia.png", 2)</f>
        <v>0</v>
      </c>
      <c r="E45">
        <f>IMAGE("https://raw.githubusercontent.com/stautonico/pokemon-home-pokedex/main/sprites/gulpin.png", 2)</f>
        <v>0</v>
      </c>
      <c r="F45">
        <f>IMAGE("https://raw.githubusercontent.com/stautonico/pokemon-home-pokedex/main/sprites/swalot.png", 2)</f>
        <v>0</v>
      </c>
      <c r="G45">
        <f>IMAGE("https://raw.githubusercontent.com/stautonico/pokemon-home-pokedex/main/sprites/carvanha.png", 2)</f>
        <v>0</v>
      </c>
      <c r="I45">
        <f>IMAGE("https://raw.githubusercontent.com/stautonico/pokemon-home-pokedex/main/sprites/baltoy.png", 2)</f>
        <v>0</v>
      </c>
      <c r="J45">
        <f>IMAGE("https://raw.githubusercontent.com/stautonico/pokemon-home-pokedex/main/sprites/claydol.png", 2)</f>
        <v>0</v>
      </c>
      <c r="K45">
        <f>IMAGE("https://raw.githubusercontent.com/stautonico/pokemon-home-pokedex/main/sprites/lileep.png", 2)</f>
        <v>0</v>
      </c>
      <c r="L45">
        <f>IMAGE("https://raw.githubusercontent.com/stautonico/pokemon-home-pokedex/main/sprites/cradily.png", 2)</f>
        <v>0</v>
      </c>
      <c r="M45">
        <f>IMAGE("https://raw.githubusercontent.com/stautonico/pokemon-home-pokedex/main/sprites/anorith.png", 2)</f>
        <v>0</v>
      </c>
      <c r="N45">
        <f>IMAGE("https://raw.githubusercontent.com/stautonico/pokemon-home-pokedex/main/sprites/armaldo.png", 2)</f>
        <v>0</v>
      </c>
    </row>
    <row r="46" spans="2:14" ht="72" customHeight="1">
      <c r="B46">
        <f>IMAGE("https://raw.githubusercontent.com/stautonico/pokemon-home-pokedex/main/sprites/sharpedo.png", 2)</f>
        <v>0</v>
      </c>
      <c r="C46">
        <f>IMAGE("https://raw.githubusercontent.com/stautonico/pokemon-home-pokedex/main/sprites/wailmer.png", 2)</f>
        <v>0</v>
      </c>
      <c r="D46">
        <f>IMAGE("https://raw.githubusercontent.com/stautonico/pokemon-home-pokedex/main/sprites/wailord.png", 2)</f>
        <v>0</v>
      </c>
      <c r="E46">
        <f>IMAGE("https://raw.githubusercontent.com/stautonico/pokemon-home-pokedex/main/sprites/numel.png", 2)</f>
        <v>0</v>
      </c>
      <c r="F46">
        <f>IMAGE("https://raw.githubusercontent.com/stautonico/pokemon-home-pokedex/main/sprites/camerupt.png", 2)</f>
        <v>0</v>
      </c>
      <c r="G46">
        <f>IMAGE("https://raw.githubusercontent.com/stautonico/pokemon-home-pokedex/main/sprites/torkoal.png", 2)</f>
        <v>0</v>
      </c>
      <c r="I46">
        <f>IMAGE("https://raw.githubusercontent.com/stautonico/pokemon-home-pokedex/main/sprites/feebas.png", 2)</f>
        <v>0</v>
      </c>
      <c r="J46">
        <f>IMAGE("https://raw.githubusercontent.com/stautonico/pokemon-home-pokedex/main/sprites/milotic.png", 2)</f>
        <v>0</v>
      </c>
      <c r="K46">
        <f>IMAGE("https://raw.githubusercontent.com/stautonico/pokemon-home-pokedex/main/sprites/castform.png", 2)</f>
        <v>0</v>
      </c>
      <c r="L46">
        <f>IMAGE("https://raw.githubusercontent.com/stautonico/pokemon-home-pokedex/main/sprites/kecleon.png", 2)</f>
        <v>0</v>
      </c>
      <c r="M46">
        <f>IMAGE("https://raw.githubusercontent.com/stautonico/pokemon-home-pokedex/main/sprites/shuppet.png", 2)</f>
        <v>0</v>
      </c>
      <c r="N46">
        <f>IMAGE("https://raw.githubusercontent.com/stautonico/pokemon-home-pokedex/main/sprites/banette.png", 2)</f>
        <v>0</v>
      </c>
    </row>
    <row r="47" spans="2:14" ht="72" customHeight="1">
      <c r="B47">
        <f>IMAGE("https://raw.githubusercontent.com/stautonico/pokemon-home-pokedex/main/sprites/spoink.png", 2)</f>
        <v>0</v>
      </c>
      <c r="C47">
        <f>IMAGE("https://raw.githubusercontent.com/stautonico/pokemon-home-pokedex/main/sprites/grumpig.png", 2)</f>
        <v>0</v>
      </c>
      <c r="D47">
        <f>IMAGE("https://raw.githubusercontent.com/stautonico/pokemon-home-pokedex/main/sprites/spinda.png", 2)</f>
        <v>0</v>
      </c>
      <c r="E47">
        <f>IMAGE("https://raw.githubusercontent.com/stautonico/pokemon-home-pokedex/main/sprites/trapinch.png", 2)</f>
        <v>0</v>
      </c>
      <c r="F47">
        <f>IMAGE("https://raw.githubusercontent.com/stautonico/pokemon-home-pokedex/main/sprites/vibrava.png", 2)</f>
        <v>0</v>
      </c>
      <c r="G47">
        <f>IMAGE("https://raw.githubusercontent.com/stautonico/pokemon-home-pokedex/main/sprites/flygon.png", 2)</f>
        <v>0</v>
      </c>
      <c r="I47">
        <f>IMAGE("https://raw.githubusercontent.com/stautonico/pokemon-home-pokedex/main/sprites/duskull.png", 2)</f>
        <v>0</v>
      </c>
      <c r="J47">
        <f>IMAGE("https://raw.githubusercontent.com/stautonico/pokemon-home-pokedex/main/sprites/dusclops.png", 2)</f>
        <v>0</v>
      </c>
      <c r="K47">
        <f>IMAGE("https://raw.githubusercontent.com/stautonico/pokemon-home-pokedex/main/sprites/tropius.png", 2)</f>
        <v>0</v>
      </c>
      <c r="L47">
        <f>IMAGE("https://raw.githubusercontent.com/stautonico/pokemon-home-pokedex/main/sprites/chimecho.png", 2)</f>
        <v>0</v>
      </c>
      <c r="M47">
        <f>IMAGE("https://raw.githubusercontent.com/stautonico/pokemon-home-pokedex/main/sprites/absol.png", 2)</f>
        <v>0</v>
      </c>
      <c r="N47">
        <f>IMAGE("https://raw.githubusercontent.com/stautonico/pokemon-home-pokedex/main/sprites/wynaut.png", 2)</f>
        <v>0</v>
      </c>
    </row>
    <row r="50" spans="2:14">
      <c r="B50" s="37" t="s">
        <v>1549</v>
      </c>
      <c r="I50" s="37" t="s">
        <v>1550</v>
      </c>
    </row>
    <row r="51" spans="2:14" ht="72" customHeight="1">
      <c r="B51">
        <f>IMAGE("https://raw.githubusercontent.com/stautonico/pokemon-home-pokedex/main/sprites/snorunt.png", 2)</f>
        <v>0</v>
      </c>
      <c r="C51">
        <f>IMAGE("https://raw.githubusercontent.com/stautonico/pokemon-home-pokedex/main/sprites/glalie.png", 2)</f>
        <v>0</v>
      </c>
      <c r="D51">
        <f>IMAGE("https://raw.githubusercontent.com/stautonico/pokemon-home-pokedex/main/sprites/spheal.png", 2)</f>
        <v>0</v>
      </c>
      <c r="E51">
        <f>IMAGE("https://raw.githubusercontent.com/stautonico/pokemon-home-pokedex/main/sprites/sealeo.png", 2)</f>
        <v>0</v>
      </c>
      <c r="F51">
        <f>IMAGE("https://raw.githubusercontent.com/stautonico/pokemon-home-pokedex/main/sprites/walrein.png", 2)</f>
        <v>0</v>
      </c>
      <c r="G51">
        <f>IMAGE("https://raw.githubusercontent.com/stautonico/pokemon-home-pokedex/main/sprites/clamperl.png", 2)</f>
        <v>0</v>
      </c>
      <c r="I51">
        <f>IMAGE("https://raw.githubusercontent.com/stautonico/pokemon-home-pokedex/main/sprites/monferno.png", 2)</f>
        <v>0</v>
      </c>
      <c r="J51">
        <f>IMAGE("https://raw.githubusercontent.com/stautonico/pokemon-home-pokedex/main/sprites/infernape.png", 2)</f>
        <v>0</v>
      </c>
      <c r="K51">
        <f>IMAGE("https://raw.githubusercontent.com/stautonico/pokemon-home-pokedex/main/sprites/piplup.png", 2)</f>
        <v>0</v>
      </c>
      <c r="L51">
        <f>IMAGE("https://raw.githubusercontent.com/stautonico/pokemon-home-pokedex/main/sprites/prinplup.png", 2)</f>
        <v>0</v>
      </c>
      <c r="M51">
        <f>IMAGE("https://raw.githubusercontent.com/stautonico/pokemon-home-pokedex/main/sprites/empoleon.png", 2)</f>
        <v>0</v>
      </c>
      <c r="N51">
        <f>IMAGE("https://raw.githubusercontent.com/stautonico/pokemon-home-pokedex/main/sprites/starly.png", 2)</f>
        <v>0</v>
      </c>
    </row>
    <row r="52" spans="2:14" ht="72" customHeight="1">
      <c r="B52">
        <f>IMAGE("https://raw.githubusercontent.com/stautonico/pokemon-home-pokedex/main/sprites/huntail.png", 2)</f>
        <v>0</v>
      </c>
      <c r="C52">
        <f>IMAGE("https://raw.githubusercontent.com/stautonico/pokemon-home-pokedex/main/sprites/gorebyss.png", 2)</f>
        <v>0</v>
      </c>
      <c r="D52">
        <f>IMAGE("https://raw.githubusercontent.com/stautonico/pokemon-home-pokedex/main/sprites/relicanth.png", 2)</f>
        <v>0</v>
      </c>
      <c r="E52">
        <f>IMAGE("https://raw.githubusercontent.com/stautonico/pokemon-home-pokedex/main/sprites/luvdisc.png", 2)</f>
        <v>0</v>
      </c>
      <c r="F52">
        <f>IMAGE("https://raw.githubusercontent.com/stautonico/pokemon-home-pokedex/main/sprites/bagon.png", 2)</f>
        <v>0</v>
      </c>
      <c r="G52">
        <f>IMAGE("https://raw.githubusercontent.com/stautonico/pokemon-home-pokedex/main/sprites/shelgon.png", 2)</f>
        <v>0</v>
      </c>
      <c r="I52">
        <f>IMAGE("https://raw.githubusercontent.com/stautonico/pokemon-home-pokedex/main/sprites/staravia.png", 2)</f>
        <v>0</v>
      </c>
      <c r="J52">
        <f>IMAGE("https://raw.githubusercontent.com/stautonico/pokemon-home-pokedex/main/sprites/staraptor.png", 2)</f>
        <v>0</v>
      </c>
      <c r="K52">
        <f>IMAGE("https://raw.githubusercontent.com/stautonico/pokemon-home-pokedex/main/sprites/bidoof.png", 2)</f>
        <v>0</v>
      </c>
      <c r="L52">
        <f>IMAGE("https://raw.githubusercontent.com/stautonico/pokemon-home-pokedex/main/sprites/bibarel.png", 2)</f>
        <v>0</v>
      </c>
      <c r="M52">
        <f>IMAGE("https://raw.githubusercontent.com/stautonico/pokemon-home-pokedex/main/sprites/kricketot.png", 2)</f>
        <v>0</v>
      </c>
      <c r="N52">
        <f>IMAGE("https://raw.githubusercontent.com/stautonico/pokemon-home-pokedex/main/sprites/kricketune.png", 2)</f>
        <v>0</v>
      </c>
    </row>
    <row r="53" spans="2:14" ht="72" customHeight="1">
      <c r="B53">
        <f>IMAGE("https://raw.githubusercontent.com/stautonico/pokemon-home-pokedex/main/sprites/salamence.png", 2)</f>
        <v>0</v>
      </c>
      <c r="C53">
        <f>IMAGE("https://raw.githubusercontent.com/stautonico/pokemon-home-pokedex/main/sprites/beldum.png", 2)</f>
        <v>0</v>
      </c>
      <c r="D53">
        <f>IMAGE("https://raw.githubusercontent.com/stautonico/pokemon-home-pokedex/main/sprites/metang.png", 2)</f>
        <v>0</v>
      </c>
      <c r="E53">
        <f>IMAGE("https://raw.githubusercontent.com/stautonico/pokemon-home-pokedex/main/sprites/metagross.png", 2)</f>
        <v>0</v>
      </c>
      <c r="F53">
        <f>IMAGE("https://raw.githubusercontent.com/stautonico/pokemon-home-pokedex/main/sprites/regirock.png", 2)</f>
        <v>0</v>
      </c>
      <c r="G53">
        <f>IMAGE("https://raw.githubusercontent.com/stautonico/pokemon-home-pokedex/main/sprites/regice.png", 2)</f>
        <v>0</v>
      </c>
      <c r="I53">
        <f>IMAGE("https://raw.githubusercontent.com/stautonico/pokemon-home-pokedex/main/sprites/shinx.png", 2)</f>
        <v>0</v>
      </c>
      <c r="J53">
        <f>IMAGE("https://raw.githubusercontent.com/stautonico/pokemon-home-pokedex/main/sprites/luxio.png", 2)</f>
        <v>0</v>
      </c>
      <c r="K53">
        <f>IMAGE("https://raw.githubusercontent.com/stautonico/pokemon-home-pokedex/main/sprites/luxray.png", 2)</f>
        <v>0</v>
      </c>
      <c r="L53">
        <f>IMAGE("https://raw.githubusercontent.com/stautonico/pokemon-home-pokedex/main/sprites/budew.png", 2)</f>
        <v>0</v>
      </c>
      <c r="M53">
        <f>IMAGE("https://raw.githubusercontent.com/stautonico/pokemon-home-pokedex/main/sprites/roserade.png", 2)</f>
        <v>0</v>
      </c>
      <c r="N53">
        <f>IMAGE("https://raw.githubusercontent.com/stautonico/pokemon-home-pokedex/main/sprites/cranidos.png", 2)</f>
        <v>0</v>
      </c>
    </row>
    <row r="54" spans="2:14" ht="72" customHeight="1">
      <c r="B54">
        <f>IMAGE("https://raw.githubusercontent.com/stautonico/pokemon-home-pokedex/main/sprites/registeel.png", 2)</f>
        <v>0</v>
      </c>
      <c r="C54">
        <f>IMAGE("https://raw.githubusercontent.com/stautonico/pokemon-home-pokedex/main/sprites/latias.png", 2)</f>
        <v>0</v>
      </c>
      <c r="D54">
        <f>IMAGE("https://raw.githubusercontent.com/stautonico/pokemon-home-pokedex/main/sprites/latios.png", 2)</f>
        <v>0</v>
      </c>
      <c r="E54">
        <f>IMAGE("https://raw.githubusercontent.com/stautonico/pokemon-home-pokedex/main/sprites/kyogre.png", 2)</f>
        <v>0</v>
      </c>
      <c r="F54">
        <f>IMAGE("https://raw.githubusercontent.com/stautonico/pokemon-home-pokedex/main/sprites/groudon.png", 2)</f>
        <v>0</v>
      </c>
      <c r="G54">
        <f>IMAGE("https://raw.githubusercontent.com/stautonico/pokemon-home-pokedex/main/sprites/rayquaza.png", 2)</f>
        <v>0</v>
      </c>
      <c r="I54">
        <f>IMAGE("https://raw.githubusercontent.com/stautonico/pokemon-home-pokedex/main/sprites/rampardos.png", 2)</f>
        <v>0</v>
      </c>
      <c r="J54">
        <f>IMAGE("https://raw.githubusercontent.com/stautonico/pokemon-home-pokedex/main/sprites/shieldon.png", 2)</f>
        <v>0</v>
      </c>
      <c r="K54">
        <f>IMAGE("https://raw.githubusercontent.com/stautonico/pokemon-home-pokedex/main/sprites/bastiodon.png", 2)</f>
        <v>0</v>
      </c>
      <c r="L54">
        <f>IMAGE("https://raw.githubusercontent.com/stautonico/pokemon-home-pokedex/main/sprites/burmy.png", 2)</f>
        <v>0</v>
      </c>
      <c r="M54">
        <f>IMAGE("https://raw.githubusercontent.com/stautonico/pokemon-home-pokedex/main/sprites/wormadam.png", 2)</f>
        <v>0</v>
      </c>
      <c r="N54">
        <f>IMAGE("https://raw.githubusercontent.com/stautonico/pokemon-home-pokedex/main/sprites/mothim.png", 2)</f>
        <v>0</v>
      </c>
    </row>
    <row r="55" spans="2:14" ht="72" customHeight="1">
      <c r="B55">
        <f>IMAGE("https://raw.githubusercontent.com/stautonico/pokemon-home-pokedex/main/sprites/jirachi.png", 2)</f>
        <v>0</v>
      </c>
      <c r="C55">
        <f>IMAGE("https://raw.githubusercontent.com/stautonico/pokemon-home-pokedex/main/sprites/deoxys.png", 2)</f>
        <v>0</v>
      </c>
      <c r="D55">
        <f>IMAGE("https://raw.githubusercontent.com/stautonico/pokemon-home-pokedex/main/sprites/turtwig.png", 2)</f>
        <v>0</v>
      </c>
      <c r="E55">
        <f>IMAGE("https://raw.githubusercontent.com/stautonico/pokemon-home-pokedex/main/sprites/grotle.png", 2)</f>
        <v>0</v>
      </c>
      <c r="F55">
        <f>IMAGE("https://raw.githubusercontent.com/stautonico/pokemon-home-pokedex/main/sprites/torterra.png", 2)</f>
        <v>0</v>
      </c>
      <c r="G55">
        <f>IMAGE("https://raw.githubusercontent.com/stautonico/pokemon-home-pokedex/main/sprites/chimchar.png", 2)</f>
        <v>0</v>
      </c>
      <c r="I55">
        <f>IMAGE("https://raw.githubusercontent.com/stautonico/pokemon-home-pokedex/main/sprites/combee.png", 2)</f>
        <v>0</v>
      </c>
      <c r="J55">
        <f>IMAGE("https://raw.githubusercontent.com/stautonico/pokemon-home-pokedex/main/sprites/vespiquen.png", 2)</f>
        <v>0</v>
      </c>
      <c r="K55">
        <f>IMAGE("https://raw.githubusercontent.com/stautonico/pokemon-home-pokedex/main/sprites/pachirisu.png", 2)</f>
        <v>0</v>
      </c>
      <c r="L55">
        <f>IMAGE("https://raw.githubusercontent.com/stautonico/pokemon-home-pokedex/main/sprites/buizel.png", 2)</f>
        <v>0</v>
      </c>
      <c r="M55">
        <f>IMAGE("https://raw.githubusercontent.com/stautonico/pokemon-home-pokedex/main/sprites/floatzel.png", 2)</f>
        <v>0</v>
      </c>
      <c r="N55">
        <f>IMAGE("https://raw.githubusercontent.com/stautonico/pokemon-home-pokedex/main/sprites/cherubi.png", 2)</f>
        <v>0</v>
      </c>
    </row>
    <row r="58" spans="2:14">
      <c r="B58" s="37" t="s">
        <v>1551</v>
      </c>
      <c r="I58" s="37" t="s">
        <v>1552</v>
      </c>
    </row>
    <row r="59" spans="2:14" ht="72" customHeight="1">
      <c r="B59">
        <f>IMAGE("https://raw.githubusercontent.com/stautonico/pokemon-home-pokedex/main/sprites/cherrim.png", 2)</f>
        <v>0</v>
      </c>
      <c r="C59">
        <f>IMAGE("https://raw.githubusercontent.com/stautonico/pokemon-home-pokedex/main/sprites/shellos.png", 2)</f>
        <v>0</v>
      </c>
      <c r="D59">
        <f>IMAGE("https://raw.githubusercontent.com/stautonico/pokemon-home-pokedex/main/sprites/gastrodon.png", 2)</f>
        <v>0</v>
      </c>
      <c r="E59">
        <f>IMAGE("https://raw.githubusercontent.com/stautonico/pokemon-home-pokedex/main/sprites/ambipom.png", 2)</f>
        <v>0</v>
      </c>
      <c r="F59">
        <f>IMAGE("https://raw.githubusercontent.com/stautonico/pokemon-home-pokedex/main/sprites/drifloon.png", 2)</f>
        <v>0</v>
      </c>
      <c r="G59">
        <f>IMAGE("https://raw.githubusercontent.com/stautonico/pokemon-home-pokedex/main/sprites/drifblim.png", 2)</f>
        <v>0</v>
      </c>
      <c r="I59">
        <f>IMAGE("https://raw.githubusercontent.com/stautonico/pokemon-home-pokedex/main/sprites/skorupi.png", 2)</f>
        <v>0</v>
      </c>
      <c r="J59">
        <f>IMAGE("https://raw.githubusercontent.com/stautonico/pokemon-home-pokedex/main/sprites/drapion.png", 2)</f>
        <v>0</v>
      </c>
      <c r="K59">
        <f>IMAGE("https://raw.githubusercontent.com/stautonico/pokemon-home-pokedex/main/sprites/croagunk.png", 2)</f>
        <v>0</v>
      </c>
      <c r="L59">
        <f>IMAGE("https://raw.githubusercontent.com/stautonico/pokemon-home-pokedex/main/sprites/toxicroak.png", 2)</f>
        <v>0</v>
      </c>
      <c r="M59">
        <f>IMAGE("https://raw.githubusercontent.com/stautonico/pokemon-home-pokedex/main/sprites/carnivine.png", 2)</f>
        <v>0</v>
      </c>
      <c r="N59">
        <f>IMAGE("https://raw.githubusercontent.com/stautonico/pokemon-home-pokedex/main/sprites/finneon.png", 2)</f>
        <v>0</v>
      </c>
    </row>
    <row r="60" spans="2:14" ht="72" customHeight="1">
      <c r="B60">
        <f>IMAGE("https://raw.githubusercontent.com/stautonico/pokemon-home-pokedex/main/sprites/buneary.png", 2)</f>
        <v>0</v>
      </c>
      <c r="C60">
        <f>IMAGE("https://raw.githubusercontent.com/stautonico/pokemon-home-pokedex/main/sprites/lopunny.png", 2)</f>
        <v>0</v>
      </c>
      <c r="D60">
        <f>IMAGE("https://raw.githubusercontent.com/stautonico/pokemon-home-pokedex/main/sprites/mismagius.png", 2)</f>
        <v>0</v>
      </c>
      <c r="E60">
        <f>IMAGE("https://raw.githubusercontent.com/stautonico/pokemon-home-pokedex/main/sprites/honchkrow.png", 2)</f>
        <v>0</v>
      </c>
      <c r="F60">
        <f>IMAGE("https://raw.githubusercontent.com/stautonico/pokemon-home-pokedex/main/sprites/glameow.png", 2)</f>
        <v>0</v>
      </c>
      <c r="G60">
        <f>IMAGE("https://raw.githubusercontent.com/stautonico/pokemon-home-pokedex/main/sprites/purugly.png", 2)</f>
        <v>0</v>
      </c>
      <c r="I60">
        <f>IMAGE("https://raw.githubusercontent.com/stautonico/pokemon-home-pokedex/main/sprites/lumineon.png", 2)</f>
        <v>0</v>
      </c>
      <c r="J60">
        <f>IMAGE("https://raw.githubusercontent.com/stautonico/pokemon-home-pokedex/main/sprites/mantyke.png", 2)</f>
        <v>0</v>
      </c>
      <c r="K60">
        <f>IMAGE("https://raw.githubusercontent.com/stautonico/pokemon-home-pokedex/main/sprites/snover.png", 2)</f>
        <v>0</v>
      </c>
      <c r="L60">
        <f>IMAGE("https://raw.githubusercontent.com/stautonico/pokemon-home-pokedex/main/sprites/abomasnow.png", 2)</f>
        <v>0</v>
      </c>
      <c r="M60">
        <f>IMAGE("https://raw.githubusercontent.com/stautonico/pokemon-home-pokedex/main/sprites/weavile.png", 2)</f>
        <v>0</v>
      </c>
      <c r="N60">
        <f>IMAGE("https://raw.githubusercontent.com/stautonico/pokemon-home-pokedex/main/sprites/magnezone.png", 2)</f>
        <v>0</v>
      </c>
    </row>
    <row r="61" spans="2:14" ht="72" customHeight="1">
      <c r="B61">
        <f>IMAGE("https://raw.githubusercontent.com/stautonico/pokemon-home-pokedex/main/sprites/chingling.png", 2)</f>
        <v>0</v>
      </c>
      <c r="C61">
        <f>IMAGE("https://raw.githubusercontent.com/stautonico/pokemon-home-pokedex/main/sprites/stunky.png", 2)</f>
        <v>0</v>
      </c>
      <c r="D61">
        <f>IMAGE("https://raw.githubusercontent.com/stautonico/pokemon-home-pokedex/main/sprites/skuntank.png", 2)</f>
        <v>0</v>
      </c>
      <c r="E61">
        <f>IMAGE("https://raw.githubusercontent.com/stautonico/pokemon-home-pokedex/main/sprites/bronzor.png", 2)</f>
        <v>0</v>
      </c>
      <c r="F61">
        <f>IMAGE("https://raw.githubusercontent.com/stautonico/pokemon-home-pokedex/main/sprites/bronzong.png", 2)</f>
        <v>0</v>
      </c>
      <c r="G61">
        <f>IMAGE("https://raw.githubusercontent.com/stautonico/pokemon-home-pokedex/main/sprites/bonsly.png", 2)</f>
        <v>0</v>
      </c>
      <c r="I61">
        <f>IMAGE("https://raw.githubusercontent.com/stautonico/pokemon-home-pokedex/main/sprites/lickilicky.png", 2)</f>
        <v>0</v>
      </c>
      <c r="J61">
        <f>IMAGE("https://raw.githubusercontent.com/stautonico/pokemon-home-pokedex/main/sprites/rhyperior.png", 2)</f>
        <v>0</v>
      </c>
      <c r="K61">
        <f>IMAGE("https://raw.githubusercontent.com/stautonico/pokemon-home-pokedex/main/sprites/tangrowth.png", 2)</f>
        <v>0</v>
      </c>
      <c r="L61">
        <f>IMAGE("https://raw.githubusercontent.com/stautonico/pokemon-home-pokedex/main/sprites/electivire.png", 2)</f>
        <v>0</v>
      </c>
      <c r="M61">
        <f>IMAGE("https://raw.githubusercontent.com/stautonico/pokemon-home-pokedex/main/sprites/magmortar.png", 2)</f>
        <v>0</v>
      </c>
      <c r="N61">
        <f>IMAGE("https://raw.githubusercontent.com/stautonico/pokemon-home-pokedex/main/sprites/togekiss.png", 2)</f>
        <v>0</v>
      </c>
    </row>
    <row r="62" spans="2:14" ht="72" customHeight="1">
      <c r="B62">
        <f>IMAGE("https://raw.githubusercontent.com/stautonico/pokemon-home-pokedex/main/sprites/mimejr.png", 2)</f>
        <v>0</v>
      </c>
      <c r="C62">
        <f>IMAGE("https://raw.githubusercontent.com/stautonico/pokemon-home-pokedex/main/sprites/happiny.png", 2)</f>
        <v>0</v>
      </c>
      <c r="D62">
        <f>IMAGE("https://raw.githubusercontent.com/stautonico/pokemon-home-pokedex/main/sprites/chatot.png", 2)</f>
        <v>0</v>
      </c>
      <c r="E62">
        <f>IMAGE("https://raw.githubusercontent.com/stautonico/pokemon-home-pokedex/main/sprites/spiritomb.png", 2)</f>
        <v>0</v>
      </c>
      <c r="F62">
        <f>IMAGE("https://raw.githubusercontent.com/stautonico/pokemon-home-pokedex/main/sprites/gible.png", 2)</f>
        <v>0</v>
      </c>
      <c r="G62">
        <f>IMAGE("https://raw.githubusercontent.com/stautonico/pokemon-home-pokedex/main/sprites/gabite.png", 2)</f>
        <v>0</v>
      </c>
      <c r="I62">
        <f>IMAGE("https://raw.githubusercontent.com/stautonico/pokemon-home-pokedex/main/sprites/yanmega.png", 2)</f>
        <v>0</v>
      </c>
      <c r="J62">
        <f>IMAGE("https://raw.githubusercontent.com/stautonico/pokemon-home-pokedex/main/sprites/leafeon.png", 2)</f>
        <v>0</v>
      </c>
      <c r="K62">
        <f>IMAGE("https://raw.githubusercontent.com/stautonico/pokemon-home-pokedex/main/sprites/glaceon.png", 2)</f>
        <v>0</v>
      </c>
      <c r="L62">
        <f>IMAGE("https://raw.githubusercontent.com/stautonico/pokemon-home-pokedex/main/sprites/gliscor.png", 2)</f>
        <v>0</v>
      </c>
      <c r="M62">
        <f>IMAGE("https://raw.githubusercontent.com/stautonico/pokemon-home-pokedex/main/sprites/mamoswine.png", 2)</f>
        <v>0</v>
      </c>
      <c r="N62" t="s">
        <v>1553</v>
      </c>
    </row>
    <row r="63" spans="2:14" ht="72" customHeight="1">
      <c r="B63">
        <f>IMAGE("https://raw.githubusercontent.com/stautonico/pokemon-home-pokedex/main/sprites/garchomp.png", 2)</f>
        <v>0</v>
      </c>
      <c r="C63">
        <f>IMAGE("https://raw.githubusercontent.com/stautonico/pokemon-home-pokedex/main/sprites/munchlax.png", 2)</f>
        <v>0</v>
      </c>
      <c r="D63">
        <f>IMAGE("https://raw.githubusercontent.com/stautonico/pokemon-home-pokedex/main/sprites/riolu.png", 2)</f>
        <v>0</v>
      </c>
      <c r="E63">
        <f>IMAGE("https://raw.githubusercontent.com/stautonico/pokemon-home-pokedex/main/sprites/lucario.png", 2)</f>
        <v>0</v>
      </c>
      <c r="F63">
        <f>IMAGE("https://raw.githubusercontent.com/stautonico/pokemon-home-pokedex/main/sprites/hippopotas.png", 2)</f>
        <v>0</v>
      </c>
      <c r="G63">
        <f>IMAGE("https://raw.githubusercontent.com/stautonico/pokemon-home-pokedex/main/sprites/hippowdon.png", 2)</f>
        <v>0</v>
      </c>
      <c r="I63">
        <f>IMAGE("https://raw.githubusercontent.com/stautonico/pokemon-home-pokedex/main/sprites/gallade.png", 2)</f>
        <v>0</v>
      </c>
      <c r="J63">
        <f>IMAGE("https://raw.githubusercontent.com/stautonico/pokemon-home-pokedex/main/sprites/probopass.png", 2)</f>
        <v>0</v>
      </c>
      <c r="K63">
        <f>IMAGE("https://raw.githubusercontent.com/stautonico/pokemon-home-pokedex/main/sprites/dusknoir.png", 2)</f>
        <v>0</v>
      </c>
      <c r="L63">
        <f>IMAGE("https://raw.githubusercontent.com/stautonico/pokemon-home-pokedex/main/sprites/froslass.png", 2)</f>
        <v>0</v>
      </c>
      <c r="M63">
        <f>IMAGE("https://raw.githubusercontent.com/stautonico/pokemon-home-pokedex/main/sprites/rotom.png", 2)</f>
        <v>0</v>
      </c>
      <c r="N63">
        <f>IMAGE("https://raw.githubusercontent.com/stautonico/pokemon-home-pokedex/main/sprites/uxie.png", 2)</f>
        <v>0</v>
      </c>
    </row>
    <row r="66" spans="2:14">
      <c r="B66" s="37" t="s">
        <v>1554</v>
      </c>
      <c r="I66" s="37" t="s">
        <v>1555</v>
      </c>
    </row>
    <row r="67" spans="2:14" ht="72" customHeight="1">
      <c r="B67">
        <f>IMAGE("https://raw.githubusercontent.com/stautonico/pokemon-home-pokedex/main/sprites/mesprit.png", 2)</f>
        <v>0</v>
      </c>
      <c r="C67">
        <f>IMAGE("https://raw.githubusercontent.com/stautonico/pokemon-home-pokedex/main/sprites/azelf.png", 2)</f>
        <v>0</v>
      </c>
      <c r="D67">
        <f>IMAGE("https://raw.githubusercontent.com/stautonico/pokemon-home-pokedex/main/sprites/dialga.png", 2)</f>
        <v>0</v>
      </c>
      <c r="E67">
        <f>IMAGE("https://raw.githubusercontent.com/stautonico/pokemon-home-pokedex/main/sprites/palkia.png", 2)</f>
        <v>0</v>
      </c>
      <c r="F67">
        <f>IMAGE("https://raw.githubusercontent.com/stautonico/pokemon-home-pokedex/main/sprites/heatran.png", 2)</f>
        <v>0</v>
      </c>
      <c r="G67">
        <f>IMAGE("https://raw.githubusercontent.com/stautonico/pokemon-home-pokedex/main/sprites/regigigas.png", 2)</f>
        <v>0</v>
      </c>
      <c r="I67">
        <f>IMAGE("https://raw.githubusercontent.com/stautonico/pokemon-home-pokedex/main/sprites/pansage.png", 2)</f>
        <v>0</v>
      </c>
      <c r="J67">
        <f>IMAGE("https://raw.githubusercontent.com/stautonico/pokemon-home-pokedex/main/sprites/simisage.png", 2)</f>
        <v>0</v>
      </c>
      <c r="K67">
        <f>IMAGE("https://raw.githubusercontent.com/stautonico/pokemon-home-pokedex/main/sprites/pansear.png", 2)</f>
        <v>0</v>
      </c>
      <c r="L67">
        <f>IMAGE("https://raw.githubusercontent.com/stautonico/pokemon-home-pokedex/main/sprites/simisear.png", 2)</f>
        <v>0</v>
      </c>
      <c r="M67">
        <f>IMAGE("https://raw.githubusercontent.com/stautonico/pokemon-home-pokedex/main/sprites/panpour.png", 2)</f>
        <v>0</v>
      </c>
      <c r="N67">
        <f>IMAGE("https://raw.githubusercontent.com/stautonico/pokemon-home-pokedex/main/sprites/simipour.png", 2)</f>
        <v>0</v>
      </c>
    </row>
    <row r="68" spans="2:14" ht="72" customHeight="1">
      <c r="B68">
        <f>IMAGE("https://raw.githubusercontent.com/stautonico/pokemon-home-pokedex/main/sprites/giratina.png", 2)</f>
        <v>0</v>
      </c>
      <c r="C68">
        <f>IMAGE("https://raw.githubusercontent.com/stautonico/pokemon-home-pokedex/main/sprites/cresselia.png", 2)</f>
        <v>0</v>
      </c>
      <c r="D68">
        <f>IMAGE("https://raw.githubusercontent.com/stautonico/pokemon-home-pokedex/main/sprites/phione.png", 2)</f>
        <v>0</v>
      </c>
      <c r="E68">
        <f>IMAGE("https://raw.githubusercontent.com/stautonico/pokemon-home-pokedex/main/sprites/manaphy.png", 2)</f>
        <v>0</v>
      </c>
      <c r="F68">
        <f>IMAGE("https://raw.githubusercontent.com/stautonico/pokemon-home-pokedex/main/sprites/darkrai.png", 2)</f>
        <v>0</v>
      </c>
      <c r="G68">
        <f>IMAGE("https://raw.githubusercontent.com/stautonico/pokemon-home-pokedex/main/sprites/shaymin.png", 2)</f>
        <v>0</v>
      </c>
      <c r="I68">
        <f>IMAGE("https://raw.githubusercontent.com/stautonico/pokemon-home-pokedex/main/sprites/munna.png", 2)</f>
        <v>0</v>
      </c>
      <c r="J68">
        <f>IMAGE("https://raw.githubusercontent.com/stautonico/pokemon-home-pokedex/main/sprites/musharna.png", 2)</f>
        <v>0</v>
      </c>
      <c r="K68">
        <f>IMAGE("https://raw.githubusercontent.com/stautonico/pokemon-home-pokedex/main/sprites/pidove.png", 2)</f>
        <v>0</v>
      </c>
      <c r="L68">
        <f>IMAGE("https://raw.githubusercontent.com/stautonico/pokemon-home-pokedex/main/sprites/tranquill.png", 2)</f>
        <v>0</v>
      </c>
      <c r="M68">
        <f>IMAGE("https://raw.githubusercontent.com/stautonico/pokemon-home-pokedex/main/sprites/unfezant.png", 2)</f>
        <v>0</v>
      </c>
      <c r="N68">
        <f>IMAGE("https://raw.githubusercontent.com/stautonico/pokemon-home-pokedex/main/sprites/blitzle.png", 2)</f>
        <v>0</v>
      </c>
    </row>
    <row r="69" spans="2:14" ht="72" customHeight="1">
      <c r="B69">
        <f>IMAGE("https://raw.githubusercontent.com/stautonico/pokemon-home-pokedex/main/sprites/arceus.png", 2)</f>
        <v>0</v>
      </c>
      <c r="C69">
        <f>IMAGE("https://raw.githubusercontent.com/stautonico/pokemon-home-pokedex/main/sprites/victini.png", 2)</f>
        <v>0</v>
      </c>
      <c r="D69">
        <f>IMAGE("https://raw.githubusercontent.com/stautonico/pokemon-home-pokedex/main/sprites/snivy.png", 2)</f>
        <v>0</v>
      </c>
      <c r="E69">
        <f>IMAGE("https://raw.githubusercontent.com/stautonico/pokemon-home-pokedex/main/sprites/servine.png", 2)</f>
        <v>0</v>
      </c>
      <c r="F69">
        <f>IMAGE("https://raw.githubusercontent.com/stautonico/pokemon-home-pokedex/main/sprites/serperior.png", 2)</f>
        <v>0</v>
      </c>
      <c r="G69">
        <f>IMAGE("https://raw.githubusercontent.com/stautonico/pokemon-home-pokedex/main/sprites/tepig.png", 2)</f>
        <v>0</v>
      </c>
      <c r="I69">
        <f>IMAGE("https://raw.githubusercontent.com/stautonico/pokemon-home-pokedex/main/sprites/zebstrika.png", 2)</f>
        <v>0</v>
      </c>
      <c r="J69">
        <f>IMAGE("https://raw.githubusercontent.com/stautonico/pokemon-home-pokedex/main/sprites/roggenrola.png", 2)</f>
        <v>0</v>
      </c>
      <c r="K69">
        <f>IMAGE("https://raw.githubusercontent.com/stautonico/pokemon-home-pokedex/main/sprites/boldore.png", 2)</f>
        <v>0</v>
      </c>
      <c r="L69">
        <f>IMAGE("https://raw.githubusercontent.com/stautonico/pokemon-home-pokedex/main/sprites/gigalith.png", 2)</f>
        <v>0</v>
      </c>
      <c r="M69">
        <f>IMAGE("https://raw.githubusercontent.com/stautonico/pokemon-home-pokedex/main/sprites/woobat.png", 2)</f>
        <v>0</v>
      </c>
      <c r="N69">
        <f>IMAGE("https://raw.githubusercontent.com/stautonico/pokemon-home-pokedex/main/sprites/swoobat.png", 2)</f>
        <v>0</v>
      </c>
    </row>
    <row r="70" spans="2:14" ht="72" customHeight="1">
      <c r="B70">
        <f>IMAGE("https://raw.githubusercontent.com/stautonico/pokemon-home-pokedex/main/sprites/pignite.png", 2)</f>
        <v>0</v>
      </c>
      <c r="C70">
        <f>IMAGE("https://raw.githubusercontent.com/stautonico/pokemon-home-pokedex/main/sprites/emboar.png", 2)</f>
        <v>0</v>
      </c>
      <c r="D70">
        <f>IMAGE("https://raw.githubusercontent.com/stautonico/pokemon-home-pokedex/main/sprites/oshawott.png", 2)</f>
        <v>0</v>
      </c>
      <c r="E70">
        <f>IMAGE("https://raw.githubusercontent.com/stautonico/pokemon-home-pokedex/main/sprites/dewott.png", 2)</f>
        <v>0</v>
      </c>
      <c r="F70">
        <f>IMAGE("https://raw.githubusercontent.com/stautonico/pokemon-home-pokedex/main/sprites/samurott.png", 2)</f>
        <v>0</v>
      </c>
      <c r="G70">
        <f>IMAGE("https://raw.githubusercontent.com/stautonico/pokemon-home-pokedex/main/sprites/patrat.png", 2)</f>
        <v>0</v>
      </c>
      <c r="I70">
        <f>IMAGE("https://raw.githubusercontent.com/stautonico/pokemon-home-pokedex/main/sprites/drilbur.png", 2)</f>
        <v>0</v>
      </c>
      <c r="J70">
        <f>IMAGE("https://raw.githubusercontent.com/stautonico/pokemon-home-pokedex/main/sprites/excadrill.png", 2)</f>
        <v>0</v>
      </c>
      <c r="K70">
        <f>IMAGE("https://raw.githubusercontent.com/stautonico/pokemon-home-pokedex/main/sprites/audino.png", 2)</f>
        <v>0</v>
      </c>
      <c r="L70">
        <f>IMAGE("https://raw.githubusercontent.com/stautonico/pokemon-home-pokedex/main/sprites/timburr.png", 2)</f>
        <v>0</v>
      </c>
      <c r="M70">
        <f>IMAGE("https://raw.githubusercontent.com/stautonico/pokemon-home-pokedex/main/sprites/gurdurr.png", 2)</f>
        <v>0</v>
      </c>
      <c r="N70">
        <f>IMAGE("https://raw.githubusercontent.com/stautonico/pokemon-home-pokedex/main/sprites/conkeldurr.png", 2)</f>
        <v>0</v>
      </c>
    </row>
    <row r="71" spans="2:14" ht="72" customHeight="1">
      <c r="B71">
        <f>IMAGE("https://raw.githubusercontent.com/stautonico/pokemon-home-pokedex/main/sprites/watchog.png", 2)</f>
        <v>0</v>
      </c>
      <c r="C71">
        <f>IMAGE("https://raw.githubusercontent.com/stautonico/pokemon-home-pokedex/main/sprites/lillipup.png", 2)</f>
        <v>0</v>
      </c>
      <c r="D71">
        <f>IMAGE("https://raw.githubusercontent.com/stautonico/pokemon-home-pokedex/main/sprites/herdier.png", 2)</f>
        <v>0</v>
      </c>
      <c r="E71">
        <f>IMAGE("https://raw.githubusercontent.com/stautonico/pokemon-home-pokedex/main/sprites/stoutland.png", 2)</f>
        <v>0</v>
      </c>
      <c r="F71">
        <f>IMAGE("https://raw.githubusercontent.com/stautonico/pokemon-home-pokedex/main/sprites/purrloin.png", 2)</f>
        <v>0</v>
      </c>
      <c r="G71">
        <f>IMAGE("https://raw.githubusercontent.com/stautonico/pokemon-home-pokedex/main/sprites/liepard.png", 2)</f>
        <v>0</v>
      </c>
      <c r="I71">
        <f>IMAGE("https://raw.githubusercontent.com/stautonico/pokemon-home-pokedex/main/sprites/tympole.png", 2)</f>
        <v>0</v>
      </c>
      <c r="J71">
        <f>IMAGE("https://raw.githubusercontent.com/stautonico/pokemon-home-pokedex/main/sprites/palpitoad.png", 2)</f>
        <v>0</v>
      </c>
      <c r="K71">
        <f>IMAGE("https://raw.githubusercontent.com/stautonico/pokemon-home-pokedex/main/sprites/seismitoad.png", 2)</f>
        <v>0</v>
      </c>
      <c r="L71">
        <f>IMAGE("https://raw.githubusercontent.com/stautonico/pokemon-home-pokedex/main/sprites/throh.png", 2)</f>
        <v>0</v>
      </c>
      <c r="M71">
        <f>IMAGE("https://raw.githubusercontent.com/stautonico/pokemon-home-pokedex/main/sprites/sawk.png", 2)</f>
        <v>0</v>
      </c>
      <c r="N71">
        <f>IMAGE("https://raw.githubusercontent.com/stautonico/pokemon-home-pokedex/main/sprites/sewaddle.png", 2)</f>
        <v>0</v>
      </c>
    </row>
    <row r="74" spans="2:14">
      <c r="B74" s="37" t="s">
        <v>1556</v>
      </c>
      <c r="I74" s="37" t="s">
        <v>1557</v>
      </c>
    </row>
    <row r="75" spans="2:14" ht="72" customHeight="1">
      <c r="B75">
        <f>IMAGE("https://raw.githubusercontent.com/stautonico/pokemon-home-pokedex/main/sprites/swadloon.png", 2)</f>
        <v>0</v>
      </c>
      <c r="C75">
        <f>IMAGE("https://raw.githubusercontent.com/stautonico/pokemon-home-pokedex/main/sprites/leavanny.png", 2)</f>
        <v>0</v>
      </c>
      <c r="D75">
        <f>IMAGE("https://raw.githubusercontent.com/stautonico/pokemon-home-pokedex/main/sprites/venipede.png", 2)</f>
        <v>0</v>
      </c>
      <c r="E75">
        <f>IMAGE("https://raw.githubusercontent.com/stautonico/pokemon-home-pokedex/main/sprites/whirlipede.png", 2)</f>
        <v>0</v>
      </c>
      <c r="F75">
        <f>IMAGE("https://raw.githubusercontent.com/stautonico/pokemon-home-pokedex/main/sprites/scolipede.png", 2)</f>
        <v>0</v>
      </c>
      <c r="G75">
        <f>IMAGE("https://raw.githubusercontent.com/stautonico/pokemon-home-pokedex/main/sprites/cottonee.png", 2)</f>
        <v>0</v>
      </c>
      <c r="I75">
        <f>IMAGE("https://raw.githubusercontent.com/stautonico/pokemon-home-pokedex/main/sprites/zoroark.png", 2)</f>
        <v>0</v>
      </c>
      <c r="J75">
        <f>IMAGE("https://raw.githubusercontent.com/stautonico/pokemon-home-pokedex/main/sprites/minccino.png", 2)</f>
        <v>0</v>
      </c>
      <c r="K75">
        <f>IMAGE("https://raw.githubusercontent.com/stautonico/pokemon-home-pokedex/main/sprites/cinccino.png", 2)</f>
        <v>0</v>
      </c>
      <c r="L75">
        <f>IMAGE("https://raw.githubusercontent.com/stautonico/pokemon-home-pokedex/main/sprites/gothita.png", 2)</f>
        <v>0</v>
      </c>
      <c r="M75">
        <f>IMAGE("https://raw.githubusercontent.com/stautonico/pokemon-home-pokedex/main/sprites/gothorita.png", 2)</f>
        <v>0</v>
      </c>
      <c r="N75">
        <f>IMAGE("https://raw.githubusercontent.com/stautonico/pokemon-home-pokedex/main/sprites/gothitelle.png", 2)</f>
        <v>0</v>
      </c>
    </row>
    <row r="76" spans="2:14" ht="72" customHeight="1">
      <c r="B76">
        <f>IMAGE("https://raw.githubusercontent.com/stautonico/pokemon-home-pokedex/main/sprites/whimsicott.png", 2)</f>
        <v>0</v>
      </c>
      <c r="C76">
        <f>IMAGE("https://raw.githubusercontent.com/stautonico/pokemon-home-pokedex/main/sprites/petilil.png", 2)</f>
        <v>0</v>
      </c>
      <c r="D76">
        <f>IMAGE("https://raw.githubusercontent.com/stautonico/pokemon-home-pokedex/main/sprites/lilligant.png", 2)</f>
        <v>0</v>
      </c>
      <c r="E76">
        <f>IMAGE("https://raw.githubusercontent.com/stautonico/pokemon-home-pokedex/main/sprites/basculin.png", 2)</f>
        <v>0</v>
      </c>
      <c r="F76">
        <f>IMAGE("https://raw.githubusercontent.com/stautonico/pokemon-home-pokedex/main/sprites/sandile.png", 2)</f>
        <v>0</v>
      </c>
      <c r="G76">
        <f>IMAGE("https://raw.githubusercontent.com/stautonico/pokemon-home-pokedex/main/sprites/krokorok.png", 2)</f>
        <v>0</v>
      </c>
      <c r="I76">
        <f>IMAGE("https://raw.githubusercontent.com/stautonico/pokemon-home-pokedex/main/sprites/solosis.png", 2)</f>
        <v>0</v>
      </c>
      <c r="J76">
        <f>IMAGE("https://raw.githubusercontent.com/stautonico/pokemon-home-pokedex/main/sprites/duosion.png", 2)</f>
        <v>0</v>
      </c>
      <c r="K76">
        <f>IMAGE("https://raw.githubusercontent.com/stautonico/pokemon-home-pokedex/main/sprites/reuniclus.png", 2)</f>
        <v>0</v>
      </c>
      <c r="L76">
        <f>IMAGE("https://raw.githubusercontent.com/stautonico/pokemon-home-pokedex/main/sprites/ducklett.png", 2)</f>
        <v>0</v>
      </c>
      <c r="M76">
        <f>IMAGE("https://raw.githubusercontent.com/stautonico/pokemon-home-pokedex/main/sprites/swanna.png", 2)</f>
        <v>0</v>
      </c>
      <c r="N76">
        <f>IMAGE("https://raw.githubusercontent.com/stautonico/pokemon-home-pokedex/main/sprites/vanillite.png", 2)</f>
        <v>0</v>
      </c>
    </row>
    <row r="77" spans="2:14" ht="72" customHeight="1">
      <c r="B77">
        <f>IMAGE("https://raw.githubusercontent.com/stautonico/pokemon-home-pokedex/main/sprites/krookodile.png", 2)</f>
        <v>0</v>
      </c>
      <c r="C77">
        <f>IMAGE("https://raw.githubusercontent.com/stautonico/pokemon-home-pokedex/main/sprites/darumaka.png", 2)</f>
        <v>0</v>
      </c>
      <c r="D77">
        <f>IMAGE("https://raw.githubusercontent.com/stautonico/pokemon-home-pokedex/main/sprites/darmanitan.png", 2)</f>
        <v>0</v>
      </c>
      <c r="E77">
        <f>IMAGE("https://raw.githubusercontent.com/stautonico/pokemon-home-pokedex/main/sprites/maractus.png", 2)</f>
        <v>0</v>
      </c>
      <c r="F77">
        <f>IMAGE("https://raw.githubusercontent.com/stautonico/pokemon-home-pokedex/main/sprites/dwebble.png", 2)</f>
        <v>0</v>
      </c>
      <c r="G77">
        <f>IMAGE("https://raw.githubusercontent.com/stautonico/pokemon-home-pokedex/main/sprites/crustle.png", 2)</f>
        <v>0</v>
      </c>
      <c r="I77">
        <f>IMAGE("https://raw.githubusercontent.com/stautonico/pokemon-home-pokedex/main/sprites/vanillish.png", 2)</f>
        <v>0</v>
      </c>
      <c r="J77">
        <f>IMAGE("https://raw.githubusercontent.com/stautonico/pokemon-home-pokedex/main/sprites/vanilluxe.png", 2)</f>
        <v>0</v>
      </c>
      <c r="K77">
        <f>IMAGE("https://raw.githubusercontent.com/stautonico/pokemon-home-pokedex/main/sprites/deerling.png", 2)</f>
        <v>0</v>
      </c>
      <c r="L77">
        <f>IMAGE("https://raw.githubusercontent.com/stautonico/pokemon-home-pokedex/main/sprites/sawsbuck.png", 2)</f>
        <v>0</v>
      </c>
      <c r="M77">
        <f>IMAGE("https://raw.githubusercontent.com/stautonico/pokemon-home-pokedex/main/sprites/emolga.png", 2)</f>
        <v>0</v>
      </c>
      <c r="N77">
        <f>IMAGE("https://raw.githubusercontent.com/stautonico/pokemon-home-pokedex/main/sprites/karrablast.png", 2)</f>
        <v>0</v>
      </c>
    </row>
    <row r="78" spans="2:14" ht="72" customHeight="1">
      <c r="B78">
        <f>IMAGE("https://raw.githubusercontent.com/stautonico/pokemon-home-pokedex/main/sprites/scraggy.png", 2)</f>
        <v>0</v>
      </c>
      <c r="C78">
        <f>IMAGE("https://raw.githubusercontent.com/stautonico/pokemon-home-pokedex/main/sprites/scrafty.png", 2)</f>
        <v>0</v>
      </c>
      <c r="D78">
        <f>IMAGE("https://raw.githubusercontent.com/stautonico/pokemon-home-pokedex/main/sprites/sigilyph.png", 2)</f>
        <v>0</v>
      </c>
      <c r="E78">
        <f>IMAGE("https://raw.githubusercontent.com/stautonico/pokemon-home-pokedex/main/sprites/yamask.png", 2)</f>
        <v>0</v>
      </c>
      <c r="F78">
        <f>IMAGE("https://raw.githubusercontent.com/stautonico/pokemon-home-pokedex/main/sprites/cofagrigus.png", 2)</f>
        <v>0</v>
      </c>
      <c r="G78">
        <f>IMAGE("https://raw.githubusercontent.com/stautonico/pokemon-home-pokedex/main/sprites/tirtouga.png", 2)</f>
        <v>0</v>
      </c>
      <c r="I78">
        <f>IMAGE("https://raw.githubusercontent.com/stautonico/pokemon-home-pokedex/main/sprites/escavalier.png", 2)</f>
        <v>0</v>
      </c>
      <c r="J78">
        <f>IMAGE("https://raw.githubusercontent.com/stautonico/pokemon-home-pokedex/main/sprites/foongus.png", 2)</f>
        <v>0</v>
      </c>
      <c r="K78">
        <f>IMAGE("https://raw.githubusercontent.com/stautonico/pokemon-home-pokedex/main/sprites/amoonguss.png", 2)</f>
        <v>0</v>
      </c>
      <c r="L78">
        <f>IMAGE("https://raw.githubusercontent.com/stautonico/pokemon-home-pokedex/main/sprites/frillish.png", 2)</f>
        <v>0</v>
      </c>
      <c r="M78">
        <f>IMAGE("https://raw.githubusercontent.com/stautonico/pokemon-home-pokedex/main/sprites/jellicent.png", 2)</f>
        <v>0</v>
      </c>
      <c r="N78">
        <f>IMAGE("https://raw.githubusercontent.com/stautonico/pokemon-home-pokedex/main/sprites/alomomola.png", 2)</f>
        <v>0</v>
      </c>
    </row>
    <row r="79" spans="2:14" ht="72" customHeight="1">
      <c r="B79">
        <f>IMAGE("https://raw.githubusercontent.com/stautonico/pokemon-home-pokedex/main/sprites/carracosta.png", 2)</f>
        <v>0</v>
      </c>
      <c r="C79">
        <f>IMAGE("https://raw.githubusercontent.com/stautonico/pokemon-home-pokedex/main/sprites/archen.png", 2)</f>
        <v>0</v>
      </c>
      <c r="D79">
        <f>IMAGE("https://raw.githubusercontent.com/stautonico/pokemon-home-pokedex/main/sprites/archeops.png", 2)</f>
        <v>0</v>
      </c>
      <c r="E79">
        <f>IMAGE("https://raw.githubusercontent.com/stautonico/pokemon-home-pokedex/main/sprites/trubbish.png", 2)</f>
        <v>0</v>
      </c>
      <c r="F79">
        <f>IMAGE("https://raw.githubusercontent.com/stautonico/pokemon-home-pokedex/main/sprites/garbodor.png", 2)</f>
        <v>0</v>
      </c>
      <c r="G79">
        <f>IMAGE("https://raw.githubusercontent.com/stautonico/pokemon-home-pokedex/main/sprites/zorua.png", 2)</f>
        <v>0</v>
      </c>
      <c r="I79">
        <f>IMAGE("https://raw.githubusercontent.com/stautonico/pokemon-home-pokedex/main/sprites/joltik.png", 2)</f>
        <v>0</v>
      </c>
      <c r="J79">
        <f>IMAGE("https://raw.githubusercontent.com/stautonico/pokemon-home-pokedex/main/sprites/galvantula.png", 2)</f>
        <v>0</v>
      </c>
      <c r="K79">
        <f>IMAGE("https://raw.githubusercontent.com/stautonico/pokemon-home-pokedex/main/sprites/ferroseed.png", 2)</f>
        <v>0</v>
      </c>
      <c r="L79">
        <f>IMAGE("https://raw.githubusercontent.com/stautonico/pokemon-home-pokedex/main/sprites/ferrothorn.png", 2)</f>
        <v>0</v>
      </c>
      <c r="M79">
        <f>IMAGE("https://raw.githubusercontent.com/stautonico/pokemon-home-pokedex/main/sprites/klink.png", 2)</f>
        <v>0</v>
      </c>
      <c r="N79">
        <f>IMAGE("https://raw.githubusercontent.com/stautonico/pokemon-home-pokedex/main/sprites/klang.png", 2)</f>
        <v>0</v>
      </c>
    </row>
    <row r="82" spans="2:14">
      <c r="B82" s="37" t="s">
        <v>1558</v>
      </c>
      <c r="I82" s="37" t="s">
        <v>1559</v>
      </c>
    </row>
    <row r="83" spans="2:14" ht="72" customHeight="1">
      <c r="B83">
        <f>IMAGE("https://raw.githubusercontent.com/stautonico/pokemon-home-pokedex/main/sprites/klinklang.png", 2)</f>
        <v>0</v>
      </c>
      <c r="C83">
        <f>IMAGE("https://raw.githubusercontent.com/stautonico/pokemon-home-pokedex/main/sprites/tynamo.png", 2)</f>
        <v>0</v>
      </c>
      <c r="D83">
        <f>IMAGE("https://raw.githubusercontent.com/stautonico/pokemon-home-pokedex/main/sprites/eelektrik.png", 2)</f>
        <v>0</v>
      </c>
      <c r="E83">
        <f>IMAGE("https://raw.githubusercontent.com/stautonico/pokemon-home-pokedex/main/sprites/eelektross.png", 2)</f>
        <v>0</v>
      </c>
      <c r="F83">
        <f>IMAGE("https://raw.githubusercontent.com/stautonico/pokemon-home-pokedex/main/sprites/elgyem.png", 2)</f>
        <v>0</v>
      </c>
      <c r="G83">
        <f>IMAGE("https://raw.githubusercontent.com/stautonico/pokemon-home-pokedex/main/sprites/beheeyem.png", 2)</f>
        <v>0</v>
      </c>
      <c r="I83">
        <f>IMAGE("https://raw.githubusercontent.com/stautonico/pokemon-home-pokedex/main/sprites/heatmor.png", 2)</f>
        <v>0</v>
      </c>
      <c r="J83">
        <f>IMAGE("https://raw.githubusercontent.com/stautonico/pokemon-home-pokedex/main/sprites/durant.png", 2)</f>
        <v>0</v>
      </c>
      <c r="K83">
        <f>IMAGE("https://raw.githubusercontent.com/stautonico/pokemon-home-pokedex/main/sprites/deino.png", 2)</f>
        <v>0</v>
      </c>
      <c r="L83">
        <f>IMAGE("https://raw.githubusercontent.com/stautonico/pokemon-home-pokedex/main/sprites/zweilous.png", 2)</f>
        <v>0</v>
      </c>
      <c r="M83">
        <f>IMAGE("https://raw.githubusercontent.com/stautonico/pokemon-home-pokedex/main/sprites/hydreigon.png", 2)</f>
        <v>0</v>
      </c>
      <c r="N83">
        <f>IMAGE("https://raw.githubusercontent.com/stautonico/pokemon-home-pokedex/main/sprites/larvesta.png", 2)</f>
        <v>0</v>
      </c>
    </row>
    <row r="84" spans="2:14" ht="72" customHeight="1">
      <c r="B84">
        <f>IMAGE("https://raw.githubusercontent.com/stautonico/pokemon-home-pokedex/main/sprites/litwick.png", 2)</f>
        <v>0</v>
      </c>
      <c r="C84">
        <f>IMAGE("https://raw.githubusercontent.com/stautonico/pokemon-home-pokedex/main/sprites/lampent.png", 2)</f>
        <v>0</v>
      </c>
      <c r="D84">
        <f>IMAGE("https://raw.githubusercontent.com/stautonico/pokemon-home-pokedex/main/sprites/chandelure.png", 2)</f>
        <v>0</v>
      </c>
      <c r="E84">
        <f>IMAGE("https://raw.githubusercontent.com/stautonico/pokemon-home-pokedex/main/sprites/axew.png", 2)</f>
        <v>0</v>
      </c>
      <c r="F84">
        <f>IMAGE("https://raw.githubusercontent.com/stautonico/pokemon-home-pokedex/main/sprites/fraxure.png", 2)</f>
        <v>0</v>
      </c>
      <c r="G84">
        <f>IMAGE("https://raw.githubusercontent.com/stautonico/pokemon-home-pokedex/main/sprites/haxorus.png", 2)</f>
        <v>0</v>
      </c>
      <c r="I84">
        <f>IMAGE("https://raw.githubusercontent.com/stautonico/pokemon-home-pokedex/main/sprites/volcarona.png", 2)</f>
        <v>0</v>
      </c>
      <c r="J84">
        <f>IMAGE("https://raw.githubusercontent.com/stautonico/pokemon-home-pokedex/main/sprites/cobalion.png", 2)</f>
        <v>0</v>
      </c>
      <c r="K84">
        <f>IMAGE("https://raw.githubusercontent.com/stautonico/pokemon-home-pokedex/main/sprites/terrakion.png", 2)</f>
        <v>0</v>
      </c>
      <c r="L84">
        <f>IMAGE("https://raw.githubusercontent.com/stautonico/pokemon-home-pokedex/main/sprites/virizion.png", 2)</f>
        <v>0</v>
      </c>
      <c r="M84">
        <f>IMAGE("https://raw.githubusercontent.com/stautonico/pokemon-home-pokedex/main/sprites/tornadus.png", 2)</f>
        <v>0</v>
      </c>
      <c r="N84">
        <f>IMAGE("https://raw.githubusercontent.com/stautonico/pokemon-home-pokedex/main/sprites/thundurus.png", 2)</f>
        <v>0</v>
      </c>
    </row>
    <row r="85" spans="2:14" ht="72" customHeight="1">
      <c r="B85">
        <f>IMAGE("https://raw.githubusercontent.com/stautonico/pokemon-home-pokedex/main/sprites/cubchoo.png", 2)</f>
        <v>0</v>
      </c>
      <c r="C85">
        <f>IMAGE("https://raw.githubusercontent.com/stautonico/pokemon-home-pokedex/main/sprites/beartic.png", 2)</f>
        <v>0</v>
      </c>
      <c r="D85">
        <f>IMAGE("https://raw.githubusercontent.com/stautonico/pokemon-home-pokedex/main/sprites/cryogonal.png", 2)</f>
        <v>0</v>
      </c>
      <c r="E85">
        <f>IMAGE("https://raw.githubusercontent.com/stautonico/pokemon-home-pokedex/main/sprites/shelmet.png", 2)</f>
        <v>0</v>
      </c>
      <c r="F85">
        <f>IMAGE("https://raw.githubusercontent.com/stautonico/pokemon-home-pokedex/main/sprites/accelgor.png", 2)</f>
        <v>0</v>
      </c>
      <c r="G85">
        <f>IMAGE("https://raw.githubusercontent.com/stautonico/pokemon-home-pokedex/main/sprites/stunfisk.png", 2)</f>
        <v>0</v>
      </c>
      <c r="I85">
        <f>IMAGE("https://raw.githubusercontent.com/stautonico/pokemon-home-pokedex/main/sprites/reshiram.png", 2)</f>
        <v>0</v>
      </c>
      <c r="J85">
        <f>IMAGE("https://raw.githubusercontent.com/stautonico/pokemon-home-pokedex/main/sprites/zekrom.png", 2)</f>
        <v>0</v>
      </c>
      <c r="K85">
        <f>IMAGE("https://raw.githubusercontent.com/stautonico/pokemon-home-pokedex/main/sprites/landorus.png", 2)</f>
        <v>0</v>
      </c>
      <c r="L85">
        <f>IMAGE("https://raw.githubusercontent.com/stautonico/pokemon-home-pokedex/main/sprites/kyurem.png", 2)</f>
        <v>0</v>
      </c>
      <c r="M85">
        <f>IMAGE("https://raw.githubusercontent.com/stautonico/pokemon-home-pokedex/main/sprites/keldeo.png", 2)</f>
        <v>0</v>
      </c>
      <c r="N85">
        <f>IMAGE("https://raw.githubusercontent.com/stautonico/pokemon-home-pokedex/main/sprites/meloetta.png", 2)</f>
        <v>0</v>
      </c>
    </row>
    <row r="86" spans="2:14" ht="72" customHeight="1">
      <c r="B86">
        <f>IMAGE("https://raw.githubusercontent.com/stautonico/pokemon-home-pokedex/main/sprites/mienfoo.png", 2)</f>
        <v>0</v>
      </c>
      <c r="C86">
        <f>IMAGE("https://raw.githubusercontent.com/stautonico/pokemon-home-pokedex/main/sprites/mienshao.png", 2)</f>
        <v>0</v>
      </c>
      <c r="D86">
        <f>IMAGE("https://raw.githubusercontent.com/stautonico/pokemon-home-pokedex/main/sprites/druddigon.png", 2)</f>
        <v>0</v>
      </c>
      <c r="E86">
        <f>IMAGE("https://raw.githubusercontent.com/stautonico/pokemon-home-pokedex/main/sprites/golett.png", 2)</f>
        <v>0</v>
      </c>
      <c r="F86">
        <f>IMAGE("https://raw.githubusercontent.com/stautonico/pokemon-home-pokedex/main/sprites/golurk.png", 2)</f>
        <v>0</v>
      </c>
      <c r="G86">
        <f>IMAGE("https://raw.githubusercontent.com/stautonico/pokemon-home-pokedex/main/sprites/pawniard.png", 2)</f>
        <v>0</v>
      </c>
      <c r="I86">
        <f>IMAGE("https://raw.githubusercontent.com/stautonico/pokemon-home-pokedex/main/sprites/genesect.png", 2)</f>
        <v>0</v>
      </c>
      <c r="J86">
        <f>IMAGE("https://raw.githubusercontent.com/stautonico/pokemon-home-pokedex/main/sprites/chespin.png", 2)</f>
        <v>0</v>
      </c>
      <c r="K86">
        <f>IMAGE("https://raw.githubusercontent.com/stautonico/pokemon-home-pokedex/main/sprites/quilladin.png", 2)</f>
        <v>0</v>
      </c>
      <c r="L86">
        <f>IMAGE("https://raw.githubusercontent.com/stautonico/pokemon-home-pokedex/main/sprites/chesnaught.png", 2)</f>
        <v>0</v>
      </c>
      <c r="M86">
        <f>IMAGE("https://raw.githubusercontent.com/stautonico/pokemon-home-pokedex/main/sprites/fennekin.png", 2)</f>
        <v>0</v>
      </c>
      <c r="N86">
        <f>IMAGE("https://raw.githubusercontent.com/stautonico/pokemon-home-pokedex/main/sprites/braixen.png", 2)</f>
        <v>0</v>
      </c>
    </row>
    <row r="87" spans="2:14" ht="72" customHeight="1">
      <c r="B87">
        <f>IMAGE("https://raw.githubusercontent.com/stautonico/pokemon-home-pokedex/main/sprites/bisharp.png", 2)</f>
        <v>0</v>
      </c>
      <c r="C87">
        <f>IMAGE("https://raw.githubusercontent.com/stautonico/pokemon-home-pokedex/main/sprites/bouffalant.png", 2)</f>
        <v>0</v>
      </c>
      <c r="D87">
        <f>IMAGE("https://raw.githubusercontent.com/stautonico/pokemon-home-pokedex/main/sprites/rufflet.png", 2)</f>
        <v>0</v>
      </c>
      <c r="E87">
        <f>IMAGE("https://raw.githubusercontent.com/stautonico/pokemon-home-pokedex/main/sprites/braviary.png", 2)</f>
        <v>0</v>
      </c>
      <c r="F87">
        <f>IMAGE("https://raw.githubusercontent.com/stautonico/pokemon-home-pokedex/main/sprites/vullaby.png", 2)</f>
        <v>0</v>
      </c>
      <c r="G87">
        <f>IMAGE("https://raw.githubusercontent.com/stautonico/pokemon-home-pokedex/main/sprites/mandibuzz.png", 2)</f>
        <v>0</v>
      </c>
      <c r="I87">
        <f>IMAGE("https://raw.githubusercontent.com/stautonico/pokemon-home-pokedex/main/sprites/delphox.png", 2)</f>
        <v>0</v>
      </c>
      <c r="J87">
        <f>IMAGE("https://raw.githubusercontent.com/stautonico/pokemon-home-pokedex/main/sprites/froakie.png", 2)</f>
        <v>0</v>
      </c>
      <c r="K87">
        <f>IMAGE("https://raw.githubusercontent.com/stautonico/pokemon-home-pokedex/main/sprites/frogadier.png", 2)</f>
        <v>0</v>
      </c>
      <c r="L87">
        <f>IMAGE("https://raw.githubusercontent.com/stautonico/pokemon-home-pokedex/main/sprites/greninja.png", 2)</f>
        <v>0</v>
      </c>
      <c r="M87">
        <f>IMAGE("https://raw.githubusercontent.com/stautonico/pokemon-home-pokedex/main/sprites/bunnelby.png", 2)</f>
        <v>0</v>
      </c>
      <c r="N87">
        <f>IMAGE("https://raw.githubusercontent.com/stautonico/pokemon-home-pokedex/main/sprites/diggersby.png", 2)</f>
        <v>0</v>
      </c>
    </row>
    <row r="90" spans="2:14">
      <c r="B90" s="37" t="s">
        <v>1560</v>
      </c>
      <c r="I90" s="37" t="s">
        <v>1561</v>
      </c>
    </row>
    <row r="91" spans="2:14" ht="72" customHeight="1">
      <c r="B91">
        <f>IMAGE("https://raw.githubusercontent.com/stautonico/pokemon-home-pokedex/main/sprites/fletchling.png", 2)</f>
        <v>0</v>
      </c>
      <c r="C91">
        <f>IMAGE("https://raw.githubusercontent.com/stautonico/pokemon-home-pokedex/main/sprites/fletchinder.png", 2)</f>
        <v>0</v>
      </c>
      <c r="D91">
        <f>IMAGE("https://raw.githubusercontent.com/stautonico/pokemon-home-pokedex/main/sprites/talonflame.png", 2)</f>
        <v>0</v>
      </c>
      <c r="E91">
        <f>IMAGE("https://raw.githubusercontent.com/stautonico/pokemon-home-pokedex/main/sprites/scatterbug.png", 2)</f>
        <v>0</v>
      </c>
      <c r="F91">
        <f>IMAGE("https://raw.githubusercontent.com/stautonico/pokemon-home-pokedex/main/sprites/spewpa.png", 2)</f>
        <v>0</v>
      </c>
      <c r="G91">
        <f>IMAGE("https://raw.githubusercontent.com/stautonico/pokemon-home-pokedex/main/sprites/vivillon.png", 2)</f>
        <v>0</v>
      </c>
      <c r="I91">
        <f>IMAGE("https://raw.githubusercontent.com/stautonico/pokemon-home-pokedex/main/sprites/dragalge.png", 2)</f>
        <v>0</v>
      </c>
      <c r="J91">
        <f>IMAGE("https://raw.githubusercontent.com/stautonico/pokemon-home-pokedex/main/sprites/clauncher.png", 2)</f>
        <v>0</v>
      </c>
      <c r="K91">
        <f>IMAGE("https://raw.githubusercontent.com/stautonico/pokemon-home-pokedex/main/sprites/clawitzer.png", 2)</f>
        <v>0</v>
      </c>
      <c r="L91">
        <f>IMAGE("https://raw.githubusercontent.com/stautonico/pokemon-home-pokedex/main/sprites/helioptile.png", 2)</f>
        <v>0</v>
      </c>
      <c r="M91">
        <f>IMAGE("https://raw.githubusercontent.com/stautonico/pokemon-home-pokedex/main/sprites/heliolisk.png", 2)</f>
        <v>0</v>
      </c>
      <c r="N91">
        <f>IMAGE("https://raw.githubusercontent.com/stautonico/pokemon-home-pokedex/main/sprites/tyrunt.png", 2)</f>
        <v>0</v>
      </c>
    </row>
    <row r="92" spans="2:14" ht="72" customHeight="1">
      <c r="B92">
        <f>IMAGE("https://raw.githubusercontent.com/stautonico/pokemon-home-pokedex/main/sprites/litleo.png", 2)</f>
        <v>0</v>
      </c>
      <c r="C92">
        <f>IMAGE("https://raw.githubusercontent.com/stautonico/pokemon-home-pokedex/main/sprites/pyroar.png", 2)</f>
        <v>0</v>
      </c>
      <c r="D92">
        <f>IMAGE("https://raw.githubusercontent.com/stautonico/pokemon-home-pokedex/main/sprites/flabebe.png", 2)</f>
        <v>0</v>
      </c>
      <c r="E92">
        <f>IMAGE("https://raw.githubusercontent.com/stautonico/pokemon-home-pokedex/main/sprites/floette.png", 2)</f>
        <v>0</v>
      </c>
      <c r="F92">
        <f>IMAGE("https://raw.githubusercontent.com/stautonico/pokemon-home-pokedex/main/sprites/florges.png", 2)</f>
        <v>0</v>
      </c>
      <c r="G92">
        <f>IMAGE("https://raw.githubusercontent.com/stautonico/pokemon-home-pokedex/main/sprites/skiddo.png", 2)</f>
        <v>0</v>
      </c>
      <c r="I92">
        <f>IMAGE("https://raw.githubusercontent.com/stautonico/pokemon-home-pokedex/main/sprites/tyrantrum.png", 2)</f>
        <v>0</v>
      </c>
      <c r="J92">
        <f>IMAGE("https://raw.githubusercontent.com/stautonico/pokemon-home-pokedex/main/sprites/amaura.png", 2)</f>
        <v>0</v>
      </c>
      <c r="K92">
        <f>IMAGE("https://raw.githubusercontent.com/stautonico/pokemon-home-pokedex/main/sprites/aurorus.png", 2)</f>
        <v>0</v>
      </c>
      <c r="L92">
        <f>IMAGE("https://raw.githubusercontent.com/stautonico/pokemon-home-pokedex/main/sprites/sylveon.png", 2)</f>
        <v>0</v>
      </c>
      <c r="M92">
        <f>IMAGE("https://raw.githubusercontent.com/stautonico/pokemon-home-pokedex/main/sprites/hawlucha.png", 2)</f>
        <v>0</v>
      </c>
      <c r="N92">
        <f>IMAGE("https://raw.githubusercontent.com/stautonico/pokemon-home-pokedex/main/sprites/dedenne.png", 2)</f>
        <v>0</v>
      </c>
    </row>
    <row r="93" spans="2:14" ht="72" customHeight="1">
      <c r="B93">
        <f>IMAGE("https://raw.githubusercontent.com/stautonico/pokemon-home-pokedex/main/sprites/gogoat.png", 2)</f>
        <v>0</v>
      </c>
      <c r="C93">
        <f>IMAGE("https://raw.githubusercontent.com/stautonico/pokemon-home-pokedex/main/sprites/pancham.png", 2)</f>
        <v>0</v>
      </c>
      <c r="D93">
        <f>IMAGE("https://raw.githubusercontent.com/stautonico/pokemon-home-pokedex/main/sprites/pangoro.png", 2)</f>
        <v>0</v>
      </c>
      <c r="E93">
        <f>IMAGE("https://raw.githubusercontent.com/stautonico/pokemon-home-pokedex/main/sprites/furfrou.png", 2)</f>
        <v>0</v>
      </c>
      <c r="F93">
        <f>IMAGE("https://raw.githubusercontent.com/stautonico/pokemon-home-pokedex/main/sprites/espurr.png", 2)</f>
        <v>0</v>
      </c>
      <c r="G93">
        <f>IMAGE("https://raw.githubusercontent.com/stautonico/pokemon-home-pokedex/main/sprites/meowstic.png", 2)</f>
        <v>0</v>
      </c>
      <c r="I93">
        <f>IMAGE("https://raw.githubusercontent.com/stautonico/pokemon-home-pokedex/main/sprites/carbink.png", 2)</f>
        <v>0</v>
      </c>
      <c r="J93">
        <f>IMAGE("https://raw.githubusercontent.com/stautonico/pokemon-home-pokedex/main/sprites/goomy.png", 2)</f>
        <v>0</v>
      </c>
      <c r="K93">
        <f>IMAGE("https://raw.githubusercontent.com/stautonico/pokemon-home-pokedex/main/sprites/sliggoo.png", 2)</f>
        <v>0</v>
      </c>
      <c r="L93">
        <f>IMAGE("https://raw.githubusercontent.com/stautonico/pokemon-home-pokedex/main/sprites/goodra.png", 2)</f>
        <v>0</v>
      </c>
      <c r="M93">
        <f>IMAGE("https://raw.githubusercontent.com/stautonico/pokemon-home-pokedex/main/sprites/klefki.png", 2)</f>
        <v>0</v>
      </c>
      <c r="N93">
        <f>IMAGE("https://raw.githubusercontent.com/stautonico/pokemon-home-pokedex/main/sprites/phantump.png", 2)</f>
        <v>0</v>
      </c>
    </row>
    <row r="94" spans="2:14" ht="72" customHeight="1">
      <c r="B94">
        <f>IMAGE("https://raw.githubusercontent.com/stautonico/pokemon-home-pokedex/main/sprites/honedge.png", 2)</f>
        <v>0</v>
      </c>
      <c r="C94">
        <f>IMAGE("https://raw.githubusercontent.com/stautonico/pokemon-home-pokedex/main/sprites/doublade.png", 2)</f>
        <v>0</v>
      </c>
      <c r="D94">
        <f>IMAGE("https://raw.githubusercontent.com/stautonico/pokemon-home-pokedex/main/sprites/aegislash.png", 2)</f>
        <v>0</v>
      </c>
      <c r="E94">
        <f>IMAGE("https://raw.githubusercontent.com/stautonico/pokemon-home-pokedex/main/sprites/spritzee.png", 2)</f>
        <v>0</v>
      </c>
      <c r="F94">
        <f>IMAGE("https://raw.githubusercontent.com/stautonico/pokemon-home-pokedex/main/sprites/aromatisse.png", 2)</f>
        <v>0</v>
      </c>
      <c r="G94">
        <f>IMAGE("https://raw.githubusercontent.com/stautonico/pokemon-home-pokedex/main/sprites/swirlix.png", 2)</f>
        <v>0</v>
      </c>
      <c r="I94">
        <f>IMAGE("https://raw.githubusercontent.com/stautonico/pokemon-home-pokedex/main/sprites/trevenant.png", 2)</f>
        <v>0</v>
      </c>
      <c r="J94">
        <f>IMAGE("https://raw.githubusercontent.com/stautonico/pokemon-home-pokedex/main/sprites/pumpkaboo.png", 2)</f>
        <v>0</v>
      </c>
      <c r="K94">
        <f>IMAGE("https://raw.githubusercontent.com/stautonico/pokemon-home-pokedex/main/sprites/gourgeist.png", 2)</f>
        <v>0</v>
      </c>
      <c r="L94">
        <f>IMAGE("https://raw.githubusercontent.com/stautonico/pokemon-home-pokedex/main/sprites/bergmite.png", 2)</f>
        <v>0</v>
      </c>
      <c r="M94">
        <f>IMAGE("https://raw.githubusercontent.com/stautonico/pokemon-home-pokedex/main/sprites/avalugg.png", 2)</f>
        <v>0</v>
      </c>
      <c r="N94">
        <f>IMAGE("https://raw.githubusercontent.com/stautonico/pokemon-home-pokedex/main/sprites/noibat.png", 2)</f>
        <v>0</v>
      </c>
    </row>
    <row r="95" spans="2:14" ht="72" customHeight="1">
      <c r="B95">
        <f>IMAGE("https://raw.githubusercontent.com/stautonico/pokemon-home-pokedex/main/sprites/slurpuff.png", 2)</f>
        <v>0</v>
      </c>
      <c r="C95">
        <f>IMAGE("https://raw.githubusercontent.com/stautonico/pokemon-home-pokedex/main/sprites/inkay.png", 2)</f>
        <v>0</v>
      </c>
      <c r="D95">
        <f>IMAGE("https://raw.githubusercontent.com/stautonico/pokemon-home-pokedex/main/sprites/malamar.png", 2)</f>
        <v>0</v>
      </c>
      <c r="E95">
        <f>IMAGE("https://raw.githubusercontent.com/stautonico/pokemon-home-pokedex/main/sprites/binacle.png", 2)</f>
        <v>0</v>
      </c>
      <c r="F95">
        <f>IMAGE("https://raw.githubusercontent.com/stautonico/pokemon-home-pokedex/main/sprites/barbaracle.png", 2)</f>
        <v>0</v>
      </c>
      <c r="G95">
        <f>IMAGE("https://raw.githubusercontent.com/stautonico/pokemon-home-pokedex/main/sprites/skrelp.png", 2)</f>
        <v>0</v>
      </c>
      <c r="I95">
        <f>IMAGE("https://raw.githubusercontent.com/stautonico/pokemon-home-pokedex/main/sprites/noivern.png", 2)</f>
        <v>0</v>
      </c>
      <c r="J95">
        <f>IMAGE("https://raw.githubusercontent.com/stautonico/pokemon-home-pokedex/main/sprites/xerneas.png", 2)</f>
        <v>0</v>
      </c>
      <c r="K95">
        <f>IMAGE("https://raw.githubusercontent.com/stautonico/pokemon-home-pokedex/main/sprites/yveltal.png", 2)</f>
        <v>0</v>
      </c>
      <c r="L95">
        <f>IMAGE("https://raw.githubusercontent.com/stautonico/pokemon-home-pokedex/main/sprites/zygarde.png", 2)</f>
        <v>0</v>
      </c>
      <c r="M95">
        <f>IMAGE("https://raw.githubusercontent.com/stautonico/pokemon-home-pokedex/main/sprites/diancie.png", 2)</f>
        <v>0</v>
      </c>
      <c r="N95">
        <f>IMAGE("https://raw.githubusercontent.com/stautonico/pokemon-home-pokedex/main/sprites/hoopa.png", 2)</f>
        <v>0</v>
      </c>
    </row>
    <row r="98" spans="2:14">
      <c r="B98" s="37" t="s">
        <v>1562</v>
      </c>
      <c r="I98" s="37" t="s">
        <v>1563</v>
      </c>
    </row>
    <row r="99" spans="2:14" ht="72" customHeight="1">
      <c r="B99">
        <f>IMAGE("https://raw.githubusercontent.com/stautonico/pokemon-home-pokedex/main/sprites/volcanion.png", 2)</f>
        <v>0</v>
      </c>
      <c r="C99">
        <f>IMAGE("https://raw.githubusercontent.com/stautonico/pokemon-home-pokedex/main/sprites/rowlet.png", 2)</f>
        <v>0</v>
      </c>
      <c r="D99">
        <f>IMAGE("https://raw.githubusercontent.com/stautonico/pokemon-home-pokedex/main/sprites/dartrix.png", 2)</f>
        <v>0</v>
      </c>
      <c r="E99">
        <f>IMAGE("https://raw.githubusercontent.com/stautonico/pokemon-home-pokedex/main/sprites/decidueye.png", 2)</f>
        <v>0</v>
      </c>
      <c r="F99">
        <f>IMAGE("https://raw.githubusercontent.com/stautonico/pokemon-home-pokedex/main/sprites/litten.png", 2)</f>
        <v>0</v>
      </c>
      <c r="G99">
        <f>IMAGE("https://raw.githubusercontent.com/stautonico/pokemon-home-pokedex/main/sprites/torracat.png", 2)</f>
        <v>0</v>
      </c>
      <c r="I99">
        <f>IMAGE("https://raw.githubusercontent.com/stautonico/pokemon-home-pokedex/main/sprites/dewpider.png", 2)</f>
        <v>0</v>
      </c>
      <c r="J99">
        <f>IMAGE("https://raw.githubusercontent.com/stautonico/pokemon-home-pokedex/main/sprites/araquanid.png", 2)</f>
        <v>0</v>
      </c>
      <c r="K99">
        <f>IMAGE("https://raw.githubusercontent.com/stautonico/pokemon-home-pokedex/main/sprites/fomantis.png", 2)</f>
        <v>0</v>
      </c>
      <c r="L99">
        <f>IMAGE("https://raw.githubusercontent.com/stautonico/pokemon-home-pokedex/main/sprites/lurantis.png", 2)</f>
        <v>0</v>
      </c>
      <c r="M99">
        <f>IMAGE("https://raw.githubusercontent.com/stautonico/pokemon-home-pokedex/main/sprites/morelull.png", 2)</f>
        <v>0</v>
      </c>
      <c r="N99">
        <f>IMAGE("https://raw.githubusercontent.com/stautonico/pokemon-home-pokedex/main/sprites/shiinotic.png", 2)</f>
        <v>0</v>
      </c>
    </row>
    <row r="100" spans="2:14" ht="72" customHeight="1">
      <c r="B100">
        <f>IMAGE("https://raw.githubusercontent.com/stautonico/pokemon-home-pokedex/main/sprites/incineroar.png", 2)</f>
        <v>0</v>
      </c>
      <c r="C100">
        <f>IMAGE("https://raw.githubusercontent.com/stautonico/pokemon-home-pokedex/main/sprites/popplio.png", 2)</f>
        <v>0</v>
      </c>
      <c r="D100">
        <f>IMAGE("https://raw.githubusercontent.com/stautonico/pokemon-home-pokedex/main/sprites/brionne.png", 2)</f>
        <v>0</v>
      </c>
      <c r="E100">
        <f>IMAGE("https://raw.githubusercontent.com/stautonico/pokemon-home-pokedex/main/sprites/primarina.png", 2)</f>
        <v>0</v>
      </c>
      <c r="F100">
        <f>IMAGE("https://raw.githubusercontent.com/stautonico/pokemon-home-pokedex/main/sprites/pikipek.png", 2)</f>
        <v>0</v>
      </c>
      <c r="G100">
        <f>IMAGE("https://raw.githubusercontent.com/stautonico/pokemon-home-pokedex/main/sprites/trumbeak.png", 2)</f>
        <v>0</v>
      </c>
      <c r="I100">
        <f>IMAGE("https://raw.githubusercontent.com/stautonico/pokemon-home-pokedex/main/sprites/salandit.png", 2)</f>
        <v>0</v>
      </c>
      <c r="J100">
        <f>IMAGE("https://raw.githubusercontent.com/stautonico/pokemon-home-pokedex/main/sprites/salazzle.png", 2)</f>
        <v>0</v>
      </c>
      <c r="K100">
        <f>IMAGE("https://raw.githubusercontent.com/stautonico/pokemon-home-pokedex/main/sprites/stufful.png", 2)</f>
        <v>0</v>
      </c>
      <c r="L100">
        <f>IMAGE("https://raw.githubusercontent.com/stautonico/pokemon-home-pokedex/main/sprites/bewear.png", 2)</f>
        <v>0</v>
      </c>
      <c r="M100">
        <f>IMAGE("https://raw.githubusercontent.com/stautonico/pokemon-home-pokedex/main/sprites/bounsweet.png", 2)</f>
        <v>0</v>
      </c>
      <c r="N100">
        <f>IMAGE("https://raw.githubusercontent.com/stautonico/pokemon-home-pokedex/main/sprites/steenee.png", 2)</f>
        <v>0</v>
      </c>
    </row>
    <row r="101" spans="2:14" ht="72" customHeight="1">
      <c r="B101">
        <f>IMAGE("https://raw.githubusercontent.com/stautonico/pokemon-home-pokedex/main/sprites/toucannon.png", 2)</f>
        <v>0</v>
      </c>
      <c r="C101">
        <f>IMAGE("https://raw.githubusercontent.com/stautonico/pokemon-home-pokedex/main/sprites/yungoos.png", 2)</f>
        <v>0</v>
      </c>
      <c r="D101">
        <f>IMAGE("https://raw.githubusercontent.com/stautonico/pokemon-home-pokedex/main/sprites/gumshoos.png", 2)</f>
        <v>0</v>
      </c>
      <c r="E101">
        <f>IMAGE("https://raw.githubusercontent.com/stautonico/pokemon-home-pokedex/main/sprites/grubbin.png", 2)</f>
        <v>0</v>
      </c>
      <c r="F101">
        <f>IMAGE("https://raw.githubusercontent.com/stautonico/pokemon-home-pokedex/main/sprites/charjabug.png", 2)</f>
        <v>0</v>
      </c>
      <c r="G101">
        <f>IMAGE("https://raw.githubusercontent.com/stautonico/pokemon-home-pokedex/main/sprites/vikavolt.png", 2)</f>
        <v>0</v>
      </c>
      <c r="I101">
        <f>IMAGE("https://raw.githubusercontent.com/stautonico/pokemon-home-pokedex/main/sprites/tsareena.png", 2)</f>
        <v>0</v>
      </c>
      <c r="J101">
        <f>IMAGE("https://raw.githubusercontent.com/stautonico/pokemon-home-pokedex/main/sprites/comfey.png", 2)</f>
        <v>0</v>
      </c>
      <c r="K101">
        <f>IMAGE("https://raw.githubusercontent.com/stautonico/pokemon-home-pokedex/main/sprites/oranguru.png", 2)</f>
        <v>0</v>
      </c>
      <c r="L101">
        <f>IMAGE("https://raw.githubusercontent.com/stautonico/pokemon-home-pokedex/main/sprites/passimian.png", 2)</f>
        <v>0</v>
      </c>
      <c r="M101">
        <f>IMAGE("https://raw.githubusercontent.com/stautonico/pokemon-home-pokedex/main/sprites/wimpod.png", 2)</f>
        <v>0</v>
      </c>
      <c r="N101">
        <f>IMAGE("https://raw.githubusercontent.com/stautonico/pokemon-home-pokedex/main/sprites/golisopod.png", 2)</f>
        <v>0</v>
      </c>
    </row>
    <row r="102" spans="2:14" ht="72" customHeight="1">
      <c r="B102">
        <f>IMAGE("https://raw.githubusercontent.com/stautonico/pokemon-home-pokedex/main/sprites/crabrawler.png", 2)</f>
        <v>0</v>
      </c>
      <c r="C102">
        <f>IMAGE("https://raw.githubusercontent.com/stautonico/pokemon-home-pokedex/main/sprites/crabominable.png", 2)</f>
        <v>0</v>
      </c>
      <c r="D102">
        <f>IMAGE("https://raw.githubusercontent.com/stautonico/pokemon-home-pokedex/main/sprites/oricorio.png", 2)</f>
        <v>0</v>
      </c>
      <c r="E102">
        <f>IMAGE("https://raw.githubusercontent.com/stautonico/pokemon-home-pokedex/main/sprites/cutiefly.png", 2)</f>
        <v>0</v>
      </c>
      <c r="F102">
        <f>IMAGE("https://raw.githubusercontent.com/stautonico/pokemon-home-pokedex/main/sprites/ribombee.png", 2)</f>
        <v>0</v>
      </c>
      <c r="G102">
        <f>IMAGE("https://raw.githubusercontent.com/stautonico/pokemon-home-pokedex/main/sprites/rockruff.png", 2)</f>
        <v>0</v>
      </c>
      <c r="I102">
        <f>IMAGE("https://raw.githubusercontent.com/stautonico/pokemon-home-pokedex/main/sprites/sandygast.png", 2)</f>
        <v>0</v>
      </c>
      <c r="J102">
        <f>IMAGE("https://raw.githubusercontent.com/stautonico/pokemon-home-pokedex/main/sprites/palossand.png", 2)</f>
        <v>0</v>
      </c>
      <c r="K102">
        <f>IMAGE("https://raw.githubusercontent.com/stautonico/pokemon-home-pokedex/main/sprites/pyukumuku.png", 2)</f>
        <v>0</v>
      </c>
      <c r="L102">
        <f>IMAGE("https://raw.githubusercontent.com/stautonico/pokemon-home-pokedex/main/sprites/typenull.png", 2)</f>
        <v>0</v>
      </c>
      <c r="M102">
        <f>IMAGE("https://raw.githubusercontent.com/stautonico/pokemon-home-pokedex/main/sprites/silvally.png", 2)</f>
        <v>0</v>
      </c>
      <c r="N102">
        <f>IMAGE("https://raw.githubusercontent.com/stautonico/pokemon-home-pokedex/main/sprites/minior-red.png", 2)</f>
        <v>0</v>
      </c>
    </row>
    <row r="103" spans="2:14" ht="72" customHeight="1">
      <c r="B103">
        <f>IMAGE("https://raw.githubusercontent.com/stautonico/pokemon-home-pokedex/main/sprites/lycanroc.png", 2)</f>
        <v>0</v>
      </c>
      <c r="C103">
        <f>IMAGE("https://raw.githubusercontent.com/stautonico/pokemon-home-pokedex/main/sprites/wishiwashi.png", 2)</f>
        <v>0</v>
      </c>
      <c r="D103">
        <f>IMAGE("https://raw.githubusercontent.com/stautonico/pokemon-home-pokedex/main/sprites/mareanie.png", 2)</f>
        <v>0</v>
      </c>
      <c r="E103">
        <f>IMAGE("https://raw.githubusercontent.com/stautonico/pokemon-home-pokedex/main/sprites/toxapex.png", 2)</f>
        <v>0</v>
      </c>
      <c r="F103">
        <f>IMAGE("https://raw.githubusercontent.com/stautonico/pokemon-home-pokedex/main/sprites/mudbray.png", 2)</f>
        <v>0</v>
      </c>
      <c r="G103">
        <f>IMAGE("https://raw.githubusercontent.com/stautonico/pokemon-home-pokedex/main/sprites/mudsdale.png", 2)</f>
        <v>0</v>
      </c>
      <c r="I103">
        <f>IMAGE("https://raw.githubusercontent.com/stautonico/pokemon-home-pokedex/main/sprites/komala.png", 2)</f>
        <v>0</v>
      </c>
      <c r="J103">
        <f>IMAGE("https://raw.githubusercontent.com/stautonico/pokemon-home-pokedex/main/sprites/turtonator.png", 2)</f>
        <v>0</v>
      </c>
      <c r="K103">
        <f>IMAGE("https://raw.githubusercontent.com/stautonico/pokemon-home-pokedex/main/sprites/togedemaru.png", 2)</f>
        <v>0</v>
      </c>
      <c r="L103">
        <f>IMAGE("https://raw.githubusercontent.com/stautonico/pokemon-home-pokedex/main/sprites/mimikyu.png", 2)</f>
        <v>0</v>
      </c>
      <c r="M103">
        <f>IMAGE("https://raw.githubusercontent.com/stautonico/pokemon-home-pokedex/main/sprites/bruxish.png", 2)</f>
        <v>0</v>
      </c>
      <c r="N103">
        <f>IMAGE("https://raw.githubusercontent.com/stautonico/pokemon-home-pokedex/main/sprites/drampa.png", 2)</f>
        <v>0</v>
      </c>
    </row>
    <row r="106" spans="2:14">
      <c r="B106" s="37" t="s">
        <v>1564</v>
      </c>
      <c r="I106" s="37" t="s">
        <v>1565</v>
      </c>
    </row>
    <row r="107" spans="2:14" ht="72" customHeight="1">
      <c r="B107">
        <f>IMAGE("https://raw.githubusercontent.com/stautonico/pokemon-home-pokedex/main/sprites/dhelmise.png", 2)</f>
        <v>0</v>
      </c>
      <c r="C107">
        <f>IMAGE("https://raw.githubusercontent.com/stautonico/pokemon-home-pokedex/main/sprites/jangmo-o.png", 2)</f>
        <v>0</v>
      </c>
      <c r="D107">
        <f>IMAGE("https://raw.githubusercontent.com/stautonico/pokemon-home-pokedex/main/sprites/hakamo-o.png", 2)</f>
        <v>0</v>
      </c>
      <c r="E107">
        <f>IMAGE("https://raw.githubusercontent.com/stautonico/pokemon-home-pokedex/main/sprites/kommo-o.png", 2)</f>
        <v>0</v>
      </c>
      <c r="F107">
        <f>IMAGE("https://raw.githubusercontent.com/stautonico/pokemon-home-pokedex/main/sprites/tapu-koko.png", 2)</f>
        <v>0</v>
      </c>
      <c r="G107">
        <f>IMAGE("https://raw.githubusercontent.com/stautonico/pokemon-home-pokedex/main/sprites/tapu-lele.png", 2)</f>
        <v>0</v>
      </c>
      <c r="I107">
        <f>IMAGE("https://raw.githubusercontent.com/stautonico/pokemon-home-pokedex/main/sprites/thwackey.png", 2)</f>
        <v>0</v>
      </c>
      <c r="J107">
        <f>IMAGE("https://raw.githubusercontent.com/stautonico/pokemon-home-pokedex/main/sprites/rillaboom.png", 2)</f>
        <v>0</v>
      </c>
      <c r="K107">
        <f>IMAGE("https://raw.githubusercontent.com/stautonico/pokemon-home-pokedex/main/sprites/scorbunny.png", 2)</f>
        <v>0</v>
      </c>
      <c r="L107">
        <f>IMAGE("https://raw.githubusercontent.com/stautonico/pokemon-home-pokedex/main/sprites/raboot.png", 2)</f>
        <v>0</v>
      </c>
      <c r="M107">
        <f>IMAGE("https://raw.githubusercontent.com/stautonico/pokemon-home-pokedex/main/sprites/cinderace.png", 2)</f>
        <v>0</v>
      </c>
      <c r="N107">
        <f>IMAGE("https://raw.githubusercontent.com/stautonico/pokemon-home-pokedex/main/sprites/sobble.png", 2)</f>
        <v>0</v>
      </c>
    </row>
    <row r="108" spans="2:14" ht="72" customHeight="1">
      <c r="B108">
        <f>IMAGE("https://raw.githubusercontent.com/stautonico/pokemon-home-pokedex/main/sprites/tapu-bulu.png", 2)</f>
        <v>0</v>
      </c>
      <c r="C108">
        <f>IMAGE("https://raw.githubusercontent.com/stautonico/pokemon-home-pokedex/main/sprites/tapu-fini.png", 2)</f>
        <v>0</v>
      </c>
      <c r="D108">
        <f>IMAGE("https://raw.githubusercontent.com/stautonico/pokemon-home-pokedex/main/sprites/cosmog.png", 2)</f>
        <v>0</v>
      </c>
      <c r="E108">
        <f>IMAGE("https://raw.githubusercontent.com/stautonico/pokemon-home-pokedex/main/sprites/cosmoem.png", 2)</f>
        <v>0</v>
      </c>
      <c r="F108">
        <f>IMAGE("https://raw.githubusercontent.com/stautonico/pokemon-home-pokedex/main/sprites/solgaleo.png", 2)</f>
        <v>0</v>
      </c>
      <c r="G108">
        <f>IMAGE("https://raw.githubusercontent.com/stautonico/pokemon-home-pokedex/main/sprites/lunala.png", 2)</f>
        <v>0</v>
      </c>
      <c r="I108">
        <f>IMAGE("https://raw.githubusercontent.com/stautonico/pokemon-home-pokedex/main/sprites/drizzile.png", 2)</f>
        <v>0</v>
      </c>
      <c r="J108">
        <f>IMAGE("https://raw.githubusercontent.com/stautonico/pokemon-home-pokedex/main/sprites/inteleon.png", 2)</f>
        <v>0</v>
      </c>
      <c r="K108">
        <f>IMAGE("https://raw.githubusercontent.com/stautonico/pokemon-home-pokedex/main/sprites/skwovet.png", 2)</f>
        <v>0</v>
      </c>
      <c r="L108">
        <f>IMAGE("https://raw.githubusercontent.com/stautonico/pokemon-home-pokedex/main/sprites/greedent.png", 2)</f>
        <v>0</v>
      </c>
      <c r="M108">
        <f>IMAGE("https://raw.githubusercontent.com/stautonico/pokemon-home-pokedex/main/sprites/rookidee.png", 2)</f>
        <v>0</v>
      </c>
      <c r="N108">
        <f>IMAGE("https://raw.githubusercontent.com/stautonico/pokemon-home-pokedex/main/sprites/corvisquire.png", 2)</f>
        <v>0</v>
      </c>
    </row>
    <row r="109" spans="2:14" ht="72" customHeight="1">
      <c r="B109">
        <f>IMAGE("https://raw.githubusercontent.com/stautonico/pokemon-home-pokedex/main/sprites/nihilego.png", 2)</f>
        <v>0</v>
      </c>
      <c r="C109">
        <f>IMAGE("https://raw.githubusercontent.com/stautonico/pokemon-home-pokedex/main/sprites/buzzwole.png", 2)</f>
        <v>0</v>
      </c>
      <c r="D109">
        <f>IMAGE("https://raw.githubusercontent.com/stautonico/pokemon-home-pokedex/main/sprites/pheromosa.png", 2)</f>
        <v>0</v>
      </c>
      <c r="E109">
        <f>IMAGE("https://raw.githubusercontent.com/stautonico/pokemon-home-pokedex/main/sprites/xurkitree.png", 2)</f>
        <v>0</v>
      </c>
      <c r="F109">
        <f>IMAGE("https://raw.githubusercontent.com/stautonico/pokemon-home-pokedex/main/sprites/celesteela.png", 2)</f>
        <v>0</v>
      </c>
      <c r="G109">
        <f>IMAGE("https://raw.githubusercontent.com/stautonico/pokemon-home-pokedex/main/sprites/kartana.png", 2)</f>
        <v>0</v>
      </c>
      <c r="I109">
        <f>IMAGE("https://raw.githubusercontent.com/stautonico/pokemon-home-pokedex/main/sprites/corviknight.png", 2)</f>
        <v>0</v>
      </c>
      <c r="J109">
        <f>IMAGE("https://raw.githubusercontent.com/stautonico/pokemon-home-pokedex/main/sprites/blipbug.png", 2)</f>
        <v>0</v>
      </c>
      <c r="K109">
        <f>IMAGE("https://raw.githubusercontent.com/stautonico/pokemon-home-pokedex/main/sprites/dottler.png", 2)</f>
        <v>0</v>
      </c>
      <c r="L109">
        <f>IMAGE("https://raw.githubusercontent.com/stautonico/pokemon-home-pokedex/main/sprites/orbeetle.png", 2)</f>
        <v>0</v>
      </c>
      <c r="M109">
        <f>IMAGE("https://raw.githubusercontent.com/stautonico/pokemon-home-pokedex/main/sprites/nickit.png", 2)</f>
        <v>0</v>
      </c>
      <c r="N109">
        <f>IMAGE("https://raw.githubusercontent.com/stautonico/pokemon-home-pokedex/main/sprites/thievul.png", 2)</f>
        <v>0</v>
      </c>
    </row>
    <row r="110" spans="2:14" ht="72" customHeight="1">
      <c r="B110">
        <f>IMAGE("https://raw.githubusercontent.com/stautonico/pokemon-home-pokedex/main/sprites/guzzlord.png", 2)</f>
        <v>0</v>
      </c>
      <c r="C110">
        <f>IMAGE("https://raw.githubusercontent.com/stautonico/pokemon-home-pokedex/main/sprites/necrozma.png", 2)</f>
        <v>0</v>
      </c>
      <c r="D110">
        <f>IMAGE("https://raw.githubusercontent.com/stautonico/pokemon-home-pokedex/main/sprites/magearna.png", 2)</f>
        <v>0</v>
      </c>
      <c r="E110">
        <f>IMAGE("https://raw.githubusercontent.com/stautonico/pokemon-home-pokedex/main/sprites/marshadow.png", 2)</f>
        <v>0</v>
      </c>
      <c r="F110">
        <f>IMAGE("https://raw.githubusercontent.com/stautonico/pokemon-home-pokedex/main/sprites/poipole.png", 2)</f>
        <v>0</v>
      </c>
      <c r="G110">
        <f>IMAGE("https://raw.githubusercontent.com/stautonico/pokemon-home-pokedex/main/sprites/naganadel.png", 2)</f>
        <v>0</v>
      </c>
      <c r="I110">
        <f>IMAGE("https://raw.githubusercontent.com/stautonico/pokemon-home-pokedex/main/sprites/gossifleur.png", 2)</f>
        <v>0</v>
      </c>
      <c r="J110">
        <f>IMAGE("https://raw.githubusercontent.com/stautonico/pokemon-home-pokedex/main/sprites/eldegoss.png", 2)</f>
        <v>0</v>
      </c>
      <c r="K110">
        <f>IMAGE("https://raw.githubusercontent.com/stautonico/pokemon-home-pokedex/main/sprites/wooloo.png", 2)</f>
        <v>0</v>
      </c>
      <c r="L110">
        <f>IMAGE("https://raw.githubusercontent.com/stautonico/pokemon-home-pokedex/main/sprites/dubwool.png", 2)</f>
        <v>0</v>
      </c>
      <c r="M110">
        <f>IMAGE("https://raw.githubusercontent.com/stautonico/pokemon-home-pokedex/main/sprites/chewtle.png", 2)</f>
        <v>0</v>
      </c>
      <c r="N110">
        <f>IMAGE("https://raw.githubusercontent.com/stautonico/pokemon-home-pokedex/main/sprites/drednaw.png", 2)</f>
        <v>0</v>
      </c>
    </row>
    <row r="111" spans="2:14" ht="72" customHeight="1">
      <c r="B111">
        <f>IMAGE("https://raw.githubusercontent.com/stautonico/pokemon-home-pokedex/main/sprites/stakataka.png", 2)</f>
        <v>0</v>
      </c>
      <c r="C111">
        <f>IMAGE("https://raw.githubusercontent.com/stautonico/pokemon-home-pokedex/main/sprites/blacephalon.png", 2)</f>
        <v>0</v>
      </c>
      <c r="D111">
        <f>IMAGE("https://raw.githubusercontent.com/stautonico/pokemon-home-pokedex/main/sprites/zeraora.png", 2)</f>
        <v>0</v>
      </c>
      <c r="E111">
        <f>IMAGE("https://raw.githubusercontent.com/stautonico/pokemon-home-pokedex/main/sprites/meltan.png", 2)</f>
        <v>0</v>
      </c>
      <c r="F111">
        <f>IMAGE("https://raw.githubusercontent.com/stautonico/pokemon-home-pokedex/main/sprites/melmetal.png", 2)</f>
        <v>0</v>
      </c>
      <c r="G111">
        <f>IMAGE("https://raw.githubusercontent.com/stautonico/pokemon-home-pokedex/main/sprites/grookey.png", 2)</f>
        <v>0</v>
      </c>
      <c r="I111">
        <f>IMAGE("https://raw.githubusercontent.com/stautonico/pokemon-home-pokedex/main/sprites/yamper.png", 2)</f>
        <v>0</v>
      </c>
      <c r="J111">
        <f>IMAGE("https://raw.githubusercontent.com/stautonico/pokemon-home-pokedex/main/sprites/boltund.png", 2)</f>
        <v>0</v>
      </c>
      <c r="K111">
        <f>IMAGE("https://raw.githubusercontent.com/stautonico/pokemon-home-pokedex/main/sprites/rolycoly.png", 2)</f>
        <v>0</v>
      </c>
      <c r="L111">
        <f>IMAGE("https://raw.githubusercontent.com/stautonico/pokemon-home-pokedex/main/sprites/carkol.png", 2)</f>
        <v>0</v>
      </c>
      <c r="M111">
        <f>IMAGE("https://raw.githubusercontent.com/stautonico/pokemon-home-pokedex/main/sprites/coalossal.png", 2)</f>
        <v>0</v>
      </c>
      <c r="N111">
        <f>IMAGE("https://raw.githubusercontent.com/stautonico/pokemon-home-pokedex/main/sprites/applin.png", 2)</f>
        <v>0</v>
      </c>
    </row>
    <row r="114" spans="2:14">
      <c r="B114" s="37" t="s">
        <v>1566</v>
      </c>
      <c r="I114" s="37" t="s">
        <v>1567</v>
      </c>
    </row>
    <row r="115" spans="2:14" ht="72" customHeight="1">
      <c r="B115">
        <f>IMAGE("https://raw.githubusercontent.com/stautonico/pokemon-home-pokedex/main/sprites/flapple.png", 2)</f>
        <v>0</v>
      </c>
      <c r="C115">
        <f>IMAGE("https://raw.githubusercontent.com/stautonico/pokemon-home-pokedex/main/sprites/appletun.png", 2)</f>
        <v>0</v>
      </c>
      <c r="D115">
        <f>IMAGE("https://raw.githubusercontent.com/stautonico/pokemon-home-pokedex/main/sprites/silicobra.png", 2)</f>
        <v>0</v>
      </c>
      <c r="E115">
        <f>IMAGE("https://raw.githubusercontent.com/stautonico/pokemon-home-pokedex/main/sprites/sandaconda.png", 2)</f>
        <v>0</v>
      </c>
      <c r="F115">
        <f>IMAGE("https://raw.githubusercontent.com/stautonico/pokemon-home-pokedex/main/sprites/cramorant.png", 2)</f>
        <v>0</v>
      </c>
      <c r="G115">
        <f>IMAGE("https://raw.githubusercontent.com/stautonico/pokemon-home-pokedex/main/sprites/arrokuda.png", 2)</f>
        <v>0</v>
      </c>
      <c r="I115">
        <f>IMAGE("https://raw.githubusercontent.com/stautonico/pokemon-home-pokedex/main/sprites/pincurchin.png", 2)</f>
        <v>0</v>
      </c>
      <c r="J115">
        <f>IMAGE("https://raw.githubusercontent.com/stautonico/pokemon-home-pokedex/main/sprites/snom.png", 2)</f>
        <v>0</v>
      </c>
      <c r="K115">
        <f>IMAGE("https://raw.githubusercontent.com/stautonico/pokemon-home-pokedex/main/sprites/frosmoth.png", 2)</f>
        <v>0</v>
      </c>
      <c r="L115">
        <f>IMAGE("https://raw.githubusercontent.com/stautonico/pokemon-home-pokedex/main/sprites/stonjourner.png", 2)</f>
        <v>0</v>
      </c>
      <c r="M115">
        <f>IMAGE("https://raw.githubusercontent.com/stautonico/pokemon-home-pokedex/main/sprites/eiscue.png", 2)</f>
        <v>0</v>
      </c>
      <c r="N115">
        <f>IMAGE("https://raw.githubusercontent.com/stautonico/pokemon-home-pokedex/main/sprites/indeedee.png", 2)</f>
        <v>0</v>
      </c>
    </row>
    <row r="116" spans="2:14" ht="72" customHeight="1">
      <c r="B116">
        <f>IMAGE("https://raw.githubusercontent.com/stautonico/pokemon-home-pokedex/main/sprites/barraskewda.png", 2)</f>
        <v>0</v>
      </c>
      <c r="C116">
        <f>IMAGE("https://raw.githubusercontent.com/stautonico/pokemon-home-pokedex/main/sprites/toxel.png", 2)</f>
        <v>0</v>
      </c>
      <c r="D116">
        <f>IMAGE("https://raw.githubusercontent.com/stautonico/pokemon-home-pokedex/main/sprites/toxtricity.png", 2)</f>
        <v>0</v>
      </c>
      <c r="E116">
        <f>IMAGE("https://raw.githubusercontent.com/stautonico/pokemon-home-pokedex/main/sprites/sizzlipede.png", 2)</f>
        <v>0</v>
      </c>
      <c r="F116">
        <f>IMAGE("https://raw.githubusercontent.com/stautonico/pokemon-home-pokedex/main/sprites/centiskorch.png", 2)</f>
        <v>0</v>
      </c>
      <c r="G116">
        <f>IMAGE("https://raw.githubusercontent.com/stautonico/pokemon-home-pokedex/main/sprites/clobbopus.png", 2)</f>
        <v>0</v>
      </c>
      <c r="I116">
        <f>IMAGE("https://raw.githubusercontent.com/stautonico/pokemon-home-pokedex/main/sprites/morpeko.png", 2)</f>
        <v>0</v>
      </c>
      <c r="J116">
        <f>IMAGE("https://raw.githubusercontent.com/stautonico/pokemon-home-pokedex/main/sprites/cufant.png", 2)</f>
        <v>0</v>
      </c>
      <c r="K116">
        <f>IMAGE("https://raw.githubusercontent.com/stautonico/pokemon-home-pokedex/main/sprites/copperajah.png", 2)</f>
        <v>0</v>
      </c>
      <c r="L116">
        <f>IMAGE("https://raw.githubusercontent.com/stautonico/pokemon-home-pokedex/main/sprites/dracozolt.png", 2)</f>
        <v>0</v>
      </c>
      <c r="M116">
        <f>IMAGE("https://raw.githubusercontent.com/stautonico/pokemon-home-pokedex/main/sprites/arctozolt.png", 2)</f>
        <v>0</v>
      </c>
      <c r="N116">
        <f>IMAGE("https://raw.githubusercontent.com/stautonico/pokemon-home-pokedex/main/sprites/dracovish.png", 2)</f>
        <v>0</v>
      </c>
    </row>
    <row r="117" spans="2:14" ht="72" customHeight="1">
      <c r="B117">
        <f>IMAGE("https://raw.githubusercontent.com/stautonico/pokemon-home-pokedex/main/sprites/grapploct.png", 2)</f>
        <v>0</v>
      </c>
      <c r="C117">
        <f>IMAGE("https://raw.githubusercontent.com/stautonico/pokemon-home-pokedex/main/sprites/sinistea.png", 2)</f>
        <v>0</v>
      </c>
      <c r="D117">
        <f>IMAGE("https://raw.githubusercontent.com/stautonico/pokemon-home-pokedex/main/sprites/polteageist.png", 2)</f>
        <v>0</v>
      </c>
      <c r="E117">
        <f>IMAGE("https://raw.githubusercontent.com/stautonico/pokemon-home-pokedex/main/sprites/hatenna.png", 2)</f>
        <v>0</v>
      </c>
      <c r="F117">
        <f>IMAGE("https://raw.githubusercontent.com/stautonico/pokemon-home-pokedex/main/sprites/hattrem.png", 2)</f>
        <v>0</v>
      </c>
      <c r="G117">
        <f>IMAGE("https://raw.githubusercontent.com/stautonico/pokemon-home-pokedex/main/sprites/hatterene.png", 2)</f>
        <v>0</v>
      </c>
      <c r="I117">
        <f>IMAGE("https://raw.githubusercontent.com/stautonico/pokemon-home-pokedex/main/sprites/arctovish.png", 2)</f>
        <v>0</v>
      </c>
      <c r="J117">
        <f>IMAGE("https://raw.githubusercontent.com/stautonico/pokemon-home-pokedex/main/sprites/duraludon.png", 2)</f>
        <v>0</v>
      </c>
      <c r="K117">
        <f>IMAGE("https://raw.githubusercontent.com/stautonico/pokemon-home-pokedex/main/sprites/dreepy.png", 2)</f>
        <v>0</v>
      </c>
      <c r="L117">
        <f>IMAGE("https://raw.githubusercontent.com/stautonico/pokemon-home-pokedex/main/sprites/drakloak.png", 2)</f>
        <v>0</v>
      </c>
      <c r="M117">
        <f>IMAGE("https://raw.githubusercontent.com/stautonico/pokemon-home-pokedex/main/sprites/dragapult.png", 2)</f>
        <v>0</v>
      </c>
      <c r="N117">
        <f>IMAGE("https://raw.githubusercontent.com/stautonico/pokemon-home-pokedex/main/sprites/zacian.png", 2)</f>
        <v>0</v>
      </c>
    </row>
    <row r="118" spans="2:14" ht="72" customHeight="1">
      <c r="B118">
        <f>IMAGE("https://raw.githubusercontent.com/stautonico/pokemon-home-pokedex/main/sprites/impidimp.png", 2)</f>
        <v>0</v>
      </c>
      <c r="C118">
        <f>IMAGE("https://raw.githubusercontent.com/stautonico/pokemon-home-pokedex/main/sprites/morgrem.png", 2)</f>
        <v>0</v>
      </c>
      <c r="D118">
        <f>IMAGE("https://raw.githubusercontent.com/stautonico/pokemon-home-pokedex/main/sprites/grimmsnarl.png", 2)</f>
        <v>0</v>
      </c>
      <c r="E118">
        <f>IMAGE("https://raw.githubusercontent.com/stautonico/pokemon-home-pokedex/main/sprites/obstagoon.png", 2)</f>
        <v>0</v>
      </c>
      <c r="F118">
        <f>IMAGE("https://raw.githubusercontent.com/stautonico/pokemon-home-pokedex/main/sprites/perrserker.png", 2)</f>
        <v>0</v>
      </c>
      <c r="G118">
        <f>IMAGE("https://raw.githubusercontent.com/stautonico/pokemon-home-pokedex/main/sprites/cursola.png", 2)</f>
        <v>0</v>
      </c>
      <c r="I118">
        <f>IMAGE("https://raw.githubusercontent.com/stautonico/pokemon-home-pokedex/main/sprites/zamazenta.png", 2)</f>
        <v>0</v>
      </c>
      <c r="J118">
        <f>IMAGE("https://raw.githubusercontent.com/stautonico/pokemon-home-pokedex/main/sprites/eternatus.png", 2)</f>
        <v>0</v>
      </c>
      <c r="K118">
        <f>IMAGE("https://raw.githubusercontent.com/stautonico/pokemon-home-pokedex/main/sprites/kubfu.png", 2)</f>
        <v>0</v>
      </c>
      <c r="L118">
        <f>IMAGE("https://raw.githubusercontent.com/stautonico/pokemon-home-pokedex/main/sprites/urshifu.png", 2)</f>
        <v>0</v>
      </c>
      <c r="M118">
        <f>IMAGE("https://raw.githubusercontent.com/stautonico/pokemon-home-pokedex/main/sprites/zarude.png", 2)</f>
        <v>0</v>
      </c>
      <c r="N118">
        <f>IMAGE("https://raw.githubusercontent.com/stautonico/pokemon-home-pokedex/main/sprites/regieleki.png", 2)</f>
        <v>0</v>
      </c>
    </row>
    <row r="119" spans="2:14" ht="72" customHeight="1">
      <c r="B119">
        <f>IMAGE("https://raw.githubusercontent.com/stautonico/pokemon-home-pokedex/main/sprites/sirfetchd.png", 2)</f>
        <v>0</v>
      </c>
      <c r="C119">
        <f>IMAGE("https://raw.githubusercontent.com/stautonico/pokemon-home-pokedex/main/sprites/mrrime.png", 2)</f>
        <v>0</v>
      </c>
      <c r="D119">
        <f>IMAGE("https://raw.githubusercontent.com/stautonico/pokemon-home-pokedex/main/sprites/runerigus.png", 2)</f>
        <v>0</v>
      </c>
      <c r="E119">
        <f>IMAGE("https://raw.githubusercontent.com/stautonico/pokemon-home-pokedex/main/sprites/milcery.png", 2)</f>
        <v>0</v>
      </c>
      <c r="F119">
        <f>IMAGE("https://raw.githubusercontent.com/stautonico/pokemon-home-pokedex/main/sprites/alcremie.png", 2)</f>
        <v>0</v>
      </c>
      <c r="G119">
        <f>IMAGE("https://raw.githubusercontent.com/stautonico/pokemon-home-pokedex/main/sprites/falinks.png", 2)</f>
        <v>0</v>
      </c>
      <c r="I119">
        <f>IMAGE("https://raw.githubusercontent.com/stautonico/pokemon-home-pokedex/main/sprites/regidrago.png", 2)</f>
        <v>0</v>
      </c>
      <c r="J119">
        <f>IMAGE("https://raw.githubusercontent.com/stautonico/pokemon-home-pokedex/main/sprites/glastrier.png", 2)</f>
        <v>0</v>
      </c>
      <c r="K119">
        <f>IMAGE("https://raw.githubusercontent.com/stautonico/pokemon-home-pokedex/main/sprites/spectrier.png", 2)</f>
        <v>0</v>
      </c>
      <c r="L119">
        <f>IMAGE("https://raw.githubusercontent.com/stautonico/pokemon-home-pokedex/main/sprites/calyrex.png", 2)</f>
        <v>0</v>
      </c>
      <c r="M119">
        <f>IMAGE("https://raw.githubusercontent.com/stautonico/pokemon-home-pokedex/main/sprites/wyrdeer.png", 2)</f>
        <v>0</v>
      </c>
      <c r="N119">
        <f>IMAGE("https://raw.githubusercontent.com/stautonico/pokemon-home-pokedex/main/sprites/kleavor.png", 2)</f>
        <v>0</v>
      </c>
    </row>
    <row r="122" spans="2:14">
      <c r="B122" s="37" t="s">
        <v>1568</v>
      </c>
      <c r="I122" s="37" t="s">
        <v>1569</v>
      </c>
    </row>
    <row r="123" spans="2:14" ht="72" customHeight="1">
      <c r="B123">
        <f>IMAGE("https://raw.githubusercontent.com/stautonico/pokemon-home-pokedex/main/sprites/ursaluna.png", 2)</f>
        <v>0</v>
      </c>
      <c r="C123">
        <f>IMAGE("https://raw.githubusercontent.com/stautonico/pokemon-home-pokedex/main/sprites/basculegion.png", 2)</f>
        <v>0</v>
      </c>
      <c r="D123">
        <f>IMAGE("https://raw.githubusercontent.com/stautonico/pokemon-home-pokedex/main/sprites/sneasler.png", 2)</f>
        <v>0</v>
      </c>
      <c r="E123">
        <f>IMAGE("https://raw.githubusercontent.com/stautonico/pokemon-home-pokedex/main/sprites/overqwil.png", 2)</f>
        <v>0</v>
      </c>
      <c r="F123">
        <f>IMAGE("https://raw.githubusercontent.com/stautonico/pokemon-home-pokedex/main/sprites/enamorus.png", 2)</f>
        <v>0</v>
      </c>
      <c r="I123" t="s">
        <v>938</v>
      </c>
      <c r="J123" t="s">
        <v>940</v>
      </c>
      <c r="K123" t="s">
        <v>942</v>
      </c>
      <c r="L123" t="s">
        <v>944</v>
      </c>
      <c r="M123" t="s">
        <v>946</v>
      </c>
      <c r="N123" t="s">
        <v>948</v>
      </c>
    </row>
    <row r="124" spans="2:14" ht="72" customHeight="1">
      <c r="I124" t="s">
        <v>950</v>
      </c>
      <c r="J124" t="s">
        <v>952</v>
      </c>
      <c r="K124" t="s">
        <v>954</v>
      </c>
      <c r="L124" t="s">
        <v>956</v>
      </c>
      <c r="M124" t="s">
        <v>958</v>
      </c>
      <c r="N124" t="s">
        <v>960</v>
      </c>
    </row>
    <row r="125" spans="2:14" ht="72" customHeight="1">
      <c r="I125" t="s">
        <v>962</v>
      </c>
      <c r="J125" t="s">
        <v>964</v>
      </c>
      <c r="K125" t="s">
        <v>966</v>
      </c>
      <c r="L125" t="s">
        <v>968</v>
      </c>
      <c r="M125" t="s">
        <v>970</v>
      </c>
      <c r="N125" t="s">
        <v>972</v>
      </c>
    </row>
    <row r="126" spans="2:14" ht="72" customHeight="1">
      <c r="I126" t="s">
        <v>974</v>
      </c>
      <c r="J126" t="s">
        <v>976</v>
      </c>
      <c r="K126" t="s">
        <v>978</v>
      </c>
      <c r="L126" t="s">
        <v>980</v>
      </c>
      <c r="M126" t="s">
        <v>982</v>
      </c>
      <c r="N126" t="s">
        <v>984</v>
      </c>
    </row>
    <row r="127" spans="2:14" ht="72" customHeight="1">
      <c r="I127" t="s">
        <v>986</v>
      </c>
      <c r="J127" t="s">
        <v>988</v>
      </c>
      <c r="K127" t="s">
        <v>990</v>
      </c>
      <c r="L127" t="s">
        <v>992</v>
      </c>
      <c r="M127" t="s">
        <v>994</v>
      </c>
      <c r="N127" t="s">
        <v>996</v>
      </c>
    </row>
    <row r="130" spans="2:14">
      <c r="B130" s="37" t="s">
        <v>1570</v>
      </c>
      <c r="I130" s="37" t="s">
        <v>1571</v>
      </c>
    </row>
    <row r="131" spans="2:14" ht="72" customHeight="1">
      <c r="B131" t="s">
        <v>998</v>
      </c>
      <c r="C131" t="s">
        <v>1000</v>
      </c>
      <c r="D131" t="s">
        <v>1002</v>
      </c>
      <c r="E131" t="s">
        <v>1004</v>
      </c>
      <c r="F131" t="s">
        <v>1006</v>
      </c>
      <c r="G131" t="s">
        <v>1008</v>
      </c>
      <c r="I131" t="s">
        <v>1058</v>
      </c>
      <c r="J131" t="s">
        <v>1060</v>
      </c>
      <c r="K131" t="s">
        <v>1062</v>
      </c>
      <c r="L131" t="s">
        <v>1064</v>
      </c>
      <c r="M131" t="s">
        <v>1066</v>
      </c>
      <c r="N131" t="s">
        <v>1068</v>
      </c>
    </row>
    <row r="132" spans="2:14" ht="72" customHeight="1">
      <c r="B132" t="s">
        <v>1010</v>
      </c>
      <c r="C132" t="s">
        <v>1012</v>
      </c>
      <c r="D132" t="s">
        <v>1014</v>
      </c>
      <c r="E132" t="s">
        <v>1016</v>
      </c>
      <c r="F132" t="s">
        <v>1018</v>
      </c>
      <c r="G132" t="s">
        <v>1020</v>
      </c>
      <c r="I132" t="s">
        <v>1070</v>
      </c>
      <c r="J132" t="s">
        <v>1072</v>
      </c>
      <c r="K132" t="s">
        <v>1074</v>
      </c>
      <c r="L132" t="s">
        <v>1076</v>
      </c>
      <c r="M132" t="s">
        <v>1078</v>
      </c>
      <c r="N132" t="s">
        <v>1080</v>
      </c>
    </row>
    <row r="133" spans="2:14" ht="72" customHeight="1">
      <c r="B133" t="s">
        <v>1022</v>
      </c>
      <c r="C133" t="s">
        <v>1024</v>
      </c>
      <c r="D133" t="s">
        <v>1026</v>
      </c>
      <c r="E133" t="s">
        <v>1028</v>
      </c>
      <c r="F133" t="s">
        <v>1030</v>
      </c>
      <c r="G133" t="s">
        <v>1032</v>
      </c>
      <c r="I133" t="s">
        <v>1082</v>
      </c>
      <c r="J133" t="s">
        <v>1084</v>
      </c>
      <c r="K133" t="s">
        <v>1086</v>
      </c>
      <c r="L133" t="s">
        <v>1088</v>
      </c>
      <c r="M133" t="s">
        <v>1090</v>
      </c>
      <c r="N133" t="s">
        <v>1092</v>
      </c>
    </row>
    <row r="134" spans="2:14" ht="72" customHeight="1">
      <c r="B134" t="s">
        <v>1034</v>
      </c>
      <c r="C134" t="s">
        <v>1036</v>
      </c>
      <c r="D134" t="s">
        <v>1038</v>
      </c>
      <c r="E134" t="s">
        <v>1040</v>
      </c>
      <c r="F134" t="s">
        <v>1042</v>
      </c>
      <c r="G134" t="s">
        <v>1044</v>
      </c>
      <c r="I134" t="s">
        <v>1094</v>
      </c>
      <c r="J134" t="s">
        <v>1096</v>
      </c>
      <c r="K134" t="s">
        <v>1098</v>
      </c>
      <c r="L134" t="s">
        <v>1100</v>
      </c>
      <c r="M134" t="s">
        <v>1102</v>
      </c>
      <c r="N134" t="s">
        <v>1104</v>
      </c>
    </row>
    <row r="135" spans="2:14" ht="72" customHeight="1">
      <c r="B135" t="s">
        <v>1046</v>
      </c>
      <c r="C135" t="s">
        <v>1048</v>
      </c>
      <c r="D135" t="s">
        <v>1050</v>
      </c>
      <c r="E135" t="s">
        <v>1052</v>
      </c>
      <c r="F135" t="s">
        <v>1054</v>
      </c>
      <c r="G135" t="s">
        <v>1056</v>
      </c>
      <c r="I135" t="s">
        <v>1106</v>
      </c>
      <c r="J135" t="s">
        <v>1108</v>
      </c>
      <c r="K135" t="s">
        <v>1110</v>
      </c>
      <c r="L135" t="s">
        <v>1112</v>
      </c>
      <c r="M135" t="s">
        <v>1114</v>
      </c>
      <c r="N135" t="s">
        <v>1116</v>
      </c>
    </row>
    <row r="138" spans="2:14">
      <c r="B138" s="37" t="s">
        <v>1572</v>
      </c>
      <c r="I138" s="37" t="s">
        <v>1573</v>
      </c>
    </row>
    <row r="139" spans="2:14" ht="72" customHeight="1">
      <c r="B139" t="s">
        <v>1118</v>
      </c>
      <c r="C139" t="s">
        <v>1120</v>
      </c>
      <c r="D139" t="s">
        <v>1122</v>
      </c>
      <c r="E139" t="s">
        <v>1124</v>
      </c>
      <c r="F139" t="s">
        <v>1126</v>
      </c>
      <c r="G139" t="s">
        <v>1128</v>
      </c>
      <c r="I139" t="s">
        <v>946</v>
      </c>
      <c r="J139" t="s">
        <v>1142</v>
      </c>
      <c r="K139" t="s">
        <v>1144</v>
      </c>
      <c r="L139" t="s">
        <v>1146</v>
      </c>
      <c r="M139" t="s">
        <v>1148</v>
      </c>
      <c r="N139" t="s">
        <v>1150</v>
      </c>
    </row>
    <row r="140" spans="2:14" ht="72" customHeight="1">
      <c r="B140" t="s">
        <v>1130</v>
      </c>
      <c r="C140" t="s">
        <v>1132</v>
      </c>
      <c r="D140" t="s">
        <v>1134</v>
      </c>
      <c r="E140" t="s">
        <v>1136</v>
      </c>
      <c r="F140" t="s">
        <v>1138</v>
      </c>
      <c r="G140" t="s">
        <v>1140</v>
      </c>
      <c r="I140" t="s">
        <v>1152</v>
      </c>
      <c r="J140" t="s">
        <v>1154</v>
      </c>
      <c r="K140" t="s">
        <v>1156</v>
      </c>
    </row>
    <row r="146" spans="2:14">
      <c r="B146" s="37" t="s">
        <v>1574</v>
      </c>
      <c r="I146" s="37" t="s">
        <v>1575</v>
      </c>
    </row>
    <row r="147" spans="2:14" ht="72" customHeight="1">
      <c r="B147">
        <f>IMAGE("https://raw.githubusercontent.com/stautonico/pokemon-home-pokedex/main/sprites/unown.png", 2)</f>
        <v>0</v>
      </c>
      <c r="C147">
        <f>IMAGE("https://raw.githubusercontent.com/stautonico/pokemon-home-pokedex/main/sprites/unown-b.png", 2)</f>
        <v>0</v>
      </c>
      <c r="D147">
        <f>IMAGE("https://raw.githubusercontent.com/stautonico/pokemon-home-pokedex/main/sprites/unown-c.png", 2)</f>
        <v>0</v>
      </c>
      <c r="E147">
        <f>IMAGE("https://raw.githubusercontent.com/stautonico/pokemon-home-pokedex/main/sprites/unown-d.png", 2)</f>
        <v>0</v>
      </c>
      <c r="F147">
        <f>IMAGE("https://raw.githubusercontent.com/stautonico/pokemon-home-pokedex/main/sprites/unown-e.png", 2)</f>
        <v>0</v>
      </c>
      <c r="G147">
        <f>IMAGE("https://raw.githubusercontent.com/stautonico/pokemon-home-pokedex/main/sprites/unown-f.png", 2)</f>
        <v>0</v>
      </c>
      <c r="I147">
        <f>IMAGE("https://raw.githubusercontent.com/stautonico/pokemon-home-pokedex/main/sprites/deoxys.png", 2)</f>
        <v>0</v>
      </c>
      <c r="J147">
        <f>IMAGE("https://raw.githubusercontent.com/stautonico/pokemon-home-pokedex/main/sprites/deoxys-attack.png", 2)</f>
        <v>0</v>
      </c>
      <c r="K147">
        <f>IMAGE("https://raw.githubusercontent.com/stautonico/pokemon-home-pokedex/main/sprites/deoxys-defense.png", 2)</f>
        <v>0</v>
      </c>
      <c r="L147">
        <f>IMAGE("https://raw.githubusercontent.com/stautonico/pokemon-home-pokedex/main/sprites/deoxys-speed.png", 2)</f>
        <v>0</v>
      </c>
      <c r="M147" t="s">
        <v>1576</v>
      </c>
      <c r="N147" t="s">
        <v>1576</v>
      </c>
    </row>
    <row r="148" spans="2:14" ht="72" customHeight="1">
      <c r="B148">
        <f>IMAGE("https://raw.githubusercontent.com/stautonico/pokemon-home-pokedex/main/sprites/unown-g.png", 2)</f>
        <v>0</v>
      </c>
      <c r="C148">
        <f>IMAGE("https://raw.githubusercontent.com/stautonico/pokemon-home-pokedex/main/sprites/unown-h.png", 2)</f>
        <v>0</v>
      </c>
      <c r="D148">
        <f>IMAGE("https://raw.githubusercontent.com/stautonico/pokemon-home-pokedex/main/sprites/unown-i.png", 2)</f>
        <v>0</v>
      </c>
      <c r="E148">
        <f>IMAGE("https://raw.githubusercontent.com/stautonico/pokemon-home-pokedex/main/sprites/unown-j.png", 2)</f>
        <v>0</v>
      </c>
      <c r="F148">
        <f>IMAGE("https://raw.githubusercontent.com/stautonico/pokemon-home-pokedex/main/sprites/unown-k.png", 2)</f>
        <v>0</v>
      </c>
      <c r="G148">
        <f>IMAGE("https://raw.githubusercontent.com/stautonico/pokemon-home-pokedex/main/sprites/unown-l.png", 2)</f>
        <v>0</v>
      </c>
      <c r="I148">
        <f>IMAGE("https://raw.githubusercontent.com/stautonico/pokemon-home-pokedex/main/sprites/burmy.png", 2)</f>
        <v>0</v>
      </c>
      <c r="J148">
        <f>IMAGE("https://raw.githubusercontent.com/stautonico/pokemon-home-pokedex/main/sprites/burmy-sandy.png", 2)</f>
        <v>0</v>
      </c>
      <c r="K148">
        <f>IMAGE("https://raw.githubusercontent.com/stautonico/pokemon-home-pokedex/main/sprites/burmy-trash.png", 2)</f>
        <v>0</v>
      </c>
      <c r="L148">
        <f>IMAGE("https://raw.githubusercontent.com/stautonico/pokemon-home-pokedex/main/sprites/shellos.png", 2)</f>
        <v>0</v>
      </c>
      <c r="M148">
        <f>IMAGE("https://raw.githubusercontent.com/stautonico/pokemon-home-pokedex/main/sprites/gastrodon.png", 2)</f>
        <v>0</v>
      </c>
      <c r="N148" t="s">
        <v>1576</v>
      </c>
    </row>
    <row r="149" spans="2:14" ht="72" customHeight="1">
      <c r="B149">
        <f>IMAGE("https://raw.githubusercontent.com/stautonico/pokemon-home-pokedex/main/sprites/unown-m.png", 2)</f>
        <v>0</v>
      </c>
      <c r="C149">
        <f>IMAGE("https://raw.githubusercontent.com/stautonico/pokemon-home-pokedex/main/sprites/unown-n.png", 2)</f>
        <v>0</v>
      </c>
      <c r="D149">
        <f>IMAGE("https://raw.githubusercontent.com/stautonico/pokemon-home-pokedex/main/sprites/unown-o.png", 2)</f>
        <v>0</v>
      </c>
      <c r="E149">
        <f>IMAGE("https://raw.githubusercontent.com/stautonico/pokemon-home-pokedex/main/sprites/unown-p.png", 2)</f>
        <v>0</v>
      </c>
      <c r="F149">
        <f>IMAGE("https://raw.githubusercontent.com/stautonico/pokemon-home-pokedex/main/sprites/unown-q.png", 2)</f>
        <v>0</v>
      </c>
      <c r="G149">
        <f>IMAGE("https://raw.githubusercontent.com/stautonico/pokemon-home-pokedex/main/sprites/unown-r.png", 2)</f>
        <v>0</v>
      </c>
      <c r="I149">
        <f>IMAGE("https://raw.githubusercontent.com/stautonico/pokemon-home-pokedex/main/sprites/wormadam.png", 2)</f>
        <v>0</v>
      </c>
      <c r="J149">
        <f>IMAGE("https://raw.githubusercontent.com/stautonico/pokemon-home-pokedex/main/sprites/wormadam-sandy.png", 2)</f>
        <v>0</v>
      </c>
      <c r="K149">
        <f>IMAGE("https://raw.githubusercontent.com/stautonico/pokemon-home-pokedex/main/sprites/wormadam-trash.png", 2)</f>
        <v>0</v>
      </c>
      <c r="L149">
        <f>IMAGE("https://raw.githubusercontent.com/stautonico/pokemon-home-pokedex/main/sprites/shellos-east.png", 2)</f>
        <v>0</v>
      </c>
      <c r="M149">
        <f>IMAGE("https://raw.githubusercontent.com/stautonico/pokemon-home-pokedex/main/sprites/gastrodon-east.png", 2)</f>
        <v>0</v>
      </c>
      <c r="N149" t="s">
        <v>1576</v>
      </c>
    </row>
    <row r="150" spans="2:14" ht="72" customHeight="1">
      <c r="B150">
        <f>IMAGE("https://raw.githubusercontent.com/stautonico/pokemon-home-pokedex/main/sprites/unown-s.png", 2)</f>
        <v>0</v>
      </c>
      <c r="C150">
        <f>IMAGE("https://raw.githubusercontent.com/stautonico/pokemon-home-pokedex/main/sprites/unown-t.png", 2)</f>
        <v>0</v>
      </c>
      <c r="D150">
        <f>IMAGE("https://raw.githubusercontent.com/stautonico/pokemon-home-pokedex/main/sprites/unown-u.png", 2)</f>
        <v>0</v>
      </c>
      <c r="E150">
        <f>IMAGE("https://raw.githubusercontent.com/stautonico/pokemon-home-pokedex/main/sprites/unown-v.png", 2)</f>
        <v>0</v>
      </c>
      <c r="F150">
        <f>IMAGE("https://raw.githubusercontent.com/stautonico/pokemon-home-pokedex/main/sprites/unown-w.png", 2)</f>
        <v>0</v>
      </c>
      <c r="G150">
        <f>IMAGE("https://raw.githubusercontent.com/stautonico/pokemon-home-pokedex/main/sprites/unown-x.png", 2)</f>
        <v>0</v>
      </c>
      <c r="I150">
        <f>IMAGE("https://raw.githubusercontent.com/stautonico/pokemon-home-pokedex/main/sprites/rotom.png", 2)</f>
        <v>0</v>
      </c>
      <c r="J150">
        <f>IMAGE("https://raw.githubusercontent.com/stautonico/pokemon-home-pokedex/main/sprites/rotom-heat.png", 2)</f>
        <v>0</v>
      </c>
      <c r="K150">
        <f>IMAGE("https://raw.githubusercontent.com/stautonico/pokemon-home-pokedex/main/sprites/rotom-wash.png", 2)</f>
        <v>0</v>
      </c>
      <c r="L150">
        <f>IMAGE("https://raw.githubusercontent.com/stautonico/pokemon-home-pokedex/main/sprites/rotom-frost.png", 2)</f>
        <v>0</v>
      </c>
      <c r="M150">
        <f>IMAGE("https://raw.githubusercontent.com/stautonico/pokemon-home-pokedex/main/sprites/rotom-fan.png", 2)</f>
        <v>0</v>
      </c>
      <c r="N150">
        <f>IMAGE("https://raw.githubusercontent.com/stautonico/pokemon-home-pokedex/main/sprites/rotom-mow.png", 2)</f>
        <v>0</v>
      </c>
    </row>
    <row r="151" spans="2:14" ht="72" customHeight="1">
      <c r="B151">
        <f>IMAGE("https://raw.githubusercontent.com/stautonico/pokemon-home-pokedex/main/sprites/unown-y.png", 2)</f>
        <v>0</v>
      </c>
      <c r="C151">
        <f>IMAGE("https://raw.githubusercontent.com/stautonico/pokemon-home-pokedex/main/sprites/unown-z.png", 2)</f>
        <v>0</v>
      </c>
      <c r="D151">
        <f>IMAGE("https://raw.githubusercontent.com/stautonico/pokemon-home-pokedex/main/sprites/unown-exclamation.png", 2)</f>
        <v>0</v>
      </c>
      <c r="E151">
        <f>IMAGE("https://raw.githubusercontent.com/stautonico/pokemon-home-pokedex/main/sprites/unown-question.png", 2)</f>
        <v>0</v>
      </c>
      <c r="I151">
        <f>IMAGE("https://raw.githubusercontent.com/stautonico/pokemon-home-pokedex/main/sprites/shaymin.png", 2)</f>
        <v>0</v>
      </c>
      <c r="J151">
        <f>IMAGE("https://raw.githubusercontent.com/stautonico/pokemon-home-pokedex/main/sprites/shaymin-sky.png", 2)</f>
        <v>0</v>
      </c>
    </row>
    <row r="154" spans="2:14">
      <c r="B154" s="37" t="s">
        <v>1577</v>
      </c>
      <c r="I154" s="37" t="s">
        <v>1578</v>
      </c>
    </row>
    <row r="155" spans="2:14" ht="72" customHeight="1">
      <c r="B155">
        <f>IMAGE("https://raw.githubusercontent.com/stautonico/pokemon-home-pokedex/main/sprites/deerling.png", 2)</f>
        <v>0</v>
      </c>
      <c r="C155">
        <f>IMAGE("https://raw.githubusercontent.com/stautonico/pokemon-home-pokedex/main/sprites/deerling-summer.png", 2)</f>
        <v>0</v>
      </c>
      <c r="D155">
        <f>IMAGE("https://raw.githubusercontent.com/stautonico/pokemon-home-pokedex/main/sprites/deerling-autumn.png", 2)</f>
        <v>0</v>
      </c>
      <c r="E155">
        <f>IMAGE("https://raw.githubusercontent.com/stautonico/pokemon-home-pokedex/main/sprites/deerling-winter.png", 2)</f>
        <v>0</v>
      </c>
      <c r="F155" t="s">
        <v>1576</v>
      </c>
      <c r="G155" t="s">
        <v>1576</v>
      </c>
      <c r="I155">
        <f>IMAGE("https://raw.githubusercontent.com/stautonico/pokemon-home-pokedex/main/sprites/pumpkaboo.png", 2)</f>
        <v>0</v>
      </c>
      <c r="J155">
        <f>IMAGE("https://raw.githubusercontent.com/stautonico/pokemon-home-pokedex/main/sprites/pumpkaboo-small.png", 2)</f>
        <v>0</v>
      </c>
      <c r="K155">
        <f>IMAGE("https://raw.githubusercontent.com/stautonico/pokemon-home-pokedex/main/sprites/pumpkaboo-large.png", 2)</f>
        <v>0</v>
      </c>
      <c r="L155">
        <f>IMAGE("https://raw.githubusercontent.com/stautonico/pokemon-home-pokedex/main/sprites/pumpkaboo-super.png", 2)</f>
        <v>0</v>
      </c>
      <c r="M155" t="s">
        <v>1576</v>
      </c>
      <c r="N155" t="s">
        <v>1576</v>
      </c>
    </row>
    <row r="156" spans="2:14" ht="72" customHeight="1">
      <c r="B156">
        <f>IMAGE("https://raw.githubusercontent.com/stautonico/pokemon-home-pokedex/main/sprites/sawsbuck.png", 2)</f>
        <v>0</v>
      </c>
      <c r="C156">
        <f>IMAGE("https://raw.githubusercontent.com/stautonico/pokemon-home-pokedex/main/sprites/sawsbuck-summer.png", 2)</f>
        <v>0</v>
      </c>
      <c r="D156">
        <f>IMAGE("https://raw.githubusercontent.com/stautonico/pokemon-home-pokedex/main/sprites/sawsbuck-autumn.png", 2)</f>
        <v>0</v>
      </c>
      <c r="E156">
        <f>IMAGE("https://raw.githubusercontent.com/stautonico/pokemon-home-pokedex/main/sprites/sawsbuck-winter.png", 2)</f>
        <v>0</v>
      </c>
      <c r="F156" t="s">
        <v>1576</v>
      </c>
      <c r="G156" t="s">
        <v>1576</v>
      </c>
      <c r="I156">
        <f>IMAGE("https://raw.githubusercontent.com/stautonico/pokemon-home-pokedex/main/sprites/gourgeist.png", 2)</f>
        <v>0</v>
      </c>
      <c r="J156">
        <f>IMAGE("https://raw.githubusercontent.com/stautonico/pokemon-home-pokedex/main/sprites/gourgeist-small.png", 2)</f>
        <v>0</v>
      </c>
      <c r="K156">
        <f>IMAGE("https://raw.githubusercontent.com/stautonico/pokemon-home-pokedex/main/sprites/gourgeist-large.png", 2)</f>
        <v>0</v>
      </c>
      <c r="L156">
        <f>IMAGE("https://raw.githubusercontent.com/stautonico/pokemon-home-pokedex/main/sprites/gourgeist-super.png", 2)</f>
        <v>0</v>
      </c>
      <c r="M156" t="s">
        <v>1576</v>
      </c>
      <c r="N156" t="s">
        <v>1576</v>
      </c>
    </row>
    <row r="157" spans="2:14" ht="72" customHeight="1">
      <c r="B157">
        <f>IMAGE("https://raw.githubusercontent.com/stautonico/pokemon-home-pokedex/main/sprites/basculin.png", 2)</f>
        <v>0</v>
      </c>
      <c r="C157">
        <f>IMAGE("https://raw.githubusercontent.com/stautonico/pokemon-home-pokedex/main/sprites/basculin-blue-striped.png", 2)</f>
        <v>0</v>
      </c>
      <c r="D157" t="s">
        <v>1576</v>
      </c>
      <c r="E157" t="s">
        <v>1576</v>
      </c>
      <c r="F157" t="s">
        <v>1576</v>
      </c>
      <c r="G157" t="s">
        <v>1576</v>
      </c>
      <c r="I157">
        <f>IMAGE("https://raw.githubusercontent.com/stautonico/pokemon-home-pokedex/main/sprites/furfrou.png", 2)</f>
        <v>0</v>
      </c>
      <c r="J157">
        <f>IMAGE("https://raw.githubusercontent.com/stautonico/pokemon-home-pokedex/main/sprites/furfrou-heart.png", 2)</f>
        <v>0</v>
      </c>
      <c r="K157">
        <f>IMAGE("https://raw.githubusercontent.com/stautonico/pokemon-home-pokedex/main/sprites/furfrou-star.png", 2)</f>
        <v>0</v>
      </c>
      <c r="L157">
        <f>IMAGE("https://raw.githubusercontent.com/stautonico/pokemon-home-pokedex/main/sprites/furfrou-diamond.png", 2)</f>
        <v>0</v>
      </c>
      <c r="M157">
        <f>IMAGE("https://raw.githubusercontent.com/stautonico/pokemon-home-pokedex/main/sprites/furfrou-debutante.png", 2)</f>
        <v>0</v>
      </c>
      <c r="N157" t="s">
        <v>1576</v>
      </c>
    </row>
    <row r="158" spans="2:14" ht="72" customHeight="1">
      <c r="B158">
        <f>IMAGE("https://raw.githubusercontent.com/stautonico/pokemon-home-pokedex/main/sprites/tornadus.png", 2)</f>
        <v>0</v>
      </c>
      <c r="C158">
        <f>IMAGE("https://raw.githubusercontent.com/stautonico/pokemon-home-pokedex/main/sprites/tornadus-therian.png", 2)</f>
        <v>0</v>
      </c>
      <c r="D158">
        <f>IMAGE("https://raw.githubusercontent.com/stautonico/pokemon-home-pokedex/main/sprites/thundurus.png", 2)</f>
        <v>0</v>
      </c>
      <c r="E158">
        <f>IMAGE("https://raw.githubusercontent.com/stautonico/pokemon-home-pokedex/main/sprites/thundurus-therian.png", 2)</f>
        <v>0</v>
      </c>
      <c r="F158">
        <f>IMAGE("https://raw.githubusercontent.com/stautonico/pokemon-home-pokedex/main/sprites/landorus.png", 2)</f>
        <v>0</v>
      </c>
      <c r="G158">
        <f>IMAGE("https://raw.githubusercontent.com/stautonico/pokemon-home-pokedex/main/sprites/landorus-therian.png", 2)</f>
        <v>0</v>
      </c>
      <c r="I158">
        <f>IMAGE("https://raw.githubusercontent.com/stautonico/pokemon-home-pokedex/main/sprites/furfrou-matron.png", 2)</f>
        <v>0</v>
      </c>
      <c r="J158">
        <f>IMAGE("https://raw.githubusercontent.com/stautonico/pokemon-home-pokedex/main/sprites/furfrou-dandy.png", 2)</f>
        <v>0</v>
      </c>
      <c r="K158">
        <f>IMAGE("https://raw.githubusercontent.com/stautonico/pokemon-home-pokedex/main/sprites/furfrou-la-reine.png", 2)</f>
        <v>0</v>
      </c>
      <c r="L158">
        <f>IMAGE("https://raw.githubusercontent.com/stautonico/pokemon-home-pokedex/main/sprites/furfrou-kabuki.png", 2)</f>
        <v>0</v>
      </c>
      <c r="M158" t="s">
        <v>1225</v>
      </c>
    </row>
    <row r="159" spans="2:14" ht="72" customHeight="1">
      <c r="B159">
        <f>IMAGE("https://raw.githubusercontent.com/stautonico/pokemon-home-pokedex/main/sprites/keldeo.png", 2)</f>
        <v>0</v>
      </c>
      <c r="C159">
        <f>IMAGE("https://raw.githubusercontent.com/stautonico/pokemon-home-pokedex/main/sprites/keldeo-resolute.png", 2)</f>
        <v>0</v>
      </c>
    </row>
    <row r="162" spans="2:14">
      <c r="B162" s="37" t="s">
        <v>1579</v>
      </c>
      <c r="I162" s="37" t="s">
        <v>1580</v>
      </c>
    </row>
    <row r="163" spans="2:14" ht="72" customHeight="1">
      <c r="B163">
        <f>IMAGE("https://raw.githubusercontent.com/stautonico/pokemon-home-pokedex/main/sprites/flabebe.png", 2)</f>
        <v>0</v>
      </c>
      <c r="C163" t="s">
        <v>1227</v>
      </c>
      <c r="D163" t="s">
        <v>1229</v>
      </c>
      <c r="E163" t="s">
        <v>1231</v>
      </c>
      <c r="F163" t="s">
        <v>1233</v>
      </c>
      <c r="G163" t="s">
        <v>1576</v>
      </c>
      <c r="I163">
        <f>IMAGE("https://raw.githubusercontent.com/stautonico/pokemon-home-pokedex/main/sprites/vivillon.png", 2)</f>
        <v>0</v>
      </c>
      <c r="J163" t="s">
        <v>1260</v>
      </c>
      <c r="K163" t="s">
        <v>1262</v>
      </c>
      <c r="L163" t="s">
        <v>1264</v>
      </c>
      <c r="M163" t="s">
        <v>1266</v>
      </c>
      <c r="N163" t="s">
        <v>1268</v>
      </c>
    </row>
    <row r="164" spans="2:14" ht="72" customHeight="1">
      <c r="B164">
        <f>IMAGE("https://raw.githubusercontent.com/stautonico/pokemon-home-pokedex/main/sprites/floette.png", 2)</f>
        <v>0</v>
      </c>
      <c r="C164" t="s">
        <v>1235</v>
      </c>
      <c r="D164" t="s">
        <v>1237</v>
      </c>
      <c r="E164" t="s">
        <v>1239</v>
      </c>
      <c r="F164" t="s">
        <v>1241</v>
      </c>
      <c r="G164" t="s">
        <v>1576</v>
      </c>
      <c r="I164" t="s">
        <v>1270</v>
      </c>
      <c r="J164" t="s">
        <v>1272</v>
      </c>
      <c r="K164" t="s">
        <v>1274</v>
      </c>
      <c r="L164" t="s">
        <v>1276</v>
      </c>
      <c r="M164" t="s">
        <v>1278</v>
      </c>
      <c r="N164" t="s">
        <v>1280</v>
      </c>
    </row>
    <row r="165" spans="2:14" ht="72" customHeight="1">
      <c r="B165">
        <f>IMAGE("https://raw.githubusercontent.com/stautonico/pokemon-home-pokedex/main/sprites/florges.png", 2)</f>
        <v>0</v>
      </c>
      <c r="C165" t="s">
        <v>1243</v>
      </c>
      <c r="D165" t="s">
        <v>1245</v>
      </c>
      <c r="E165" t="s">
        <v>1247</v>
      </c>
      <c r="F165" t="s">
        <v>1249</v>
      </c>
      <c r="G165" t="s">
        <v>1576</v>
      </c>
      <c r="I165" t="s">
        <v>1282</v>
      </c>
      <c r="J165" t="s">
        <v>1284</v>
      </c>
      <c r="K165" t="s">
        <v>1286</v>
      </c>
      <c r="L165" t="s">
        <v>1288</v>
      </c>
      <c r="M165" t="s">
        <v>1290</v>
      </c>
      <c r="N165" t="s">
        <v>1292</v>
      </c>
    </row>
    <row r="166" spans="2:14" ht="72" customHeight="1">
      <c r="B166">
        <f>IMAGE("https://raw.githubusercontent.com/stautonico/pokemon-home-pokedex/main/sprites/hoopa.png", 2)</f>
        <v>0</v>
      </c>
      <c r="C166">
        <f>IMAGE("https://raw.githubusercontent.com/stautonico/pokemon-home-pokedex/main/sprites/hoopa-unbound.png", 2)</f>
        <v>0</v>
      </c>
      <c r="D166" t="s">
        <v>1576</v>
      </c>
      <c r="E166" t="s">
        <v>1576</v>
      </c>
      <c r="F166" t="s">
        <v>1576</v>
      </c>
      <c r="G166" t="s">
        <v>1576</v>
      </c>
      <c r="I166" t="s">
        <v>1294</v>
      </c>
      <c r="J166" t="s">
        <v>1296</v>
      </c>
    </row>
    <row r="167" spans="2:14" ht="72" customHeight="1">
      <c r="B167">
        <f>IMAGE("https://raw.githubusercontent.com/stautonico/pokemon-home-pokedex/main/sprites/greninja.png", 2)</f>
        <v>0</v>
      </c>
      <c r="C167" t="s">
        <v>1252</v>
      </c>
      <c r="D167">
        <f>IMAGE("https://raw.githubusercontent.com/stautonico/pokemon-home-pokedex/main/sprites/zygarde.png", 2)</f>
        <v>0</v>
      </c>
      <c r="E167" t="s">
        <v>1254</v>
      </c>
      <c r="F167" t="s">
        <v>1256</v>
      </c>
      <c r="G167" t="s">
        <v>1258</v>
      </c>
    </row>
    <row r="170" spans="2:14">
      <c r="B170" s="37" t="s">
        <v>1581</v>
      </c>
      <c r="I170" s="37" t="s">
        <v>1582</v>
      </c>
    </row>
    <row r="171" spans="2:14" ht="72" customHeight="1">
      <c r="B171">
        <f>IMAGE("https://raw.githubusercontent.com/stautonico/pokemon-home-pokedex/main/sprites/oricorio.png", 2)</f>
        <v>0</v>
      </c>
      <c r="C171">
        <f>IMAGE("https://raw.githubusercontent.com/stautonico/pokemon-home-pokedex/main/sprites/oricorio-pom-pom.png", 2)</f>
        <v>0</v>
      </c>
      <c r="D171">
        <f>IMAGE("https://raw.githubusercontent.com/stautonico/pokemon-home-pokedex/main/sprites/oricorio-pau.png", 2)</f>
        <v>0</v>
      </c>
      <c r="E171">
        <f>IMAGE("https://raw.githubusercontent.com/stautonico/pokemon-home-pokedex/main/sprites/oricorio-sensu.png", 2)</f>
        <v>0</v>
      </c>
      <c r="F171" t="s">
        <v>1576</v>
      </c>
      <c r="G171" t="s">
        <v>1576</v>
      </c>
      <c r="I171">
        <f>IMAGE("https://raw.githubusercontent.com/stautonico/pokemon-home-pokedex/main/sprites/toxtricity.png", 2)</f>
        <v>0</v>
      </c>
      <c r="J171">
        <f>IMAGE("https://raw.githubusercontent.com/stautonico/pokemon-home-pokedex/main/sprites/toxtricity-low-key.png", 2)</f>
        <v>0</v>
      </c>
      <c r="K171" t="s">
        <v>1576</v>
      </c>
      <c r="L171" t="s">
        <v>1576</v>
      </c>
      <c r="M171" t="s">
        <v>1576</v>
      </c>
      <c r="N171" t="s">
        <v>1576</v>
      </c>
    </row>
    <row r="172" spans="2:14" ht="72" customHeight="1">
      <c r="B172">
        <f>IMAGE("https://raw.githubusercontent.com/stautonico/pokemon-home-pokedex/main/sprites/rockruff.png", 2)</f>
        <v>0</v>
      </c>
      <c r="C172" t="s">
        <v>1300</v>
      </c>
      <c r="D172">
        <f>IMAGE("https://raw.githubusercontent.com/stautonico/pokemon-home-pokedex/main/sprites/lycanroc.png", 2)</f>
        <v>0</v>
      </c>
      <c r="E172">
        <f>IMAGE("https://raw.githubusercontent.com/stautonico/pokemon-home-pokedex/main/sprites/lycanroc-midnight.png", 2)</f>
        <v>0</v>
      </c>
      <c r="F172">
        <f>IMAGE("https://raw.githubusercontent.com/stautonico/pokemon-home-pokedex/main/sprites/lycanroc-dusk.png", 2)</f>
        <v>0</v>
      </c>
      <c r="G172" t="s">
        <v>1576</v>
      </c>
      <c r="I172">
        <f>IMAGE("https://raw.githubusercontent.com/stautonico/pokemon-home-pokedex/main/sprites/sinistea.png", 2)</f>
        <v>0</v>
      </c>
      <c r="J172" t="s">
        <v>1312</v>
      </c>
      <c r="K172">
        <f>IMAGE("https://raw.githubusercontent.com/stautonico/pokemon-home-pokedex/main/sprites/polteageist.png", 2)</f>
        <v>0</v>
      </c>
      <c r="L172" t="s">
        <v>1314</v>
      </c>
      <c r="M172" t="s">
        <v>1576</v>
      </c>
      <c r="N172" t="s">
        <v>1576</v>
      </c>
    </row>
    <row r="173" spans="2:14" ht="72" customHeight="1">
      <c r="B173">
        <f>IMAGE("https://raw.githubusercontent.com/stautonico/pokemon-home-pokedex/main/sprites/minior-red.png", 2)</f>
        <v>0</v>
      </c>
      <c r="C173">
        <f>IMAGE("https://raw.githubusercontent.com/stautonico/pokemon-home-pokedex/main/sprites/minior-orange.png", 2)</f>
        <v>0</v>
      </c>
      <c r="D173">
        <f>IMAGE("https://raw.githubusercontent.com/stautonico/pokemon-home-pokedex/main/sprites/minior-yellow.png", 2)</f>
        <v>0</v>
      </c>
      <c r="E173">
        <f>IMAGE("https://raw.githubusercontent.com/stautonico/pokemon-home-pokedex/main/sprites/minior-green.png", 2)</f>
        <v>0</v>
      </c>
      <c r="F173">
        <f>IMAGE("https://raw.githubusercontent.com/stautonico/pokemon-home-pokedex/main/sprites/minior-blue.png", 2)</f>
        <v>0</v>
      </c>
      <c r="G173">
        <f>IMAGE("https://raw.githubusercontent.com/stautonico/pokemon-home-pokedex/main/sprites/minior-indigo.png", 2)</f>
        <v>0</v>
      </c>
      <c r="I173">
        <f>IMAGE("https://raw.githubusercontent.com/stautonico/pokemon-home-pokedex/main/sprites/urshifu.png", 2)</f>
        <v>0</v>
      </c>
      <c r="J173">
        <f>IMAGE("https://raw.githubusercontent.com/stautonico/pokemon-home-pokedex/main/sprites/urshifu-rapid-strike.png", 2)</f>
        <v>0</v>
      </c>
      <c r="K173" t="s">
        <v>1576</v>
      </c>
      <c r="L173" t="s">
        <v>1576</v>
      </c>
      <c r="M173" t="s">
        <v>1576</v>
      </c>
      <c r="N173" t="s">
        <v>1576</v>
      </c>
    </row>
    <row r="174" spans="2:14" ht="72" customHeight="1">
      <c r="B174">
        <f>IMAGE("https://raw.githubusercontent.com/stautonico/pokemon-home-pokedex/main/sprites/minior-violet.png", 2)</f>
        <v>0</v>
      </c>
      <c r="C174">
        <f>IMAGE("https://raw.githubusercontent.com/stautonico/pokemon-home-pokedex/main/sprites/magearna.png", 2)</f>
        <v>0</v>
      </c>
      <c r="D174">
        <f>IMAGE("https://raw.githubusercontent.com/stautonico/pokemon-home-pokedex/main/sprites/magearna-original.png", 2)</f>
        <v>0</v>
      </c>
      <c r="I174">
        <f>IMAGE("https://raw.githubusercontent.com/stautonico/pokemon-home-pokedex/main/sprites/zarude.png", 2)</f>
        <v>0</v>
      </c>
      <c r="J174" t="s">
        <v>1317</v>
      </c>
      <c r="K174" t="s">
        <v>1576</v>
      </c>
      <c r="L174" t="s">
        <v>1576</v>
      </c>
      <c r="M174" t="s">
        <v>1576</v>
      </c>
      <c r="N174" t="s">
        <v>1576</v>
      </c>
    </row>
    <row r="175" spans="2:14" ht="72" customHeight="1">
      <c r="I175">
        <f>IMAGE("https://raw.githubusercontent.com/stautonico/pokemon-home-pokedex/main/sprites/enamorus.png", 2)</f>
        <v>0</v>
      </c>
      <c r="J175">
        <f>IMAGE("https://raw.githubusercontent.com/stautonico/pokemon-home-pokedex/main/sprites/enamorus-therian.png", 2)</f>
        <v>0</v>
      </c>
      <c r="K175" t="s">
        <v>1576</v>
      </c>
    </row>
    <row r="178" spans="2:14">
      <c r="B178" s="37" t="s">
        <v>1583</v>
      </c>
      <c r="I178" s="37" t="s">
        <v>1584</v>
      </c>
    </row>
    <row r="179" spans="2:14" ht="72" customHeight="1">
      <c r="B179">
        <f>IMAGE("https://raw.githubusercontent.com/stautonico/pokemon-home-pokedex/main/sprites/alcremie.png", 2)</f>
        <v>0</v>
      </c>
      <c r="C179" t="s">
        <v>1320</v>
      </c>
      <c r="D179" t="s">
        <v>1322</v>
      </c>
      <c r="E179" t="s">
        <v>1324</v>
      </c>
      <c r="F179" t="s">
        <v>1326</v>
      </c>
      <c r="G179" t="s">
        <v>1328</v>
      </c>
      <c r="I179" t="s">
        <v>1374</v>
      </c>
      <c r="J179" t="s">
        <v>1376</v>
      </c>
      <c r="K179" t="s">
        <v>1378</v>
      </c>
      <c r="L179" t="s">
        <v>1380</v>
      </c>
      <c r="M179" t="s">
        <v>1382</v>
      </c>
      <c r="N179" t="s">
        <v>1384</v>
      </c>
    </row>
    <row r="180" spans="2:14" ht="72" customHeight="1">
      <c r="B180" t="s">
        <v>1330</v>
      </c>
      <c r="C180" t="s">
        <v>1332</v>
      </c>
      <c r="D180" t="s">
        <v>1334</v>
      </c>
      <c r="E180" t="s">
        <v>1336</v>
      </c>
      <c r="F180" t="s">
        <v>1338</v>
      </c>
      <c r="G180" t="s">
        <v>1340</v>
      </c>
      <c r="I180" t="s">
        <v>1386</v>
      </c>
      <c r="J180" t="s">
        <v>1388</v>
      </c>
      <c r="K180" t="s">
        <v>1390</v>
      </c>
      <c r="L180" t="s">
        <v>1392</v>
      </c>
      <c r="M180" t="s">
        <v>1394</v>
      </c>
      <c r="N180" t="s">
        <v>1396</v>
      </c>
    </row>
    <row r="181" spans="2:14" ht="72" customHeight="1">
      <c r="B181" t="s">
        <v>1342</v>
      </c>
      <c r="C181" t="s">
        <v>1344</v>
      </c>
      <c r="D181" t="s">
        <v>1346</v>
      </c>
      <c r="E181" t="s">
        <v>1348</v>
      </c>
      <c r="F181" t="s">
        <v>1350</v>
      </c>
      <c r="G181" t="s">
        <v>1352</v>
      </c>
      <c r="I181" t="s">
        <v>1398</v>
      </c>
      <c r="J181" t="s">
        <v>1400</v>
      </c>
      <c r="K181" t="s">
        <v>1402</v>
      </c>
      <c r="L181" t="s">
        <v>1404</v>
      </c>
      <c r="M181" t="s">
        <v>1406</v>
      </c>
      <c r="N181" t="s">
        <v>1408</v>
      </c>
    </row>
    <row r="182" spans="2:14" ht="72" customHeight="1">
      <c r="B182" t="s">
        <v>1354</v>
      </c>
      <c r="C182" t="s">
        <v>1356</v>
      </c>
      <c r="D182" t="s">
        <v>1358</v>
      </c>
      <c r="E182" t="s">
        <v>1360</v>
      </c>
      <c r="F182" t="s">
        <v>1362</v>
      </c>
      <c r="G182" t="s">
        <v>1364</v>
      </c>
      <c r="I182" t="s">
        <v>1410</v>
      </c>
      <c r="J182" t="s">
        <v>1412</v>
      </c>
      <c r="K182" t="s">
        <v>1414</v>
      </c>
      <c r="L182" t="s">
        <v>1416</v>
      </c>
      <c r="M182" t="s">
        <v>1418</v>
      </c>
      <c r="N182" t="s">
        <v>1420</v>
      </c>
    </row>
    <row r="183" spans="2:14" ht="72" customHeight="1">
      <c r="B183" t="s">
        <v>1366</v>
      </c>
      <c r="C183" t="s">
        <v>1368</v>
      </c>
      <c r="D183" t="s">
        <v>1370</v>
      </c>
      <c r="E183" t="s">
        <v>1372</v>
      </c>
      <c r="I183" t="s">
        <v>1422</v>
      </c>
      <c r="J183" t="s">
        <v>1424</v>
      </c>
      <c r="K183" t="s">
        <v>1426</v>
      </c>
      <c r="L183" t="s">
        <v>1428</v>
      </c>
    </row>
    <row r="186" spans="2:14">
      <c r="B186" s="37" t="s">
        <v>1585</v>
      </c>
      <c r="I186" s="37" t="s">
        <v>1586</v>
      </c>
    </row>
    <row r="187" spans="2:14" ht="72" customHeight="1">
      <c r="B187" t="s">
        <v>1430</v>
      </c>
      <c r="C187" t="s">
        <v>1432</v>
      </c>
      <c r="D187" t="s">
        <v>1434</v>
      </c>
      <c r="E187" t="s">
        <v>1436</v>
      </c>
      <c r="F187" t="s">
        <v>1438</v>
      </c>
      <c r="G187" t="s">
        <v>1440</v>
      </c>
      <c r="I187">
        <f>IMAGE("https://raw.githubusercontent.com/stautonico/pokemon-home-pokedex/main/sprites/venusaur.png", 2)</f>
        <v>0</v>
      </c>
      <c r="J187" t="s">
        <v>938</v>
      </c>
      <c r="K187">
        <f>IMAGE("https://raw.githubusercontent.com/stautonico/pokemon-home-pokedex/main/sprites/charizard.png", 2)</f>
        <v>0</v>
      </c>
      <c r="L187">
        <f>IMAGE("https://raw.githubusercontent.com/stautonico/pokemon-home-pokedex/main/sprites/blastoise.png", 2)</f>
        <v>0</v>
      </c>
      <c r="M187">
        <f>IMAGE("https://raw.githubusercontent.com/stautonico/pokemon-home-pokedex/main/sprites/butterfree.png", 2)</f>
        <v>0</v>
      </c>
      <c r="N187" t="s">
        <v>940</v>
      </c>
    </row>
    <row r="188" spans="2:14" ht="72" customHeight="1">
      <c r="B188" t="s">
        <v>1442</v>
      </c>
      <c r="I188">
        <f>IMAGE("https://raw.githubusercontent.com/stautonico/pokemon-home-pokedex/main/sprites/pikachu.png", 2)</f>
        <v>0</v>
      </c>
      <c r="J188" t="s">
        <v>946</v>
      </c>
      <c r="K188">
        <f>IMAGE("https://raw.githubusercontent.com/stautonico/pokemon-home-pokedex/main/sprites/meowth.png", 2)</f>
        <v>0</v>
      </c>
      <c r="L188">
        <f>IMAGE("https://raw.githubusercontent.com/stautonico/pokemon-home-pokedex/main/sprites/machamp.png", 2)</f>
        <v>0</v>
      </c>
      <c r="M188">
        <f>IMAGE("https://raw.githubusercontent.com/stautonico/pokemon-home-pokedex/main/sprites/gengar.png", 2)</f>
        <v>0</v>
      </c>
      <c r="N188">
        <f>IMAGE("https://raw.githubusercontent.com/stautonico/pokemon-home-pokedex/main/sprites/kingler.png", 2)</f>
        <v>0</v>
      </c>
    </row>
    <row r="189" spans="2:14" ht="72" customHeight="1">
      <c r="I189">
        <f>IMAGE("https://raw.githubusercontent.com/stautonico/pokemon-home-pokedex/main/sprites/lapras.png", 2)</f>
        <v>0</v>
      </c>
      <c r="J189">
        <f>IMAGE("https://raw.githubusercontent.com/stautonico/pokemon-home-pokedex/main/sprites/eevee.png", 2)</f>
        <v>0</v>
      </c>
      <c r="K189" t="s">
        <v>982</v>
      </c>
      <c r="L189">
        <f>IMAGE("https://raw.githubusercontent.com/stautonico/pokemon-home-pokedex/main/sprites/snorlax.png", 2)</f>
        <v>0</v>
      </c>
      <c r="M189">
        <f>IMAGE("https://raw.githubusercontent.com/stautonico/pokemon-home-pokedex/main/sprites/garbodor.png", 2)</f>
        <v>0</v>
      </c>
      <c r="N189">
        <f>IMAGE("https://raw.githubusercontent.com/stautonico/pokemon-home-pokedex/main/sprites/melmetal.png", 2)</f>
        <v>0</v>
      </c>
    </row>
    <row r="190" spans="2:14" ht="72" customHeight="1">
      <c r="I190">
        <f>IMAGE("https://raw.githubusercontent.com/stautonico/pokemon-home-pokedex/main/sprites/rillaboom.png", 2)</f>
        <v>0</v>
      </c>
      <c r="J190">
        <f>IMAGE("https://raw.githubusercontent.com/stautonico/pokemon-home-pokedex/main/sprites/cinderace.png", 2)</f>
        <v>0</v>
      </c>
      <c r="K190">
        <f>IMAGE("https://raw.githubusercontent.com/stautonico/pokemon-home-pokedex/main/sprites/inteleon.png", 2)</f>
        <v>0</v>
      </c>
      <c r="L190">
        <f>IMAGE("https://raw.githubusercontent.com/stautonico/pokemon-home-pokedex/main/sprites/corviknight.png", 2)</f>
        <v>0</v>
      </c>
      <c r="M190">
        <f>IMAGE("https://raw.githubusercontent.com/stautonico/pokemon-home-pokedex/main/sprites/orbeetle.png", 2)</f>
        <v>0</v>
      </c>
      <c r="N190">
        <f>IMAGE("https://raw.githubusercontent.com/stautonico/pokemon-home-pokedex/main/sprites/drednaw.png", 2)</f>
        <v>0</v>
      </c>
    </row>
    <row r="191" spans="2:14" ht="72" customHeight="1">
      <c r="I191">
        <f>IMAGE("https://raw.githubusercontent.com/stautonico/pokemon-home-pokedex/main/sprites/coalossal.png", 2)</f>
        <v>0</v>
      </c>
      <c r="J191">
        <f>IMAGE("https://raw.githubusercontent.com/stautonico/pokemon-home-pokedex/main/sprites/flapple.png", 2)</f>
        <v>0</v>
      </c>
      <c r="K191">
        <f>IMAGE("https://raw.githubusercontent.com/stautonico/pokemon-home-pokedex/main/sprites/appletun.png", 2)</f>
        <v>0</v>
      </c>
      <c r="L191">
        <f>IMAGE("https://raw.githubusercontent.com/stautonico/pokemon-home-pokedex/main/sprites/sandaconda.png", 2)</f>
        <v>0</v>
      </c>
      <c r="M191">
        <f>IMAGE("https://raw.githubusercontent.com/stautonico/pokemon-home-pokedex/main/sprites/toxtricity.png", 2)</f>
        <v>0</v>
      </c>
      <c r="N191">
        <f>IMAGE("https://raw.githubusercontent.com/stautonico/pokemon-home-pokedex/main/sprites/toxtricity-low-key.png", 2)</f>
        <v>0</v>
      </c>
    </row>
    <row r="194" spans="2:14">
      <c r="B194" s="37" t="s">
        <v>1587</v>
      </c>
      <c r="I194" s="37" t="s">
        <v>1588</v>
      </c>
    </row>
    <row r="195" spans="2:14" ht="72" customHeight="1">
      <c r="B195">
        <f>IMAGE("https://raw.githubusercontent.com/stautonico/pokemon-home-pokedex/main/sprites/centiskorch.png", 2)</f>
        <v>0</v>
      </c>
      <c r="C195">
        <f>IMAGE("https://raw.githubusercontent.com/stautonico/pokemon-home-pokedex/main/sprites/hatterene.png", 2)</f>
        <v>0</v>
      </c>
      <c r="D195">
        <f>IMAGE("https://raw.githubusercontent.com/stautonico/pokemon-home-pokedex/main/sprites/grimmsnarl.png", 2)</f>
        <v>0</v>
      </c>
      <c r="E195">
        <f>IMAGE("https://raw.githubusercontent.com/stautonico/pokemon-home-pokedex/main/sprites/alcremie.png", 2)</f>
        <v>0</v>
      </c>
      <c r="F195">
        <f>IMAGE("https://raw.githubusercontent.com/stautonico/pokemon-home-pokedex/main/sprites/copperajah.png", 2)</f>
        <v>0</v>
      </c>
      <c r="G195">
        <f>IMAGE("https://raw.githubusercontent.com/stautonico/pokemon-home-pokedex/main/sprites/duraludon.png", 2)</f>
        <v>0</v>
      </c>
    </row>
    <row r="196" spans="2:14" ht="72" customHeight="1">
      <c r="B196">
        <f>IMAGE("https://raw.githubusercontent.com/stautonico/pokemon-home-pokedex/main/sprites/urshifu.png", 2)</f>
        <v>0</v>
      </c>
      <c r="C196">
        <f>IMAGE("https://raw.githubusercontent.com/stautonico/pokemon-home-pokedex/main/sprites/urshifu-rapid-strike.png", 2)</f>
        <v>0</v>
      </c>
    </row>
    <row r="202" spans="2:14">
      <c r="B202" s="37" t="s">
        <v>1589</v>
      </c>
      <c r="I202" s="37" t="s">
        <v>1590</v>
      </c>
    </row>
    <row r="203" spans="2:14" ht="72" customHeight="1">
      <c r="B203">
        <f>IMAGE("https://raw.githubusercontent.com/stautonico/pokemon-home-pokedex/main/sprites/rattata-alola.png", 2)</f>
        <v>0</v>
      </c>
      <c r="C203">
        <f>IMAGE("https://raw.githubusercontent.com/stautonico/pokemon-home-pokedex/main/sprites/raticate-alola.png", 2)</f>
        <v>0</v>
      </c>
      <c r="D203">
        <f>IMAGE("https://raw.githubusercontent.com/stautonico/pokemon-home-pokedex/main/sprites/raichu-alola.png", 2)</f>
        <v>0</v>
      </c>
      <c r="E203">
        <f>IMAGE("https://raw.githubusercontent.com/stautonico/pokemon-home-pokedex/main/sprites/sandshrew-alola.png", 2)</f>
        <v>0</v>
      </c>
      <c r="F203">
        <f>IMAGE("https://raw.githubusercontent.com/stautonico/pokemon-home-pokedex/main/sprites/sandslash-alola.png", 2)</f>
        <v>0</v>
      </c>
      <c r="G203">
        <f>IMAGE("https://raw.githubusercontent.com/stautonico/pokemon-home-pokedex/main/sprites/vulpix-alola.png", 2)</f>
        <v>0</v>
      </c>
      <c r="I203">
        <f>IMAGE("https://raw.githubusercontent.com/stautonico/pokemon-home-pokedex/main/sprites/meowth-galar.png", 2)</f>
        <v>0</v>
      </c>
      <c r="J203">
        <f>IMAGE("https://raw.githubusercontent.com/stautonico/pokemon-home-pokedex/main/sprites/ponyta-galar.png", 2)</f>
        <v>0</v>
      </c>
      <c r="K203">
        <f>IMAGE("https://raw.githubusercontent.com/stautonico/pokemon-home-pokedex/main/sprites/rapidash-galar.png", 2)</f>
        <v>0</v>
      </c>
      <c r="L203">
        <f>IMAGE("https://raw.githubusercontent.com/stautonico/pokemon-home-pokedex/main/sprites/slowpoke-galar.png", 2)</f>
        <v>0</v>
      </c>
      <c r="M203">
        <f>IMAGE("https://raw.githubusercontent.com/stautonico/pokemon-home-pokedex/main/sprites/slowbro-galar.png", 2)</f>
        <v>0</v>
      </c>
      <c r="N203">
        <f>IMAGE("https://raw.githubusercontent.com/stautonico/pokemon-home-pokedex/main/sprites/farfetchd-galar.png", 2)</f>
        <v>0</v>
      </c>
    </row>
    <row r="204" spans="2:14" ht="72" customHeight="1">
      <c r="B204">
        <f>IMAGE("https://raw.githubusercontent.com/stautonico/pokemon-home-pokedex/main/sprites/ninetales-alola.png", 2)</f>
        <v>0</v>
      </c>
      <c r="C204">
        <f>IMAGE("https://raw.githubusercontent.com/stautonico/pokemon-home-pokedex/main/sprites/diglett-alola.png", 2)</f>
        <v>0</v>
      </c>
      <c r="D204">
        <f>IMAGE("https://raw.githubusercontent.com/stautonico/pokemon-home-pokedex/main/sprites/dugtrio-alola.png", 2)</f>
        <v>0</v>
      </c>
      <c r="E204">
        <f>IMAGE("https://raw.githubusercontent.com/stautonico/pokemon-home-pokedex/main/sprites/meowth-alola.png", 2)</f>
        <v>0</v>
      </c>
      <c r="F204">
        <f>IMAGE("https://raw.githubusercontent.com/stautonico/pokemon-home-pokedex/main/sprites/persian-alola.png", 2)</f>
        <v>0</v>
      </c>
      <c r="G204">
        <f>IMAGE("https://raw.githubusercontent.com/stautonico/pokemon-home-pokedex/main/sprites/geodude-alola.png", 2)</f>
        <v>0</v>
      </c>
      <c r="I204">
        <f>IMAGE("https://raw.githubusercontent.com/stautonico/pokemon-home-pokedex/main/sprites/weezing-galar.png", 2)</f>
        <v>0</v>
      </c>
      <c r="J204" t="s">
        <v>1507</v>
      </c>
      <c r="K204">
        <f>IMAGE("https://raw.githubusercontent.com/stautonico/pokemon-home-pokedex/main/sprites/articuno-galar.png", 2)</f>
        <v>0</v>
      </c>
      <c r="L204">
        <f>IMAGE("https://raw.githubusercontent.com/stautonico/pokemon-home-pokedex/main/sprites/zapdos-galar.png", 2)</f>
        <v>0</v>
      </c>
      <c r="M204">
        <f>IMAGE("https://raw.githubusercontent.com/stautonico/pokemon-home-pokedex/main/sprites/moltres-galar.png", 2)</f>
        <v>0</v>
      </c>
      <c r="N204">
        <f>IMAGE("https://raw.githubusercontent.com/stautonico/pokemon-home-pokedex/main/sprites/slowking-galar.png", 2)</f>
        <v>0</v>
      </c>
    </row>
    <row r="205" spans="2:14" ht="72" customHeight="1">
      <c r="B205">
        <f>IMAGE("https://raw.githubusercontent.com/stautonico/pokemon-home-pokedex/main/sprites/graveler-alola.png", 2)</f>
        <v>0</v>
      </c>
      <c r="C205">
        <f>IMAGE("https://raw.githubusercontent.com/stautonico/pokemon-home-pokedex/main/sprites/golem-alola.png", 2)</f>
        <v>0</v>
      </c>
      <c r="D205">
        <f>IMAGE("https://raw.githubusercontent.com/stautonico/pokemon-home-pokedex/main/sprites/grimer-alola.png", 2)</f>
        <v>0</v>
      </c>
      <c r="E205">
        <f>IMAGE("https://raw.githubusercontent.com/stautonico/pokemon-home-pokedex/main/sprites/muk-alola.png", 2)</f>
        <v>0</v>
      </c>
      <c r="F205">
        <f>IMAGE("https://raw.githubusercontent.com/stautonico/pokemon-home-pokedex/main/sprites/exeggutor-alola.png", 2)</f>
        <v>0</v>
      </c>
      <c r="G205">
        <f>IMAGE("https://raw.githubusercontent.com/stautonico/pokemon-home-pokedex/main/sprites/marowak-alola.png", 2)</f>
        <v>0</v>
      </c>
      <c r="I205">
        <f>IMAGE("https://raw.githubusercontent.com/stautonico/pokemon-home-pokedex/main/sprites/corsola-galar.png", 2)</f>
        <v>0</v>
      </c>
      <c r="J205">
        <f>IMAGE("https://raw.githubusercontent.com/stautonico/pokemon-home-pokedex/main/sprites/zigzagoon-galar.png", 2)</f>
        <v>0</v>
      </c>
      <c r="K205">
        <f>IMAGE("https://raw.githubusercontent.com/stautonico/pokemon-home-pokedex/main/sprites/linoone-galar.png", 2)</f>
        <v>0</v>
      </c>
      <c r="L205">
        <f>IMAGE("https://raw.githubusercontent.com/stautonico/pokemon-home-pokedex/main/sprites/darumaka-galar.png", 2)</f>
        <v>0</v>
      </c>
      <c r="M205" t="s">
        <v>1517</v>
      </c>
      <c r="N205">
        <f>IMAGE("https://raw.githubusercontent.com/stautonico/pokemon-home-pokedex/main/sprites/yamask-galar.png", 2)</f>
        <v>0</v>
      </c>
    </row>
    <row r="206" spans="2:14" ht="72" customHeight="1">
      <c r="I206">
        <f>IMAGE("https://raw.githubusercontent.com/stautonico/pokemon-home-pokedex/main/sprites/stunfisk-galar.png", 2)</f>
        <v>0</v>
      </c>
    </row>
    <row r="210" spans="2:7">
      <c r="B210" s="37" t="s">
        <v>1591</v>
      </c>
    </row>
    <row r="211" spans="2:7" ht="72" customHeight="1">
      <c r="B211">
        <f>IMAGE("https://raw.githubusercontent.com/stautonico/pokemon-home-pokedex/main/sprites/growlithe-hisui.png", 2)</f>
        <v>0</v>
      </c>
      <c r="C211">
        <f>IMAGE("https://raw.githubusercontent.com/stautonico/pokemon-home-pokedex/main/sprites/arcanine-hisui.png", 2)</f>
        <v>0</v>
      </c>
      <c r="D211">
        <f>IMAGE("https://raw.githubusercontent.com/stautonico/pokemon-home-pokedex/main/sprites/voltorb-hisui.png", 2)</f>
        <v>0</v>
      </c>
      <c r="E211">
        <f>IMAGE("https://raw.githubusercontent.com/stautonico/pokemon-home-pokedex/main/sprites/electrode-hisui.png", 2)</f>
        <v>0</v>
      </c>
      <c r="F211">
        <f>IMAGE("https://raw.githubusercontent.com/stautonico/pokemon-home-pokedex/main/sprites/typhlosion-hisui.png", 2)</f>
        <v>0</v>
      </c>
      <c r="G211">
        <f>IMAGE("https://raw.githubusercontent.com/stautonico/pokemon-home-pokedex/main/sprites/qwilfish-hisui.png", 2)</f>
        <v>0</v>
      </c>
    </row>
    <row r="212" spans="2:7" ht="72" customHeight="1">
      <c r="B212">
        <f>IMAGE("https://raw.githubusercontent.com/stautonico/pokemon-home-pokedex/main/sprites/sneasel-hisui.png", 2)</f>
        <v>0</v>
      </c>
      <c r="C212">
        <f>IMAGE("https://raw.githubusercontent.com/stautonico/pokemon-home-pokedex/main/sprites/samurott-hisui.png", 2)</f>
        <v>0</v>
      </c>
      <c r="D212">
        <f>IMAGE("https://raw.githubusercontent.com/stautonico/pokemon-home-pokedex/main/sprites/lilligant-hisui.png", 2)</f>
        <v>0</v>
      </c>
      <c r="E212">
        <f>IMAGE("https://raw.githubusercontent.com/stautonico/pokemon-home-pokedex/main/sprites/basculin-white-striped.png", 2)</f>
        <v>0</v>
      </c>
      <c r="F212">
        <f>IMAGE("https://raw.githubusercontent.com/stautonico/pokemon-home-pokedex/main/sprites/zorua-hisui.png", 2)</f>
        <v>0</v>
      </c>
      <c r="G212">
        <f>IMAGE("https://raw.githubusercontent.com/stautonico/pokemon-home-pokedex/main/sprites/zoroark-hisui.png", 2)</f>
        <v>0</v>
      </c>
    </row>
    <row r="213" spans="2:7" ht="72" customHeight="1">
      <c r="B213">
        <f>IMAGE("https://raw.githubusercontent.com/stautonico/pokemon-home-pokedex/main/sprites/braviary-hisui.png", 2)</f>
        <v>0</v>
      </c>
      <c r="C213">
        <f>IMAGE("https://raw.githubusercontent.com/stautonico/pokemon-home-pokedex/main/sprites/sliggoo-hisui.png", 2)</f>
        <v>0</v>
      </c>
      <c r="D213">
        <f>IMAGE("https://raw.githubusercontent.com/stautonico/pokemon-home-pokedex/main/sprites/goodra-hisui.png", 2)</f>
        <v>0</v>
      </c>
      <c r="E213">
        <f>IMAGE("https://raw.githubusercontent.com/stautonico/pokemon-home-pokedex/main/sprites/avalugg-hisui.png", 2)</f>
        <v>0</v>
      </c>
      <c r="F213">
        <f>IMAGE("https://raw.githubusercontent.com/stautonico/pokemon-home-pokedex/main/sprites/decidueye-hisui.png", 2)</f>
        <v>0</v>
      </c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2204">
      <formula>COUNTIF(INDIRECT("Checklist!$A728"), "TRUE") = 1</formula>
    </cfRule>
    <cfRule type="expression" dxfId="4" priority="2205">
      <formula>COUNTIF(INDIRECT("Checklist!$A728"), "FALSE") = 1</formula>
    </cfRule>
    <cfRule type="notContainsBlanks" dxfId="7" priority="2206">
      <formula>LEN(TRIM(B100))&gt;0</formula>
    </cfRule>
  </conditionalFormatting>
  <conditionalFormatting sqref="B101">
    <cfRule type="expression" dxfId="3" priority="2222">
      <formula>COUNTIF(INDIRECT("Checklist!$A734"), "TRUE") = 1</formula>
    </cfRule>
    <cfRule type="expression" dxfId="4" priority="2223">
      <formula>COUNTIF(INDIRECT("Checklist!$A734"), "FALSE") = 1</formula>
    </cfRule>
    <cfRule type="notContainsBlanks" dxfId="7" priority="2224">
      <formula>LEN(TRIM(B101))&gt;0</formula>
    </cfRule>
  </conditionalFormatting>
  <conditionalFormatting sqref="B102">
    <cfRule type="expression" dxfId="3" priority="2240">
      <formula>COUNTIF(INDIRECT("Checklist!$A740"), "TRUE") = 1</formula>
    </cfRule>
    <cfRule type="expression" dxfId="4" priority="2241">
      <formula>COUNTIF(INDIRECT("Checklist!$A740"), "FALSE") = 1</formula>
    </cfRule>
    <cfRule type="notContainsBlanks" dxfId="7" priority="2242">
      <formula>LEN(TRIM(B102))&gt;0</formula>
    </cfRule>
  </conditionalFormatting>
  <conditionalFormatting sqref="B103">
    <cfRule type="expression" dxfId="3" priority="2258">
      <formula>COUNTIF(INDIRECT("Checklist!$A746"), "TRUE") = 1</formula>
    </cfRule>
    <cfRule type="expression" dxfId="4" priority="2259">
      <formula>COUNTIF(INDIRECT("Checklist!$A746"), "FALSE") = 1</formula>
    </cfRule>
    <cfRule type="notContainsBlanks" dxfId="7" priority="2260">
      <formula>LEN(TRIM(B103))&gt;0</formula>
    </cfRule>
  </conditionalFormatting>
  <conditionalFormatting sqref="B106:G106">
    <cfRule type="notContainsBlanks" dxfId="7" priority="2367">
      <formula>LEN(TRIM(B106))&gt;0</formula>
    </cfRule>
  </conditionalFormatting>
  <conditionalFormatting sqref="B107">
    <cfRule type="expression" dxfId="3" priority="2368">
      <formula>COUNTIF(INDIRECT("Checklist!$A782"), "TRUE") = 1</formula>
    </cfRule>
    <cfRule type="expression" dxfId="4" priority="2369">
      <formula>COUNTIF(INDIRECT("Checklist!$A782"), "FALSE") = 1</formula>
    </cfRule>
    <cfRule type="notContainsBlanks" dxfId="7" priority="2370">
      <formula>LEN(TRIM(B107))&gt;0</formula>
    </cfRule>
  </conditionalFormatting>
  <conditionalFormatting sqref="B108">
    <cfRule type="expression" dxfId="3" priority="2386">
      <formula>COUNTIF(INDIRECT("Checklist!$A788"), "TRUE") = 1</formula>
    </cfRule>
    <cfRule type="expression" dxfId="4" priority="2387">
      <formula>COUNTIF(INDIRECT("Checklist!$A788"), "FALSE") = 1</formula>
    </cfRule>
    <cfRule type="notContainsBlanks" dxfId="7" priority="2388">
      <formula>LEN(TRIM(B108))&gt;0</formula>
    </cfRule>
  </conditionalFormatting>
  <conditionalFormatting sqref="B109">
    <cfRule type="expression" dxfId="3" priority="2404">
      <formula>COUNTIF(INDIRECT("Checklist!$A794"), "TRUE") = 1</formula>
    </cfRule>
    <cfRule type="expression" dxfId="4" priority="2405">
      <formula>COUNTIF(INDIRECT("Checklist!$A794"), "FALSE") = 1</formula>
    </cfRule>
    <cfRule type="notContainsBlanks" dxfId="7" priority="2406">
      <formula>LEN(TRIM(B109))&gt;0</formula>
    </cfRule>
  </conditionalFormatting>
  <conditionalFormatting sqref="B10:G10">
    <cfRule type="notContainsBlanks" dxfId="7" priority="183">
      <formula>LEN(TRIM(B10))&gt;0</formula>
    </cfRule>
  </conditionalFormatting>
  <conditionalFormatting sqref="B11">
    <cfRule type="expression" dxfId="3" priority="184">
      <formula>COUNTIF(INDIRECT("Checklist!$A62"), "TRUE") = 1</formula>
    </cfRule>
    <cfRule type="expression" dxfId="4" priority="185">
      <formula>COUNTIF(INDIRECT("Checklist!$A62"), "FALSE") = 1</formula>
    </cfRule>
    <cfRule type="notContainsBlanks" dxfId="7" priority="186">
      <formula>LEN(TRIM(B11))&gt;0</formula>
    </cfRule>
  </conditionalFormatting>
  <conditionalFormatting sqref="B110">
    <cfRule type="expression" dxfId="3" priority="2422">
      <formula>COUNTIF(INDIRECT("Checklist!$A800"), "TRUE") = 1</formula>
    </cfRule>
    <cfRule type="expression" dxfId="4" priority="2423">
      <formula>COUNTIF(INDIRECT("Checklist!$A800"), "FALSE") = 1</formula>
    </cfRule>
    <cfRule type="notContainsBlanks" dxfId="7" priority="2424">
      <formula>LEN(TRIM(B110))&gt;0</formula>
    </cfRule>
  </conditionalFormatting>
  <conditionalFormatting sqref="B111">
    <cfRule type="expression" dxfId="3" priority="2440">
      <formula>COUNTIF(INDIRECT("Checklist!$A806"), "TRUE") = 1</formula>
    </cfRule>
    <cfRule type="expression" dxfId="4" priority="2441">
      <formula>COUNTIF(INDIRECT("Checklist!$A806"), "FALSE") = 1</formula>
    </cfRule>
    <cfRule type="notContainsBlanks" dxfId="7" priority="2442">
      <formula>LEN(TRIM(B111))&gt;0</formula>
    </cfRule>
  </conditionalFormatting>
  <conditionalFormatting sqref="B114:G114">
    <cfRule type="notContainsBlanks" dxfId="7" priority="2549">
      <formula>LEN(TRIM(B114))&gt;0</formula>
    </cfRule>
  </conditionalFormatting>
  <conditionalFormatting sqref="B115">
    <cfRule type="expression" dxfId="3" priority="2550">
      <formula>COUNTIF(INDIRECT("Checklist!$A1227"), "TRUE") = 1</formula>
    </cfRule>
    <cfRule type="expression" dxfId="4" priority="2551">
      <formula>COUNTIF(INDIRECT("Checklist!$A1227"), "FALSE") = 1</formula>
    </cfRule>
    <cfRule type="notContainsBlanks" dxfId="7" priority="2552">
      <formula>LEN(TRIM(B115))&gt;0</formula>
    </cfRule>
  </conditionalFormatting>
  <conditionalFormatting sqref="B116">
    <cfRule type="expression" dxfId="3" priority="2568">
      <formula>COUNTIF(INDIRECT("Checklist!$A848"), "TRUE") = 1</formula>
    </cfRule>
    <cfRule type="expression" dxfId="4" priority="2569">
      <formula>COUNTIF(INDIRECT("Checklist!$A848"), "FALSE") = 1</formula>
    </cfRule>
    <cfRule type="notContainsBlanks" dxfId="7" priority="2570">
      <formula>LEN(TRIM(B116))&gt;0</formula>
    </cfRule>
  </conditionalFormatting>
  <conditionalFormatting sqref="B117">
    <cfRule type="expression" dxfId="3" priority="2586">
      <formula>COUNTIF(INDIRECT("Checklist!$A854"), "TRUE") = 1</formula>
    </cfRule>
    <cfRule type="expression" dxfId="4" priority="2587">
      <formula>COUNTIF(INDIRECT("Checklist!$A854"), "FALSE") = 1</formula>
    </cfRule>
    <cfRule type="notContainsBlanks" dxfId="7" priority="2588">
      <formula>LEN(TRIM(B117))&gt;0</formula>
    </cfRule>
  </conditionalFormatting>
  <conditionalFormatting sqref="B118">
    <cfRule type="expression" dxfId="3" priority="2604">
      <formula>COUNTIF(INDIRECT("Checklist!$A860"), "TRUE") = 1</formula>
    </cfRule>
    <cfRule type="expression" dxfId="4" priority="2605">
      <formula>COUNTIF(INDIRECT("Checklist!$A860"), "FALSE") = 1</formula>
    </cfRule>
    <cfRule type="notContainsBlanks" dxfId="7" priority="2606">
      <formula>LEN(TRIM(B118))&gt;0</formula>
    </cfRule>
  </conditionalFormatting>
  <conditionalFormatting sqref="B119">
    <cfRule type="expression" dxfId="3" priority="2622">
      <formula>COUNTIF(INDIRECT("Checklist!$A866"), "TRUE") = 1</formula>
    </cfRule>
    <cfRule type="expression" dxfId="4" priority="2623">
      <formula>COUNTIF(INDIRECT("Checklist!$A866"), "FALSE") = 1</formula>
    </cfRule>
    <cfRule type="notContainsBlanks" dxfId="7" priority="2624">
      <formula>LEN(TRIM(B119))&gt;0</formula>
    </cfRule>
  </conditionalFormatting>
  <conditionalFormatting sqref="B12">
    <cfRule type="expression" dxfId="3" priority="202">
      <formula>COUNTIF(INDIRECT("Checklist!$A68"), "TRUE") = 1</formula>
    </cfRule>
    <cfRule type="expression" dxfId="4" priority="203">
      <formula>COUNTIF(INDIRECT("Checklist!$A68"), "FALSE") = 1</formula>
    </cfRule>
    <cfRule type="notContainsBlanks" dxfId="7" priority="204">
      <formula>LEN(TRIM(B12))&gt;0</formula>
    </cfRule>
  </conditionalFormatting>
  <conditionalFormatting sqref="B122:G122">
    <cfRule type="notContainsBlanks" dxfId="7" priority="2731">
      <formula>LEN(TRIM(B122))&gt;0</formula>
    </cfRule>
  </conditionalFormatting>
  <conditionalFormatting sqref="B123">
    <cfRule type="expression" dxfId="3" priority="2732">
      <formula>COUNTIF(INDIRECT("Checklist!$A902"), "TRUE") = 1</formula>
    </cfRule>
    <cfRule type="expression" dxfId="4" priority="2733">
      <formula>COUNTIF(INDIRECT("Checklist!$A902"), "FALSE") = 1</formula>
    </cfRule>
    <cfRule type="notContainsBlanks" dxfId="7" priority="2734">
      <formula>LEN(TRIM(B123))&gt;0</formula>
    </cfRule>
  </conditionalFormatting>
  <conditionalFormatting sqref="B13">
    <cfRule type="expression" dxfId="3" priority="220">
      <formula>COUNTIF(INDIRECT("Checklist!$A74"), "TRUE") = 1</formula>
    </cfRule>
    <cfRule type="expression" dxfId="4" priority="221">
      <formula>COUNTIF(INDIRECT("Checklist!$A74"), "FALSE") = 1</formula>
    </cfRule>
    <cfRule type="notContainsBlanks" dxfId="7" priority="222">
      <formula>LEN(TRIM(B13))&gt;0</formula>
    </cfRule>
  </conditionalFormatting>
  <conditionalFormatting sqref="B130:G130">
    <cfRule type="notContainsBlanks" dxfId="7" priority="2838">
      <formula>LEN(TRIM(B130))&gt;0</formula>
    </cfRule>
  </conditionalFormatting>
  <conditionalFormatting sqref="B131">
    <cfRule type="expression" dxfId="3" priority="2839">
      <formula>COUNTIF(INDIRECT("Checklist!$A937"), "TRUE") = 1</formula>
    </cfRule>
    <cfRule type="expression" dxfId="4" priority="2840">
      <formula>COUNTIF(INDIRECT("Checklist!$A937"), "FALSE") = 1</formula>
    </cfRule>
    <cfRule type="notContainsBlanks" dxfId="7" priority="2841">
      <formula>LEN(TRIM(B131))&gt;0</formula>
    </cfRule>
  </conditionalFormatting>
  <conditionalFormatting sqref="B132">
    <cfRule type="expression" dxfId="3" priority="2857">
      <formula>COUNTIF(INDIRECT("Checklist!$A943"), "TRUE") = 1</formula>
    </cfRule>
    <cfRule type="expression" dxfId="4" priority="2858">
      <formula>COUNTIF(INDIRECT("Checklist!$A943"), "FALSE") = 1</formula>
    </cfRule>
    <cfRule type="notContainsBlanks" dxfId="7" priority="2859">
      <formula>LEN(TRIM(B132))&gt;0</formula>
    </cfRule>
  </conditionalFormatting>
  <conditionalFormatting sqref="B133">
    <cfRule type="expression" dxfId="3" priority="2875">
      <formula>COUNTIF(INDIRECT("Checklist!$A949"), "TRUE") = 1</formula>
    </cfRule>
    <cfRule type="expression" dxfId="4" priority="2876">
      <formula>COUNTIF(INDIRECT("Checklist!$A949"), "FALSE") = 1</formula>
    </cfRule>
    <cfRule type="notContainsBlanks" dxfId="7" priority="2877">
      <formula>LEN(TRIM(B133))&gt;0</formula>
    </cfRule>
  </conditionalFormatting>
  <conditionalFormatting sqref="B134">
    <cfRule type="expression" dxfId="3" priority="2893">
      <formula>COUNTIF(INDIRECT("Checklist!$A955"), "TRUE") = 1</formula>
    </cfRule>
    <cfRule type="expression" dxfId="4" priority="2894">
      <formula>COUNTIF(INDIRECT("Checklist!$A955"), "FALSE") = 1</formula>
    </cfRule>
    <cfRule type="notContainsBlanks" dxfId="7" priority="2895">
      <formula>LEN(TRIM(B134))&gt;0</formula>
    </cfRule>
  </conditionalFormatting>
  <conditionalFormatting sqref="B135">
    <cfRule type="expression" dxfId="3" priority="2911">
      <formula>COUNTIF(INDIRECT("Checklist!$A961"), "TRUE") = 1</formula>
    </cfRule>
    <cfRule type="expression" dxfId="4" priority="2912">
      <formula>COUNTIF(INDIRECT("Checklist!$A961"), "FALSE") = 1</formula>
    </cfRule>
    <cfRule type="notContainsBlanks" dxfId="7" priority="2913">
      <formula>LEN(TRIM(B135))&gt;0</formula>
    </cfRule>
  </conditionalFormatting>
  <conditionalFormatting sqref="B138:G138">
    <cfRule type="notContainsBlanks" dxfId="7" priority="3020">
      <formula>LEN(TRIM(B138))&gt;0</formula>
    </cfRule>
  </conditionalFormatting>
  <conditionalFormatting sqref="B139">
    <cfRule type="expression" dxfId="3" priority="3021">
      <formula>COUNTIF(INDIRECT("Checklist!$A997"), "TRUE") = 1</formula>
    </cfRule>
    <cfRule type="expression" dxfId="4" priority="3022">
      <formula>COUNTIF(INDIRECT("Checklist!$A997"), "FALSE") = 1</formula>
    </cfRule>
    <cfRule type="notContainsBlanks" dxfId="7" priority="3023">
      <formula>LEN(TRIM(B139))&gt;0</formula>
    </cfRule>
  </conditionalFormatting>
  <conditionalFormatting sqref="B14">
    <cfRule type="expression" dxfId="3" priority="238">
      <formula>COUNTIF(INDIRECT("Checklist!$A80"), "TRUE") = 1</formula>
    </cfRule>
    <cfRule type="expression" dxfId="4" priority="239">
      <formula>COUNTIF(INDIRECT("Checklist!$A80"), "FALSE") = 1</formula>
    </cfRule>
    <cfRule type="notContainsBlanks" dxfId="7" priority="240">
      <formula>LEN(TRIM(B14))&gt;0</formula>
    </cfRule>
  </conditionalFormatting>
  <conditionalFormatting sqref="B140">
    <cfRule type="expression" dxfId="3" priority="3039">
      <formula>COUNTIF(INDIRECT("Checklist!$A1003"), "TRUE") = 1</formula>
    </cfRule>
    <cfRule type="expression" dxfId="4" priority="3040">
      <formula>COUNTIF(INDIRECT("Checklist!$A1003"), "FALSE") = 1</formula>
    </cfRule>
    <cfRule type="notContainsBlanks" dxfId="7" priority="3041">
      <formula>LEN(TRIM(B140))&gt;0</formula>
    </cfRule>
  </conditionalFormatting>
  <conditionalFormatting sqref="B146:G146">
    <cfRule type="notContainsBlanks" dxfId="7" priority="3085">
      <formula>LEN(TRIM(B146))&gt;0</formula>
    </cfRule>
  </conditionalFormatting>
  <conditionalFormatting sqref="B147">
    <cfRule type="expression" dxfId="3" priority="3086">
      <formula>COUNTIF(INDIRECT("Checklist!$A202"), "TRUE") = 1</formula>
    </cfRule>
    <cfRule type="expression" dxfId="4" priority="3087">
      <formula>COUNTIF(INDIRECT("Checklist!$A202"), "FALSE") = 1</formula>
    </cfRule>
    <cfRule type="notContainsBlanks" dxfId="7" priority="3088">
      <formula>LEN(TRIM(B147))&gt;0</formula>
    </cfRule>
  </conditionalFormatting>
  <conditionalFormatting sqref="B148">
    <cfRule type="expression" dxfId="3" priority="3104">
      <formula>COUNTIF(INDIRECT("Checklist!$A1022"), "TRUE") = 1</formula>
    </cfRule>
    <cfRule type="expression" dxfId="4" priority="3105">
      <formula>COUNTIF(INDIRECT("Checklist!$A1022"), "FALSE") = 1</formula>
    </cfRule>
    <cfRule type="notContainsBlanks" dxfId="7" priority="3106">
      <formula>LEN(TRIM(B148))&gt;0</formula>
    </cfRule>
  </conditionalFormatting>
  <conditionalFormatting sqref="B149">
    <cfRule type="expression" dxfId="3" priority="3122">
      <formula>COUNTIF(INDIRECT("Checklist!$A1028"), "TRUE") = 1</formula>
    </cfRule>
    <cfRule type="expression" dxfId="4" priority="3123">
      <formula>COUNTIF(INDIRECT("Checklist!$A1028"), "FALSE") = 1</formula>
    </cfRule>
    <cfRule type="notContainsBlanks" dxfId="7" priority="3124">
      <formula>LEN(TRIM(B149))&gt;0</formula>
    </cfRule>
  </conditionalFormatting>
  <conditionalFormatting sqref="B15">
    <cfRule type="expression" dxfId="3" priority="256">
      <formula>COUNTIF(INDIRECT("Checklist!$A86"), "TRUE") = 1</formula>
    </cfRule>
    <cfRule type="expression" dxfId="4" priority="257">
      <formula>COUNTIF(INDIRECT("Checklist!$A86"), "FALSE") = 1</formula>
    </cfRule>
    <cfRule type="notContainsBlanks" dxfId="7" priority="258">
      <formula>LEN(TRIM(B15))&gt;0</formula>
    </cfRule>
  </conditionalFormatting>
  <conditionalFormatting sqref="B150">
    <cfRule type="expression" dxfId="3" priority="3140">
      <formula>COUNTIF(INDIRECT("Checklist!$A1034"), "TRUE") = 1</formula>
    </cfRule>
    <cfRule type="expression" dxfId="4" priority="3141">
      <formula>COUNTIF(INDIRECT("Checklist!$A1034"), "FALSE") = 1</formula>
    </cfRule>
    <cfRule type="notContainsBlanks" dxfId="7" priority="3142">
      <formula>LEN(TRIM(B150))&gt;0</formula>
    </cfRule>
  </conditionalFormatting>
  <conditionalFormatting sqref="B151">
    <cfRule type="expression" dxfId="3" priority="3158">
      <formula>COUNTIF(INDIRECT("Checklist!$A1040"), "TRUE") = 1</formula>
    </cfRule>
    <cfRule type="expression" dxfId="4" priority="3159">
      <formula>COUNTIF(INDIRECT("Checklist!$A1040"), "FALSE") = 1</formula>
    </cfRule>
    <cfRule type="notContainsBlanks" dxfId="7" priority="3160">
      <formula>LEN(TRIM(B151))&gt;0</formula>
    </cfRule>
  </conditionalFormatting>
  <conditionalFormatting sqref="B154:G154">
    <cfRule type="notContainsBlanks" dxfId="7" priority="3249">
      <formula>LEN(TRIM(B154))&gt;0</formula>
    </cfRule>
  </conditionalFormatting>
  <conditionalFormatting sqref="B155">
    <cfRule type="expression" dxfId="3" priority="3250">
      <formula>COUNTIF(INDIRECT("Checklist!$A586"), "TRUE") = 1</formula>
    </cfRule>
    <cfRule type="expression" dxfId="4" priority="3251">
      <formula>COUNTIF(INDIRECT("Checklist!$A586"), "FALSE") = 1</formula>
    </cfRule>
    <cfRule type="notContainsBlanks" dxfId="7" priority="3252">
      <formula>LEN(TRIM(B155))&gt;0</formula>
    </cfRule>
  </conditionalFormatting>
  <conditionalFormatting sqref="B156">
    <cfRule type="expression" dxfId="3" priority="3268">
      <formula>COUNTIF(INDIRECT("Checklist!$A587"), "TRUE") = 1</formula>
    </cfRule>
    <cfRule type="expression" dxfId="4" priority="3269">
      <formula>COUNTIF(INDIRECT("Checklist!$A587"), "FALSE") = 1</formula>
    </cfRule>
    <cfRule type="notContainsBlanks" dxfId="7" priority="3270">
      <formula>LEN(TRIM(B156))&gt;0</formula>
    </cfRule>
  </conditionalFormatting>
  <conditionalFormatting sqref="B157">
    <cfRule type="expression" dxfId="3" priority="3286">
      <formula>COUNTIF(INDIRECT("Checklist!$A551"), "TRUE") = 1</formula>
    </cfRule>
    <cfRule type="expression" dxfId="4" priority="3287">
      <formula>COUNTIF(INDIRECT("Checklist!$A551"), "FALSE") = 1</formula>
    </cfRule>
    <cfRule type="notContainsBlanks" dxfId="7" priority="3288">
      <formula>LEN(TRIM(B157))&gt;0</formula>
    </cfRule>
  </conditionalFormatting>
  <conditionalFormatting sqref="B158">
    <cfRule type="expression" dxfId="3" priority="3304">
      <formula>COUNTIF(INDIRECT("Checklist!$A642"), "TRUE") = 1</formula>
    </cfRule>
    <cfRule type="expression" dxfId="4" priority="3305">
      <formula>COUNTIF(INDIRECT("Checklist!$A642"), "FALSE") = 1</formula>
    </cfRule>
    <cfRule type="notContainsBlanks" dxfId="7" priority="3306">
      <formula>LEN(TRIM(B158))&gt;0</formula>
    </cfRule>
  </conditionalFormatting>
  <conditionalFormatting sqref="B159">
    <cfRule type="expression" dxfId="3" priority="3322">
      <formula>COUNTIF(INDIRECT("Checklist!$A648"), "TRUE") = 1</formula>
    </cfRule>
    <cfRule type="expression" dxfId="4" priority="3323">
      <formula>COUNTIF(INDIRECT("Checklist!$A648"), "FALSE") = 1</formula>
    </cfRule>
    <cfRule type="notContainsBlanks" dxfId="7" priority="3324">
      <formula>LEN(TRIM(B159))&gt;0</formula>
    </cfRule>
  </conditionalFormatting>
  <conditionalFormatting sqref="B162:G162">
    <cfRule type="notContainsBlanks" dxfId="7" priority="3398">
      <formula>LEN(TRIM(B162))&gt;0</formula>
    </cfRule>
  </conditionalFormatting>
  <conditionalFormatting sqref="B163">
    <cfRule type="expression" dxfId="3" priority="3399">
      <formula>COUNTIF(INDIRECT("Checklist!$A670"), "TRUE") = 1</formula>
    </cfRule>
    <cfRule type="expression" dxfId="4" priority="3400">
      <formula>COUNTIF(INDIRECT("Checklist!$A670"), "FALSE") = 1</formula>
    </cfRule>
    <cfRule type="notContainsBlanks" dxfId="7" priority="3401">
      <formula>LEN(TRIM(B163))&gt;0</formula>
    </cfRule>
  </conditionalFormatting>
  <conditionalFormatting sqref="B164">
    <cfRule type="expression" dxfId="3" priority="3417">
      <formula>COUNTIF(INDIRECT("Checklist!$A671"), "TRUE") = 1</formula>
    </cfRule>
    <cfRule type="expression" dxfId="4" priority="3418">
      <formula>COUNTIF(INDIRECT("Checklist!$A671"), "FALSE") = 1</formula>
    </cfRule>
    <cfRule type="notContainsBlanks" dxfId="7" priority="3419">
      <formula>LEN(TRIM(B164))&gt;0</formula>
    </cfRule>
  </conditionalFormatting>
  <conditionalFormatting sqref="B165">
    <cfRule type="expression" dxfId="3" priority="3435">
      <formula>COUNTIF(INDIRECT("Checklist!$A672"), "TRUE") = 1</formula>
    </cfRule>
    <cfRule type="expression" dxfId="4" priority="3436">
      <formula>COUNTIF(INDIRECT("Checklist!$A672"), "FALSE") = 1</formula>
    </cfRule>
    <cfRule type="notContainsBlanks" dxfId="7" priority="3437">
      <formula>LEN(TRIM(B165))&gt;0</formula>
    </cfRule>
  </conditionalFormatting>
  <conditionalFormatting sqref="B166">
    <cfRule type="expression" dxfId="3" priority="3453">
      <formula>COUNTIF(INDIRECT("Checklist!$A721"), "TRUE") = 1</formula>
    </cfRule>
    <cfRule type="expression" dxfId="4" priority="3454">
      <formula>COUNTIF(INDIRECT("Checklist!$A721"), "FALSE") = 1</formula>
    </cfRule>
    <cfRule type="notContainsBlanks" dxfId="7" priority="3455">
      <formula>LEN(TRIM(B166))&gt;0</formula>
    </cfRule>
  </conditionalFormatting>
  <conditionalFormatting sqref="B167">
    <cfRule type="expression" dxfId="3" priority="3471">
      <formula>COUNTIF(INDIRECT("Checklist!$A659"), "TRUE") = 1</formula>
    </cfRule>
    <cfRule type="expression" dxfId="4" priority="3472">
      <formula>COUNTIF(INDIRECT("Checklist!$A659"), "FALSE") = 1</formula>
    </cfRule>
    <cfRule type="notContainsBlanks" dxfId="7" priority="3473">
      <formula>LEN(TRIM(B167))&gt;0</formula>
    </cfRule>
  </conditionalFormatting>
  <conditionalFormatting sqref="B170:G170">
    <cfRule type="notContainsBlanks" dxfId="7" priority="3550">
      <formula>LEN(TRIM(B170))&gt;0</formula>
    </cfRule>
  </conditionalFormatting>
  <conditionalFormatting sqref="B171">
    <cfRule type="expression" dxfId="3" priority="3551">
      <formula>COUNTIF(INDIRECT("Checklist!$A742"), "TRUE") = 1</formula>
    </cfRule>
    <cfRule type="expression" dxfId="4" priority="3552">
      <formula>COUNTIF(INDIRECT("Checklist!$A742"), "FALSE") = 1</formula>
    </cfRule>
    <cfRule type="notContainsBlanks" dxfId="7" priority="3553">
      <formula>LEN(TRIM(B171))&gt;0</formula>
    </cfRule>
  </conditionalFormatting>
  <conditionalFormatting sqref="B172">
    <cfRule type="expression" dxfId="3" priority="3569">
      <formula>COUNTIF(INDIRECT("Checklist!$A745"), "TRUE") = 1</formula>
    </cfRule>
    <cfRule type="expression" dxfId="4" priority="3570">
      <formula>COUNTIF(INDIRECT("Checklist!$A745"), "FALSE") = 1</formula>
    </cfRule>
    <cfRule type="notContainsBlanks" dxfId="7" priority="3571">
      <formula>LEN(TRIM(B172))&gt;0</formula>
    </cfRule>
  </conditionalFormatting>
  <conditionalFormatting sqref="B173">
    <cfRule type="expression" dxfId="3" priority="3587">
      <formula>COUNTIF(INDIRECT("Checklist!$A775"), "TRUE") = 1</formula>
    </cfRule>
    <cfRule type="expression" dxfId="4" priority="3588">
      <formula>COUNTIF(INDIRECT("Checklist!$A775"), "FALSE") = 1</formula>
    </cfRule>
    <cfRule type="notContainsBlanks" dxfId="7" priority="3589">
      <formula>LEN(TRIM(B173))&gt;0</formula>
    </cfRule>
  </conditionalFormatting>
  <conditionalFormatting sqref="B174">
    <cfRule type="expression" dxfId="3" priority="3605">
      <formula>COUNTIF(INDIRECT("Checklist!$A1132"), "TRUE") = 1</formula>
    </cfRule>
    <cfRule type="expression" dxfId="4" priority="3606">
      <formula>COUNTIF(INDIRECT("Checklist!$A1132"), "FALSE") = 1</formula>
    </cfRule>
    <cfRule type="notContainsBlanks" dxfId="7" priority="3607">
      <formula>LEN(TRIM(B174))&gt;0</formula>
    </cfRule>
  </conditionalFormatting>
  <conditionalFormatting sqref="B178:G178">
    <cfRule type="notContainsBlanks" dxfId="7" priority="3696">
      <formula>LEN(TRIM(B178))&gt;0</formula>
    </cfRule>
  </conditionalFormatting>
  <conditionalFormatting sqref="B179">
    <cfRule type="expression" dxfId="3" priority="3697">
      <formula>COUNTIF(INDIRECT("Checklist!$A1235"), "TRUE") = 1</formula>
    </cfRule>
    <cfRule type="expression" dxfId="4" priority="3698">
      <formula>COUNTIF(INDIRECT("Checklist!$A1235"), "FALSE") = 1</formula>
    </cfRule>
    <cfRule type="notContainsBlanks" dxfId="7" priority="3699">
      <formula>LEN(TRIM(B179))&gt;0</formula>
    </cfRule>
  </conditionalFormatting>
  <conditionalFormatting sqref="B180">
    <cfRule type="expression" dxfId="3" priority="3715">
      <formula>COUNTIF(INDIRECT("Checklist!$A1145"), "TRUE") = 1</formula>
    </cfRule>
    <cfRule type="expression" dxfId="4" priority="3716">
      <formula>COUNTIF(INDIRECT("Checklist!$A1145"), "FALSE") = 1</formula>
    </cfRule>
    <cfRule type="notContainsBlanks" dxfId="7" priority="3717">
      <formula>LEN(TRIM(B180))&gt;0</formula>
    </cfRule>
  </conditionalFormatting>
  <conditionalFormatting sqref="B181">
    <cfRule type="expression" dxfId="3" priority="3733">
      <formula>COUNTIF(INDIRECT("Checklist!$A1151"), "TRUE") = 1</formula>
    </cfRule>
    <cfRule type="expression" dxfId="4" priority="3734">
      <formula>COUNTIF(INDIRECT("Checklist!$A1151"), "FALSE") = 1</formula>
    </cfRule>
    <cfRule type="notContainsBlanks" dxfId="7" priority="3735">
      <formula>LEN(TRIM(B181))&gt;0</formula>
    </cfRule>
  </conditionalFormatting>
  <conditionalFormatting sqref="B182">
    <cfRule type="expression" dxfId="3" priority="3751">
      <formula>COUNTIF(INDIRECT("Checklist!$A1157"), "TRUE") = 1</formula>
    </cfRule>
    <cfRule type="expression" dxfId="4" priority="3752">
      <formula>COUNTIF(INDIRECT("Checklist!$A1157"), "FALSE") = 1</formula>
    </cfRule>
    <cfRule type="notContainsBlanks" dxfId="7" priority="3753">
      <formula>LEN(TRIM(B182))&gt;0</formula>
    </cfRule>
  </conditionalFormatting>
  <conditionalFormatting sqref="B183">
    <cfRule type="expression" dxfId="3" priority="3769">
      <formula>COUNTIF(INDIRECT("Checklist!$A1163"), "TRUE") = 1</formula>
    </cfRule>
    <cfRule type="expression" dxfId="4" priority="3770">
      <formula>COUNTIF(INDIRECT("Checklist!$A1163"), "FALSE") = 1</formula>
    </cfRule>
    <cfRule type="notContainsBlanks" dxfId="7" priority="3771">
      <formula>LEN(TRIM(B183))&gt;0</formula>
    </cfRule>
  </conditionalFormatting>
  <conditionalFormatting sqref="B186:G186">
    <cfRule type="notContainsBlanks" dxfId="7" priority="3866">
      <formula>LEN(TRIM(B186))&gt;0</formula>
    </cfRule>
  </conditionalFormatting>
  <conditionalFormatting sqref="B187">
    <cfRule type="expression" dxfId="3" priority="3867">
      <formula>COUNTIF(INDIRECT("Checklist!$A1195"), "TRUE") = 1</formula>
    </cfRule>
    <cfRule type="expression" dxfId="4" priority="3868">
      <formula>COUNTIF(INDIRECT("Checklist!$A1195"), "FALSE") = 1</formula>
    </cfRule>
    <cfRule type="notContainsBlanks" dxfId="7" priority="3869">
      <formula>LEN(TRIM(B187))&gt;0</formula>
    </cfRule>
  </conditionalFormatting>
  <conditionalFormatting sqref="B188">
    <cfRule type="expression" dxfId="3" priority="3885">
      <formula>COUNTIF(INDIRECT("Checklist!$A1201"), "TRUE") = 1</formula>
    </cfRule>
    <cfRule type="expression" dxfId="4" priority="3886">
      <formula>COUNTIF(INDIRECT("Checklist!$A1201"), "FALSE") = 1</formula>
    </cfRule>
    <cfRule type="notContainsBlanks" dxfId="7" priority="3887">
      <formula>LEN(TRIM(B188))&gt;0</formula>
    </cfRule>
  </conditionalFormatting>
  <conditionalFormatting sqref="B18:G18">
    <cfRule type="notContainsBlanks" dxfId="7" priority="365">
      <formula>LEN(TRIM(B18))&gt;0</formula>
    </cfRule>
  </conditionalFormatting>
  <conditionalFormatting sqref="B19">
    <cfRule type="expression" dxfId="3" priority="366">
      <formula>COUNTIF(INDIRECT("Checklist!$A122"), "TRUE") = 1</formula>
    </cfRule>
    <cfRule type="expression" dxfId="4" priority="367">
      <formula>COUNTIF(INDIRECT("Checklist!$A122"), "FALSE") = 1</formula>
    </cfRule>
    <cfRule type="notContainsBlanks" dxfId="7" priority="368">
      <formula>LEN(TRIM(B19))&gt;0</formula>
    </cfRule>
  </conditionalFormatting>
  <conditionalFormatting sqref="B194:G194">
    <cfRule type="notContainsBlanks" dxfId="7" priority="3979">
      <formula>LEN(TRIM(B194))&gt;0</formula>
    </cfRule>
  </conditionalFormatting>
  <conditionalFormatting sqref="B195">
    <cfRule type="expression" dxfId="3" priority="3980">
      <formula>COUNTIF(INDIRECT("Checklist!$A1232"), "TRUE") = 1</formula>
    </cfRule>
    <cfRule type="expression" dxfId="4" priority="3981">
      <formula>COUNTIF(INDIRECT("Checklist!$A1232"), "FALSE") = 1</formula>
    </cfRule>
    <cfRule type="notContainsBlanks" dxfId="7" priority="3982">
      <formula>LEN(TRIM(B195))&gt;0</formula>
    </cfRule>
  </conditionalFormatting>
  <conditionalFormatting sqref="B196">
    <cfRule type="expression" dxfId="3" priority="3998">
      <formula>COUNTIF(INDIRECT("Checklist!$A1238"), "TRUE") = 1</formula>
    </cfRule>
    <cfRule type="expression" dxfId="4" priority="3999">
      <formula>COUNTIF(INDIRECT("Checklist!$A1238"), "FALSE") = 1</formula>
    </cfRule>
    <cfRule type="notContainsBlanks" dxfId="7" priority="4000">
      <formula>LEN(TRIM(B196))&gt;0</formula>
    </cfRule>
  </conditionalFormatting>
  <conditionalFormatting sqref="B20">
    <cfRule type="expression" dxfId="3" priority="384">
      <formula>COUNTIF(INDIRECT("Checklist!$A128"), "TRUE") = 1</formula>
    </cfRule>
    <cfRule type="expression" dxfId="4" priority="385">
      <formula>COUNTIF(INDIRECT("Checklist!$A128"), "FALSE") = 1</formula>
    </cfRule>
    <cfRule type="notContainsBlanks" dxfId="7" priority="386">
      <formula>LEN(TRIM(B20))&gt;0</formula>
    </cfRule>
  </conditionalFormatting>
  <conditionalFormatting sqref="B202:G202">
    <cfRule type="notContainsBlanks" dxfId="7" priority="4005">
      <formula>LEN(TRIM(B202))&gt;0</formula>
    </cfRule>
  </conditionalFormatting>
  <conditionalFormatting sqref="B203">
    <cfRule type="expression" dxfId="3" priority="4006">
      <formula>COUNTIF(INDIRECT("Checklist!$A1240"), "TRUE") = 1</formula>
    </cfRule>
    <cfRule type="expression" dxfId="4" priority="4007">
      <formula>COUNTIF(INDIRECT("Checklist!$A1240"), "FALSE") = 1</formula>
    </cfRule>
    <cfRule type="notContainsBlanks" dxfId="7" priority="4008">
      <formula>LEN(TRIM(B203))&gt;0</formula>
    </cfRule>
  </conditionalFormatting>
  <conditionalFormatting sqref="B204">
    <cfRule type="expression" dxfId="3" priority="4024">
      <formula>COUNTIF(INDIRECT("Checklist!$A1246"), "TRUE") = 1</formula>
    </cfRule>
    <cfRule type="expression" dxfId="4" priority="4025">
      <formula>COUNTIF(INDIRECT("Checklist!$A1246"), "FALSE") = 1</formula>
    </cfRule>
    <cfRule type="notContainsBlanks" dxfId="7" priority="4026">
      <formula>LEN(TRIM(B204))&gt;0</formula>
    </cfRule>
  </conditionalFormatting>
  <conditionalFormatting sqref="B205">
    <cfRule type="expression" dxfId="3" priority="4042">
      <formula>COUNTIF(INDIRECT("Checklist!$A1252"), "TRUE") = 1</formula>
    </cfRule>
    <cfRule type="expression" dxfId="4" priority="4043">
      <formula>COUNTIF(INDIRECT("Checklist!$A1252"), "FALSE") = 1</formula>
    </cfRule>
    <cfRule type="notContainsBlanks" dxfId="7" priority="4044">
      <formula>LEN(TRIM(B205))&gt;0</formula>
    </cfRule>
  </conditionalFormatting>
  <conditionalFormatting sqref="B21">
    <cfRule type="expression" dxfId="3" priority="402">
      <formula>COUNTIF(INDIRECT("Checklist!$A1215"), "TRUE") = 1</formula>
    </cfRule>
    <cfRule type="expression" dxfId="4" priority="403">
      <formula>COUNTIF(INDIRECT("Checklist!$A1215"), "FALSE") = 1</formula>
    </cfRule>
    <cfRule type="notContainsBlanks" dxfId="7" priority="404">
      <formula>LEN(TRIM(B21))&gt;0</formula>
    </cfRule>
  </conditionalFormatting>
  <conditionalFormatting sqref="B210:G210">
    <cfRule type="notContainsBlanks" dxfId="7" priority="4118">
      <formula>LEN(TRIM(B210))&gt;0</formula>
    </cfRule>
  </conditionalFormatting>
  <conditionalFormatting sqref="B211">
    <cfRule type="expression" dxfId="3" priority="4119">
      <formula>COUNTIF(INDIRECT("Checklist!$A1277"), "TRUE") = 1</formula>
    </cfRule>
    <cfRule type="expression" dxfId="4" priority="4120">
      <formula>COUNTIF(INDIRECT("Checklist!$A1277"), "FALSE") = 1</formula>
    </cfRule>
    <cfRule type="notContainsBlanks" dxfId="7" priority="4121">
      <formula>LEN(TRIM(B211))&gt;0</formula>
    </cfRule>
  </conditionalFormatting>
  <conditionalFormatting sqref="B212">
    <cfRule type="expression" dxfId="3" priority="4137">
      <formula>COUNTIF(INDIRECT("Checklist!$A1283"), "TRUE") = 1</formula>
    </cfRule>
    <cfRule type="expression" dxfId="4" priority="4138">
      <formula>COUNTIF(INDIRECT("Checklist!$A1283"), "FALSE") = 1</formula>
    </cfRule>
    <cfRule type="notContainsBlanks" dxfId="7" priority="4139">
      <formula>LEN(TRIM(B212))&gt;0</formula>
    </cfRule>
  </conditionalFormatting>
  <conditionalFormatting sqref="B213">
    <cfRule type="expression" dxfId="3" priority="4155">
      <formula>COUNTIF(INDIRECT("Checklist!$A1289"), "TRUE") = 1</formula>
    </cfRule>
    <cfRule type="expression" dxfId="4" priority="4156">
      <formula>COUNTIF(INDIRECT("Checklist!$A1289"), "FALSE") = 1</formula>
    </cfRule>
    <cfRule type="notContainsBlanks" dxfId="7" priority="4157">
      <formula>LEN(TRIM(B213))&gt;0</formula>
    </cfRule>
  </conditionalFormatting>
  <conditionalFormatting sqref="B22">
    <cfRule type="expression" dxfId="3" priority="420">
      <formula>COUNTIF(INDIRECT("Checklist!$A140"), "TRUE") = 1</formula>
    </cfRule>
    <cfRule type="expression" dxfId="4" priority="421">
      <formula>COUNTIF(INDIRECT("Checklist!$A140"), "FALSE") = 1</formula>
    </cfRule>
    <cfRule type="notContainsBlanks" dxfId="7" priority="422">
      <formula>LEN(TRIM(B22))&gt;0</formula>
    </cfRule>
  </conditionalFormatting>
  <conditionalFormatting sqref="B23">
    <cfRule type="expression" dxfId="3" priority="438">
      <formula>COUNTIF(INDIRECT("Checklist!$A146"), "TRUE") = 1</formula>
    </cfRule>
    <cfRule type="expression" dxfId="4" priority="439">
      <formula>COUNTIF(INDIRECT("Checklist!$A146"), "FALSE") = 1</formula>
    </cfRule>
    <cfRule type="notContainsBlanks" dxfId="7" priority="440">
      <formula>LEN(TRIM(B23))&gt;0</formula>
    </cfRule>
  </conditionalFormatting>
  <conditionalFormatting sqref="B26:G26">
    <cfRule type="notContainsBlanks" dxfId="7" priority="547">
      <formula>LEN(TRIM(B26))&gt;0</formula>
    </cfRule>
  </conditionalFormatting>
  <conditionalFormatting sqref="B27">
    <cfRule type="expression" dxfId="3" priority="548">
      <formula>COUNTIF(INDIRECT("Checklist!$A182"), "TRUE") = 1</formula>
    </cfRule>
    <cfRule type="expression" dxfId="4" priority="549">
      <formula>COUNTIF(INDIRECT("Checklist!$A182"), "FALSE") = 1</formula>
    </cfRule>
    <cfRule type="notContainsBlanks" dxfId="7" priority="550">
      <formula>LEN(TRIM(B27))&gt;0</formula>
    </cfRule>
  </conditionalFormatting>
  <conditionalFormatting sqref="B28">
    <cfRule type="expression" dxfId="3" priority="566">
      <formula>COUNTIF(INDIRECT("Checklist!$A188"), "TRUE") = 1</formula>
    </cfRule>
    <cfRule type="expression" dxfId="4" priority="567">
      <formula>COUNTIF(INDIRECT("Checklist!$A188"), "FALSE") = 1</formula>
    </cfRule>
    <cfRule type="notContainsBlanks" dxfId="7" priority="568">
      <formula>LEN(TRIM(B28))&gt;0</formula>
    </cfRule>
  </conditionalFormatting>
  <conditionalFormatting sqref="B29">
    <cfRule type="expression" dxfId="3" priority="584">
      <formula>COUNTIF(INDIRECT("Checklist!$A194"), "TRUE") = 1</formula>
    </cfRule>
    <cfRule type="expression" dxfId="4" priority="585">
      <formula>COUNTIF(INDIRECT("Checklist!$A194"), "FALSE") = 1</formula>
    </cfRule>
    <cfRule type="notContainsBlanks" dxfId="7" priority="586">
      <formula>LEN(TRIM(B29))&gt;0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  <cfRule type="notContainsBlanks" dxfId="7" priority="4">
      <formula>LEN(TRIM(B3))&gt;0</formula>
    </cfRule>
  </conditionalFormatting>
  <conditionalFormatting sqref="B30">
    <cfRule type="expression" dxfId="3" priority="602">
      <formula>COUNTIF(INDIRECT("Checklist!$A200"), "TRUE") = 1</formula>
    </cfRule>
    <cfRule type="expression" dxfId="4" priority="603">
      <formula>COUNTIF(INDIRECT("Checklist!$A200"), "FALSE") = 1</formula>
    </cfRule>
    <cfRule type="notContainsBlanks" dxfId="7" priority="604">
      <formula>LEN(TRIM(B30))&gt;0</formula>
    </cfRule>
  </conditionalFormatting>
  <conditionalFormatting sqref="B31">
    <cfRule type="expression" dxfId="3" priority="620">
      <formula>COUNTIF(INDIRECT("Checklist!$A206"), "TRUE") = 1</formula>
    </cfRule>
    <cfRule type="expression" dxfId="4" priority="621">
      <formula>COUNTIF(INDIRECT("Checklist!$A206"), "FALSE") = 1</formula>
    </cfRule>
    <cfRule type="notContainsBlanks" dxfId="7" priority="622">
      <formula>LEN(TRIM(B31))&gt;0</formula>
    </cfRule>
  </conditionalFormatting>
  <conditionalFormatting sqref="B34:G34">
    <cfRule type="notContainsBlanks" dxfId="7" priority="729">
      <formula>LEN(TRIM(B34))&gt;0</formula>
    </cfRule>
  </conditionalFormatting>
  <conditionalFormatting sqref="B35">
    <cfRule type="expression" dxfId="3" priority="730">
      <formula>COUNTIF(INDIRECT("Checklist!$A242"), "TRUE") = 1</formula>
    </cfRule>
    <cfRule type="expression" dxfId="4" priority="731">
      <formula>COUNTIF(INDIRECT("Checklist!$A242"), "FALSE") = 1</formula>
    </cfRule>
    <cfRule type="notContainsBlanks" dxfId="7" priority="732">
      <formula>LEN(TRIM(B35))&gt;0</formula>
    </cfRule>
  </conditionalFormatting>
  <conditionalFormatting sqref="B36">
    <cfRule type="expression" dxfId="3" priority="748">
      <formula>COUNTIF(INDIRECT("Checklist!$A248"), "TRUE") = 1</formula>
    </cfRule>
    <cfRule type="expression" dxfId="4" priority="749">
      <formula>COUNTIF(INDIRECT("Checklist!$A248"), "FALSE") = 1</formula>
    </cfRule>
    <cfRule type="notContainsBlanks" dxfId="7" priority="750">
      <formula>LEN(TRIM(B36))&gt;0</formula>
    </cfRule>
  </conditionalFormatting>
  <conditionalFormatting sqref="B37">
    <cfRule type="expression" dxfId="3" priority="766">
      <formula>COUNTIF(INDIRECT("Checklist!$A254"), "TRUE") = 1</formula>
    </cfRule>
    <cfRule type="expression" dxfId="4" priority="767">
      <formula>COUNTIF(INDIRECT("Checklist!$A254"), "FALSE") = 1</formula>
    </cfRule>
    <cfRule type="notContainsBlanks" dxfId="7" priority="768">
      <formula>LEN(TRIM(B37))&gt;0</formula>
    </cfRule>
  </conditionalFormatting>
  <conditionalFormatting sqref="B38">
    <cfRule type="expression" dxfId="3" priority="784">
      <formula>COUNTIF(INDIRECT("Checklist!$A260"), "TRUE") = 1</formula>
    </cfRule>
    <cfRule type="expression" dxfId="4" priority="785">
      <formula>COUNTIF(INDIRECT("Checklist!$A260"), "FALSE") = 1</formula>
    </cfRule>
    <cfRule type="notContainsBlanks" dxfId="7" priority="786">
      <formula>LEN(TRIM(B38))&gt;0</formula>
    </cfRule>
  </conditionalFormatting>
  <conditionalFormatting sqref="B39">
    <cfRule type="expression" dxfId="3" priority="802">
      <formula>COUNTIF(INDIRECT("Checklist!$A266"), "TRUE") = 1</formula>
    </cfRule>
    <cfRule type="expression" dxfId="4" priority="803">
      <formula>COUNTIF(INDIRECT("Checklist!$A266"), "FALSE") = 1</formula>
    </cfRule>
    <cfRule type="notContainsBlanks" dxfId="7" priority="804">
      <formula>LEN(TRIM(B39))&gt;0</formula>
    </cfRule>
  </conditionalFormatting>
  <conditionalFormatting sqref="B4">
    <cfRule type="expression" dxfId="3" priority="20">
      <formula>COUNTIF(INDIRECT("Checklist!$A8"), "TRUE") = 1</formula>
    </cfRule>
    <cfRule type="expression" dxfId="4" priority="21">
      <formula>COUNTIF(INDIRECT("Checklist!$A8"), "FALSE") = 1</formula>
    </cfRule>
    <cfRule type="notContainsBlanks" dxfId="7" priority="22">
      <formula>LEN(TRIM(B4))&gt;0</formula>
    </cfRule>
  </conditionalFormatting>
  <conditionalFormatting sqref="B42:G42">
    <cfRule type="notContainsBlanks" dxfId="7" priority="911">
      <formula>LEN(TRIM(B42))&gt;0</formula>
    </cfRule>
  </conditionalFormatting>
  <conditionalFormatting sqref="B43">
    <cfRule type="expression" dxfId="3" priority="912">
      <formula>COUNTIF(INDIRECT("Checklist!$A302"), "TRUE") = 1</formula>
    </cfRule>
    <cfRule type="expression" dxfId="4" priority="913">
      <formula>COUNTIF(INDIRECT("Checklist!$A302"), "FALSE") = 1</formula>
    </cfRule>
    <cfRule type="notContainsBlanks" dxfId="7" priority="914">
      <formula>LEN(TRIM(B43))&gt;0</formula>
    </cfRule>
  </conditionalFormatting>
  <conditionalFormatting sqref="B44">
    <cfRule type="expression" dxfId="3" priority="930">
      <formula>COUNTIF(INDIRECT("Checklist!$A308"), "TRUE") = 1</formula>
    </cfRule>
    <cfRule type="expression" dxfId="4" priority="931">
      <formula>COUNTIF(INDIRECT("Checklist!$A308"), "FALSE") = 1</formula>
    </cfRule>
    <cfRule type="notContainsBlanks" dxfId="7" priority="932">
      <formula>LEN(TRIM(B44))&gt;0</formula>
    </cfRule>
  </conditionalFormatting>
  <conditionalFormatting sqref="B45">
    <cfRule type="expression" dxfId="3" priority="948">
      <formula>COUNTIF(INDIRECT("Checklist!$A314"), "TRUE") = 1</formula>
    </cfRule>
    <cfRule type="expression" dxfId="4" priority="949">
      <formula>COUNTIF(INDIRECT("Checklist!$A314"), "FALSE") = 1</formula>
    </cfRule>
    <cfRule type="notContainsBlanks" dxfId="7" priority="950">
      <formula>LEN(TRIM(B45))&gt;0</formula>
    </cfRule>
  </conditionalFormatting>
  <conditionalFormatting sqref="B46">
    <cfRule type="expression" dxfId="3" priority="966">
      <formula>COUNTIF(INDIRECT("Checklist!$A320"), "TRUE") = 1</formula>
    </cfRule>
    <cfRule type="expression" dxfId="4" priority="967">
      <formula>COUNTIF(INDIRECT("Checklist!$A320"), "FALSE") = 1</formula>
    </cfRule>
    <cfRule type="notContainsBlanks" dxfId="7" priority="968">
      <formula>LEN(TRIM(B46))&gt;0</formula>
    </cfRule>
  </conditionalFormatting>
  <conditionalFormatting sqref="B47">
    <cfRule type="expression" dxfId="3" priority="984">
      <formula>COUNTIF(INDIRECT("Checklist!$A326"), "TRUE") = 1</formula>
    </cfRule>
    <cfRule type="expression" dxfId="4" priority="985">
      <formula>COUNTIF(INDIRECT("Checklist!$A326"), "FALSE") = 1</formula>
    </cfRule>
    <cfRule type="notContainsBlanks" dxfId="7" priority="986">
      <formula>LEN(TRIM(B47))&gt;0</formula>
    </cfRule>
  </conditionalFormatting>
  <conditionalFormatting sqref="B5">
    <cfRule type="expression" dxfId="3" priority="38">
      <formula>COUNTIF(INDIRECT("Checklist!$A14"), "TRUE") = 1</formula>
    </cfRule>
    <cfRule type="expression" dxfId="4" priority="39">
      <formula>COUNTIF(INDIRECT("Checklist!$A14"), "FALSE") = 1</formula>
    </cfRule>
    <cfRule type="notContainsBlanks" dxfId="7" priority="40">
      <formula>LEN(TRIM(B5))&gt;0</formula>
    </cfRule>
  </conditionalFormatting>
  <conditionalFormatting sqref="B50:G50">
    <cfRule type="notContainsBlanks" dxfId="7" priority="1093">
      <formula>LEN(TRIM(B50))&gt;0</formula>
    </cfRule>
  </conditionalFormatting>
  <conditionalFormatting sqref="B51">
    <cfRule type="expression" dxfId="3" priority="1094">
      <formula>COUNTIF(INDIRECT("Checklist!$A362"), "TRUE") = 1</formula>
    </cfRule>
    <cfRule type="expression" dxfId="4" priority="1095">
      <formula>COUNTIF(INDIRECT("Checklist!$A362"), "FALSE") = 1</formula>
    </cfRule>
    <cfRule type="notContainsBlanks" dxfId="7" priority="1096">
      <formula>LEN(TRIM(B51))&gt;0</formula>
    </cfRule>
  </conditionalFormatting>
  <conditionalFormatting sqref="B52">
    <cfRule type="expression" dxfId="3" priority="1112">
      <formula>COUNTIF(INDIRECT("Checklist!$A368"), "TRUE") = 1</formula>
    </cfRule>
    <cfRule type="expression" dxfId="4" priority="1113">
      <formula>COUNTIF(INDIRECT("Checklist!$A368"), "FALSE") = 1</formula>
    </cfRule>
    <cfRule type="notContainsBlanks" dxfId="7" priority="1114">
      <formula>LEN(TRIM(B52))&gt;0</formula>
    </cfRule>
  </conditionalFormatting>
  <conditionalFormatting sqref="B53">
    <cfRule type="expression" dxfId="3" priority="1130">
      <formula>COUNTIF(INDIRECT("Checklist!$A374"), "TRUE") = 1</formula>
    </cfRule>
    <cfRule type="expression" dxfId="4" priority="1131">
      <formula>COUNTIF(INDIRECT("Checklist!$A374"), "FALSE") = 1</formula>
    </cfRule>
    <cfRule type="notContainsBlanks" dxfId="7" priority="1132">
      <formula>LEN(TRIM(B53))&gt;0</formula>
    </cfRule>
  </conditionalFormatting>
  <conditionalFormatting sqref="B54">
    <cfRule type="expression" dxfId="3" priority="1148">
      <formula>COUNTIF(INDIRECT("Checklist!$A380"), "TRUE") = 1</formula>
    </cfRule>
    <cfRule type="expression" dxfId="4" priority="1149">
      <formula>COUNTIF(INDIRECT("Checklist!$A380"), "FALSE") = 1</formula>
    </cfRule>
    <cfRule type="notContainsBlanks" dxfId="7" priority="1150">
      <formula>LEN(TRIM(B54))&gt;0</formula>
    </cfRule>
  </conditionalFormatting>
  <conditionalFormatting sqref="B55">
    <cfRule type="expression" dxfId="3" priority="1166">
      <formula>COUNTIF(INDIRECT("Checklist!$A386"), "TRUE") = 1</formula>
    </cfRule>
    <cfRule type="expression" dxfId="4" priority="1167">
      <formula>COUNTIF(INDIRECT("Checklist!$A386"), "FALSE") = 1</formula>
    </cfRule>
    <cfRule type="notContainsBlanks" dxfId="7" priority="1168">
      <formula>LEN(TRIM(B55))&gt;0</formula>
    </cfRule>
  </conditionalFormatting>
  <conditionalFormatting sqref="B58:G58">
    <cfRule type="notContainsBlanks" dxfId="7" priority="1275">
      <formula>LEN(TRIM(B58))&gt;0</formula>
    </cfRule>
  </conditionalFormatting>
  <conditionalFormatting sqref="B59">
    <cfRule type="expression" dxfId="3" priority="1276">
      <formula>COUNTIF(INDIRECT("Checklist!$A422"), "TRUE") = 1</formula>
    </cfRule>
    <cfRule type="expression" dxfId="4" priority="1277">
      <formula>COUNTIF(INDIRECT("Checklist!$A422"), "FALSE") = 1</formula>
    </cfRule>
    <cfRule type="notContainsBlanks" dxfId="7" priority="1278">
      <formula>LEN(TRIM(B59))&gt;0</formula>
    </cfRule>
  </conditionalFormatting>
  <conditionalFormatting sqref="B6">
    <cfRule type="expression" dxfId="3" priority="56">
      <formula>COUNTIF(INDIRECT("Checklist!$A20"), "TRUE") = 1</formula>
    </cfRule>
    <cfRule type="expression" dxfId="4" priority="57">
      <formula>COUNTIF(INDIRECT("Checklist!$A20"), "FALSE") = 1</formula>
    </cfRule>
    <cfRule type="notContainsBlanks" dxfId="7" priority="58">
      <formula>LEN(TRIM(B6))&gt;0</formula>
    </cfRule>
  </conditionalFormatting>
  <conditionalFormatting sqref="B60">
    <cfRule type="expression" dxfId="3" priority="1294">
      <formula>COUNTIF(INDIRECT("Checklist!$A428"), "TRUE") = 1</formula>
    </cfRule>
    <cfRule type="expression" dxfId="4" priority="1295">
      <formula>COUNTIF(INDIRECT("Checklist!$A428"), "FALSE") = 1</formula>
    </cfRule>
    <cfRule type="notContainsBlanks" dxfId="7" priority="1296">
      <formula>LEN(TRIM(B60))&gt;0</formula>
    </cfRule>
  </conditionalFormatting>
  <conditionalFormatting sqref="B61">
    <cfRule type="expression" dxfId="3" priority="1312">
      <formula>COUNTIF(INDIRECT("Checklist!$A434"), "TRUE") = 1</formula>
    </cfRule>
    <cfRule type="expression" dxfId="4" priority="1313">
      <formula>COUNTIF(INDIRECT("Checklist!$A434"), "FALSE") = 1</formula>
    </cfRule>
    <cfRule type="notContainsBlanks" dxfId="7" priority="1314">
      <formula>LEN(TRIM(B61))&gt;0</formula>
    </cfRule>
  </conditionalFormatting>
  <conditionalFormatting sqref="B62">
    <cfRule type="expression" dxfId="3" priority="1330">
      <formula>COUNTIF(INDIRECT("Checklist!$A440"), "TRUE") = 1</formula>
    </cfRule>
    <cfRule type="expression" dxfId="4" priority="1331">
      <formula>COUNTIF(INDIRECT("Checklist!$A440"), "FALSE") = 1</formula>
    </cfRule>
    <cfRule type="notContainsBlanks" dxfId="7" priority="1332">
      <formula>LEN(TRIM(B62))&gt;0</formula>
    </cfRule>
  </conditionalFormatting>
  <conditionalFormatting sqref="B63">
    <cfRule type="expression" dxfId="3" priority="1348">
      <formula>COUNTIF(INDIRECT("Checklist!$A446"), "TRUE") = 1</formula>
    </cfRule>
    <cfRule type="expression" dxfId="4" priority="1349">
      <formula>COUNTIF(INDIRECT("Checklist!$A446"), "FALSE") = 1</formula>
    </cfRule>
    <cfRule type="notContainsBlanks" dxfId="7" priority="1350">
      <formula>LEN(TRIM(B63))&gt;0</formula>
    </cfRule>
  </conditionalFormatting>
  <conditionalFormatting sqref="B66:G66">
    <cfRule type="notContainsBlanks" dxfId="7" priority="1457">
      <formula>LEN(TRIM(B66))&gt;0</formula>
    </cfRule>
  </conditionalFormatting>
  <conditionalFormatting sqref="B67">
    <cfRule type="expression" dxfId="3" priority="1458">
      <formula>COUNTIF(INDIRECT("Checklist!$A482"), "TRUE") = 1</formula>
    </cfRule>
    <cfRule type="expression" dxfId="4" priority="1459">
      <formula>COUNTIF(INDIRECT("Checklist!$A482"), "FALSE") = 1</formula>
    </cfRule>
    <cfRule type="notContainsBlanks" dxfId="7" priority="1460">
      <formula>LEN(TRIM(B67))&gt;0</formula>
    </cfRule>
  </conditionalFormatting>
  <conditionalFormatting sqref="B68">
    <cfRule type="expression" dxfId="3" priority="1476">
      <formula>COUNTIF(INDIRECT("Checklist!$A488"), "TRUE") = 1</formula>
    </cfRule>
    <cfRule type="expression" dxfId="4" priority="1477">
      <formula>COUNTIF(INDIRECT("Checklist!$A488"), "FALSE") = 1</formula>
    </cfRule>
    <cfRule type="notContainsBlanks" dxfId="7" priority="1478">
      <formula>LEN(TRIM(B68))&gt;0</formula>
    </cfRule>
  </conditionalFormatting>
  <conditionalFormatting sqref="B69">
    <cfRule type="expression" dxfId="3" priority="1494">
      <formula>COUNTIF(INDIRECT("Checklist!$A494"), "TRUE") = 1</formula>
    </cfRule>
    <cfRule type="expression" dxfId="4" priority="1495">
      <formula>COUNTIF(INDIRECT("Checklist!$A494"), "FALSE") = 1</formula>
    </cfRule>
    <cfRule type="notContainsBlanks" dxfId="7" priority="1496">
      <formula>LEN(TRIM(B69))&gt;0</formula>
    </cfRule>
  </conditionalFormatting>
  <conditionalFormatting sqref="B7">
    <cfRule type="expression" dxfId="3" priority="74">
      <formula>COUNTIF(INDIRECT("Checklist!$A1208"), "TRUE") = 1</formula>
    </cfRule>
    <cfRule type="expression" dxfId="4" priority="75">
      <formula>COUNTIF(INDIRECT("Checklist!$A1208"), "FALSE") = 1</formula>
    </cfRule>
    <cfRule type="notContainsBlanks" dxfId="7" priority="76">
      <formula>LEN(TRIM(B7))&gt;0</formula>
    </cfRule>
  </conditionalFormatting>
  <conditionalFormatting sqref="B70">
    <cfRule type="expression" dxfId="3" priority="1512">
      <formula>COUNTIF(INDIRECT("Checklist!$A500"), "TRUE") = 1</formula>
    </cfRule>
    <cfRule type="expression" dxfId="4" priority="1513">
      <formula>COUNTIF(INDIRECT("Checklist!$A500"), "FALSE") = 1</formula>
    </cfRule>
    <cfRule type="notContainsBlanks" dxfId="7" priority="1514">
      <formula>LEN(TRIM(B70))&gt;0</formula>
    </cfRule>
  </conditionalFormatting>
  <conditionalFormatting sqref="B71">
    <cfRule type="expression" dxfId="3" priority="1530">
      <formula>COUNTIF(INDIRECT("Checklist!$A506"), "TRUE") = 1</formula>
    </cfRule>
    <cfRule type="expression" dxfId="4" priority="1531">
      <formula>COUNTIF(INDIRECT("Checklist!$A506"), "FALSE") = 1</formula>
    </cfRule>
    <cfRule type="notContainsBlanks" dxfId="7" priority="1532">
      <formula>LEN(TRIM(B71))&gt;0</formula>
    </cfRule>
  </conditionalFormatting>
  <conditionalFormatting sqref="B74:G74">
    <cfRule type="notContainsBlanks" dxfId="7" priority="1639">
      <formula>LEN(TRIM(B74))&gt;0</formula>
    </cfRule>
  </conditionalFormatting>
  <conditionalFormatting sqref="B75">
    <cfRule type="expression" dxfId="3" priority="1640">
      <formula>COUNTIF(INDIRECT("Checklist!$A542"), "TRUE") = 1</formula>
    </cfRule>
    <cfRule type="expression" dxfId="4" priority="1641">
      <formula>COUNTIF(INDIRECT("Checklist!$A542"), "FALSE") = 1</formula>
    </cfRule>
    <cfRule type="notContainsBlanks" dxfId="7" priority="1642">
      <formula>LEN(TRIM(B75))&gt;0</formula>
    </cfRule>
  </conditionalFormatting>
  <conditionalFormatting sqref="B76">
    <cfRule type="expression" dxfId="3" priority="1658">
      <formula>COUNTIF(INDIRECT("Checklist!$A548"), "TRUE") = 1</formula>
    </cfRule>
    <cfRule type="expression" dxfId="4" priority="1659">
      <formula>COUNTIF(INDIRECT("Checklist!$A548"), "FALSE") = 1</formula>
    </cfRule>
    <cfRule type="notContainsBlanks" dxfId="7" priority="1660">
      <formula>LEN(TRIM(B76))&gt;0</formula>
    </cfRule>
  </conditionalFormatting>
  <conditionalFormatting sqref="B77">
    <cfRule type="expression" dxfId="3" priority="1676">
      <formula>COUNTIF(INDIRECT("Checklist!$A554"), "TRUE") = 1</formula>
    </cfRule>
    <cfRule type="expression" dxfId="4" priority="1677">
      <formula>COUNTIF(INDIRECT("Checklist!$A554"), "FALSE") = 1</formula>
    </cfRule>
    <cfRule type="notContainsBlanks" dxfId="7" priority="1678">
      <formula>LEN(TRIM(B77))&gt;0</formula>
    </cfRule>
  </conditionalFormatting>
  <conditionalFormatting sqref="B78">
    <cfRule type="expression" dxfId="3" priority="1694">
      <formula>COUNTIF(INDIRECT("Checklist!$A560"), "TRUE") = 1</formula>
    </cfRule>
    <cfRule type="expression" dxfId="4" priority="1695">
      <formula>COUNTIF(INDIRECT("Checklist!$A560"), "FALSE") = 1</formula>
    </cfRule>
    <cfRule type="notContainsBlanks" dxfId="7" priority="1696">
      <formula>LEN(TRIM(B78))&gt;0</formula>
    </cfRule>
  </conditionalFormatting>
  <conditionalFormatting sqref="B79">
    <cfRule type="expression" dxfId="3" priority="1712">
      <formula>COUNTIF(INDIRECT("Checklist!$A566"), "TRUE") = 1</formula>
    </cfRule>
    <cfRule type="expression" dxfId="4" priority="1713">
      <formula>COUNTIF(INDIRECT("Checklist!$A566"), "FALSE") = 1</formula>
    </cfRule>
    <cfRule type="notContainsBlanks" dxfId="7" priority="1714">
      <formula>LEN(TRIM(B79))&gt;0</formula>
    </cfRule>
  </conditionalFormatting>
  <conditionalFormatting sqref="B82:G82">
    <cfRule type="notContainsBlanks" dxfId="7" priority="1821">
      <formula>LEN(TRIM(B82))&gt;0</formula>
    </cfRule>
  </conditionalFormatting>
  <conditionalFormatting sqref="B83">
    <cfRule type="expression" dxfId="3" priority="1822">
      <formula>COUNTIF(INDIRECT("Checklist!$A602"), "TRUE") = 1</formula>
    </cfRule>
    <cfRule type="expression" dxfId="4" priority="1823">
      <formula>COUNTIF(INDIRECT("Checklist!$A602"), "FALSE") = 1</formula>
    </cfRule>
    <cfRule type="notContainsBlanks" dxfId="7" priority="1824">
      <formula>LEN(TRIM(B83))&gt;0</formula>
    </cfRule>
  </conditionalFormatting>
  <conditionalFormatting sqref="B84">
    <cfRule type="expression" dxfId="3" priority="1840">
      <formula>COUNTIF(INDIRECT("Checklist!$A608"), "TRUE") = 1</formula>
    </cfRule>
    <cfRule type="expression" dxfId="4" priority="1841">
      <formula>COUNTIF(INDIRECT("Checklist!$A608"), "FALSE") = 1</formula>
    </cfRule>
    <cfRule type="notContainsBlanks" dxfId="7" priority="1842">
      <formula>LEN(TRIM(B84))&gt;0</formula>
    </cfRule>
  </conditionalFormatting>
  <conditionalFormatting sqref="B85">
    <cfRule type="expression" dxfId="3" priority="1858">
      <formula>COUNTIF(INDIRECT("Checklist!$A614"), "TRUE") = 1</formula>
    </cfRule>
    <cfRule type="expression" dxfId="4" priority="1859">
      <formula>COUNTIF(INDIRECT("Checklist!$A614"), "FALSE") = 1</formula>
    </cfRule>
    <cfRule type="notContainsBlanks" dxfId="7" priority="1860">
      <formula>LEN(TRIM(B85))&gt;0</formula>
    </cfRule>
  </conditionalFormatting>
  <conditionalFormatting sqref="B86">
    <cfRule type="expression" dxfId="3" priority="1876">
      <formula>COUNTIF(INDIRECT("Checklist!$A620"), "TRUE") = 1</formula>
    </cfRule>
    <cfRule type="expression" dxfId="4" priority="1877">
      <formula>COUNTIF(INDIRECT("Checklist!$A620"), "FALSE") = 1</formula>
    </cfRule>
    <cfRule type="notContainsBlanks" dxfId="7" priority="1878">
      <formula>LEN(TRIM(B86))&gt;0</formula>
    </cfRule>
  </conditionalFormatting>
  <conditionalFormatting sqref="B87">
    <cfRule type="expression" dxfId="3" priority="1894">
      <formula>COUNTIF(INDIRECT("Checklist!$A626"), "TRUE") = 1</formula>
    </cfRule>
    <cfRule type="expression" dxfId="4" priority="1895">
      <formula>COUNTIF(INDIRECT("Checklist!$A626"), "FALSE") = 1</formula>
    </cfRule>
    <cfRule type="notContainsBlanks" dxfId="7" priority="1896">
      <formula>LEN(TRIM(B87))&gt;0</formula>
    </cfRule>
  </conditionalFormatting>
  <conditionalFormatting sqref="B90:G90">
    <cfRule type="notContainsBlanks" dxfId="7" priority="2003">
      <formula>LEN(TRIM(B90))&gt;0</formula>
    </cfRule>
  </conditionalFormatting>
  <conditionalFormatting sqref="B91">
    <cfRule type="expression" dxfId="3" priority="2004">
      <formula>COUNTIF(INDIRECT("Checklist!$A662"), "TRUE") = 1</formula>
    </cfRule>
    <cfRule type="expression" dxfId="4" priority="2005">
      <formula>COUNTIF(INDIRECT("Checklist!$A662"), "FALSE") = 1</formula>
    </cfRule>
    <cfRule type="notContainsBlanks" dxfId="7" priority="2006">
      <formula>LEN(TRIM(B91))&gt;0</formula>
    </cfRule>
  </conditionalFormatting>
  <conditionalFormatting sqref="B92">
    <cfRule type="expression" dxfId="3" priority="2022">
      <formula>COUNTIF(INDIRECT("Checklist!$A668"), "TRUE") = 1</formula>
    </cfRule>
    <cfRule type="expression" dxfId="4" priority="2023">
      <formula>COUNTIF(INDIRECT("Checklist!$A668"), "FALSE") = 1</formula>
    </cfRule>
    <cfRule type="notContainsBlanks" dxfId="7" priority="2024">
      <formula>LEN(TRIM(B92))&gt;0</formula>
    </cfRule>
  </conditionalFormatting>
  <conditionalFormatting sqref="B93">
    <cfRule type="expression" dxfId="3" priority="2040">
      <formula>COUNTIF(INDIRECT("Checklist!$A674"), "TRUE") = 1</formula>
    </cfRule>
    <cfRule type="expression" dxfId="4" priority="2041">
      <formula>COUNTIF(INDIRECT("Checklist!$A674"), "FALSE") = 1</formula>
    </cfRule>
    <cfRule type="notContainsBlanks" dxfId="7" priority="2042">
      <formula>LEN(TRIM(B93))&gt;0</formula>
    </cfRule>
  </conditionalFormatting>
  <conditionalFormatting sqref="B94">
    <cfRule type="expression" dxfId="3" priority="2058">
      <formula>COUNTIF(INDIRECT("Checklist!$A680"), "TRUE") = 1</formula>
    </cfRule>
    <cfRule type="expression" dxfId="4" priority="2059">
      <formula>COUNTIF(INDIRECT("Checklist!$A680"), "FALSE") = 1</formula>
    </cfRule>
    <cfRule type="notContainsBlanks" dxfId="7" priority="2060">
      <formula>LEN(TRIM(B94))&gt;0</formula>
    </cfRule>
  </conditionalFormatting>
  <conditionalFormatting sqref="B95">
    <cfRule type="expression" dxfId="3" priority="2076">
      <formula>COUNTIF(INDIRECT("Checklist!$A686"), "TRUE") = 1</formula>
    </cfRule>
    <cfRule type="expression" dxfId="4" priority="2077">
      <formula>COUNTIF(INDIRECT("Checklist!$A686"), "FALSE") = 1</formula>
    </cfRule>
    <cfRule type="notContainsBlanks" dxfId="7" priority="2078">
      <formula>LEN(TRIM(B95))&gt;0</formula>
    </cfRule>
  </conditionalFormatting>
  <conditionalFormatting sqref="B98:G98">
    <cfRule type="notContainsBlanks" dxfId="7" priority="2185">
      <formula>LEN(TRIM(B98))&gt;0</formula>
    </cfRule>
  </conditionalFormatting>
  <conditionalFormatting sqref="B99">
    <cfRule type="expression" dxfId="3" priority="2186">
      <formula>COUNTIF(INDIRECT("Checklist!$A722"), "TRUE") = 1</formula>
    </cfRule>
    <cfRule type="expression" dxfId="4" priority="2187">
      <formula>COUNTIF(INDIRECT("Checklist!$A722"), "FALSE") = 1</formula>
    </cfRule>
    <cfRule type="notContainsBlanks" dxfId="7" priority="2188">
      <formula>LEN(TRIM(B99))&gt;0</formula>
    </cfRule>
  </conditionalFormatting>
  <conditionalFormatting sqref="C100">
    <cfRule type="expression" dxfId="3" priority="2207">
      <formula>COUNTIF(INDIRECT("Checklist!$A729"), "TRUE") = 1</formula>
    </cfRule>
    <cfRule type="expression" dxfId="4" priority="2208">
      <formula>COUNTIF(INDIRECT("Checklist!$A729"), "FALSE") = 1</formula>
    </cfRule>
    <cfRule type="notContainsBlanks" dxfId="7" priority="2209">
      <formula>LEN(TRIM(C100))&gt;0</formula>
    </cfRule>
  </conditionalFormatting>
  <conditionalFormatting sqref="C101">
    <cfRule type="expression" dxfId="3" priority="2225">
      <formula>COUNTIF(INDIRECT("Checklist!$A735"), "TRUE") = 1</formula>
    </cfRule>
    <cfRule type="expression" dxfId="4" priority="2226">
      <formula>COUNTIF(INDIRECT("Checklist!$A735"), "FALSE") = 1</formula>
    </cfRule>
    <cfRule type="notContainsBlanks" dxfId="7" priority="2227">
      <formula>LEN(TRIM(C101))&gt;0</formula>
    </cfRule>
  </conditionalFormatting>
  <conditionalFormatting sqref="C102">
    <cfRule type="expression" dxfId="3" priority="2243">
      <formula>COUNTIF(INDIRECT("Checklist!$A741"), "TRUE") = 1</formula>
    </cfRule>
    <cfRule type="expression" dxfId="4" priority="2244">
      <formula>COUNTIF(INDIRECT("Checklist!$A741"), "FALSE") = 1</formula>
    </cfRule>
    <cfRule type="notContainsBlanks" dxfId="7" priority="2245">
      <formula>LEN(TRIM(C102))&gt;0</formula>
    </cfRule>
  </conditionalFormatting>
  <conditionalFormatting sqref="C103">
    <cfRule type="expression" dxfId="3" priority="2261">
      <formula>COUNTIF(INDIRECT("Checklist!$A747"), "TRUE") = 1</formula>
    </cfRule>
    <cfRule type="expression" dxfId="4" priority="2262">
      <formula>COUNTIF(INDIRECT("Checklist!$A747"), "FALSE") = 1</formula>
    </cfRule>
    <cfRule type="notContainsBlanks" dxfId="7" priority="2263">
      <formula>LEN(TRIM(C103))&gt;0</formula>
    </cfRule>
  </conditionalFormatting>
  <conditionalFormatting sqref="C107">
    <cfRule type="expression" dxfId="3" priority="2371">
      <formula>COUNTIF(INDIRECT("Checklist!$A783"), "TRUE") = 1</formula>
    </cfRule>
    <cfRule type="expression" dxfId="4" priority="2372">
      <formula>COUNTIF(INDIRECT("Checklist!$A783"), "FALSE") = 1</formula>
    </cfRule>
    <cfRule type="notContainsBlanks" dxfId="7" priority="2373">
      <formula>LEN(TRIM(C107))&gt;0</formula>
    </cfRule>
  </conditionalFormatting>
  <conditionalFormatting sqref="C108">
    <cfRule type="expression" dxfId="3" priority="2389">
      <formula>COUNTIF(INDIRECT("Checklist!$A789"), "TRUE") = 1</formula>
    </cfRule>
    <cfRule type="expression" dxfId="4" priority="2390">
      <formula>COUNTIF(INDIRECT("Checklist!$A789"), "FALSE") = 1</formula>
    </cfRule>
    <cfRule type="notContainsBlanks" dxfId="7" priority="2391">
      <formula>LEN(TRIM(C108))&gt;0</formula>
    </cfRule>
  </conditionalFormatting>
  <conditionalFormatting sqref="C109">
    <cfRule type="expression" dxfId="3" priority="2407">
      <formula>COUNTIF(INDIRECT("Checklist!$A795"), "TRUE") = 1</formula>
    </cfRule>
    <cfRule type="expression" dxfId="4" priority="2408">
      <formula>COUNTIF(INDIRECT("Checklist!$A795"), "FALSE") = 1</formula>
    </cfRule>
    <cfRule type="notContainsBlanks" dxfId="7" priority="2409">
      <formula>LEN(TRIM(C109))&gt;0</formula>
    </cfRule>
  </conditionalFormatting>
  <conditionalFormatting sqref="C11">
    <cfRule type="expression" dxfId="3" priority="187">
      <formula>COUNTIF(INDIRECT("Checklist!$A63"), "TRUE") = 1</formula>
    </cfRule>
    <cfRule type="expression" dxfId="4" priority="188">
      <formula>COUNTIF(INDIRECT("Checklist!$A63"), "FALSE") = 1</formula>
    </cfRule>
    <cfRule type="notContainsBlanks" dxfId="7" priority="189">
      <formula>LEN(TRIM(C11))&gt;0</formula>
    </cfRule>
  </conditionalFormatting>
  <conditionalFormatting sqref="C110">
    <cfRule type="expression" dxfId="3" priority="2425">
      <formula>COUNTIF(INDIRECT("Checklist!$A801"), "TRUE") = 1</formula>
    </cfRule>
    <cfRule type="expression" dxfId="4" priority="2426">
      <formula>COUNTIF(INDIRECT("Checklist!$A801"), "FALSE") = 1</formula>
    </cfRule>
    <cfRule type="notContainsBlanks" dxfId="7" priority="2427">
      <formula>LEN(TRIM(C110))&gt;0</formula>
    </cfRule>
  </conditionalFormatting>
  <conditionalFormatting sqref="C111">
    <cfRule type="expression" dxfId="3" priority="2443">
      <formula>COUNTIF(INDIRECT("Checklist!$A807"), "TRUE") = 1</formula>
    </cfRule>
    <cfRule type="expression" dxfId="4" priority="2444">
      <formula>COUNTIF(INDIRECT("Checklist!$A807"), "FALSE") = 1</formula>
    </cfRule>
    <cfRule type="notContainsBlanks" dxfId="7" priority="2445">
      <formula>LEN(TRIM(C111))&gt;0</formula>
    </cfRule>
  </conditionalFormatting>
  <conditionalFormatting sqref="C115">
    <cfRule type="expression" dxfId="3" priority="2553">
      <formula>COUNTIF(INDIRECT("Checklist!$A1228"), "TRUE") = 1</formula>
    </cfRule>
    <cfRule type="expression" dxfId="4" priority="2554">
      <formula>COUNTIF(INDIRECT("Checklist!$A1228"), "FALSE") = 1</formula>
    </cfRule>
    <cfRule type="notContainsBlanks" dxfId="7" priority="2555">
      <formula>LEN(TRIM(C115))&gt;0</formula>
    </cfRule>
  </conditionalFormatting>
  <conditionalFormatting sqref="C116">
    <cfRule type="expression" dxfId="3" priority="2571">
      <formula>COUNTIF(INDIRECT("Checklist!$A849"), "TRUE") = 1</formula>
    </cfRule>
    <cfRule type="expression" dxfId="4" priority="2572">
      <formula>COUNTIF(INDIRECT("Checklist!$A849"), "FALSE") = 1</formula>
    </cfRule>
    <cfRule type="notContainsBlanks" dxfId="7" priority="2573">
      <formula>LEN(TRIM(C116))&gt;0</formula>
    </cfRule>
  </conditionalFormatting>
  <conditionalFormatting sqref="C117">
    <cfRule type="expression" dxfId="3" priority="2589">
      <formula>COUNTIF(INDIRECT("Checklist!$A855"), "TRUE") = 1</formula>
    </cfRule>
    <cfRule type="expression" dxfId="4" priority="2590">
      <formula>COUNTIF(INDIRECT("Checklist!$A855"), "FALSE") = 1</formula>
    </cfRule>
    <cfRule type="notContainsBlanks" dxfId="7" priority="2591">
      <formula>LEN(TRIM(C117))&gt;0</formula>
    </cfRule>
  </conditionalFormatting>
  <conditionalFormatting sqref="C118">
    <cfRule type="expression" dxfId="3" priority="2607">
      <formula>COUNTIF(INDIRECT("Checklist!$A861"), "TRUE") = 1</formula>
    </cfRule>
    <cfRule type="expression" dxfId="4" priority="2608">
      <formula>COUNTIF(INDIRECT("Checklist!$A861"), "FALSE") = 1</formula>
    </cfRule>
    <cfRule type="notContainsBlanks" dxfId="7" priority="2609">
      <formula>LEN(TRIM(C118))&gt;0</formula>
    </cfRule>
  </conditionalFormatting>
  <conditionalFormatting sqref="C119">
    <cfRule type="expression" dxfId="3" priority="2625">
      <formula>COUNTIF(INDIRECT("Checklist!$A867"), "TRUE") = 1</formula>
    </cfRule>
    <cfRule type="expression" dxfId="4" priority="2626">
      <formula>COUNTIF(INDIRECT("Checklist!$A867"), "FALSE") = 1</formula>
    </cfRule>
    <cfRule type="notContainsBlanks" dxfId="7" priority="2627">
      <formula>LEN(TRIM(C119))&gt;0</formula>
    </cfRule>
  </conditionalFormatting>
  <conditionalFormatting sqref="C12">
    <cfRule type="expression" dxfId="3" priority="205">
      <formula>COUNTIF(INDIRECT("Checklist!$A1211"), "TRUE") = 1</formula>
    </cfRule>
    <cfRule type="expression" dxfId="4" priority="206">
      <formula>COUNTIF(INDIRECT("Checklist!$A1211"), "FALSE") = 1</formula>
    </cfRule>
    <cfRule type="notContainsBlanks" dxfId="7" priority="207">
      <formula>LEN(TRIM(C12))&gt;0</formula>
    </cfRule>
  </conditionalFormatting>
  <conditionalFormatting sqref="C123">
    <cfRule type="expression" dxfId="3" priority="2735">
      <formula>COUNTIF(INDIRECT("Checklist!$A903"), "TRUE") = 1</formula>
    </cfRule>
    <cfRule type="expression" dxfId="4" priority="2736">
      <formula>COUNTIF(INDIRECT("Checklist!$A903"), "FALSE") = 1</formula>
    </cfRule>
    <cfRule type="notContainsBlanks" dxfId="7" priority="2737">
      <formula>LEN(TRIM(C123))&gt;0</formula>
    </cfRule>
  </conditionalFormatting>
  <conditionalFormatting sqref="C13">
    <cfRule type="expression" dxfId="3" priority="223">
      <formula>COUNTIF(INDIRECT("Checklist!$A75"), "TRUE") = 1</formula>
    </cfRule>
    <cfRule type="expression" dxfId="4" priority="224">
      <formula>COUNTIF(INDIRECT("Checklist!$A75"), "FALSE") = 1</formula>
    </cfRule>
    <cfRule type="notContainsBlanks" dxfId="7" priority="225">
      <formula>LEN(TRIM(C13))&gt;0</formula>
    </cfRule>
  </conditionalFormatting>
  <conditionalFormatting sqref="C131">
    <cfRule type="expression" dxfId="3" priority="2842">
      <formula>COUNTIF(INDIRECT("Checklist!$A938"), "TRUE") = 1</formula>
    </cfRule>
    <cfRule type="expression" dxfId="4" priority="2843">
      <formula>COUNTIF(INDIRECT("Checklist!$A938"), "FALSE") = 1</formula>
    </cfRule>
    <cfRule type="notContainsBlanks" dxfId="7" priority="2844">
      <formula>LEN(TRIM(C131))&gt;0</formula>
    </cfRule>
  </conditionalFormatting>
  <conditionalFormatting sqref="C132">
    <cfRule type="expression" dxfId="3" priority="2860">
      <formula>COUNTIF(INDIRECT("Checklist!$A944"), "TRUE") = 1</formula>
    </cfRule>
    <cfRule type="expression" dxfId="4" priority="2861">
      <formula>COUNTIF(INDIRECT("Checklist!$A944"), "FALSE") = 1</formula>
    </cfRule>
    <cfRule type="notContainsBlanks" dxfId="7" priority="2862">
      <formula>LEN(TRIM(C132))&gt;0</formula>
    </cfRule>
  </conditionalFormatting>
  <conditionalFormatting sqref="C133">
    <cfRule type="expression" dxfId="3" priority="2878">
      <formula>COUNTIF(INDIRECT("Checklist!$A950"), "TRUE") = 1</formula>
    </cfRule>
    <cfRule type="expression" dxfId="4" priority="2879">
      <formula>COUNTIF(INDIRECT("Checklist!$A950"), "FALSE") = 1</formula>
    </cfRule>
    <cfRule type="notContainsBlanks" dxfId="7" priority="2880">
      <formula>LEN(TRIM(C133))&gt;0</formula>
    </cfRule>
  </conditionalFormatting>
  <conditionalFormatting sqref="C134">
    <cfRule type="expression" dxfId="3" priority="2896">
      <formula>COUNTIF(INDIRECT("Checklist!$A956"), "TRUE") = 1</formula>
    </cfRule>
    <cfRule type="expression" dxfId="4" priority="2897">
      <formula>COUNTIF(INDIRECT("Checklist!$A956"), "FALSE") = 1</formula>
    </cfRule>
    <cfRule type="notContainsBlanks" dxfId="7" priority="2898">
      <formula>LEN(TRIM(C134))&gt;0</formula>
    </cfRule>
  </conditionalFormatting>
  <conditionalFormatting sqref="C135">
    <cfRule type="expression" dxfId="3" priority="2914">
      <formula>COUNTIF(INDIRECT("Checklist!$A962"), "TRUE") = 1</formula>
    </cfRule>
    <cfRule type="expression" dxfId="4" priority="2915">
      <formula>COUNTIF(INDIRECT("Checklist!$A962"), "FALSE") = 1</formula>
    </cfRule>
    <cfRule type="notContainsBlanks" dxfId="7" priority="2916">
      <formula>LEN(TRIM(C135))&gt;0</formula>
    </cfRule>
  </conditionalFormatting>
  <conditionalFormatting sqref="C139">
    <cfRule type="expression" dxfId="3" priority="3024">
      <formula>COUNTIF(INDIRECT("Checklist!$A998"), "TRUE") = 1</formula>
    </cfRule>
    <cfRule type="expression" dxfId="4" priority="3025">
      <formula>COUNTIF(INDIRECT("Checklist!$A998"), "FALSE") = 1</formula>
    </cfRule>
    <cfRule type="notContainsBlanks" dxfId="7" priority="3026">
      <formula>LEN(TRIM(C139))&gt;0</formula>
    </cfRule>
  </conditionalFormatting>
  <conditionalFormatting sqref="C14">
    <cfRule type="expression" dxfId="3" priority="241">
      <formula>COUNTIF(INDIRECT("Checklist!$A81"), "TRUE") = 1</formula>
    </cfRule>
    <cfRule type="expression" dxfId="4" priority="242">
      <formula>COUNTIF(INDIRECT("Checklist!$A81"), "FALSE") = 1</formula>
    </cfRule>
    <cfRule type="notContainsBlanks" dxfId="7" priority="243">
      <formula>LEN(TRIM(C14))&gt;0</formula>
    </cfRule>
  </conditionalFormatting>
  <conditionalFormatting sqref="C140">
    <cfRule type="expression" dxfId="3" priority="3042">
      <formula>COUNTIF(INDIRECT("Checklist!$A1004"), "TRUE") = 1</formula>
    </cfRule>
    <cfRule type="expression" dxfId="4" priority="3043">
      <formula>COUNTIF(INDIRECT("Checklist!$A1004"), "FALSE") = 1</formula>
    </cfRule>
    <cfRule type="notContainsBlanks" dxfId="7" priority="3044">
      <formula>LEN(TRIM(C140))&gt;0</formula>
    </cfRule>
  </conditionalFormatting>
  <conditionalFormatting sqref="C147">
    <cfRule type="expression" dxfId="3" priority="3089">
      <formula>COUNTIF(INDIRECT("Checklist!$A1017"), "TRUE") = 1</formula>
    </cfRule>
    <cfRule type="expression" dxfId="4" priority="3090">
      <formula>COUNTIF(INDIRECT("Checklist!$A1017"), "FALSE") = 1</formula>
    </cfRule>
    <cfRule type="notContainsBlanks" dxfId="7" priority="3091">
      <formula>LEN(TRIM(C147))&gt;0</formula>
    </cfRule>
  </conditionalFormatting>
  <conditionalFormatting sqref="C148">
    <cfRule type="expression" dxfId="3" priority="3107">
      <formula>COUNTIF(INDIRECT("Checklist!$A1023"), "TRUE") = 1</formula>
    </cfRule>
    <cfRule type="expression" dxfId="4" priority="3108">
      <formula>COUNTIF(INDIRECT("Checklist!$A1023"), "FALSE") = 1</formula>
    </cfRule>
    <cfRule type="notContainsBlanks" dxfId="7" priority="3109">
      <formula>LEN(TRIM(C148))&gt;0</formula>
    </cfRule>
  </conditionalFormatting>
  <conditionalFormatting sqref="C149">
    <cfRule type="expression" dxfId="3" priority="3125">
      <formula>COUNTIF(INDIRECT("Checklist!$A1029"), "TRUE") = 1</formula>
    </cfRule>
    <cfRule type="expression" dxfId="4" priority="3126">
      <formula>COUNTIF(INDIRECT("Checklist!$A1029"), "FALSE") = 1</formula>
    </cfRule>
    <cfRule type="notContainsBlanks" dxfId="7" priority="3127">
      <formula>LEN(TRIM(C149))&gt;0</formula>
    </cfRule>
  </conditionalFormatting>
  <conditionalFormatting sqref="C15">
    <cfRule type="expression" dxfId="3" priority="259">
      <formula>COUNTIF(INDIRECT("Checklist!$A87"), "TRUE") = 1</formula>
    </cfRule>
    <cfRule type="expression" dxfId="4" priority="260">
      <formula>COUNTIF(INDIRECT("Checklist!$A87"), "FALSE") = 1</formula>
    </cfRule>
    <cfRule type="notContainsBlanks" dxfId="7" priority="261">
      <formula>LEN(TRIM(C15))&gt;0</formula>
    </cfRule>
  </conditionalFormatting>
  <conditionalFormatting sqref="C150">
    <cfRule type="expression" dxfId="3" priority="3143">
      <formula>COUNTIF(INDIRECT("Checklist!$A1035"), "TRUE") = 1</formula>
    </cfRule>
    <cfRule type="expression" dxfId="4" priority="3144">
      <formula>COUNTIF(INDIRECT("Checklist!$A1035"), "FALSE") = 1</formula>
    </cfRule>
    <cfRule type="notContainsBlanks" dxfId="7" priority="3145">
      <formula>LEN(TRIM(C150))&gt;0</formula>
    </cfRule>
  </conditionalFormatting>
  <conditionalFormatting sqref="C151">
    <cfRule type="expression" dxfId="3" priority="3161">
      <formula>COUNTIF(INDIRECT("Checklist!$A1041"), "TRUE") = 1</formula>
    </cfRule>
    <cfRule type="expression" dxfId="4" priority="3162">
      <formula>COUNTIF(INDIRECT("Checklist!$A1041"), "FALSE") = 1</formula>
    </cfRule>
    <cfRule type="notContainsBlanks" dxfId="7" priority="3163">
      <formula>LEN(TRIM(C151))&gt;0</formula>
    </cfRule>
  </conditionalFormatting>
  <conditionalFormatting sqref="C155">
    <cfRule type="expression" dxfId="3" priority="3253">
      <formula>COUNTIF(INDIRECT("Checklist!$A1059"), "TRUE") = 1</formula>
    </cfRule>
    <cfRule type="expression" dxfId="4" priority="3254">
      <formula>COUNTIF(INDIRECT("Checklist!$A1059"), "FALSE") = 1</formula>
    </cfRule>
    <cfRule type="notContainsBlanks" dxfId="7" priority="3255">
      <formula>LEN(TRIM(C155))&gt;0</formula>
    </cfRule>
  </conditionalFormatting>
  <conditionalFormatting sqref="C156">
    <cfRule type="expression" dxfId="3" priority="3271">
      <formula>COUNTIF(INDIRECT("Checklist!$A1062"), "TRUE") = 1</formula>
    </cfRule>
    <cfRule type="expression" dxfId="4" priority="3272">
      <formula>COUNTIF(INDIRECT("Checklist!$A1062"), "FALSE") = 1</formula>
    </cfRule>
    <cfRule type="notContainsBlanks" dxfId="7" priority="3273">
      <formula>LEN(TRIM(C156))&gt;0</formula>
    </cfRule>
  </conditionalFormatting>
  <conditionalFormatting sqref="C157">
    <cfRule type="expression" dxfId="3" priority="3289">
      <formula>COUNTIF(INDIRECT("Checklist!$A1065"), "TRUE") = 1</formula>
    </cfRule>
    <cfRule type="expression" dxfId="4" priority="3290">
      <formula>COUNTIF(INDIRECT("Checklist!$A1065"), "FALSE") = 1</formula>
    </cfRule>
    <cfRule type="notContainsBlanks" dxfId="7" priority="3291">
      <formula>LEN(TRIM(C157))&gt;0</formula>
    </cfRule>
  </conditionalFormatting>
  <conditionalFormatting sqref="C158">
    <cfRule type="expression" dxfId="3" priority="3307">
      <formula>COUNTIF(INDIRECT("Checklist!$A1066"), "TRUE") = 1</formula>
    </cfRule>
    <cfRule type="expression" dxfId="4" priority="3308">
      <formula>COUNTIF(INDIRECT("Checklist!$A1066"), "FALSE") = 1</formula>
    </cfRule>
    <cfRule type="notContainsBlanks" dxfId="7" priority="3309">
      <formula>LEN(TRIM(C158))&gt;0</formula>
    </cfRule>
  </conditionalFormatting>
  <conditionalFormatting sqref="C159">
    <cfRule type="expression" dxfId="3" priority="3325">
      <formula>COUNTIF(INDIRECT("Checklist!$A1069"), "TRUE") = 1</formula>
    </cfRule>
    <cfRule type="expression" dxfId="4" priority="3326">
      <formula>COUNTIF(INDIRECT("Checklist!$A1069"), "FALSE") = 1</formula>
    </cfRule>
    <cfRule type="notContainsBlanks" dxfId="7" priority="3327">
      <formula>LEN(TRIM(C159))&gt;0</formula>
    </cfRule>
  </conditionalFormatting>
  <conditionalFormatting sqref="C163">
    <cfRule type="expression" dxfId="3" priority="3402">
      <formula>COUNTIF(INDIRECT("Checklist!$A1085"), "TRUE") = 1</formula>
    </cfRule>
    <cfRule type="expression" dxfId="4" priority="3403">
      <formula>COUNTIF(INDIRECT("Checklist!$A1085"), "FALSE") = 1</formula>
    </cfRule>
    <cfRule type="notContainsBlanks" dxfId="7" priority="3404">
      <formula>LEN(TRIM(C163))&gt;0</formula>
    </cfRule>
  </conditionalFormatting>
  <conditionalFormatting sqref="C164">
    <cfRule type="expression" dxfId="3" priority="3420">
      <formula>COUNTIF(INDIRECT("Checklist!$A1089"), "TRUE") = 1</formula>
    </cfRule>
    <cfRule type="expression" dxfId="4" priority="3421">
      <formula>COUNTIF(INDIRECT("Checklist!$A1089"), "FALSE") = 1</formula>
    </cfRule>
    <cfRule type="notContainsBlanks" dxfId="7" priority="3422">
      <formula>LEN(TRIM(C164))&gt;0</formula>
    </cfRule>
  </conditionalFormatting>
  <conditionalFormatting sqref="C165">
    <cfRule type="expression" dxfId="3" priority="3438">
      <formula>COUNTIF(INDIRECT("Checklist!$A1093"), "TRUE") = 1</formula>
    </cfRule>
    <cfRule type="expression" dxfId="4" priority="3439">
      <formula>COUNTIF(INDIRECT("Checklist!$A1093"), "FALSE") = 1</formula>
    </cfRule>
    <cfRule type="notContainsBlanks" dxfId="7" priority="3440">
      <formula>LEN(TRIM(C165))&gt;0</formula>
    </cfRule>
  </conditionalFormatting>
  <conditionalFormatting sqref="C166">
    <cfRule type="expression" dxfId="3" priority="3456">
      <formula>COUNTIF(INDIRECT("Checklist!$A1097"), "TRUE") = 1</formula>
    </cfRule>
    <cfRule type="expression" dxfId="4" priority="3457">
      <formula>COUNTIF(INDIRECT("Checklist!$A1097"), "FALSE") = 1</formula>
    </cfRule>
    <cfRule type="notContainsBlanks" dxfId="7" priority="3458">
      <formula>LEN(TRIM(C166))&gt;0</formula>
    </cfRule>
  </conditionalFormatting>
  <conditionalFormatting sqref="C167">
    <cfRule type="expression" dxfId="3" priority="3474">
      <formula>COUNTIF(INDIRECT("Checklist!$A1098"), "TRUE") = 1</formula>
    </cfRule>
    <cfRule type="expression" dxfId="4" priority="3475">
      <formula>COUNTIF(INDIRECT("Checklist!$A1098"), "FALSE") = 1</formula>
    </cfRule>
    <cfRule type="notContainsBlanks" dxfId="7" priority="3476">
      <formula>LEN(TRIM(C167))&gt;0</formula>
    </cfRule>
  </conditionalFormatting>
  <conditionalFormatting sqref="C171">
    <cfRule type="expression" dxfId="3" priority="3554">
      <formula>COUNTIF(INDIRECT("Checklist!$A1121"), "TRUE") = 1</formula>
    </cfRule>
    <cfRule type="expression" dxfId="4" priority="3555">
      <formula>COUNTIF(INDIRECT("Checklist!$A1121"), "FALSE") = 1</formula>
    </cfRule>
    <cfRule type="notContainsBlanks" dxfId="7" priority="3556">
      <formula>LEN(TRIM(C171))&gt;0</formula>
    </cfRule>
  </conditionalFormatting>
  <conditionalFormatting sqref="C172">
    <cfRule type="expression" dxfId="3" priority="3572">
      <formula>COUNTIF(INDIRECT("Checklist!$A1124"), "TRUE") = 1</formula>
    </cfRule>
    <cfRule type="expression" dxfId="4" priority="3573">
      <formula>COUNTIF(INDIRECT("Checklist!$A1124"), "FALSE") = 1</formula>
    </cfRule>
    <cfRule type="notContainsBlanks" dxfId="7" priority="3574">
      <formula>LEN(TRIM(C172))&gt;0</formula>
    </cfRule>
  </conditionalFormatting>
  <conditionalFormatting sqref="C173">
    <cfRule type="expression" dxfId="3" priority="3590">
      <formula>COUNTIF(INDIRECT("Checklist!$A1127"), "TRUE") = 1</formula>
    </cfRule>
    <cfRule type="expression" dxfId="4" priority="3591">
      <formula>COUNTIF(INDIRECT("Checklist!$A1127"), "FALSE") = 1</formula>
    </cfRule>
    <cfRule type="notContainsBlanks" dxfId="7" priority="3592">
      <formula>LEN(TRIM(C173))&gt;0</formula>
    </cfRule>
  </conditionalFormatting>
  <conditionalFormatting sqref="C174">
    <cfRule type="expression" dxfId="3" priority="3608">
      <formula>COUNTIF(INDIRECT("Checklist!$A802"), "TRUE") = 1</formula>
    </cfRule>
    <cfRule type="expression" dxfId="4" priority="3609">
      <formula>COUNTIF(INDIRECT("Checklist!$A802"), "FALSE") = 1</formula>
    </cfRule>
    <cfRule type="notContainsBlanks" dxfId="7" priority="3610">
      <formula>LEN(TRIM(C174))&gt;0</formula>
    </cfRule>
  </conditionalFormatting>
  <conditionalFormatting sqref="C179">
    <cfRule type="expression" dxfId="3" priority="3700">
      <formula>COUNTIF(INDIRECT("Checklist!$A1140"), "TRUE") = 1</formula>
    </cfRule>
    <cfRule type="expression" dxfId="4" priority="3701">
      <formula>COUNTIF(INDIRECT("Checklist!$A1140"), "FALSE") = 1</formula>
    </cfRule>
    <cfRule type="notContainsBlanks" dxfId="7" priority="3702">
      <formula>LEN(TRIM(C179))&gt;0</formula>
    </cfRule>
  </conditionalFormatting>
  <conditionalFormatting sqref="C180">
    <cfRule type="expression" dxfId="3" priority="3718">
      <formula>COUNTIF(INDIRECT("Checklist!$A1146"), "TRUE") = 1</formula>
    </cfRule>
    <cfRule type="expression" dxfId="4" priority="3719">
      <formula>COUNTIF(INDIRECT("Checklist!$A1146"), "FALSE") = 1</formula>
    </cfRule>
    <cfRule type="notContainsBlanks" dxfId="7" priority="3720">
      <formula>LEN(TRIM(C180))&gt;0</formula>
    </cfRule>
  </conditionalFormatting>
  <conditionalFormatting sqref="C181">
    <cfRule type="expression" dxfId="3" priority="3736">
      <formula>COUNTIF(INDIRECT("Checklist!$A1152"), "TRUE") = 1</formula>
    </cfRule>
    <cfRule type="expression" dxfId="4" priority="3737">
      <formula>COUNTIF(INDIRECT("Checklist!$A1152"), "FALSE") = 1</formula>
    </cfRule>
    <cfRule type="notContainsBlanks" dxfId="7" priority="3738">
      <formula>LEN(TRIM(C181))&gt;0</formula>
    </cfRule>
  </conditionalFormatting>
  <conditionalFormatting sqref="C182">
    <cfRule type="expression" dxfId="3" priority="3754">
      <formula>COUNTIF(INDIRECT("Checklist!$A1158"), "TRUE") = 1</formula>
    </cfRule>
    <cfRule type="expression" dxfId="4" priority="3755">
      <formula>COUNTIF(INDIRECT("Checklist!$A1158"), "FALSE") = 1</formula>
    </cfRule>
    <cfRule type="notContainsBlanks" dxfId="7" priority="3756">
      <formula>LEN(TRIM(C182))&gt;0</formula>
    </cfRule>
  </conditionalFormatting>
  <conditionalFormatting sqref="C183">
    <cfRule type="expression" dxfId="3" priority="3772">
      <formula>COUNTIF(INDIRECT("Checklist!$A1164"), "TRUE") = 1</formula>
    </cfRule>
    <cfRule type="expression" dxfId="4" priority="3773">
      <formula>COUNTIF(INDIRECT("Checklist!$A1164"), "FALSE") = 1</formula>
    </cfRule>
    <cfRule type="notContainsBlanks" dxfId="7" priority="3774">
      <formula>LEN(TRIM(C183))&gt;0</formula>
    </cfRule>
  </conditionalFormatting>
  <conditionalFormatting sqref="C187">
    <cfRule type="expression" dxfId="3" priority="3870">
      <formula>COUNTIF(INDIRECT("Checklist!$A1196"), "TRUE") = 1</formula>
    </cfRule>
    <cfRule type="expression" dxfId="4" priority="3871">
      <formula>COUNTIF(INDIRECT("Checklist!$A1196"), "FALSE") = 1</formula>
    </cfRule>
    <cfRule type="notContainsBlanks" dxfId="7" priority="3872">
      <formula>LEN(TRIM(C187))&gt;0</formula>
    </cfRule>
  </conditionalFormatting>
  <conditionalFormatting sqref="C19">
    <cfRule type="expression" dxfId="3" priority="369">
      <formula>COUNTIF(INDIRECT("Checklist!$A123"), "TRUE") = 1</formula>
    </cfRule>
    <cfRule type="expression" dxfId="4" priority="370">
      <formula>COUNTIF(INDIRECT("Checklist!$A123"), "FALSE") = 1</formula>
    </cfRule>
    <cfRule type="notContainsBlanks" dxfId="7" priority="371">
      <formula>LEN(TRIM(C19))&gt;0</formula>
    </cfRule>
  </conditionalFormatting>
  <conditionalFormatting sqref="C195">
    <cfRule type="expression" dxfId="3" priority="3983">
      <formula>COUNTIF(INDIRECT("Checklist!$A1233"), "TRUE") = 1</formula>
    </cfRule>
    <cfRule type="expression" dxfId="4" priority="3984">
      <formula>COUNTIF(INDIRECT("Checklist!$A1233"), "FALSE") = 1</formula>
    </cfRule>
    <cfRule type="notContainsBlanks" dxfId="7" priority="3985">
      <formula>LEN(TRIM(C195))&gt;0</formula>
    </cfRule>
  </conditionalFormatting>
  <conditionalFormatting sqref="C196">
    <cfRule type="expression" dxfId="3" priority="4001">
      <formula>COUNTIF(INDIRECT("Checklist!$A1239"), "TRUE") = 1</formula>
    </cfRule>
    <cfRule type="expression" dxfId="4" priority="4002">
      <formula>COUNTIF(INDIRECT("Checklist!$A1239"), "FALSE") = 1</formula>
    </cfRule>
    <cfRule type="notContainsBlanks" dxfId="7" priority="4003">
      <formula>LEN(TRIM(C196))&gt;0</formula>
    </cfRule>
  </conditionalFormatting>
  <conditionalFormatting sqref="C20">
    <cfRule type="expression" dxfId="3" priority="387">
      <formula>COUNTIF(INDIRECT("Checklist!$A129"), "TRUE") = 1</formula>
    </cfRule>
    <cfRule type="expression" dxfId="4" priority="388">
      <formula>COUNTIF(INDIRECT("Checklist!$A129"), "FALSE") = 1</formula>
    </cfRule>
    <cfRule type="notContainsBlanks" dxfId="7" priority="389">
      <formula>LEN(TRIM(C20))&gt;0</formula>
    </cfRule>
  </conditionalFormatting>
  <conditionalFormatting sqref="C203">
    <cfRule type="expression" dxfId="3" priority="4009">
      <formula>COUNTIF(INDIRECT("Checklist!$A1241"), "TRUE") = 1</formula>
    </cfRule>
    <cfRule type="expression" dxfId="4" priority="4010">
      <formula>COUNTIF(INDIRECT("Checklist!$A1241"), "FALSE") = 1</formula>
    </cfRule>
    <cfRule type="notContainsBlanks" dxfId="7" priority="4011">
      <formula>LEN(TRIM(C203))&gt;0</formula>
    </cfRule>
  </conditionalFormatting>
  <conditionalFormatting sqref="C204">
    <cfRule type="expression" dxfId="3" priority="4027">
      <formula>COUNTIF(INDIRECT("Checklist!$A1247"), "TRUE") = 1</formula>
    </cfRule>
    <cfRule type="expression" dxfId="4" priority="4028">
      <formula>COUNTIF(INDIRECT("Checklist!$A1247"), "FALSE") = 1</formula>
    </cfRule>
    <cfRule type="notContainsBlanks" dxfId="7" priority="4029">
      <formula>LEN(TRIM(C204))&gt;0</formula>
    </cfRule>
  </conditionalFormatting>
  <conditionalFormatting sqref="C205">
    <cfRule type="expression" dxfId="3" priority="4045">
      <formula>COUNTIF(INDIRECT("Checklist!$A1253"), "TRUE") = 1</formula>
    </cfRule>
    <cfRule type="expression" dxfId="4" priority="4046">
      <formula>COUNTIF(INDIRECT("Checklist!$A1253"), "FALSE") = 1</formula>
    </cfRule>
    <cfRule type="notContainsBlanks" dxfId="7" priority="4047">
      <formula>LEN(TRIM(C205))&gt;0</formula>
    </cfRule>
  </conditionalFormatting>
  <conditionalFormatting sqref="C21">
    <cfRule type="expression" dxfId="3" priority="405">
      <formula>COUNTIF(INDIRECT("Checklist!$A135"), "TRUE") = 1</formula>
    </cfRule>
    <cfRule type="expression" dxfId="4" priority="406">
      <formula>COUNTIF(INDIRECT("Checklist!$A135"), "FALSE") = 1</formula>
    </cfRule>
    <cfRule type="notContainsBlanks" dxfId="7" priority="407">
      <formula>LEN(TRIM(C21))&gt;0</formula>
    </cfRule>
  </conditionalFormatting>
  <conditionalFormatting sqref="C211">
    <cfRule type="expression" dxfId="3" priority="4122">
      <formula>COUNTIF(INDIRECT("Checklist!$A1278"), "TRUE") = 1</formula>
    </cfRule>
    <cfRule type="expression" dxfId="4" priority="4123">
      <formula>COUNTIF(INDIRECT("Checklist!$A1278"), "FALSE") = 1</formula>
    </cfRule>
    <cfRule type="notContainsBlanks" dxfId="7" priority="4124">
      <formula>LEN(TRIM(C211))&gt;0</formula>
    </cfRule>
  </conditionalFormatting>
  <conditionalFormatting sqref="C212">
    <cfRule type="expression" dxfId="3" priority="4140">
      <formula>COUNTIF(INDIRECT("Checklist!$A1284"), "TRUE") = 1</formula>
    </cfRule>
    <cfRule type="expression" dxfId="4" priority="4141">
      <formula>COUNTIF(INDIRECT("Checklist!$A1284"), "FALSE") = 1</formula>
    </cfRule>
    <cfRule type="notContainsBlanks" dxfId="7" priority="4142">
      <formula>LEN(TRIM(C212))&gt;0</formula>
    </cfRule>
  </conditionalFormatting>
  <conditionalFormatting sqref="C213">
    <cfRule type="expression" dxfId="3" priority="4158">
      <formula>COUNTIF(INDIRECT("Checklist!$A1290"), "TRUE") = 1</formula>
    </cfRule>
    <cfRule type="expression" dxfId="4" priority="4159">
      <formula>COUNTIF(INDIRECT("Checklist!$A1290"), "FALSE") = 1</formula>
    </cfRule>
    <cfRule type="notContainsBlanks" dxfId="7" priority="4160">
      <formula>LEN(TRIM(C213))&gt;0</formula>
    </cfRule>
  </conditionalFormatting>
  <conditionalFormatting sqref="C22">
    <cfRule type="expression" dxfId="3" priority="423">
      <formula>COUNTIF(INDIRECT("Checklist!$A141"), "TRUE") = 1</formula>
    </cfRule>
    <cfRule type="expression" dxfId="4" priority="424">
      <formula>COUNTIF(INDIRECT("Checklist!$A141"), "FALSE") = 1</formula>
    </cfRule>
    <cfRule type="notContainsBlanks" dxfId="7" priority="425">
      <formula>LEN(TRIM(C22))&gt;0</formula>
    </cfRule>
  </conditionalFormatting>
  <conditionalFormatting sqref="C23">
    <cfRule type="expression" dxfId="3" priority="441">
      <formula>COUNTIF(INDIRECT("Checklist!$A147"), "TRUE") = 1</formula>
    </cfRule>
    <cfRule type="expression" dxfId="4" priority="442">
      <formula>COUNTIF(INDIRECT("Checklist!$A147"), "FALSE") = 1</formula>
    </cfRule>
    <cfRule type="notContainsBlanks" dxfId="7" priority="443">
      <formula>LEN(TRIM(C23))&gt;0</formula>
    </cfRule>
  </conditionalFormatting>
  <conditionalFormatting sqref="C27">
    <cfRule type="expression" dxfId="3" priority="551">
      <formula>COUNTIF(INDIRECT("Checklist!$A183"), "TRUE") = 1</formula>
    </cfRule>
    <cfRule type="expression" dxfId="4" priority="552">
      <formula>COUNTIF(INDIRECT("Checklist!$A183"), "FALSE") = 1</formula>
    </cfRule>
    <cfRule type="notContainsBlanks" dxfId="7" priority="553">
      <formula>LEN(TRIM(C27))&gt;0</formula>
    </cfRule>
  </conditionalFormatting>
  <conditionalFormatting sqref="C28">
    <cfRule type="expression" dxfId="3" priority="569">
      <formula>COUNTIF(INDIRECT("Checklist!$A189"), "TRUE") = 1</formula>
    </cfRule>
    <cfRule type="expression" dxfId="4" priority="570">
      <formula>COUNTIF(INDIRECT("Checklist!$A189"), "FALSE") = 1</formula>
    </cfRule>
    <cfRule type="notContainsBlanks" dxfId="7" priority="571">
      <formula>LEN(TRIM(C28))&gt;0</formula>
    </cfRule>
  </conditionalFormatting>
  <conditionalFormatting sqref="C29">
    <cfRule type="expression" dxfId="3" priority="587">
      <formula>COUNTIF(INDIRECT("Checklist!$A195"), "TRUE") = 1</formula>
    </cfRule>
    <cfRule type="expression" dxfId="4" priority="588">
      <formula>COUNTIF(INDIRECT("Checklist!$A195"), "FALSE") = 1</formula>
    </cfRule>
    <cfRule type="notContainsBlanks" dxfId="7" priority="589">
      <formula>LEN(TRIM(C29))&gt;0</formula>
    </cfRule>
  </conditionalFormatting>
  <conditionalFormatting sqref="C3">
    <cfRule type="expression" dxfId="3" priority="5">
      <formula>COUNTIF(INDIRECT("Checklist!$A3"), "TRUE") = 1</formula>
    </cfRule>
    <cfRule type="expression" dxfId="4" priority="6">
      <formula>COUNTIF(INDIRECT("Checklist!$A3"), "FALSE") = 1</formula>
    </cfRule>
    <cfRule type="notContainsBlanks" dxfId="7" priority="7">
      <formula>LEN(TRIM(C3))&gt;0</formula>
    </cfRule>
  </conditionalFormatting>
  <conditionalFormatting sqref="C30">
    <cfRule type="expression" dxfId="3" priority="605">
      <formula>COUNTIF(INDIRECT("Checklist!$A201"), "TRUE") = 1</formula>
    </cfRule>
    <cfRule type="expression" dxfId="4" priority="606">
      <formula>COUNTIF(INDIRECT("Checklist!$A201"), "FALSE") = 1</formula>
    </cfRule>
    <cfRule type="notContainsBlanks" dxfId="7" priority="607">
      <formula>LEN(TRIM(C30))&gt;0</formula>
    </cfRule>
  </conditionalFormatting>
  <conditionalFormatting sqref="C31">
    <cfRule type="expression" dxfId="3" priority="623">
      <formula>COUNTIF(INDIRECT("Checklist!$A207"), "TRUE") = 1</formula>
    </cfRule>
    <cfRule type="expression" dxfId="4" priority="624">
      <formula>COUNTIF(INDIRECT("Checklist!$A207"), "FALSE") = 1</formula>
    </cfRule>
    <cfRule type="notContainsBlanks" dxfId="7" priority="625">
      <formula>LEN(TRIM(C31))&gt;0</formula>
    </cfRule>
  </conditionalFormatting>
  <conditionalFormatting sqref="C35">
    <cfRule type="expression" dxfId="3" priority="733">
      <formula>COUNTIF(INDIRECT("Checklist!$A243"), "TRUE") = 1</formula>
    </cfRule>
    <cfRule type="expression" dxfId="4" priority="734">
      <formula>COUNTIF(INDIRECT("Checklist!$A243"), "FALSE") = 1</formula>
    </cfRule>
    <cfRule type="notContainsBlanks" dxfId="7" priority="735">
      <formula>LEN(TRIM(C35))&gt;0</formula>
    </cfRule>
  </conditionalFormatting>
  <conditionalFormatting sqref="C36">
    <cfRule type="expression" dxfId="3" priority="751">
      <formula>COUNTIF(INDIRECT("Checklist!$A249"), "TRUE") = 1</formula>
    </cfRule>
    <cfRule type="expression" dxfId="4" priority="752">
      <formula>COUNTIF(INDIRECT("Checklist!$A249"), "FALSE") = 1</formula>
    </cfRule>
    <cfRule type="notContainsBlanks" dxfId="7" priority="753">
      <formula>LEN(TRIM(C36))&gt;0</formula>
    </cfRule>
  </conditionalFormatting>
  <conditionalFormatting sqref="C37">
    <cfRule type="expression" dxfId="3" priority="769">
      <formula>COUNTIF(INDIRECT("Checklist!$A255"), "TRUE") = 1</formula>
    </cfRule>
    <cfRule type="expression" dxfId="4" priority="770">
      <formula>COUNTIF(INDIRECT("Checklist!$A255"), "FALSE") = 1</formula>
    </cfRule>
    <cfRule type="notContainsBlanks" dxfId="7" priority="771">
      <formula>LEN(TRIM(C37))&gt;0</formula>
    </cfRule>
  </conditionalFormatting>
  <conditionalFormatting sqref="C38">
    <cfRule type="expression" dxfId="3" priority="787">
      <formula>COUNTIF(INDIRECT("Checklist!$A261"), "TRUE") = 1</formula>
    </cfRule>
    <cfRule type="expression" dxfId="4" priority="788">
      <formula>COUNTIF(INDIRECT("Checklist!$A261"), "FALSE") = 1</formula>
    </cfRule>
    <cfRule type="notContainsBlanks" dxfId="7" priority="789">
      <formula>LEN(TRIM(C38))&gt;0</formula>
    </cfRule>
  </conditionalFormatting>
  <conditionalFormatting sqref="C39">
    <cfRule type="expression" dxfId="3" priority="805">
      <formula>COUNTIF(INDIRECT("Checklist!$A267"), "TRUE") = 1</formula>
    </cfRule>
    <cfRule type="expression" dxfId="4" priority="806">
      <formula>COUNTIF(INDIRECT("Checklist!$A267"), "FALSE") = 1</formula>
    </cfRule>
    <cfRule type="notContainsBlanks" dxfId="7" priority="807">
      <formula>LEN(TRIM(C39))&gt;0</formula>
    </cfRule>
  </conditionalFormatting>
  <conditionalFormatting sqref="C4">
    <cfRule type="expression" dxfId="3" priority="23">
      <formula>COUNTIF(INDIRECT("Checklist!$A9"), "TRUE") = 1</formula>
    </cfRule>
    <cfRule type="expression" dxfId="4" priority="24">
      <formula>COUNTIF(INDIRECT("Checklist!$A9"), "FALSE") = 1</formula>
    </cfRule>
    <cfRule type="notContainsBlanks" dxfId="7" priority="25">
      <formula>LEN(TRIM(C4))&gt;0</formula>
    </cfRule>
  </conditionalFormatting>
  <conditionalFormatting sqref="C43">
    <cfRule type="expression" dxfId="3" priority="915">
      <formula>COUNTIF(INDIRECT("Checklist!$A303"), "TRUE") = 1</formula>
    </cfRule>
    <cfRule type="expression" dxfId="4" priority="916">
      <formula>COUNTIF(INDIRECT("Checklist!$A303"), "FALSE") = 1</formula>
    </cfRule>
    <cfRule type="notContainsBlanks" dxfId="7" priority="917">
      <formula>LEN(TRIM(C43))&gt;0</formula>
    </cfRule>
  </conditionalFormatting>
  <conditionalFormatting sqref="C44">
    <cfRule type="expression" dxfId="3" priority="933">
      <formula>COUNTIF(INDIRECT("Checklist!$A309"), "TRUE") = 1</formula>
    </cfRule>
    <cfRule type="expression" dxfId="4" priority="934">
      <formula>COUNTIF(INDIRECT("Checklist!$A309"), "FALSE") = 1</formula>
    </cfRule>
    <cfRule type="notContainsBlanks" dxfId="7" priority="935">
      <formula>LEN(TRIM(C44))&gt;0</formula>
    </cfRule>
  </conditionalFormatting>
  <conditionalFormatting sqref="C45">
    <cfRule type="expression" dxfId="3" priority="951">
      <formula>COUNTIF(INDIRECT("Checklist!$A315"), "TRUE") = 1</formula>
    </cfRule>
    <cfRule type="expression" dxfId="4" priority="952">
      <formula>COUNTIF(INDIRECT("Checklist!$A315"), "FALSE") = 1</formula>
    </cfRule>
    <cfRule type="notContainsBlanks" dxfId="7" priority="953">
      <formula>LEN(TRIM(C45))&gt;0</formula>
    </cfRule>
  </conditionalFormatting>
  <conditionalFormatting sqref="C46">
    <cfRule type="expression" dxfId="3" priority="969">
      <formula>COUNTIF(INDIRECT("Checklist!$A321"), "TRUE") = 1</formula>
    </cfRule>
    <cfRule type="expression" dxfId="4" priority="970">
      <formula>COUNTIF(INDIRECT("Checklist!$A321"), "FALSE") = 1</formula>
    </cfRule>
    <cfRule type="notContainsBlanks" dxfId="7" priority="971">
      <formula>LEN(TRIM(C46))&gt;0</formula>
    </cfRule>
  </conditionalFormatting>
  <conditionalFormatting sqref="C47">
    <cfRule type="expression" dxfId="3" priority="987">
      <formula>COUNTIF(INDIRECT("Checklist!$A327"), "TRUE") = 1</formula>
    </cfRule>
    <cfRule type="expression" dxfId="4" priority="988">
      <formula>COUNTIF(INDIRECT("Checklist!$A327"), "FALSE") = 1</formula>
    </cfRule>
    <cfRule type="notContainsBlanks" dxfId="7" priority="989">
      <formula>LEN(TRIM(C47))&gt;0</formula>
    </cfRule>
  </conditionalFormatting>
  <conditionalFormatting sqref="C5">
    <cfRule type="expression" dxfId="3" priority="41">
      <formula>COUNTIF(INDIRECT("Checklist!$A15"), "TRUE") = 1</formula>
    </cfRule>
    <cfRule type="expression" dxfId="4" priority="42">
      <formula>COUNTIF(INDIRECT("Checklist!$A15"), "FALSE") = 1</formula>
    </cfRule>
    <cfRule type="notContainsBlanks" dxfId="7" priority="43">
      <formula>LEN(TRIM(C5))&gt;0</formula>
    </cfRule>
  </conditionalFormatting>
  <conditionalFormatting sqref="C51">
    <cfRule type="expression" dxfId="3" priority="1097">
      <formula>COUNTIF(INDIRECT("Checklist!$A363"), "TRUE") = 1</formula>
    </cfRule>
    <cfRule type="expression" dxfId="4" priority="1098">
      <formula>COUNTIF(INDIRECT("Checklist!$A363"), "FALSE") = 1</formula>
    </cfRule>
    <cfRule type="notContainsBlanks" dxfId="7" priority="1099">
      <formula>LEN(TRIM(C51))&gt;0</formula>
    </cfRule>
  </conditionalFormatting>
  <conditionalFormatting sqref="C52">
    <cfRule type="expression" dxfId="3" priority="1115">
      <formula>COUNTIF(INDIRECT("Checklist!$A369"), "TRUE") = 1</formula>
    </cfRule>
    <cfRule type="expression" dxfId="4" priority="1116">
      <formula>COUNTIF(INDIRECT("Checklist!$A369"), "FALSE") = 1</formula>
    </cfRule>
    <cfRule type="notContainsBlanks" dxfId="7" priority="1117">
      <formula>LEN(TRIM(C52))&gt;0</formula>
    </cfRule>
  </conditionalFormatting>
  <conditionalFormatting sqref="C53">
    <cfRule type="expression" dxfId="3" priority="1133">
      <formula>COUNTIF(INDIRECT("Checklist!$A375"), "TRUE") = 1</formula>
    </cfRule>
    <cfRule type="expression" dxfId="4" priority="1134">
      <formula>COUNTIF(INDIRECT("Checklist!$A375"), "FALSE") = 1</formula>
    </cfRule>
    <cfRule type="notContainsBlanks" dxfId="7" priority="1135">
      <formula>LEN(TRIM(C53))&gt;0</formula>
    </cfRule>
  </conditionalFormatting>
  <conditionalFormatting sqref="C54">
    <cfRule type="expression" dxfId="3" priority="1151">
      <formula>COUNTIF(INDIRECT("Checklist!$A381"), "TRUE") = 1</formula>
    </cfRule>
    <cfRule type="expression" dxfId="4" priority="1152">
      <formula>COUNTIF(INDIRECT("Checklist!$A381"), "FALSE") = 1</formula>
    </cfRule>
    <cfRule type="notContainsBlanks" dxfId="7" priority="1153">
      <formula>LEN(TRIM(C54))&gt;0</formula>
    </cfRule>
  </conditionalFormatting>
  <conditionalFormatting sqref="C55">
    <cfRule type="expression" dxfId="3" priority="1169">
      <formula>COUNTIF(INDIRECT("Checklist!$A387"), "TRUE") = 1</formula>
    </cfRule>
    <cfRule type="expression" dxfId="4" priority="1170">
      <formula>COUNTIF(INDIRECT("Checklist!$A387"), "FALSE") = 1</formula>
    </cfRule>
    <cfRule type="notContainsBlanks" dxfId="7" priority="1171">
      <formula>LEN(TRIM(C55))&gt;0</formula>
    </cfRule>
  </conditionalFormatting>
  <conditionalFormatting sqref="C59">
    <cfRule type="expression" dxfId="3" priority="1279">
      <formula>COUNTIF(INDIRECT("Checklist!$A423"), "TRUE") = 1</formula>
    </cfRule>
    <cfRule type="expression" dxfId="4" priority="1280">
      <formula>COUNTIF(INDIRECT("Checklist!$A423"), "FALSE") = 1</formula>
    </cfRule>
    <cfRule type="notContainsBlanks" dxfId="7" priority="1281">
      <formula>LEN(TRIM(C59))&gt;0</formula>
    </cfRule>
  </conditionalFormatting>
  <conditionalFormatting sqref="C6">
    <cfRule type="expression" dxfId="3" priority="59">
      <formula>COUNTIF(INDIRECT("Checklist!$A21"), "TRUE") = 1</formula>
    </cfRule>
    <cfRule type="expression" dxfId="4" priority="60">
      <formula>COUNTIF(INDIRECT("Checklist!$A21"), "FALSE") = 1</formula>
    </cfRule>
    <cfRule type="notContainsBlanks" dxfId="7" priority="61">
      <formula>LEN(TRIM(C6))&gt;0</formula>
    </cfRule>
  </conditionalFormatting>
  <conditionalFormatting sqref="C60">
    <cfRule type="expression" dxfId="3" priority="1297">
      <formula>COUNTIF(INDIRECT("Checklist!$A429"), "TRUE") = 1</formula>
    </cfRule>
    <cfRule type="expression" dxfId="4" priority="1298">
      <formula>COUNTIF(INDIRECT("Checklist!$A429"), "FALSE") = 1</formula>
    </cfRule>
    <cfRule type="notContainsBlanks" dxfId="7" priority="1299">
      <formula>LEN(TRIM(C60))&gt;0</formula>
    </cfRule>
  </conditionalFormatting>
  <conditionalFormatting sqref="C61">
    <cfRule type="expression" dxfId="3" priority="1315">
      <formula>COUNTIF(INDIRECT("Checklist!$A435"), "TRUE") = 1</formula>
    </cfRule>
    <cfRule type="expression" dxfId="4" priority="1316">
      <formula>COUNTIF(INDIRECT("Checklist!$A435"), "FALSE") = 1</formula>
    </cfRule>
    <cfRule type="notContainsBlanks" dxfId="7" priority="1317">
      <formula>LEN(TRIM(C61))&gt;0</formula>
    </cfRule>
  </conditionalFormatting>
  <conditionalFormatting sqref="C62">
    <cfRule type="expression" dxfId="3" priority="1333">
      <formula>COUNTIF(INDIRECT("Checklist!$A441"), "TRUE") = 1</formula>
    </cfRule>
    <cfRule type="expression" dxfId="4" priority="1334">
      <formula>COUNTIF(INDIRECT("Checklist!$A441"), "FALSE") = 1</formula>
    </cfRule>
    <cfRule type="notContainsBlanks" dxfId="7" priority="1335">
      <formula>LEN(TRIM(C62))&gt;0</formula>
    </cfRule>
  </conditionalFormatting>
  <conditionalFormatting sqref="C63">
    <cfRule type="expression" dxfId="3" priority="1351">
      <formula>COUNTIF(INDIRECT("Checklist!$A447"), "TRUE") = 1</formula>
    </cfRule>
    <cfRule type="expression" dxfId="4" priority="1352">
      <formula>COUNTIF(INDIRECT("Checklist!$A447"), "FALSE") = 1</formula>
    </cfRule>
    <cfRule type="notContainsBlanks" dxfId="7" priority="1353">
      <formula>LEN(TRIM(C63))&gt;0</formula>
    </cfRule>
  </conditionalFormatting>
  <conditionalFormatting sqref="C67">
    <cfRule type="expression" dxfId="3" priority="1461">
      <formula>COUNTIF(INDIRECT("Checklist!$A483"), "TRUE") = 1</formula>
    </cfRule>
    <cfRule type="expression" dxfId="4" priority="1462">
      <formula>COUNTIF(INDIRECT("Checklist!$A483"), "FALSE") = 1</formula>
    </cfRule>
    <cfRule type="notContainsBlanks" dxfId="7" priority="1463">
      <formula>LEN(TRIM(C67))&gt;0</formula>
    </cfRule>
  </conditionalFormatting>
  <conditionalFormatting sqref="C68">
    <cfRule type="expression" dxfId="3" priority="1479">
      <formula>COUNTIF(INDIRECT("Checklist!$A489"), "TRUE") = 1</formula>
    </cfRule>
    <cfRule type="expression" dxfId="4" priority="1480">
      <formula>COUNTIF(INDIRECT("Checklist!$A489"), "FALSE") = 1</formula>
    </cfRule>
    <cfRule type="notContainsBlanks" dxfId="7" priority="1481">
      <formula>LEN(TRIM(C68))&gt;0</formula>
    </cfRule>
  </conditionalFormatting>
  <conditionalFormatting sqref="C69">
    <cfRule type="expression" dxfId="3" priority="1497">
      <formula>COUNTIF(INDIRECT("Checklist!$A495"), "TRUE") = 1</formula>
    </cfRule>
    <cfRule type="expression" dxfId="4" priority="1498">
      <formula>COUNTIF(INDIRECT("Checklist!$A495"), "FALSE") = 1</formula>
    </cfRule>
    <cfRule type="notContainsBlanks" dxfId="7" priority="1499">
      <formula>LEN(TRIM(C69))&gt;0</formula>
    </cfRule>
  </conditionalFormatting>
  <conditionalFormatting sqref="C7">
    <cfRule type="expression" dxfId="3" priority="77">
      <formula>COUNTIF(INDIRECT("Checklist!$A27"), "TRUE") = 1</formula>
    </cfRule>
    <cfRule type="expression" dxfId="4" priority="78">
      <formula>COUNTIF(INDIRECT("Checklist!$A27"), "FALSE") = 1</formula>
    </cfRule>
    <cfRule type="notContainsBlanks" dxfId="7" priority="79">
      <formula>LEN(TRIM(C7))&gt;0</formula>
    </cfRule>
  </conditionalFormatting>
  <conditionalFormatting sqref="C70">
    <cfRule type="expression" dxfId="3" priority="1515">
      <formula>COUNTIF(INDIRECT("Checklist!$A501"), "TRUE") = 1</formula>
    </cfRule>
    <cfRule type="expression" dxfId="4" priority="1516">
      <formula>COUNTIF(INDIRECT("Checklist!$A501"), "FALSE") = 1</formula>
    </cfRule>
    <cfRule type="notContainsBlanks" dxfId="7" priority="1517">
      <formula>LEN(TRIM(C70))&gt;0</formula>
    </cfRule>
  </conditionalFormatting>
  <conditionalFormatting sqref="C71">
    <cfRule type="expression" dxfId="3" priority="1533">
      <formula>COUNTIF(INDIRECT("Checklist!$A507"), "TRUE") = 1</formula>
    </cfRule>
    <cfRule type="expression" dxfId="4" priority="1534">
      <formula>COUNTIF(INDIRECT("Checklist!$A507"), "FALSE") = 1</formula>
    </cfRule>
    <cfRule type="notContainsBlanks" dxfId="7" priority="1535">
      <formula>LEN(TRIM(C71))&gt;0</formula>
    </cfRule>
  </conditionalFormatting>
  <conditionalFormatting sqref="C75">
    <cfRule type="expression" dxfId="3" priority="1643">
      <formula>COUNTIF(INDIRECT("Checklist!$A543"), "TRUE") = 1</formula>
    </cfRule>
    <cfRule type="expression" dxfId="4" priority="1644">
      <formula>COUNTIF(INDIRECT("Checklist!$A543"), "FALSE") = 1</formula>
    </cfRule>
    <cfRule type="notContainsBlanks" dxfId="7" priority="1645">
      <formula>LEN(TRIM(C75))&gt;0</formula>
    </cfRule>
  </conditionalFormatting>
  <conditionalFormatting sqref="C76">
    <cfRule type="expression" dxfId="3" priority="1661">
      <formula>COUNTIF(INDIRECT("Checklist!$A549"), "TRUE") = 1</formula>
    </cfRule>
    <cfRule type="expression" dxfId="4" priority="1662">
      <formula>COUNTIF(INDIRECT("Checklist!$A549"), "FALSE") = 1</formula>
    </cfRule>
    <cfRule type="notContainsBlanks" dxfId="7" priority="1663">
      <formula>LEN(TRIM(C76))&gt;0</formula>
    </cfRule>
  </conditionalFormatting>
  <conditionalFormatting sqref="C77">
    <cfRule type="expression" dxfId="3" priority="1679">
      <formula>COUNTIF(INDIRECT("Checklist!$A555"), "TRUE") = 1</formula>
    </cfRule>
    <cfRule type="expression" dxfId="4" priority="1680">
      <formula>COUNTIF(INDIRECT("Checklist!$A555"), "FALSE") = 1</formula>
    </cfRule>
    <cfRule type="notContainsBlanks" dxfId="7" priority="1681">
      <formula>LEN(TRIM(C77))&gt;0</formula>
    </cfRule>
  </conditionalFormatting>
  <conditionalFormatting sqref="C78">
    <cfRule type="expression" dxfId="3" priority="1697">
      <formula>COUNTIF(INDIRECT("Checklist!$A561"), "TRUE") = 1</formula>
    </cfRule>
    <cfRule type="expression" dxfId="4" priority="1698">
      <formula>COUNTIF(INDIRECT("Checklist!$A561"), "FALSE") = 1</formula>
    </cfRule>
    <cfRule type="notContainsBlanks" dxfId="7" priority="1699">
      <formula>LEN(TRIM(C78))&gt;0</formula>
    </cfRule>
  </conditionalFormatting>
  <conditionalFormatting sqref="C79">
    <cfRule type="expression" dxfId="3" priority="1715">
      <formula>COUNTIF(INDIRECT("Checklist!$A567"), "TRUE") = 1</formula>
    </cfRule>
    <cfRule type="expression" dxfId="4" priority="1716">
      <formula>COUNTIF(INDIRECT("Checklist!$A567"), "FALSE") = 1</formula>
    </cfRule>
    <cfRule type="notContainsBlanks" dxfId="7" priority="1717">
      <formula>LEN(TRIM(C79))&gt;0</formula>
    </cfRule>
  </conditionalFormatting>
  <conditionalFormatting sqref="C83">
    <cfRule type="expression" dxfId="3" priority="1825">
      <formula>COUNTIF(INDIRECT("Checklist!$A603"), "TRUE") = 1</formula>
    </cfRule>
    <cfRule type="expression" dxfId="4" priority="1826">
      <formula>COUNTIF(INDIRECT("Checklist!$A603"), "FALSE") = 1</formula>
    </cfRule>
    <cfRule type="notContainsBlanks" dxfId="7" priority="1827">
      <formula>LEN(TRIM(C83))&gt;0</formula>
    </cfRule>
  </conditionalFormatting>
  <conditionalFormatting sqref="C84">
    <cfRule type="expression" dxfId="3" priority="1843">
      <formula>COUNTIF(INDIRECT("Checklist!$A609"), "TRUE") = 1</formula>
    </cfRule>
    <cfRule type="expression" dxfId="4" priority="1844">
      <formula>COUNTIF(INDIRECT("Checklist!$A609"), "FALSE") = 1</formula>
    </cfRule>
    <cfRule type="notContainsBlanks" dxfId="7" priority="1845">
      <formula>LEN(TRIM(C84))&gt;0</formula>
    </cfRule>
  </conditionalFormatting>
  <conditionalFormatting sqref="C85">
    <cfRule type="expression" dxfId="3" priority="1861">
      <formula>COUNTIF(INDIRECT("Checklist!$A615"), "TRUE") = 1</formula>
    </cfRule>
    <cfRule type="expression" dxfId="4" priority="1862">
      <formula>COUNTIF(INDIRECT("Checklist!$A615"), "FALSE") = 1</formula>
    </cfRule>
    <cfRule type="notContainsBlanks" dxfId="7" priority="1863">
      <formula>LEN(TRIM(C85))&gt;0</formula>
    </cfRule>
  </conditionalFormatting>
  <conditionalFormatting sqref="C86">
    <cfRule type="expression" dxfId="3" priority="1879">
      <formula>COUNTIF(INDIRECT("Checklist!$A621"), "TRUE") = 1</formula>
    </cfRule>
    <cfRule type="expression" dxfId="4" priority="1880">
      <formula>COUNTIF(INDIRECT("Checklist!$A621"), "FALSE") = 1</formula>
    </cfRule>
    <cfRule type="notContainsBlanks" dxfId="7" priority="1881">
      <formula>LEN(TRIM(C86))&gt;0</formula>
    </cfRule>
  </conditionalFormatting>
  <conditionalFormatting sqref="C87">
    <cfRule type="expression" dxfId="3" priority="1897">
      <formula>COUNTIF(INDIRECT("Checklist!$A627"), "TRUE") = 1</formula>
    </cfRule>
    <cfRule type="expression" dxfId="4" priority="1898">
      <formula>COUNTIF(INDIRECT("Checklist!$A627"), "FALSE") = 1</formula>
    </cfRule>
    <cfRule type="notContainsBlanks" dxfId="7" priority="1899">
      <formula>LEN(TRIM(C87))&gt;0</formula>
    </cfRule>
  </conditionalFormatting>
  <conditionalFormatting sqref="C91">
    <cfRule type="expression" dxfId="3" priority="2007">
      <formula>COUNTIF(INDIRECT("Checklist!$A663"), "TRUE") = 1</formula>
    </cfRule>
    <cfRule type="expression" dxfId="4" priority="2008">
      <formula>COUNTIF(INDIRECT("Checklist!$A663"), "FALSE") = 1</formula>
    </cfRule>
    <cfRule type="notContainsBlanks" dxfId="7" priority="2009">
      <formula>LEN(TRIM(C91))&gt;0</formula>
    </cfRule>
  </conditionalFormatting>
  <conditionalFormatting sqref="C92">
    <cfRule type="expression" dxfId="3" priority="2025">
      <formula>COUNTIF(INDIRECT("Checklist!$A669"), "TRUE") = 1</formula>
    </cfRule>
    <cfRule type="expression" dxfId="4" priority="2026">
      <formula>COUNTIF(INDIRECT("Checklist!$A669"), "FALSE") = 1</formula>
    </cfRule>
    <cfRule type="notContainsBlanks" dxfId="7" priority="2027">
      <formula>LEN(TRIM(C92))&gt;0</formula>
    </cfRule>
  </conditionalFormatting>
  <conditionalFormatting sqref="C93">
    <cfRule type="expression" dxfId="3" priority="2043">
      <formula>COUNTIF(INDIRECT("Checklist!$A675"), "TRUE") = 1</formula>
    </cfRule>
    <cfRule type="expression" dxfId="4" priority="2044">
      <formula>COUNTIF(INDIRECT("Checklist!$A675"), "FALSE") = 1</formula>
    </cfRule>
    <cfRule type="notContainsBlanks" dxfId="7" priority="2045">
      <formula>LEN(TRIM(C93))&gt;0</formula>
    </cfRule>
  </conditionalFormatting>
  <conditionalFormatting sqref="C94">
    <cfRule type="expression" dxfId="3" priority="2061">
      <formula>COUNTIF(INDIRECT("Checklist!$A681"), "TRUE") = 1</formula>
    </cfRule>
    <cfRule type="expression" dxfId="4" priority="2062">
      <formula>COUNTIF(INDIRECT("Checklist!$A681"), "FALSE") = 1</formula>
    </cfRule>
    <cfRule type="notContainsBlanks" dxfId="7" priority="2063">
      <formula>LEN(TRIM(C94))&gt;0</formula>
    </cfRule>
  </conditionalFormatting>
  <conditionalFormatting sqref="C95">
    <cfRule type="expression" dxfId="3" priority="2079">
      <formula>COUNTIF(INDIRECT("Checklist!$A687"), "TRUE") = 1</formula>
    </cfRule>
    <cfRule type="expression" dxfId="4" priority="2080">
      <formula>COUNTIF(INDIRECT("Checklist!$A687"), "FALSE") = 1</formula>
    </cfRule>
    <cfRule type="notContainsBlanks" dxfId="7" priority="2081">
      <formula>LEN(TRIM(C95))&gt;0</formula>
    </cfRule>
  </conditionalFormatting>
  <conditionalFormatting sqref="C99">
    <cfRule type="expression" dxfId="3" priority="2189">
      <formula>COUNTIF(INDIRECT("Checklist!$A723"), "TRUE") = 1</formula>
    </cfRule>
    <cfRule type="expression" dxfId="4" priority="2190">
      <formula>COUNTIF(INDIRECT("Checklist!$A723"), "FALSE") = 1</formula>
    </cfRule>
    <cfRule type="notContainsBlanks" dxfId="7" priority="2191">
      <formula>LEN(TRIM(C99))&gt;0</formula>
    </cfRule>
  </conditionalFormatting>
  <conditionalFormatting sqref="D100">
    <cfRule type="expression" dxfId="3" priority="2210">
      <formula>COUNTIF(INDIRECT("Checklist!$A730"), "TRUE") = 1</formula>
    </cfRule>
    <cfRule type="expression" dxfId="4" priority="2211">
      <formula>COUNTIF(INDIRECT("Checklist!$A730"), "FALSE") = 1</formula>
    </cfRule>
    <cfRule type="notContainsBlanks" dxfId="7" priority="2212">
      <formula>LEN(TRIM(D100))&gt;0</formula>
    </cfRule>
  </conditionalFormatting>
  <conditionalFormatting sqref="D101">
    <cfRule type="expression" dxfId="3" priority="2228">
      <formula>COUNTIF(INDIRECT("Checklist!$A736"), "TRUE") = 1</formula>
    </cfRule>
    <cfRule type="expression" dxfId="4" priority="2229">
      <formula>COUNTIF(INDIRECT("Checklist!$A736"), "FALSE") = 1</formula>
    </cfRule>
    <cfRule type="notContainsBlanks" dxfId="7" priority="2230">
      <formula>LEN(TRIM(D101))&gt;0</formula>
    </cfRule>
  </conditionalFormatting>
  <conditionalFormatting sqref="D102">
    <cfRule type="expression" dxfId="3" priority="2246">
      <formula>COUNTIF(INDIRECT("Checklist!$A742"), "TRUE") = 1</formula>
    </cfRule>
    <cfRule type="expression" dxfId="4" priority="2247">
      <formula>COUNTIF(INDIRECT("Checklist!$A742"), "FALSE") = 1</formula>
    </cfRule>
    <cfRule type="notContainsBlanks" dxfId="7" priority="2248">
      <formula>LEN(TRIM(D102))&gt;0</formula>
    </cfRule>
  </conditionalFormatting>
  <conditionalFormatting sqref="D103">
    <cfRule type="expression" dxfId="3" priority="2264">
      <formula>COUNTIF(INDIRECT("Checklist!$A748"), "TRUE") = 1</formula>
    </cfRule>
    <cfRule type="expression" dxfId="4" priority="2265">
      <formula>COUNTIF(INDIRECT("Checklist!$A748"), "FALSE") = 1</formula>
    </cfRule>
    <cfRule type="notContainsBlanks" dxfId="7" priority="2266">
      <formula>LEN(TRIM(D103))&gt;0</formula>
    </cfRule>
  </conditionalFormatting>
  <conditionalFormatting sqref="D107">
    <cfRule type="expression" dxfId="3" priority="2374">
      <formula>COUNTIF(INDIRECT("Checklist!$A784"), "TRUE") = 1</formula>
    </cfRule>
    <cfRule type="expression" dxfId="4" priority="2375">
      <formula>COUNTIF(INDIRECT("Checklist!$A784"), "FALSE") = 1</formula>
    </cfRule>
    <cfRule type="notContainsBlanks" dxfId="7" priority="2376">
      <formula>LEN(TRIM(D107))&gt;0</formula>
    </cfRule>
  </conditionalFormatting>
  <conditionalFormatting sqref="D108">
    <cfRule type="expression" dxfId="3" priority="2392">
      <formula>COUNTIF(INDIRECT("Checklist!$A790"), "TRUE") = 1</formula>
    </cfRule>
    <cfRule type="expression" dxfId="4" priority="2393">
      <formula>COUNTIF(INDIRECT("Checklist!$A790"), "FALSE") = 1</formula>
    </cfRule>
    <cfRule type="notContainsBlanks" dxfId="7" priority="2394">
      <formula>LEN(TRIM(D108))&gt;0</formula>
    </cfRule>
  </conditionalFormatting>
  <conditionalFormatting sqref="D109">
    <cfRule type="expression" dxfId="3" priority="2410">
      <formula>COUNTIF(INDIRECT("Checklist!$A796"), "TRUE") = 1</formula>
    </cfRule>
    <cfRule type="expression" dxfId="4" priority="2411">
      <formula>COUNTIF(INDIRECT("Checklist!$A796"), "FALSE") = 1</formula>
    </cfRule>
    <cfRule type="notContainsBlanks" dxfId="7" priority="2412">
      <formula>LEN(TRIM(D109))&gt;0</formula>
    </cfRule>
  </conditionalFormatting>
  <conditionalFormatting sqref="D11">
    <cfRule type="expression" dxfId="3" priority="190">
      <formula>COUNTIF(INDIRECT("Checklist!$A64"), "TRUE") = 1</formula>
    </cfRule>
    <cfRule type="expression" dxfId="4" priority="191">
      <formula>COUNTIF(INDIRECT("Checklist!$A64"), "FALSE") = 1</formula>
    </cfRule>
    <cfRule type="notContainsBlanks" dxfId="7" priority="192">
      <formula>LEN(TRIM(D11))&gt;0</formula>
    </cfRule>
  </conditionalFormatting>
  <conditionalFormatting sqref="D110">
    <cfRule type="expression" dxfId="3" priority="2428">
      <formula>COUNTIF(INDIRECT("Checklist!$A802"), "TRUE") = 1</formula>
    </cfRule>
    <cfRule type="expression" dxfId="4" priority="2429">
      <formula>COUNTIF(INDIRECT("Checklist!$A802"), "FALSE") = 1</formula>
    </cfRule>
    <cfRule type="notContainsBlanks" dxfId="7" priority="2430">
      <formula>LEN(TRIM(D110))&gt;0</formula>
    </cfRule>
  </conditionalFormatting>
  <conditionalFormatting sqref="D111">
    <cfRule type="expression" dxfId="3" priority="2446">
      <formula>COUNTIF(INDIRECT("Checklist!$A808"), "TRUE") = 1</formula>
    </cfRule>
    <cfRule type="expression" dxfId="4" priority="2447">
      <formula>COUNTIF(INDIRECT("Checklist!$A808"), "FALSE") = 1</formula>
    </cfRule>
    <cfRule type="notContainsBlanks" dxfId="7" priority="2448">
      <formula>LEN(TRIM(D111))&gt;0</formula>
    </cfRule>
  </conditionalFormatting>
  <conditionalFormatting sqref="D115">
    <cfRule type="expression" dxfId="3" priority="2556">
      <formula>COUNTIF(INDIRECT("Checklist!$A844"), "TRUE") = 1</formula>
    </cfRule>
    <cfRule type="expression" dxfId="4" priority="2557">
      <formula>COUNTIF(INDIRECT("Checklist!$A844"), "FALSE") = 1</formula>
    </cfRule>
    <cfRule type="notContainsBlanks" dxfId="7" priority="2558">
      <formula>LEN(TRIM(D115))&gt;0</formula>
    </cfRule>
  </conditionalFormatting>
  <conditionalFormatting sqref="D116">
    <cfRule type="expression" dxfId="3" priority="2574">
      <formula>COUNTIF(INDIRECT("Checklist!$A1230"), "TRUE") = 1</formula>
    </cfRule>
    <cfRule type="expression" dxfId="4" priority="2575">
      <formula>COUNTIF(INDIRECT("Checklist!$A1230"), "FALSE") = 1</formula>
    </cfRule>
    <cfRule type="notContainsBlanks" dxfId="7" priority="2576">
      <formula>LEN(TRIM(D116))&gt;0</formula>
    </cfRule>
  </conditionalFormatting>
  <conditionalFormatting sqref="D117">
    <cfRule type="expression" dxfId="3" priority="2592">
      <formula>COUNTIF(INDIRECT("Checklist!$A856"), "TRUE") = 1</formula>
    </cfRule>
    <cfRule type="expression" dxfId="4" priority="2593">
      <formula>COUNTIF(INDIRECT("Checklist!$A856"), "FALSE") = 1</formula>
    </cfRule>
    <cfRule type="notContainsBlanks" dxfId="7" priority="2594">
      <formula>LEN(TRIM(D117))&gt;0</formula>
    </cfRule>
  </conditionalFormatting>
  <conditionalFormatting sqref="D118">
    <cfRule type="expression" dxfId="3" priority="2610">
      <formula>COUNTIF(INDIRECT("Checklist!$A1234"), "TRUE") = 1</formula>
    </cfRule>
    <cfRule type="expression" dxfId="4" priority="2611">
      <formula>COUNTIF(INDIRECT("Checklist!$A1234"), "FALSE") = 1</formula>
    </cfRule>
    <cfRule type="notContainsBlanks" dxfId="7" priority="2612">
      <formula>LEN(TRIM(D118))&gt;0</formula>
    </cfRule>
  </conditionalFormatting>
  <conditionalFormatting sqref="D119">
    <cfRule type="expression" dxfId="3" priority="2628">
      <formula>COUNTIF(INDIRECT("Checklist!$A868"), "TRUE") = 1</formula>
    </cfRule>
    <cfRule type="expression" dxfId="4" priority="2629">
      <formula>COUNTIF(INDIRECT("Checklist!$A868"), "FALSE") = 1</formula>
    </cfRule>
    <cfRule type="notContainsBlanks" dxfId="7" priority="2630">
      <formula>LEN(TRIM(D119))&gt;0</formula>
    </cfRule>
  </conditionalFormatting>
  <conditionalFormatting sqref="D12">
    <cfRule type="expression" dxfId="3" priority="208">
      <formula>COUNTIF(INDIRECT("Checklist!$A70"), "TRUE") = 1</formula>
    </cfRule>
    <cfRule type="expression" dxfId="4" priority="209">
      <formula>COUNTIF(INDIRECT("Checklist!$A70"), "FALSE") = 1</formula>
    </cfRule>
    <cfRule type="notContainsBlanks" dxfId="7" priority="210">
      <formula>LEN(TRIM(D12))&gt;0</formula>
    </cfRule>
  </conditionalFormatting>
  <conditionalFormatting sqref="D123">
    <cfRule type="expression" dxfId="3" priority="2738">
      <formula>COUNTIF(INDIRECT("Checklist!$A904"), "TRUE") = 1</formula>
    </cfRule>
    <cfRule type="expression" dxfId="4" priority="2739">
      <formula>COUNTIF(INDIRECT("Checklist!$A904"), "FALSE") = 1</formula>
    </cfRule>
    <cfRule type="notContainsBlanks" dxfId="7" priority="2740">
      <formula>LEN(TRIM(D123))&gt;0</formula>
    </cfRule>
  </conditionalFormatting>
  <conditionalFormatting sqref="D13">
    <cfRule type="expression" dxfId="3" priority="226">
      <formula>COUNTIF(INDIRECT("Checklist!$A76"), "TRUE") = 1</formula>
    </cfRule>
    <cfRule type="expression" dxfId="4" priority="227">
      <formula>COUNTIF(INDIRECT("Checklist!$A76"), "FALSE") = 1</formula>
    </cfRule>
    <cfRule type="notContainsBlanks" dxfId="7" priority="228">
      <formula>LEN(TRIM(D13))&gt;0</formula>
    </cfRule>
  </conditionalFormatting>
  <conditionalFormatting sqref="D131">
    <cfRule type="expression" dxfId="3" priority="2845">
      <formula>COUNTIF(INDIRECT("Checklist!$A939"), "TRUE") = 1</formula>
    </cfRule>
    <cfRule type="expression" dxfId="4" priority="2846">
      <formula>COUNTIF(INDIRECT("Checklist!$A939"), "FALSE") = 1</formula>
    </cfRule>
    <cfRule type="notContainsBlanks" dxfId="7" priority="2847">
      <formula>LEN(TRIM(D131))&gt;0</formula>
    </cfRule>
  </conditionalFormatting>
  <conditionalFormatting sqref="D132">
    <cfRule type="expression" dxfId="3" priority="2863">
      <formula>COUNTIF(INDIRECT("Checklist!$A945"), "TRUE") = 1</formula>
    </cfRule>
    <cfRule type="expression" dxfId="4" priority="2864">
      <formula>COUNTIF(INDIRECT("Checklist!$A945"), "FALSE") = 1</formula>
    </cfRule>
    <cfRule type="notContainsBlanks" dxfId="7" priority="2865">
      <formula>LEN(TRIM(D132))&gt;0</formula>
    </cfRule>
  </conditionalFormatting>
  <conditionalFormatting sqref="D133">
    <cfRule type="expression" dxfId="3" priority="2881">
      <formula>COUNTIF(INDIRECT("Checklist!$A951"), "TRUE") = 1</formula>
    </cfRule>
    <cfRule type="expression" dxfId="4" priority="2882">
      <formula>COUNTIF(INDIRECT("Checklist!$A951"), "FALSE") = 1</formula>
    </cfRule>
    <cfRule type="notContainsBlanks" dxfId="7" priority="2883">
      <formula>LEN(TRIM(D133))&gt;0</formula>
    </cfRule>
  </conditionalFormatting>
  <conditionalFormatting sqref="D134">
    <cfRule type="expression" dxfId="3" priority="2899">
      <formula>COUNTIF(INDIRECT("Checklist!$A957"), "TRUE") = 1</formula>
    </cfRule>
    <cfRule type="expression" dxfId="4" priority="2900">
      <formula>COUNTIF(INDIRECT("Checklist!$A957"), "FALSE") = 1</formula>
    </cfRule>
    <cfRule type="notContainsBlanks" dxfId="7" priority="2901">
      <formula>LEN(TRIM(D134))&gt;0</formula>
    </cfRule>
  </conditionalFormatting>
  <conditionalFormatting sqref="D135">
    <cfRule type="expression" dxfId="3" priority="2917">
      <formula>COUNTIF(INDIRECT("Checklist!$A963"), "TRUE") = 1</formula>
    </cfRule>
    <cfRule type="expression" dxfId="4" priority="2918">
      <formula>COUNTIF(INDIRECT("Checklist!$A963"), "FALSE") = 1</formula>
    </cfRule>
    <cfRule type="notContainsBlanks" dxfId="7" priority="2919">
      <formula>LEN(TRIM(D135))&gt;0</formula>
    </cfRule>
  </conditionalFormatting>
  <conditionalFormatting sqref="D139">
    <cfRule type="expression" dxfId="3" priority="3027">
      <formula>COUNTIF(INDIRECT("Checklist!$A999"), "TRUE") = 1</formula>
    </cfRule>
    <cfRule type="expression" dxfId="4" priority="3028">
      <formula>COUNTIF(INDIRECT("Checklist!$A999"), "FALSE") = 1</formula>
    </cfRule>
    <cfRule type="notContainsBlanks" dxfId="7" priority="3029">
      <formula>LEN(TRIM(D139))&gt;0</formula>
    </cfRule>
  </conditionalFormatting>
  <conditionalFormatting sqref="D14">
    <cfRule type="expression" dxfId="3" priority="244">
      <formula>COUNTIF(INDIRECT("Checklist!$A82"), "TRUE") = 1</formula>
    </cfRule>
    <cfRule type="expression" dxfId="4" priority="245">
      <formula>COUNTIF(INDIRECT("Checklist!$A82"), "FALSE") = 1</formula>
    </cfRule>
    <cfRule type="notContainsBlanks" dxfId="7" priority="246">
      <formula>LEN(TRIM(D14))&gt;0</formula>
    </cfRule>
  </conditionalFormatting>
  <conditionalFormatting sqref="D140">
    <cfRule type="expression" dxfId="3" priority="3045">
      <formula>COUNTIF(INDIRECT("Checklist!$A1005"), "TRUE") = 1</formula>
    </cfRule>
    <cfRule type="expression" dxfId="4" priority="3046">
      <formula>COUNTIF(INDIRECT("Checklist!$A1005"), "FALSE") = 1</formula>
    </cfRule>
    <cfRule type="notContainsBlanks" dxfId="7" priority="3047">
      <formula>LEN(TRIM(D140))&gt;0</formula>
    </cfRule>
  </conditionalFormatting>
  <conditionalFormatting sqref="D147">
    <cfRule type="expression" dxfId="3" priority="3092">
      <formula>COUNTIF(INDIRECT("Checklist!$A1018"), "TRUE") = 1</formula>
    </cfRule>
    <cfRule type="expression" dxfId="4" priority="3093">
      <formula>COUNTIF(INDIRECT("Checklist!$A1018"), "FALSE") = 1</formula>
    </cfRule>
    <cfRule type="notContainsBlanks" dxfId="7" priority="3094">
      <formula>LEN(TRIM(D147))&gt;0</formula>
    </cfRule>
  </conditionalFormatting>
  <conditionalFormatting sqref="D148">
    <cfRule type="expression" dxfId="3" priority="3110">
      <formula>COUNTIF(INDIRECT("Checklist!$A1024"), "TRUE") = 1</formula>
    </cfRule>
    <cfRule type="expression" dxfId="4" priority="3111">
      <formula>COUNTIF(INDIRECT("Checklist!$A1024"), "FALSE") = 1</formula>
    </cfRule>
    <cfRule type="notContainsBlanks" dxfId="7" priority="3112">
      <formula>LEN(TRIM(D148))&gt;0</formula>
    </cfRule>
  </conditionalFormatting>
  <conditionalFormatting sqref="D149">
    <cfRule type="expression" dxfId="3" priority="3128">
      <formula>COUNTIF(INDIRECT("Checklist!$A1030"), "TRUE") = 1</formula>
    </cfRule>
    <cfRule type="expression" dxfId="4" priority="3129">
      <formula>COUNTIF(INDIRECT("Checklist!$A1030"), "FALSE") = 1</formula>
    </cfRule>
    <cfRule type="notContainsBlanks" dxfId="7" priority="3130">
      <formula>LEN(TRIM(D149))&gt;0</formula>
    </cfRule>
  </conditionalFormatting>
  <conditionalFormatting sqref="D15">
    <cfRule type="expression" dxfId="3" priority="262">
      <formula>COUNTIF(INDIRECT("Checklist!$A88"), "TRUE") = 1</formula>
    </cfRule>
    <cfRule type="expression" dxfId="4" priority="263">
      <formula>COUNTIF(INDIRECT("Checklist!$A88"), "FALSE") = 1</formula>
    </cfRule>
    <cfRule type="notContainsBlanks" dxfId="7" priority="264">
      <formula>LEN(TRIM(D15))&gt;0</formula>
    </cfRule>
  </conditionalFormatting>
  <conditionalFormatting sqref="D150">
    <cfRule type="expression" dxfId="3" priority="3146">
      <formula>COUNTIF(INDIRECT("Checklist!$A1036"), "TRUE") = 1</formula>
    </cfRule>
    <cfRule type="expression" dxfId="4" priority="3147">
      <formula>COUNTIF(INDIRECT("Checklist!$A1036"), "FALSE") = 1</formula>
    </cfRule>
    <cfRule type="notContainsBlanks" dxfId="7" priority="3148">
      <formula>LEN(TRIM(D150))&gt;0</formula>
    </cfRule>
  </conditionalFormatting>
  <conditionalFormatting sqref="D151">
    <cfRule type="expression" dxfId="3" priority="3164">
      <formula>COUNTIF(INDIRECT("Checklist!$A1042"), "TRUE") = 1</formula>
    </cfRule>
    <cfRule type="expression" dxfId="4" priority="3165">
      <formula>COUNTIF(INDIRECT("Checklist!$A1042"), "FALSE") = 1</formula>
    </cfRule>
    <cfRule type="notContainsBlanks" dxfId="7" priority="3166">
      <formula>LEN(TRIM(D151))&gt;0</formula>
    </cfRule>
  </conditionalFormatting>
  <conditionalFormatting sqref="D155">
    <cfRule type="expression" dxfId="3" priority="3256">
      <formula>COUNTIF(INDIRECT("Checklist!$A1060"), "TRUE") = 1</formula>
    </cfRule>
    <cfRule type="expression" dxfId="4" priority="3257">
      <formula>COUNTIF(INDIRECT("Checklist!$A1060"), "FALSE") = 1</formula>
    </cfRule>
    <cfRule type="notContainsBlanks" dxfId="7" priority="3258">
      <formula>LEN(TRIM(D155))&gt;0</formula>
    </cfRule>
  </conditionalFormatting>
  <conditionalFormatting sqref="D156">
    <cfRule type="expression" dxfId="3" priority="3274">
      <formula>COUNTIF(INDIRECT("Checklist!$A1063"), "TRUE") = 1</formula>
    </cfRule>
    <cfRule type="expression" dxfId="4" priority="3275">
      <formula>COUNTIF(INDIRECT("Checklist!$A1063"), "FALSE") = 1</formula>
    </cfRule>
    <cfRule type="notContainsBlanks" dxfId="7" priority="3276">
      <formula>LEN(TRIM(D156))&gt;0</formula>
    </cfRule>
  </conditionalFormatting>
  <conditionalFormatting sqref="D157">
    <cfRule type="expression" dxfId="3" priority="3292">
      <formula>COUNTIF(INDIRECT("Checklist!$None"), "TRUE") = 1</formula>
    </cfRule>
    <cfRule type="expression" dxfId="4" priority="3293">
      <formula>COUNTIF(INDIRECT("Checklist!$None"), "FALSE") = 1</formula>
    </cfRule>
    <cfRule type="notContainsBlanks" dxfId="7" priority="3294">
      <formula>LEN(TRIM(D157))&gt;0</formula>
    </cfRule>
  </conditionalFormatting>
  <conditionalFormatting sqref="D158">
    <cfRule type="expression" dxfId="3" priority="3310">
      <formula>COUNTIF(INDIRECT("Checklist!$A643"), "TRUE") = 1</formula>
    </cfRule>
    <cfRule type="expression" dxfId="4" priority="3311">
      <formula>COUNTIF(INDIRECT("Checklist!$A643"), "FALSE") = 1</formula>
    </cfRule>
    <cfRule type="notContainsBlanks" dxfId="7" priority="3312">
      <formula>LEN(TRIM(D158))&gt;0</formula>
    </cfRule>
  </conditionalFormatting>
  <conditionalFormatting sqref="D163">
    <cfRule type="expression" dxfId="3" priority="3405">
      <formula>COUNTIF(INDIRECT("Checklist!$A1086"), "TRUE") = 1</formula>
    </cfRule>
    <cfRule type="expression" dxfId="4" priority="3406">
      <formula>COUNTIF(INDIRECT("Checklist!$A1086"), "FALSE") = 1</formula>
    </cfRule>
    <cfRule type="notContainsBlanks" dxfId="7" priority="3407">
      <formula>LEN(TRIM(D163))&gt;0</formula>
    </cfRule>
  </conditionalFormatting>
  <conditionalFormatting sqref="D164">
    <cfRule type="expression" dxfId="3" priority="3423">
      <formula>COUNTIF(INDIRECT("Checklist!$A1090"), "TRUE") = 1</formula>
    </cfRule>
    <cfRule type="expression" dxfId="4" priority="3424">
      <formula>COUNTIF(INDIRECT("Checklist!$A1090"), "FALSE") = 1</formula>
    </cfRule>
    <cfRule type="notContainsBlanks" dxfId="7" priority="3425">
      <formula>LEN(TRIM(D164))&gt;0</formula>
    </cfRule>
  </conditionalFormatting>
  <conditionalFormatting sqref="D165">
    <cfRule type="expression" dxfId="3" priority="3441">
      <formula>COUNTIF(INDIRECT("Checklist!$A1094"), "TRUE") = 1</formula>
    </cfRule>
    <cfRule type="expression" dxfId="4" priority="3442">
      <formula>COUNTIF(INDIRECT("Checklist!$A1094"), "FALSE") = 1</formula>
    </cfRule>
    <cfRule type="notContainsBlanks" dxfId="7" priority="3443">
      <formula>LEN(TRIM(D165))&gt;0</formula>
    </cfRule>
  </conditionalFormatting>
  <conditionalFormatting sqref="D166">
    <cfRule type="expression" dxfId="3" priority="3459">
      <formula>COUNTIF(INDIRECT("Checklist!$None"), "TRUE") = 1</formula>
    </cfRule>
    <cfRule type="expression" dxfId="4" priority="3460">
      <formula>COUNTIF(INDIRECT("Checklist!$None"), "FALSE") = 1</formula>
    </cfRule>
    <cfRule type="notContainsBlanks" dxfId="7" priority="3461">
      <formula>LEN(TRIM(D166))&gt;0</formula>
    </cfRule>
  </conditionalFormatting>
  <conditionalFormatting sqref="D167">
    <cfRule type="expression" dxfId="3" priority="3477">
      <formula>COUNTIF(INDIRECT("Checklist!$A719"), "TRUE") = 1</formula>
    </cfRule>
    <cfRule type="expression" dxfId="4" priority="3478">
      <formula>COUNTIF(INDIRECT("Checklist!$A719"), "FALSE") = 1</formula>
    </cfRule>
    <cfRule type="notContainsBlanks" dxfId="7" priority="3479">
      <formula>LEN(TRIM(D167))&gt;0</formula>
    </cfRule>
  </conditionalFormatting>
  <conditionalFormatting sqref="D171">
    <cfRule type="expression" dxfId="3" priority="3557">
      <formula>COUNTIF(INDIRECT("Checklist!$A1122"), "TRUE") = 1</formula>
    </cfRule>
    <cfRule type="expression" dxfId="4" priority="3558">
      <formula>COUNTIF(INDIRECT("Checklist!$A1122"), "FALSE") = 1</formula>
    </cfRule>
    <cfRule type="notContainsBlanks" dxfId="7" priority="3559">
      <formula>LEN(TRIM(D171))&gt;0</formula>
    </cfRule>
  </conditionalFormatting>
  <conditionalFormatting sqref="D172">
    <cfRule type="expression" dxfId="3" priority="3575">
      <formula>COUNTIF(INDIRECT("Checklist!$A746"), "TRUE") = 1</formula>
    </cfRule>
    <cfRule type="expression" dxfId="4" priority="3576">
      <formula>COUNTIF(INDIRECT("Checklist!$A746"), "FALSE") = 1</formula>
    </cfRule>
    <cfRule type="notContainsBlanks" dxfId="7" priority="3577">
      <formula>LEN(TRIM(D172))&gt;0</formula>
    </cfRule>
  </conditionalFormatting>
  <conditionalFormatting sqref="D173">
    <cfRule type="expression" dxfId="3" priority="3593">
      <formula>COUNTIF(INDIRECT("Checklist!$A1128"), "TRUE") = 1</formula>
    </cfRule>
    <cfRule type="expression" dxfId="4" priority="3594">
      <formula>COUNTIF(INDIRECT("Checklist!$A1128"), "FALSE") = 1</formula>
    </cfRule>
    <cfRule type="notContainsBlanks" dxfId="7" priority="3595">
      <formula>LEN(TRIM(D173))&gt;0</formula>
    </cfRule>
  </conditionalFormatting>
  <conditionalFormatting sqref="D174">
    <cfRule type="expression" dxfId="3" priority="3611">
      <formula>COUNTIF(INDIRECT("Checklist!$A1133"), "TRUE") = 1</formula>
    </cfRule>
    <cfRule type="expression" dxfId="4" priority="3612">
      <formula>COUNTIF(INDIRECT("Checklist!$A1133"), "FALSE") = 1</formula>
    </cfRule>
    <cfRule type="notContainsBlanks" dxfId="7" priority="3613">
      <formula>LEN(TRIM(D174))&gt;0</formula>
    </cfRule>
  </conditionalFormatting>
  <conditionalFormatting sqref="D179">
    <cfRule type="expression" dxfId="3" priority="3703">
      <formula>COUNTIF(INDIRECT("Checklist!$A1141"), "TRUE") = 1</formula>
    </cfRule>
    <cfRule type="expression" dxfId="4" priority="3704">
      <formula>COUNTIF(INDIRECT("Checklist!$A1141"), "FALSE") = 1</formula>
    </cfRule>
    <cfRule type="notContainsBlanks" dxfId="7" priority="3705">
      <formula>LEN(TRIM(D179))&gt;0</formula>
    </cfRule>
  </conditionalFormatting>
  <conditionalFormatting sqref="D180">
    <cfRule type="expression" dxfId="3" priority="3721">
      <formula>COUNTIF(INDIRECT("Checklist!$A1147"), "TRUE") = 1</formula>
    </cfRule>
    <cfRule type="expression" dxfId="4" priority="3722">
      <formula>COUNTIF(INDIRECT("Checklist!$A1147"), "FALSE") = 1</formula>
    </cfRule>
    <cfRule type="notContainsBlanks" dxfId="7" priority="3723">
      <formula>LEN(TRIM(D180))&gt;0</formula>
    </cfRule>
  </conditionalFormatting>
  <conditionalFormatting sqref="D181">
    <cfRule type="expression" dxfId="3" priority="3739">
      <formula>COUNTIF(INDIRECT("Checklist!$A1153"), "TRUE") = 1</formula>
    </cfRule>
    <cfRule type="expression" dxfId="4" priority="3740">
      <formula>COUNTIF(INDIRECT("Checklist!$A1153"), "FALSE") = 1</formula>
    </cfRule>
    <cfRule type="notContainsBlanks" dxfId="7" priority="3741">
      <formula>LEN(TRIM(D181))&gt;0</formula>
    </cfRule>
  </conditionalFormatting>
  <conditionalFormatting sqref="D182">
    <cfRule type="expression" dxfId="3" priority="3757">
      <formula>COUNTIF(INDIRECT("Checklist!$A1159"), "TRUE") = 1</formula>
    </cfRule>
    <cfRule type="expression" dxfId="4" priority="3758">
      <formula>COUNTIF(INDIRECT("Checklist!$A1159"), "FALSE") = 1</formula>
    </cfRule>
    <cfRule type="notContainsBlanks" dxfId="7" priority="3759">
      <formula>LEN(TRIM(D182))&gt;0</formula>
    </cfRule>
  </conditionalFormatting>
  <conditionalFormatting sqref="D183">
    <cfRule type="expression" dxfId="3" priority="3775">
      <formula>COUNTIF(INDIRECT("Checklist!$A1165"), "TRUE") = 1</formula>
    </cfRule>
    <cfRule type="expression" dxfId="4" priority="3776">
      <formula>COUNTIF(INDIRECT("Checklist!$A1165"), "FALSE") = 1</formula>
    </cfRule>
    <cfRule type="notContainsBlanks" dxfId="7" priority="3777">
      <formula>LEN(TRIM(D183))&gt;0</formula>
    </cfRule>
  </conditionalFormatting>
  <conditionalFormatting sqref="D187">
    <cfRule type="expression" dxfId="3" priority="3873">
      <formula>COUNTIF(INDIRECT("Checklist!$A1197"), "TRUE") = 1</formula>
    </cfRule>
    <cfRule type="expression" dxfId="4" priority="3874">
      <formula>COUNTIF(INDIRECT("Checklist!$A1197"), "FALSE") = 1</formula>
    </cfRule>
    <cfRule type="notContainsBlanks" dxfId="7" priority="3875">
      <formula>LEN(TRIM(D187))&gt;0</formula>
    </cfRule>
  </conditionalFormatting>
  <conditionalFormatting sqref="D19">
    <cfRule type="expression" dxfId="3" priority="372">
      <formula>COUNTIF(INDIRECT("Checklist!$A124"), "TRUE") = 1</formula>
    </cfRule>
    <cfRule type="expression" dxfId="4" priority="373">
      <formula>COUNTIF(INDIRECT("Checklist!$A124"), "FALSE") = 1</formula>
    </cfRule>
    <cfRule type="notContainsBlanks" dxfId="7" priority="374">
      <formula>LEN(TRIM(D19))&gt;0</formula>
    </cfRule>
  </conditionalFormatting>
  <conditionalFormatting sqref="D195">
    <cfRule type="expression" dxfId="3" priority="3986">
      <formula>COUNTIF(INDIRECT("Checklist!$A1234"), "TRUE") = 1</formula>
    </cfRule>
    <cfRule type="expression" dxfId="4" priority="3987">
      <formula>COUNTIF(INDIRECT("Checklist!$A1234"), "FALSE") = 1</formula>
    </cfRule>
    <cfRule type="notContainsBlanks" dxfId="7" priority="3988">
      <formula>LEN(TRIM(D195))&gt;0</formula>
    </cfRule>
  </conditionalFormatting>
  <conditionalFormatting sqref="D20">
    <cfRule type="expression" dxfId="3" priority="390">
      <formula>COUNTIF(INDIRECT("Checklist!$A130"), "TRUE") = 1</formula>
    </cfRule>
    <cfRule type="expression" dxfId="4" priority="391">
      <formula>COUNTIF(INDIRECT("Checklist!$A130"), "FALSE") = 1</formula>
    </cfRule>
    <cfRule type="notContainsBlanks" dxfId="7" priority="392">
      <formula>LEN(TRIM(D20))&gt;0</formula>
    </cfRule>
  </conditionalFormatting>
  <conditionalFormatting sqref="D203">
    <cfRule type="expression" dxfId="3" priority="4012">
      <formula>COUNTIF(INDIRECT("Checklist!$A1242"), "TRUE") = 1</formula>
    </cfRule>
    <cfRule type="expression" dxfId="4" priority="4013">
      <formula>COUNTIF(INDIRECT("Checklist!$A1242"), "FALSE") = 1</formula>
    </cfRule>
    <cfRule type="notContainsBlanks" dxfId="7" priority="4014">
      <formula>LEN(TRIM(D203))&gt;0</formula>
    </cfRule>
  </conditionalFormatting>
  <conditionalFormatting sqref="D204">
    <cfRule type="expression" dxfId="3" priority="4030">
      <formula>COUNTIF(INDIRECT("Checklist!$A1248"), "TRUE") = 1</formula>
    </cfRule>
    <cfRule type="expression" dxfId="4" priority="4031">
      <formula>COUNTIF(INDIRECT("Checklist!$A1248"), "FALSE") = 1</formula>
    </cfRule>
    <cfRule type="notContainsBlanks" dxfId="7" priority="4032">
      <formula>LEN(TRIM(D204))&gt;0</formula>
    </cfRule>
  </conditionalFormatting>
  <conditionalFormatting sqref="D205">
    <cfRule type="expression" dxfId="3" priority="4048">
      <formula>COUNTIF(INDIRECT("Checklist!$A1254"), "TRUE") = 1</formula>
    </cfRule>
    <cfRule type="expression" dxfId="4" priority="4049">
      <formula>COUNTIF(INDIRECT("Checklist!$A1254"), "FALSE") = 1</formula>
    </cfRule>
    <cfRule type="notContainsBlanks" dxfId="7" priority="4050">
      <formula>LEN(TRIM(D205))&gt;0</formula>
    </cfRule>
  </conditionalFormatting>
  <conditionalFormatting sqref="D21">
    <cfRule type="expression" dxfId="3" priority="408">
      <formula>COUNTIF(INDIRECT("Checklist!$A136"), "TRUE") = 1</formula>
    </cfRule>
    <cfRule type="expression" dxfId="4" priority="409">
      <formula>COUNTIF(INDIRECT("Checklist!$A136"), "FALSE") = 1</formula>
    </cfRule>
    <cfRule type="notContainsBlanks" dxfId="7" priority="410">
      <formula>LEN(TRIM(D21))&gt;0</formula>
    </cfRule>
  </conditionalFormatting>
  <conditionalFormatting sqref="D211">
    <cfRule type="expression" dxfId="3" priority="4125">
      <formula>COUNTIF(INDIRECT("Checklist!$A1279"), "TRUE") = 1</formula>
    </cfRule>
    <cfRule type="expression" dxfId="4" priority="4126">
      <formula>COUNTIF(INDIRECT("Checklist!$A1279"), "FALSE") = 1</formula>
    </cfRule>
    <cfRule type="notContainsBlanks" dxfId="7" priority="4127">
      <formula>LEN(TRIM(D211))&gt;0</formula>
    </cfRule>
  </conditionalFormatting>
  <conditionalFormatting sqref="D212">
    <cfRule type="expression" dxfId="3" priority="4143">
      <formula>COUNTIF(INDIRECT("Checklist!$A1285"), "TRUE") = 1</formula>
    </cfRule>
    <cfRule type="expression" dxfId="4" priority="4144">
      <formula>COUNTIF(INDIRECT("Checklist!$A1285"), "FALSE") = 1</formula>
    </cfRule>
    <cfRule type="notContainsBlanks" dxfId="7" priority="4145">
      <formula>LEN(TRIM(D212))&gt;0</formula>
    </cfRule>
  </conditionalFormatting>
  <conditionalFormatting sqref="D213">
    <cfRule type="expression" dxfId="3" priority="4161">
      <formula>COUNTIF(INDIRECT("Checklist!$A1291"), "TRUE") = 1</formula>
    </cfRule>
    <cfRule type="expression" dxfId="4" priority="4162">
      <formula>COUNTIF(INDIRECT("Checklist!$A1291"), "FALSE") = 1</formula>
    </cfRule>
    <cfRule type="notContainsBlanks" dxfId="7" priority="4163">
      <formula>LEN(TRIM(D213))&gt;0</formula>
    </cfRule>
  </conditionalFormatting>
  <conditionalFormatting sqref="D22">
    <cfRule type="expression" dxfId="3" priority="426">
      <formula>COUNTIF(INDIRECT("Checklist!$A142"), "TRUE") = 1</formula>
    </cfRule>
    <cfRule type="expression" dxfId="4" priority="427">
      <formula>COUNTIF(INDIRECT("Checklist!$A142"), "FALSE") = 1</formula>
    </cfRule>
    <cfRule type="notContainsBlanks" dxfId="7" priority="428">
      <formula>LEN(TRIM(D22))&gt;0</formula>
    </cfRule>
  </conditionalFormatting>
  <conditionalFormatting sqref="D23">
    <cfRule type="expression" dxfId="3" priority="444">
      <formula>COUNTIF(INDIRECT("Checklist!$A148"), "TRUE") = 1</formula>
    </cfRule>
    <cfRule type="expression" dxfId="4" priority="445">
      <formula>COUNTIF(INDIRECT("Checklist!$A148"), "FALSE") = 1</formula>
    </cfRule>
    <cfRule type="notContainsBlanks" dxfId="7" priority="446">
      <formula>LEN(TRIM(D23))&gt;0</formula>
    </cfRule>
  </conditionalFormatting>
  <conditionalFormatting sqref="D27">
    <cfRule type="expression" dxfId="3" priority="554">
      <formula>COUNTIF(INDIRECT("Checklist!$A184"), "TRUE") = 1</formula>
    </cfRule>
    <cfRule type="expression" dxfId="4" priority="555">
      <formula>COUNTIF(INDIRECT("Checklist!$A184"), "FALSE") = 1</formula>
    </cfRule>
    <cfRule type="notContainsBlanks" dxfId="7" priority="556">
      <formula>LEN(TRIM(D27))&gt;0</formula>
    </cfRule>
  </conditionalFormatting>
  <conditionalFormatting sqref="D28">
    <cfRule type="expression" dxfId="3" priority="572">
      <formula>COUNTIF(INDIRECT("Checklist!$A190"), "TRUE") = 1</formula>
    </cfRule>
    <cfRule type="expression" dxfId="4" priority="573">
      <formula>COUNTIF(INDIRECT("Checklist!$A190"), "FALSE") = 1</formula>
    </cfRule>
    <cfRule type="notContainsBlanks" dxfId="7" priority="574">
      <formula>LEN(TRIM(D28))&gt;0</formula>
    </cfRule>
  </conditionalFormatting>
  <conditionalFormatting sqref="D29">
    <cfRule type="expression" dxfId="3" priority="590">
      <formula>COUNTIF(INDIRECT("Checklist!$A196"), "TRUE") = 1</formula>
    </cfRule>
    <cfRule type="expression" dxfId="4" priority="591">
      <formula>COUNTIF(INDIRECT("Checklist!$A196"), "FALSE") = 1</formula>
    </cfRule>
    <cfRule type="notContainsBlanks" dxfId="7" priority="592">
      <formula>LEN(TRIM(D29))&gt;0</formula>
    </cfRule>
  </conditionalFormatting>
  <conditionalFormatting sqref="D3">
    <cfRule type="expression" dxfId="3" priority="8">
      <formula>COUNTIF(INDIRECT("Checklist!$A1202"), "TRUE") = 1</formula>
    </cfRule>
    <cfRule type="expression" dxfId="4" priority="9">
      <formula>COUNTIF(INDIRECT("Checklist!$A1202"), "FALSE") = 1</formula>
    </cfRule>
    <cfRule type="notContainsBlanks" dxfId="7" priority="10">
      <formula>LEN(TRIM(D3))&gt;0</formula>
    </cfRule>
  </conditionalFormatting>
  <conditionalFormatting sqref="D30">
    <cfRule type="expression" dxfId="3" priority="608">
      <formula>COUNTIF(INDIRECT("Checklist!$A202"), "TRUE") = 1</formula>
    </cfRule>
    <cfRule type="expression" dxfId="4" priority="609">
      <formula>COUNTIF(INDIRECT("Checklist!$A202"), "FALSE") = 1</formula>
    </cfRule>
    <cfRule type="notContainsBlanks" dxfId="7" priority="610">
      <formula>LEN(TRIM(D30))&gt;0</formula>
    </cfRule>
  </conditionalFormatting>
  <conditionalFormatting sqref="D31">
    <cfRule type="expression" dxfId="3" priority="626">
      <formula>COUNTIF(INDIRECT("Checklist!$A208"), "TRUE") = 1</formula>
    </cfRule>
    <cfRule type="expression" dxfId="4" priority="627">
      <formula>COUNTIF(INDIRECT("Checklist!$A208"), "FALSE") = 1</formula>
    </cfRule>
    <cfRule type="notContainsBlanks" dxfId="7" priority="628">
      <formula>LEN(TRIM(D31))&gt;0</formula>
    </cfRule>
  </conditionalFormatting>
  <conditionalFormatting sqref="D35">
    <cfRule type="expression" dxfId="3" priority="736">
      <formula>COUNTIF(INDIRECT("Checklist!$A244"), "TRUE") = 1</formula>
    </cfRule>
    <cfRule type="expression" dxfId="4" priority="737">
      <formula>COUNTIF(INDIRECT("Checklist!$A244"), "FALSE") = 1</formula>
    </cfRule>
    <cfRule type="notContainsBlanks" dxfId="7" priority="738">
      <formula>LEN(TRIM(D35))&gt;0</formula>
    </cfRule>
  </conditionalFormatting>
  <conditionalFormatting sqref="D36">
    <cfRule type="expression" dxfId="3" priority="754">
      <formula>COUNTIF(INDIRECT("Checklist!$A250"), "TRUE") = 1</formula>
    </cfRule>
    <cfRule type="expression" dxfId="4" priority="755">
      <formula>COUNTIF(INDIRECT("Checklist!$A250"), "FALSE") = 1</formula>
    </cfRule>
    <cfRule type="notContainsBlanks" dxfId="7" priority="756">
      <formula>LEN(TRIM(D36))&gt;0</formula>
    </cfRule>
  </conditionalFormatting>
  <conditionalFormatting sqref="D37">
    <cfRule type="expression" dxfId="3" priority="772">
      <formula>COUNTIF(INDIRECT("Checklist!$A256"), "TRUE") = 1</formula>
    </cfRule>
    <cfRule type="expression" dxfId="4" priority="773">
      <formula>COUNTIF(INDIRECT("Checklist!$A256"), "FALSE") = 1</formula>
    </cfRule>
    <cfRule type="notContainsBlanks" dxfId="7" priority="774">
      <formula>LEN(TRIM(D37))&gt;0</formula>
    </cfRule>
  </conditionalFormatting>
  <conditionalFormatting sqref="D38">
    <cfRule type="expression" dxfId="3" priority="790">
      <formula>COUNTIF(INDIRECT("Checklist!$A262"), "TRUE") = 1</formula>
    </cfRule>
    <cfRule type="expression" dxfId="4" priority="791">
      <formula>COUNTIF(INDIRECT("Checklist!$A262"), "FALSE") = 1</formula>
    </cfRule>
    <cfRule type="notContainsBlanks" dxfId="7" priority="792">
      <formula>LEN(TRIM(D38))&gt;0</formula>
    </cfRule>
  </conditionalFormatting>
  <conditionalFormatting sqref="D39">
    <cfRule type="expression" dxfId="3" priority="808">
      <formula>COUNTIF(INDIRECT("Checklist!$A268"), "TRUE") = 1</formula>
    </cfRule>
    <cfRule type="expression" dxfId="4" priority="809">
      <formula>COUNTIF(INDIRECT("Checklist!$A268"), "FALSE") = 1</formula>
    </cfRule>
    <cfRule type="notContainsBlanks" dxfId="7" priority="810">
      <formula>LEN(TRIM(D39))&gt;0</formula>
    </cfRule>
  </conditionalFormatting>
  <conditionalFormatting sqref="D4">
    <cfRule type="expression" dxfId="3" priority="26">
      <formula>COUNTIF(INDIRECT("Checklist!$A1205"), "TRUE") = 1</formula>
    </cfRule>
    <cfRule type="expression" dxfId="4" priority="27">
      <formula>COUNTIF(INDIRECT("Checklist!$A1205"), "FALSE") = 1</formula>
    </cfRule>
    <cfRule type="notContainsBlanks" dxfId="7" priority="28">
      <formula>LEN(TRIM(D4))&gt;0</formula>
    </cfRule>
  </conditionalFormatting>
  <conditionalFormatting sqref="D43">
    <cfRule type="expression" dxfId="3" priority="918">
      <formula>COUNTIF(INDIRECT("Checklist!$A304"), "TRUE") = 1</formula>
    </cfRule>
    <cfRule type="expression" dxfId="4" priority="919">
      <formula>COUNTIF(INDIRECT("Checklist!$A304"), "FALSE") = 1</formula>
    </cfRule>
    <cfRule type="notContainsBlanks" dxfId="7" priority="920">
      <formula>LEN(TRIM(D43))&gt;0</formula>
    </cfRule>
  </conditionalFormatting>
  <conditionalFormatting sqref="D44">
    <cfRule type="expression" dxfId="3" priority="936">
      <formula>COUNTIF(INDIRECT("Checklist!$A310"), "TRUE") = 1</formula>
    </cfRule>
    <cfRule type="expression" dxfId="4" priority="937">
      <formula>COUNTIF(INDIRECT("Checklist!$A310"), "FALSE") = 1</formula>
    </cfRule>
    <cfRule type="notContainsBlanks" dxfId="7" priority="938">
      <formula>LEN(TRIM(D44))&gt;0</formula>
    </cfRule>
  </conditionalFormatting>
  <conditionalFormatting sqref="D45">
    <cfRule type="expression" dxfId="3" priority="954">
      <formula>COUNTIF(INDIRECT("Checklist!$A316"), "TRUE") = 1</formula>
    </cfRule>
    <cfRule type="expression" dxfId="4" priority="955">
      <formula>COUNTIF(INDIRECT("Checklist!$A316"), "FALSE") = 1</formula>
    </cfRule>
    <cfRule type="notContainsBlanks" dxfId="7" priority="956">
      <formula>LEN(TRIM(D45))&gt;0</formula>
    </cfRule>
  </conditionalFormatting>
  <conditionalFormatting sqref="D46">
    <cfRule type="expression" dxfId="3" priority="972">
      <formula>COUNTIF(INDIRECT("Checklist!$A322"), "TRUE") = 1</formula>
    </cfRule>
    <cfRule type="expression" dxfId="4" priority="973">
      <formula>COUNTIF(INDIRECT("Checklist!$A322"), "FALSE") = 1</formula>
    </cfRule>
    <cfRule type="notContainsBlanks" dxfId="7" priority="974">
      <formula>LEN(TRIM(D46))&gt;0</formula>
    </cfRule>
  </conditionalFormatting>
  <conditionalFormatting sqref="D47">
    <cfRule type="expression" dxfId="3" priority="990">
      <formula>COUNTIF(INDIRECT("Checklist!$A328"), "TRUE") = 1</formula>
    </cfRule>
    <cfRule type="expression" dxfId="4" priority="991">
      <formula>COUNTIF(INDIRECT("Checklist!$A328"), "FALSE") = 1</formula>
    </cfRule>
    <cfRule type="notContainsBlanks" dxfId="7" priority="992">
      <formula>LEN(TRIM(D47))&gt;0</formula>
    </cfRule>
  </conditionalFormatting>
  <conditionalFormatting sqref="D5">
    <cfRule type="expression" dxfId="3" priority="44">
      <formula>COUNTIF(INDIRECT("Checklist!$A16"), "TRUE") = 1</formula>
    </cfRule>
    <cfRule type="expression" dxfId="4" priority="45">
      <formula>COUNTIF(INDIRECT("Checklist!$A16"), "FALSE") = 1</formula>
    </cfRule>
    <cfRule type="notContainsBlanks" dxfId="7" priority="46">
      <formula>LEN(TRIM(D5))&gt;0</formula>
    </cfRule>
  </conditionalFormatting>
  <conditionalFormatting sqref="D51">
    <cfRule type="expression" dxfId="3" priority="1100">
      <formula>COUNTIF(INDIRECT("Checklist!$A364"), "TRUE") = 1</formula>
    </cfRule>
    <cfRule type="expression" dxfId="4" priority="1101">
      <formula>COUNTIF(INDIRECT("Checklist!$A364"), "FALSE") = 1</formula>
    </cfRule>
    <cfRule type="notContainsBlanks" dxfId="7" priority="1102">
      <formula>LEN(TRIM(D51))&gt;0</formula>
    </cfRule>
  </conditionalFormatting>
  <conditionalFormatting sqref="D52">
    <cfRule type="expression" dxfId="3" priority="1118">
      <formula>COUNTIF(INDIRECT("Checklist!$A370"), "TRUE") = 1</formula>
    </cfRule>
    <cfRule type="expression" dxfId="4" priority="1119">
      <formula>COUNTIF(INDIRECT("Checklist!$A370"), "FALSE") = 1</formula>
    </cfRule>
    <cfRule type="notContainsBlanks" dxfId="7" priority="1120">
      <formula>LEN(TRIM(D52))&gt;0</formula>
    </cfRule>
  </conditionalFormatting>
  <conditionalFormatting sqref="D53">
    <cfRule type="expression" dxfId="3" priority="1136">
      <formula>COUNTIF(INDIRECT("Checklist!$A376"), "TRUE") = 1</formula>
    </cfRule>
    <cfRule type="expression" dxfId="4" priority="1137">
      <formula>COUNTIF(INDIRECT("Checklist!$A376"), "FALSE") = 1</formula>
    </cfRule>
    <cfRule type="notContainsBlanks" dxfId="7" priority="1138">
      <formula>LEN(TRIM(D53))&gt;0</formula>
    </cfRule>
  </conditionalFormatting>
  <conditionalFormatting sqref="D54">
    <cfRule type="expression" dxfId="3" priority="1154">
      <formula>COUNTIF(INDIRECT("Checklist!$A382"), "TRUE") = 1</formula>
    </cfRule>
    <cfRule type="expression" dxfId="4" priority="1155">
      <formula>COUNTIF(INDIRECT("Checklist!$A382"), "FALSE") = 1</formula>
    </cfRule>
    <cfRule type="notContainsBlanks" dxfId="7" priority="1156">
      <formula>LEN(TRIM(D54))&gt;0</formula>
    </cfRule>
  </conditionalFormatting>
  <conditionalFormatting sqref="D55">
    <cfRule type="expression" dxfId="3" priority="1172">
      <formula>COUNTIF(INDIRECT("Checklist!$A388"), "TRUE") = 1</formula>
    </cfRule>
    <cfRule type="expression" dxfId="4" priority="1173">
      <formula>COUNTIF(INDIRECT("Checklist!$A388"), "FALSE") = 1</formula>
    </cfRule>
    <cfRule type="notContainsBlanks" dxfId="7" priority="1174">
      <formula>LEN(TRIM(D55))&gt;0</formula>
    </cfRule>
  </conditionalFormatting>
  <conditionalFormatting sqref="D59">
    <cfRule type="expression" dxfId="3" priority="1282">
      <formula>COUNTIF(INDIRECT("Checklist!$A424"), "TRUE") = 1</formula>
    </cfRule>
    <cfRule type="expression" dxfId="4" priority="1283">
      <formula>COUNTIF(INDIRECT("Checklist!$A424"), "FALSE") = 1</formula>
    </cfRule>
    <cfRule type="notContainsBlanks" dxfId="7" priority="1284">
      <formula>LEN(TRIM(D59))&gt;0</formula>
    </cfRule>
  </conditionalFormatting>
  <conditionalFormatting sqref="D6">
    <cfRule type="expression" dxfId="3" priority="62">
      <formula>COUNTIF(INDIRECT("Checklist!$A22"), "TRUE") = 1</formula>
    </cfRule>
    <cfRule type="expression" dxfId="4" priority="63">
      <formula>COUNTIF(INDIRECT("Checklist!$A22"), "FALSE") = 1</formula>
    </cfRule>
    <cfRule type="notContainsBlanks" dxfId="7" priority="64">
      <formula>LEN(TRIM(D6))&gt;0</formula>
    </cfRule>
  </conditionalFormatting>
  <conditionalFormatting sqref="D60">
    <cfRule type="expression" dxfId="3" priority="1300">
      <formula>COUNTIF(INDIRECT("Checklist!$A430"), "TRUE") = 1</formula>
    </cfRule>
    <cfRule type="expression" dxfId="4" priority="1301">
      <formula>COUNTIF(INDIRECT("Checklist!$A430"), "FALSE") = 1</formula>
    </cfRule>
    <cfRule type="notContainsBlanks" dxfId="7" priority="1302">
      <formula>LEN(TRIM(D60))&gt;0</formula>
    </cfRule>
  </conditionalFormatting>
  <conditionalFormatting sqref="D61">
    <cfRule type="expression" dxfId="3" priority="1318">
      <formula>COUNTIF(INDIRECT("Checklist!$A436"), "TRUE") = 1</formula>
    </cfRule>
    <cfRule type="expression" dxfId="4" priority="1319">
      <formula>COUNTIF(INDIRECT("Checklist!$A436"), "FALSE") = 1</formula>
    </cfRule>
    <cfRule type="notContainsBlanks" dxfId="7" priority="1320">
      <formula>LEN(TRIM(D61))&gt;0</formula>
    </cfRule>
  </conditionalFormatting>
  <conditionalFormatting sqref="D62">
    <cfRule type="expression" dxfId="3" priority="1336">
      <formula>COUNTIF(INDIRECT("Checklist!$A442"), "TRUE") = 1</formula>
    </cfRule>
    <cfRule type="expression" dxfId="4" priority="1337">
      <formula>COUNTIF(INDIRECT("Checklist!$A442"), "FALSE") = 1</formula>
    </cfRule>
    <cfRule type="notContainsBlanks" dxfId="7" priority="1338">
      <formula>LEN(TRIM(D62))&gt;0</formula>
    </cfRule>
  </conditionalFormatting>
  <conditionalFormatting sqref="D63">
    <cfRule type="expression" dxfId="3" priority="1354">
      <formula>COUNTIF(INDIRECT("Checklist!$A448"), "TRUE") = 1</formula>
    </cfRule>
    <cfRule type="expression" dxfId="4" priority="1355">
      <formula>COUNTIF(INDIRECT("Checklist!$A448"), "FALSE") = 1</formula>
    </cfRule>
    <cfRule type="notContainsBlanks" dxfId="7" priority="1356">
      <formula>LEN(TRIM(D63))&gt;0</formula>
    </cfRule>
  </conditionalFormatting>
  <conditionalFormatting sqref="D67">
    <cfRule type="expression" dxfId="3" priority="1464">
      <formula>COUNTIF(INDIRECT("Checklist!$A484"), "TRUE") = 1</formula>
    </cfRule>
    <cfRule type="expression" dxfId="4" priority="1465">
      <formula>COUNTIF(INDIRECT("Checklist!$A484"), "FALSE") = 1</formula>
    </cfRule>
    <cfRule type="notContainsBlanks" dxfId="7" priority="1466">
      <formula>LEN(TRIM(D67))&gt;0</formula>
    </cfRule>
  </conditionalFormatting>
  <conditionalFormatting sqref="D68">
    <cfRule type="expression" dxfId="3" priority="1482">
      <formula>COUNTIF(INDIRECT("Checklist!$A490"), "TRUE") = 1</formula>
    </cfRule>
    <cfRule type="expression" dxfId="4" priority="1483">
      <formula>COUNTIF(INDIRECT("Checklist!$A490"), "FALSE") = 1</formula>
    </cfRule>
    <cfRule type="notContainsBlanks" dxfId="7" priority="1484">
      <formula>LEN(TRIM(D68))&gt;0</formula>
    </cfRule>
  </conditionalFormatting>
  <conditionalFormatting sqref="D69">
    <cfRule type="expression" dxfId="3" priority="1500">
      <formula>COUNTIF(INDIRECT("Checklist!$A496"), "TRUE") = 1</formula>
    </cfRule>
    <cfRule type="expression" dxfId="4" priority="1501">
      <formula>COUNTIF(INDIRECT("Checklist!$A496"), "FALSE") = 1</formula>
    </cfRule>
    <cfRule type="notContainsBlanks" dxfId="7" priority="1502">
      <formula>LEN(TRIM(D69))&gt;0</formula>
    </cfRule>
  </conditionalFormatting>
  <conditionalFormatting sqref="D7">
    <cfRule type="expression" dxfId="3" priority="80">
      <formula>COUNTIF(INDIRECT("Checklist!$A28"), "TRUE") = 1</formula>
    </cfRule>
    <cfRule type="expression" dxfId="4" priority="81">
      <formula>COUNTIF(INDIRECT("Checklist!$A28"), "FALSE") = 1</formula>
    </cfRule>
    <cfRule type="notContainsBlanks" dxfId="7" priority="82">
      <formula>LEN(TRIM(D7))&gt;0</formula>
    </cfRule>
  </conditionalFormatting>
  <conditionalFormatting sqref="D70">
    <cfRule type="expression" dxfId="3" priority="1518">
      <formula>COUNTIF(INDIRECT("Checklist!$A502"), "TRUE") = 1</formula>
    </cfRule>
    <cfRule type="expression" dxfId="4" priority="1519">
      <formula>COUNTIF(INDIRECT("Checklist!$A502"), "FALSE") = 1</formula>
    </cfRule>
    <cfRule type="notContainsBlanks" dxfId="7" priority="1520">
      <formula>LEN(TRIM(D70))&gt;0</formula>
    </cfRule>
  </conditionalFormatting>
  <conditionalFormatting sqref="D71">
    <cfRule type="expression" dxfId="3" priority="1536">
      <formula>COUNTIF(INDIRECT("Checklist!$A508"), "TRUE") = 1</formula>
    </cfRule>
    <cfRule type="expression" dxfId="4" priority="1537">
      <formula>COUNTIF(INDIRECT("Checklist!$A508"), "FALSE") = 1</formula>
    </cfRule>
    <cfRule type="notContainsBlanks" dxfId="7" priority="1538">
      <formula>LEN(TRIM(D71))&gt;0</formula>
    </cfRule>
  </conditionalFormatting>
  <conditionalFormatting sqref="D75">
    <cfRule type="expression" dxfId="3" priority="1646">
      <formula>COUNTIF(INDIRECT("Checklist!$A544"), "TRUE") = 1</formula>
    </cfRule>
    <cfRule type="expression" dxfId="4" priority="1647">
      <formula>COUNTIF(INDIRECT("Checklist!$A544"), "FALSE") = 1</formula>
    </cfRule>
    <cfRule type="notContainsBlanks" dxfId="7" priority="1648">
      <formula>LEN(TRIM(D75))&gt;0</formula>
    </cfRule>
  </conditionalFormatting>
  <conditionalFormatting sqref="D76">
    <cfRule type="expression" dxfId="3" priority="1664">
      <formula>COUNTIF(INDIRECT("Checklist!$A550"), "TRUE") = 1</formula>
    </cfRule>
    <cfRule type="expression" dxfId="4" priority="1665">
      <formula>COUNTIF(INDIRECT("Checklist!$A550"), "FALSE") = 1</formula>
    </cfRule>
    <cfRule type="notContainsBlanks" dxfId="7" priority="1666">
      <formula>LEN(TRIM(D76))&gt;0</formula>
    </cfRule>
  </conditionalFormatting>
  <conditionalFormatting sqref="D77">
    <cfRule type="expression" dxfId="3" priority="1682">
      <formula>COUNTIF(INDIRECT("Checklist!$A556"), "TRUE") = 1</formula>
    </cfRule>
    <cfRule type="expression" dxfId="4" priority="1683">
      <formula>COUNTIF(INDIRECT("Checklist!$A556"), "FALSE") = 1</formula>
    </cfRule>
    <cfRule type="notContainsBlanks" dxfId="7" priority="1684">
      <formula>LEN(TRIM(D77))&gt;0</formula>
    </cfRule>
  </conditionalFormatting>
  <conditionalFormatting sqref="D78">
    <cfRule type="expression" dxfId="3" priority="1700">
      <formula>COUNTIF(INDIRECT("Checklist!$A562"), "TRUE") = 1</formula>
    </cfRule>
    <cfRule type="expression" dxfId="4" priority="1701">
      <formula>COUNTIF(INDIRECT("Checklist!$A562"), "FALSE") = 1</formula>
    </cfRule>
    <cfRule type="notContainsBlanks" dxfId="7" priority="1702">
      <formula>LEN(TRIM(D78))&gt;0</formula>
    </cfRule>
  </conditionalFormatting>
  <conditionalFormatting sqref="D79">
    <cfRule type="expression" dxfId="3" priority="1718">
      <formula>COUNTIF(INDIRECT("Checklist!$A568"), "TRUE") = 1</formula>
    </cfRule>
    <cfRule type="expression" dxfId="4" priority="1719">
      <formula>COUNTIF(INDIRECT("Checklist!$A568"), "FALSE") = 1</formula>
    </cfRule>
    <cfRule type="notContainsBlanks" dxfId="7" priority="1720">
      <formula>LEN(TRIM(D79))&gt;0</formula>
    </cfRule>
  </conditionalFormatting>
  <conditionalFormatting sqref="D83">
    <cfRule type="expression" dxfId="3" priority="1828">
      <formula>COUNTIF(INDIRECT("Checklist!$A604"), "TRUE") = 1</formula>
    </cfRule>
    <cfRule type="expression" dxfId="4" priority="1829">
      <formula>COUNTIF(INDIRECT("Checklist!$A604"), "FALSE") = 1</formula>
    </cfRule>
    <cfRule type="notContainsBlanks" dxfId="7" priority="1830">
      <formula>LEN(TRIM(D83))&gt;0</formula>
    </cfRule>
  </conditionalFormatting>
  <conditionalFormatting sqref="D84">
    <cfRule type="expression" dxfId="3" priority="1846">
      <formula>COUNTIF(INDIRECT("Checklist!$A610"), "TRUE") = 1</formula>
    </cfRule>
    <cfRule type="expression" dxfId="4" priority="1847">
      <formula>COUNTIF(INDIRECT("Checklist!$A610"), "FALSE") = 1</formula>
    </cfRule>
    <cfRule type="notContainsBlanks" dxfId="7" priority="1848">
      <formula>LEN(TRIM(D84))&gt;0</formula>
    </cfRule>
  </conditionalFormatting>
  <conditionalFormatting sqref="D85">
    <cfRule type="expression" dxfId="3" priority="1864">
      <formula>COUNTIF(INDIRECT("Checklist!$A616"), "TRUE") = 1</formula>
    </cfRule>
    <cfRule type="expression" dxfId="4" priority="1865">
      <formula>COUNTIF(INDIRECT("Checklist!$A616"), "FALSE") = 1</formula>
    </cfRule>
    <cfRule type="notContainsBlanks" dxfId="7" priority="1866">
      <formula>LEN(TRIM(D85))&gt;0</formula>
    </cfRule>
  </conditionalFormatting>
  <conditionalFormatting sqref="D86">
    <cfRule type="expression" dxfId="3" priority="1882">
      <formula>COUNTIF(INDIRECT("Checklist!$A622"), "TRUE") = 1</formula>
    </cfRule>
    <cfRule type="expression" dxfId="4" priority="1883">
      <formula>COUNTIF(INDIRECT("Checklist!$A622"), "FALSE") = 1</formula>
    </cfRule>
    <cfRule type="notContainsBlanks" dxfId="7" priority="1884">
      <formula>LEN(TRIM(D86))&gt;0</formula>
    </cfRule>
  </conditionalFormatting>
  <conditionalFormatting sqref="D87">
    <cfRule type="expression" dxfId="3" priority="1900">
      <formula>COUNTIF(INDIRECT("Checklist!$A628"), "TRUE") = 1</formula>
    </cfRule>
    <cfRule type="expression" dxfId="4" priority="1901">
      <formula>COUNTIF(INDIRECT("Checklist!$A628"), "FALSE") = 1</formula>
    </cfRule>
    <cfRule type="notContainsBlanks" dxfId="7" priority="1902">
      <formula>LEN(TRIM(D87))&gt;0</formula>
    </cfRule>
  </conditionalFormatting>
  <conditionalFormatting sqref="D91">
    <cfRule type="expression" dxfId="3" priority="2010">
      <formula>COUNTIF(INDIRECT("Checklist!$A664"), "TRUE") = 1</formula>
    </cfRule>
    <cfRule type="expression" dxfId="4" priority="2011">
      <formula>COUNTIF(INDIRECT("Checklist!$A664"), "FALSE") = 1</formula>
    </cfRule>
    <cfRule type="notContainsBlanks" dxfId="7" priority="2012">
      <formula>LEN(TRIM(D91))&gt;0</formula>
    </cfRule>
  </conditionalFormatting>
  <conditionalFormatting sqref="D92">
    <cfRule type="expression" dxfId="3" priority="2028">
      <formula>COUNTIF(INDIRECT("Checklist!$A670"), "TRUE") = 1</formula>
    </cfRule>
    <cfRule type="expression" dxfId="4" priority="2029">
      <formula>COUNTIF(INDIRECT("Checklist!$A670"), "FALSE") = 1</formula>
    </cfRule>
    <cfRule type="notContainsBlanks" dxfId="7" priority="2030">
      <formula>LEN(TRIM(D92))&gt;0</formula>
    </cfRule>
  </conditionalFormatting>
  <conditionalFormatting sqref="D93">
    <cfRule type="expression" dxfId="3" priority="2046">
      <formula>COUNTIF(INDIRECT("Checklist!$A676"), "TRUE") = 1</formula>
    </cfRule>
    <cfRule type="expression" dxfId="4" priority="2047">
      <formula>COUNTIF(INDIRECT("Checklist!$A676"), "FALSE") = 1</formula>
    </cfRule>
    <cfRule type="notContainsBlanks" dxfId="7" priority="2048">
      <formula>LEN(TRIM(D93))&gt;0</formula>
    </cfRule>
  </conditionalFormatting>
  <conditionalFormatting sqref="D94">
    <cfRule type="expression" dxfId="3" priority="2064">
      <formula>COUNTIF(INDIRECT("Checklist!$A682"), "TRUE") = 1</formula>
    </cfRule>
    <cfRule type="expression" dxfId="4" priority="2065">
      <formula>COUNTIF(INDIRECT("Checklist!$A682"), "FALSE") = 1</formula>
    </cfRule>
    <cfRule type="notContainsBlanks" dxfId="7" priority="2066">
      <formula>LEN(TRIM(D94))&gt;0</formula>
    </cfRule>
  </conditionalFormatting>
  <conditionalFormatting sqref="D95">
    <cfRule type="expression" dxfId="3" priority="2082">
      <formula>COUNTIF(INDIRECT("Checklist!$A688"), "TRUE") = 1</formula>
    </cfRule>
    <cfRule type="expression" dxfId="4" priority="2083">
      <formula>COUNTIF(INDIRECT("Checklist!$A688"), "FALSE") = 1</formula>
    </cfRule>
    <cfRule type="notContainsBlanks" dxfId="7" priority="2084">
      <formula>LEN(TRIM(D95))&gt;0</formula>
    </cfRule>
  </conditionalFormatting>
  <conditionalFormatting sqref="D99">
    <cfRule type="expression" dxfId="3" priority="2192">
      <formula>COUNTIF(INDIRECT("Checklist!$A724"), "TRUE") = 1</formula>
    </cfRule>
    <cfRule type="expression" dxfId="4" priority="2193">
      <formula>COUNTIF(INDIRECT("Checklist!$A724"), "FALSE") = 1</formula>
    </cfRule>
    <cfRule type="notContainsBlanks" dxfId="7" priority="2194">
      <formula>LEN(TRIM(D99))&gt;0</formula>
    </cfRule>
  </conditionalFormatting>
  <conditionalFormatting sqref="E100">
    <cfRule type="expression" dxfId="3" priority="2213">
      <formula>COUNTIF(INDIRECT("Checklist!$A731"), "TRUE") = 1</formula>
    </cfRule>
    <cfRule type="expression" dxfId="4" priority="2214">
      <formula>COUNTIF(INDIRECT("Checklist!$A731"), "FALSE") = 1</formula>
    </cfRule>
    <cfRule type="notContainsBlanks" dxfId="7" priority="2215">
      <formula>LEN(TRIM(E100))&gt;0</formula>
    </cfRule>
  </conditionalFormatting>
  <conditionalFormatting sqref="E101">
    <cfRule type="expression" dxfId="3" priority="2231">
      <formula>COUNTIF(INDIRECT("Checklist!$A737"), "TRUE") = 1</formula>
    </cfRule>
    <cfRule type="expression" dxfId="4" priority="2232">
      <formula>COUNTIF(INDIRECT("Checklist!$A737"), "FALSE") = 1</formula>
    </cfRule>
    <cfRule type="notContainsBlanks" dxfId="7" priority="2233">
      <formula>LEN(TRIM(E101))&gt;0</formula>
    </cfRule>
  </conditionalFormatting>
  <conditionalFormatting sqref="E102">
    <cfRule type="expression" dxfId="3" priority="2249">
      <formula>COUNTIF(INDIRECT("Checklist!$A743"), "TRUE") = 1</formula>
    </cfRule>
    <cfRule type="expression" dxfId="4" priority="2250">
      <formula>COUNTIF(INDIRECT("Checklist!$A743"), "FALSE") = 1</formula>
    </cfRule>
    <cfRule type="notContainsBlanks" dxfId="7" priority="2251">
      <formula>LEN(TRIM(E102))&gt;0</formula>
    </cfRule>
  </conditionalFormatting>
  <conditionalFormatting sqref="E103">
    <cfRule type="expression" dxfId="3" priority="2267">
      <formula>COUNTIF(INDIRECT("Checklist!$A749"), "TRUE") = 1</formula>
    </cfRule>
    <cfRule type="expression" dxfId="4" priority="2268">
      <formula>COUNTIF(INDIRECT("Checklist!$A749"), "FALSE") = 1</formula>
    </cfRule>
    <cfRule type="notContainsBlanks" dxfId="7" priority="2269">
      <formula>LEN(TRIM(E103))&gt;0</formula>
    </cfRule>
  </conditionalFormatting>
  <conditionalFormatting sqref="E107">
    <cfRule type="expression" dxfId="3" priority="2377">
      <formula>COUNTIF(INDIRECT("Checklist!$A785"), "TRUE") = 1</formula>
    </cfRule>
    <cfRule type="expression" dxfId="4" priority="2378">
      <formula>COUNTIF(INDIRECT("Checklist!$A785"), "FALSE") = 1</formula>
    </cfRule>
    <cfRule type="notContainsBlanks" dxfId="7" priority="2379">
      <formula>LEN(TRIM(E107))&gt;0</formula>
    </cfRule>
  </conditionalFormatting>
  <conditionalFormatting sqref="E108">
    <cfRule type="expression" dxfId="3" priority="2395">
      <formula>COUNTIF(INDIRECT("Checklist!$A791"), "TRUE") = 1</formula>
    </cfRule>
    <cfRule type="expression" dxfId="4" priority="2396">
      <formula>COUNTIF(INDIRECT("Checklist!$A791"), "FALSE") = 1</formula>
    </cfRule>
    <cfRule type="notContainsBlanks" dxfId="7" priority="2397">
      <formula>LEN(TRIM(E108))&gt;0</formula>
    </cfRule>
  </conditionalFormatting>
  <conditionalFormatting sqref="E109">
    <cfRule type="expression" dxfId="3" priority="2413">
      <formula>COUNTIF(INDIRECT("Checklist!$A797"), "TRUE") = 1</formula>
    </cfRule>
    <cfRule type="expression" dxfId="4" priority="2414">
      <formula>COUNTIF(INDIRECT("Checklist!$A797"), "FALSE") = 1</formula>
    </cfRule>
    <cfRule type="notContainsBlanks" dxfId="7" priority="2415">
      <formula>LEN(TRIM(E109))&gt;0</formula>
    </cfRule>
  </conditionalFormatting>
  <conditionalFormatting sqref="E11">
    <cfRule type="expression" dxfId="3" priority="193">
      <formula>COUNTIF(INDIRECT("Checklist!$A65"), "TRUE") = 1</formula>
    </cfRule>
    <cfRule type="expression" dxfId="4" priority="194">
      <formula>COUNTIF(INDIRECT("Checklist!$A65"), "FALSE") = 1</formula>
    </cfRule>
    <cfRule type="notContainsBlanks" dxfId="7" priority="195">
      <formula>LEN(TRIM(E11))&gt;0</formula>
    </cfRule>
  </conditionalFormatting>
  <conditionalFormatting sqref="E110">
    <cfRule type="expression" dxfId="3" priority="2431">
      <formula>COUNTIF(INDIRECT("Checklist!$A803"), "TRUE") = 1</formula>
    </cfRule>
    <cfRule type="expression" dxfId="4" priority="2432">
      <formula>COUNTIF(INDIRECT("Checklist!$A803"), "FALSE") = 1</formula>
    </cfRule>
    <cfRule type="notContainsBlanks" dxfId="7" priority="2433">
      <formula>LEN(TRIM(E110))&gt;0</formula>
    </cfRule>
  </conditionalFormatting>
  <conditionalFormatting sqref="E111">
    <cfRule type="expression" dxfId="3" priority="2449">
      <formula>COUNTIF(INDIRECT("Checklist!$A809"), "TRUE") = 1</formula>
    </cfRule>
    <cfRule type="expression" dxfId="4" priority="2450">
      <formula>COUNTIF(INDIRECT("Checklist!$A809"), "FALSE") = 1</formula>
    </cfRule>
    <cfRule type="notContainsBlanks" dxfId="7" priority="2451">
      <formula>LEN(TRIM(E111))&gt;0</formula>
    </cfRule>
  </conditionalFormatting>
  <conditionalFormatting sqref="E115">
    <cfRule type="expression" dxfId="3" priority="2559">
      <formula>COUNTIF(INDIRECT("Checklist!$A1229"), "TRUE") = 1</formula>
    </cfRule>
    <cfRule type="expression" dxfId="4" priority="2560">
      <formula>COUNTIF(INDIRECT("Checklist!$A1229"), "FALSE") = 1</formula>
    </cfRule>
    <cfRule type="notContainsBlanks" dxfId="7" priority="2561">
      <formula>LEN(TRIM(E115))&gt;0</formula>
    </cfRule>
  </conditionalFormatting>
  <conditionalFormatting sqref="E116">
    <cfRule type="expression" dxfId="3" priority="2577">
      <formula>COUNTIF(INDIRECT("Checklist!$A851"), "TRUE") = 1</formula>
    </cfRule>
    <cfRule type="expression" dxfId="4" priority="2578">
      <formula>COUNTIF(INDIRECT("Checklist!$A851"), "FALSE") = 1</formula>
    </cfRule>
    <cfRule type="notContainsBlanks" dxfId="7" priority="2579">
      <formula>LEN(TRIM(E116))&gt;0</formula>
    </cfRule>
  </conditionalFormatting>
  <conditionalFormatting sqref="E117">
    <cfRule type="expression" dxfId="3" priority="2595">
      <formula>COUNTIF(INDIRECT("Checklist!$A857"), "TRUE") = 1</formula>
    </cfRule>
    <cfRule type="expression" dxfId="4" priority="2596">
      <formula>COUNTIF(INDIRECT("Checklist!$A857"), "FALSE") = 1</formula>
    </cfRule>
    <cfRule type="notContainsBlanks" dxfId="7" priority="2597">
      <formula>LEN(TRIM(E117))&gt;0</formula>
    </cfRule>
  </conditionalFormatting>
  <conditionalFormatting sqref="E118">
    <cfRule type="expression" dxfId="3" priority="2613">
      <formula>COUNTIF(INDIRECT("Checklist!$A863"), "TRUE") = 1</formula>
    </cfRule>
    <cfRule type="expression" dxfId="4" priority="2614">
      <formula>COUNTIF(INDIRECT("Checklist!$A863"), "FALSE") = 1</formula>
    </cfRule>
    <cfRule type="notContainsBlanks" dxfId="7" priority="2615">
      <formula>LEN(TRIM(E118))&gt;0</formula>
    </cfRule>
  </conditionalFormatting>
  <conditionalFormatting sqref="E119">
    <cfRule type="expression" dxfId="3" priority="2631">
      <formula>COUNTIF(INDIRECT("Checklist!$A869"), "TRUE") = 1</formula>
    </cfRule>
    <cfRule type="expression" dxfId="4" priority="2632">
      <formula>COUNTIF(INDIRECT("Checklist!$A869"), "FALSE") = 1</formula>
    </cfRule>
    <cfRule type="notContainsBlanks" dxfId="7" priority="2633">
      <formula>LEN(TRIM(E119))&gt;0</formula>
    </cfRule>
  </conditionalFormatting>
  <conditionalFormatting sqref="E12">
    <cfRule type="expression" dxfId="3" priority="211">
      <formula>COUNTIF(INDIRECT("Checklist!$A71"), "TRUE") = 1</formula>
    </cfRule>
    <cfRule type="expression" dxfId="4" priority="212">
      <formula>COUNTIF(INDIRECT("Checklist!$A71"), "FALSE") = 1</formula>
    </cfRule>
    <cfRule type="notContainsBlanks" dxfId="7" priority="213">
      <formula>LEN(TRIM(E12))&gt;0</formula>
    </cfRule>
  </conditionalFormatting>
  <conditionalFormatting sqref="E123">
    <cfRule type="expression" dxfId="3" priority="2741">
      <formula>COUNTIF(INDIRECT("Checklist!$A905"), "TRUE") = 1</formula>
    </cfRule>
    <cfRule type="expression" dxfId="4" priority="2742">
      <formula>COUNTIF(INDIRECT("Checklist!$A905"), "FALSE") = 1</formula>
    </cfRule>
    <cfRule type="notContainsBlanks" dxfId="7" priority="2743">
      <formula>LEN(TRIM(E123))&gt;0</formula>
    </cfRule>
  </conditionalFormatting>
  <conditionalFormatting sqref="E13">
    <cfRule type="expression" dxfId="3" priority="229">
      <formula>COUNTIF(INDIRECT("Checklist!$A77"), "TRUE") = 1</formula>
    </cfRule>
    <cfRule type="expression" dxfId="4" priority="230">
      <formula>COUNTIF(INDIRECT("Checklist!$A77"), "FALSE") = 1</formula>
    </cfRule>
    <cfRule type="notContainsBlanks" dxfId="7" priority="231">
      <formula>LEN(TRIM(E13))&gt;0</formula>
    </cfRule>
  </conditionalFormatting>
  <conditionalFormatting sqref="E131">
    <cfRule type="expression" dxfId="3" priority="2848">
      <formula>COUNTIF(INDIRECT("Checklist!$A940"), "TRUE") = 1</formula>
    </cfRule>
    <cfRule type="expression" dxfId="4" priority="2849">
      <formula>COUNTIF(INDIRECT("Checklist!$A940"), "FALSE") = 1</formula>
    </cfRule>
    <cfRule type="notContainsBlanks" dxfId="7" priority="2850">
      <formula>LEN(TRIM(E131))&gt;0</formula>
    </cfRule>
  </conditionalFormatting>
  <conditionalFormatting sqref="E132">
    <cfRule type="expression" dxfId="3" priority="2866">
      <formula>COUNTIF(INDIRECT("Checklist!$A946"), "TRUE") = 1</formula>
    </cfRule>
    <cfRule type="expression" dxfId="4" priority="2867">
      <formula>COUNTIF(INDIRECT("Checklist!$A946"), "FALSE") = 1</formula>
    </cfRule>
    <cfRule type="notContainsBlanks" dxfId="7" priority="2868">
      <formula>LEN(TRIM(E132))&gt;0</formula>
    </cfRule>
  </conditionalFormatting>
  <conditionalFormatting sqref="E133">
    <cfRule type="expression" dxfId="3" priority="2884">
      <formula>COUNTIF(INDIRECT("Checklist!$A952"), "TRUE") = 1</formula>
    </cfRule>
    <cfRule type="expression" dxfId="4" priority="2885">
      <formula>COUNTIF(INDIRECT("Checklist!$A952"), "FALSE") = 1</formula>
    </cfRule>
    <cfRule type="notContainsBlanks" dxfId="7" priority="2886">
      <formula>LEN(TRIM(E133))&gt;0</formula>
    </cfRule>
  </conditionalFormatting>
  <conditionalFormatting sqref="E134">
    <cfRule type="expression" dxfId="3" priority="2902">
      <formula>COUNTIF(INDIRECT("Checklist!$A958"), "TRUE") = 1</formula>
    </cfRule>
    <cfRule type="expression" dxfId="4" priority="2903">
      <formula>COUNTIF(INDIRECT("Checklist!$A958"), "FALSE") = 1</formula>
    </cfRule>
    <cfRule type="notContainsBlanks" dxfId="7" priority="2904">
      <formula>LEN(TRIM(E134))&gt;0</formula>
    </cfRule>
  </conditionalFormatting>
  <conditionalFormatting sqref="E135">
    <cfRule type="expression" dxfId="3" priority="2920">
      <formula>COUNTIF(INDIRECT("Checklist!$A964"), "TRUE") = 1</formula>
    </cfRule>
    <cfRule type="expression" dxfId="4" priority="2921">
      <formula>COUNTIF(INDIRECT("Checklist!$A964"), "FALSE") = 1</formula>
    </cfRule>
    <cfRule type="notContainsBlanks" dxfId="7" priority="2922">
      <formula>LEN(TRIM(E135))&gt;0</formula>
    </cfRule>
  </conditionalFormatting>
  <conditionalFormatting sqref="E139">
    <cfRule type="expression" dxfId="3" priority="3030">
      <formula>COUNTIF(INDIRECT("Checklist!$A1000"), "TRUE") = 1</formula>
    </cfRule>
    <cfRule type="expression" dxfId="4" priority="3031">
      <formula>COUNTIF(INDIRECT("Checklist!$A1000"), "FALSE") = 1</formula>
    </cfRule>
    <cfRule type="notContainsBlanks" dxfId="7" priority="3032">
      <formula>LEN(TRIM(E139))&gt;0</formula>
    </cfRule>
  </conditionalFormatting>
  <conditionalFormatting sqref="E14">
    <cfRule type="expression" dxfId="3" priority="247">
      <formula>COUNTIF(INDIRECT("Checklist!$A83"), "TRUE") = 1</formula>
    </cfRule>
    <cfRule type="expression" dxfId="4" priority="248">
      <formula>COUNTIF(INDIRECT("Checklist!$A83"), "FALSE") = 1</formula>
    </cfRule>
    <cfRule type="notContainsBlanks" dxfId="7" priority="249">
      <formula>LEN(TRIM(E14))&gt;0</formula>
    </cfRule>
  </conditionalFormatting>
  <conditionalFormatting sqref="E140">
    <cfRule type="expression" dxfId="3" priority="3048">
      <formula>COUNTIF(INDIRECT("Checklist!$A1006"), "TRUE") = 1</formula>
    </cfRule>
    <cfRule type="expression" dxfId="4" priority="3049">
      <formula>COUNTIF(INDIRECT("Checklist!$A1006"), "FALSE") = 1</formula>
    </cfRule>
    <cfRule type="notContainsBlanks" dxfId="7" priority="3050">
      <formula>LEN(TRIM(E140))&gt;0</formula>
    </cfRule>
  </conditionalFormatting>
  <conditionalFormatting sqref="E147">
    <cfRule type="expression" dxfId="3" priority="3095">
      <formula>COUNTIF(INDIRECT("Checklist!$A1019"), "TRUE") = 1</formula>
    </cfRule>
    <cfRule type="expression" dxfId="4" priority="3096">
      <formula>COUNTIF(INDIRECT("Checklist!$A1019"), "FALSE") = 1</formula>
    </cfRule>
    <cfRule type="notContainsBlanks" dxfId="7" priority="3097">
      <formula>LEN(TRIM(E147))&gt;0</formula>
    </cfRule>
  </conditionalFormatting>
  <conditionalFormatting sqref="E148">
    <cfRule type="expression" dxfId="3" priority="3113">
      <formula>COUNTIF(INDIRECT("Checklist!$A1025"), "TRUE") = 1</formula>
    </cfRule>
    <cfRule type="expression" dxfId="4" priority="3114">
      <formula>COUNTIF(INDIRECT("Checklist!$A1025"), "FALSE") = 1</formula>
    </cfRule>
    <cfRule type="notContainsBlanks" dxfId="7" priority="3115">
      <formula>LEN(TRIM(E148))&gt;0</formula>
    </cfRule>
  </conditionalFormatting>
  <conditionalFormatting sqref="E149">
    <cfRule type="expression" dxfId="3" priority="3131">
      <formula>COUNTIF(INDIRECT("Checklist!$A1031"), "TRUE") = 1</formula>
    </cfRule>
    <cfRule type="expression" dxfId="4" priority="3132">
      <formula>COUNTIF(INDIRECT("Checklist!$A1031"), "FALSE") = 1</formula>
    </cfRule>
    <cfRule type="notContainsBlanks" dxfId="7" priority="3133">
      <formula>LEN(TRIM(E149))&gt;0</formula>
    </cfRule>
  </conditionalFormatting>
  <conditionalFormatting sqref="E15">
    <cfRule type="expression" dxfId="3" priority="265">
      <formula>COUNTIF(INDIRECT("Checklist!$A89"), "TRUE") = 1</formula>
    </cfRule>
    <cfRule type="expression" dxfId="4" priority="266">
      <formula>COUNTIF(INDIRECT("Checklist!$A89"), "FALSE") = 1</formula>
    </cfRule>
    <cfRule type="notContainsBlanks" dxfId="7" priority="267">
      <formula>LEN(TRIM(E15))&gt;0</formula>
    </cfRule>
  </conditionalFormatting>
  <conditionalFormatting sqref="E150">
    <cfRule type="expression" dxfId="3" priority="3149">
      <formula>COUNTIF(INDIRECT("Checklist!$A1037"), "TRUE") = 1</formula>
    </cfRule>
    <cfRule type="expression" dxfId="4" priority="3150">
      <formula>COUNTIF(INDIRECT("Checklist!$A1037"), "FALSE") = 1</formula>
    </cfRule>
    <cfRule type="notContainsBlanks" dxfId="7" priority="3151">
      <formula>LEN(TRIM(E150))&gt;0</formula>
    </cfRule>
  </conditionalFormatting>
  <conditionalFormatting sqref="E151">
    <cfRule type="expression" dxfId="3" priority="3167">
      <formula>COUNTIF(INDIRECT("Checklist!$A1043"), "TRUE") = 1</formula>
    </cfRule>
    <cfRule type="expression" dxfId="4" priority="3168">
      <formula>COUNTIF(INDIRECT("Checklist!$A1043"), "FALSE") = 1</formula>
    </cfRule>
    <cfRule type="notContainsBlanks" dxfId="7" priority="3169">
      <formula>LEN(TRIM(E151))&gt;0</formula>
    </cfRule>
  </conditionalFormatting>
  <conditionalFormatting sqref="E155">
    <cfRule type="expression" dxfId="3" priority="3259">
      <formula>COUNTIF(INDIRECT("Checklist!$A1061"), "TRUE") = 1</formula>
    </cfRule>
    <cfRule type="expression" dxfId="4" priority="3260">
      <formula>COUNTIF(INDIRECT("Checklist!$A1061"), "FALSE") = 1</formula>
    </cfRule>
    <cfRule type="notContainsBlanks" dxfId="7" priority="3261">
      <formula>LEN(TRIM(E155))&gt;0</formula>
    </cfRule>
  </conditionalFormatting>
  <conditionalFormatting sqref="E156">
    <cfRule type="expression" dxfId="3" priority="3277">
      <formula>COUNTIF(INDIRECT("Checklist!$A1064"), "TRUE") = 1</formula>
    </cfRule>
    <cfRule type="expression" dxfId="4" priority="3278">
      <formula>COUNTIF(INDIRECT("Checklist!$A1064"), "FALSE") = 1</formula>
    </cfRule>
    <cfRule type="notContainsBlanks" dxfId="7" priority="3279">
      <formula>LEN(TRIM(E156))&gt;0</formula>
    </cfRule>
  </conditionalFormatting>
  <conditionalFormatting sqref="E157">
    <cfRule type="expression" dxfId="3" priority="3295">
      <formula>COUNTIF(INDIRECT("Checklist!$None"), "TRUE") = 1</formula>
    </cfRule>
    <cfRule type="expression" dxfId="4" priority="3296">
      <formula>COUNTIF(INDIRECT("Checklist!$None"), "FALSE") = 1</formula>
    </cfRule>
    <cfRule type="notContainsBlanks" dxfId="7" priority="3297">
      <formula>LEN(TRIM(E157))&gt;0</formula>
    </cfRule>
  </conditionalFormatting>
  <conditionalFormatting sqref="E158">
    <cfRule type="expression" dxfId="3" priority="3313">
      <formula>COUNTIF(INDIRECT("Checklist!$A1067"), "TRUE") = 1</formula>
    </cfRule>
    <cfRule type="expression" dxfId="4" priority="3314">
      <formula>COUNTIF(INDIRECT("Checklist!$A1067"), "FALSE") = 1</formula>
    </cfRule>
    <cfRule type="notContainsBlanks" dxfId="7" priority="3315">
      <formula>LEN(TRIM(E158))&gt;0</formula>
    </cfRule>
  </conditionalFormatting>
  <conditionalFormatting sqref="E163">
    <cfRule type="expression" dxfId="3" priority="3408">
      <formula>COUNTIF(INDIRECT("Checklist!$A1087"), "TRUE") = 1</formula>
    </cfRule>
    <cfRule type="expression" dxfId="4" priority="3409">
      <formula>COUNTIF(INDIRECT("Checklist!$A1087"), "FALSE") = 1</formula>
    </cfRule>
    <cfRule type="notContainsBlanks" dxfId="7" priority="3410">
      <formula>LEN(TRIM(E163))&gt;0</formula>
    </cfRule>
  </conditionalFormatting>
  <conditionalFormatting sqref="E164">
    <cfRule type="expression" dxfId="3" priority="3426">
      <formula>COUNTIF(INDIRECT("Checklist!$A1091"), "TRUE") = 1</formula>
    </cfRule>
    <cfRule type="expression" dxfId="4" priority="3427">
      <formula>COUNTIF(INDIRECT("Checklist!$A1091"), "FALSE") = 1</formula>
    </cfRule>
    <cfRule type="notContainsBlanks" dxfId="7" priority="3428">
      <formula>LEN(TRIM(E164))&gt;0</formula>
    </cfRule>
  </conditionalFormatting>
  <conditionalFormatting sqref="E165">
    <cfRule type="expression" dxfId="3" priority="3444">
      <formula>COUNTIF(INDIRECT("Checklist!$A1095"), "TRUE") = 1</formula>
    </cfRule>
    <cfRule type="expression" dxfId="4" priority="3445">
      <formula>COUNTIF(INDIRECT("Checklist!$A1095"), "FALSE") = 1</formula>
    </cfRule>
    <cfRule type="notContainsBlanks" dxfId="7" priority="3446">
      <formula>LEN(TRIM(E165))&gt;0</formula>
    </cfRule>
  </conditionalFormatting>
  <conditionalFormatting sqref="E166">
    <cfRule type="expression" dxfId="3" priority="3462">
      <formula>COUNTIF(INDIRECT("Checklist!$None"), "TRUE") = 1</formula>
    </cfRule>
    <cfRule type="expression" dxfId="4" priority="3463">
      <formula>COUNTIF(INDIRECT("Checklist!$None"), "FALSE") = 1</formula>
    </cfRule>
    <cfRule type="notContainsBlanks" dxfId="7" priority="3464">
      <formula>LEN(TRIM(E166))&gt;0</formula>
    </cfRule>
  </conditionalFormatting>
  <conditionalFormatting sqref="E167">
    <cfRule type="expression" dxfId="3" priority="3480">
      <formula>COUNTIF(INDIRECT("Checklist!$A1099"), "TRUE") = 1</formula>
    </cfRule>
    <cfRule type="expression" dxfId="4" priority="3481">
      <formula>COUNTIF(INDIRECT("Checklist!$A1099"), "FALSE") = 1</formula>
    </cfRule>
    <cfRule type="notContainsBlanks" dxfId="7" priority="3482">
      <formula>LEN(TRIM(E167))&gt;0</formula>
    </cfRule>
  </conditionalFormatting>
  <conditionalFormatting sqref="E171">
    <cfRule type="expression" dxfId="3" priority="3560">
      <formula>COUNTIF(INDIRECT("Checklist!$A1123"), "TRUE") = 1</formula>
    </cfRule>
    <cfRule type="expression" dxfId="4" priority="3561">
      <formula>COUNTIF(INDIRECT("Checklist!$A1123"), "FALSE") = 1</formula>
    </cfRule>
    <cfRule type="notContainsBlanks" dxfId="7" priority="3562">
      <formula>LEN(TRIM(E171))&gt;0</formula>
    </cfRule>
  </conditionalFormatting>
  <conditionalFormatting sqref="E172">
    <cfRule type="expression" dxfId="3" priority="3578">
      <formula>COUNTIF(INDIRECT("Checklist!$A1125"), "TRUE") = 1</formula>
    </cfRule>
    <cfRule type="expression" dxfId="4" priority="3579">
      <formula>COUNTIF(INDIRECT("Checklist!$A1125"), "FALSE") = 1</formula>
    </cfRule>
    <cfRule type="notContainsBlanks" dxfId="7" priority="3580">
      <formula>LEN(TRIM(E172))&gt;0</formula>
    </cfRule>
  </conditionalFormatting>
  <conditionalFormatting sqref="E173">
    <cfRule type="expression" dxfId="3" priority="3596">
      <formula>COUNTIF(INDIRECT("Checklist!$A1129"), "TRUE") = 1</formula>
    </cfRule>
    <cfRule type="expression" dxfId="4" priority="3597">
      <formula>COUNTIF(INDIRECT("Checklist!$A1129"), "FALSE") = 1</formula>
    </cfRule>
    <cfRule type="notContainsBlanks" dxfId="7" priority="3598">
      <formula>LEN(TRIM(E173))&gt;0</formula>
    </cfRule>
  </conditionalFormatting>
  <conditionalFormatting sqref="E179">
    <cfRule type="expression" dxfId="3" priority="3706">
      <formula>COUNTIF(INDIRECT("Checklist!$A1142"), "TRUE") = 1</formula>
    </cfRule>
    <cfRule type="expression" dxfId="4" priority="3707">
      <formula>COUNTIF(INDIRECT("Checklist!$A1142"), "FALSE") = 1</formula>
    </cfRule>
    <cfRule type="notContainsBlanks" dxfId="7" priority="3708">
      <formula>LEN(TRIM(E179))&gt;0</formula>
    </cfRule>
  </conditionalFormatting>
  <conditionalFormatting sqref="E180">
    <cfRule type="expression" dxfId="3" priority="3724">
      <formula>COUNTIF(INDIRECT("Checklist!$A1148"), "TRUE") = 1</formula>
    </cfRule>
    <cfRule type="expression" dxfId="4" priority="3725">
      <formula>COUNTIF(INDIRECT("Checklist!$A1148"), "FALSE") = 1</formula>
    </cfRule>
    <cfRule type="notContainsBlanks" dxfId="7" priority="3726">
      <formula>LEN(TRIM(E180))&gt;0</formula>
    </cfRule>
  </conditionalFormatting>
  <conditionalFormatting sqref="E181">
    <cfRule type="expression" dxfId="3" priority="3742">
      <formula>COUNTIF(INDIRECT("Checklist!$A1154"), "TRUE") = 1</formula>
    </cfRule>
    <cfRule type="expression" dxfId="4" priority="3743">
      <formula>COUNTIF(INDIRECT("Checklist!$A1154"), "FALSE") = 1</formula>
    </cfRule>
    <cfRule type="notContainsBlanks" dxfId="7" priority="3744">
      <formula>LEN(TRIM(E181))&gt;0</formula>
    </cfRule>
  </conditionalFormatting>
  <conditionalFormatting sqref="E182">
    <cfRule type="expression" dxfId="3" priority="3760">
      <formula>COUNTIF(INDIRECT("Checklist!$A1160"), "TRUE") = 1</formula>
    </cfRule>
    <cfRule type="expression" dxfId="4" priority="3761">
      <formula>COUNTIF(INDIRECT("Checklist!$A1160"), "FALSE") = 1</formula>
    </cfRule>
    <cfRule type="notContainsBlanks" dxfId="7" priority="3762">
      <formula>LEN(TRIM(E182))&gt;0</formula>
    </cfRule>
  </conditionalFormatting>
  <conditionalFormatting sqref="E183">
    <cfRule type="expression" dxfId="3" priority="3778">
      <formula>COUNTIF(INDIRECT("Checklist!$A1166"), "TRUE") = 1</formula>
    </cfRule>
    <cfRule type="expression" dxfId="4" priority="3779">
      <formula>COUNTIF(INDIRECT("Checklist!$A1166"), "FALSE") = 1</formula>
    </cfRule>
    <cfRule type="notContainsBlanks" dxfId="7" priority="3780">
      <formula>LEN(TRIM(E183))&gt;0</formula>
    </cfRule>
  </conditionalFormatting>
  <conditionalFormatting sqref="E187">
    <cfRule type="expression" dxfId="3" priority="3876">
      <formula>COUNTIF(INDIRECT("Checklist!$A1198"), "TRUE") = 1</formula>
    </cfRule>
    <cfRule type="expression" dxfId="4" priority="3877">
      <formula>COUNTIF(INDIRECT("Checklist!$A1198"), "FALSE") = 1</formula>
    </cfRule>
    <cfRule type="notContainsBlanks" dxfId="7" priority="3878">
      <formula>LEN(TRIM(E187))&gt;0</formula>
    </cfRule>
  </conditionalFormatting>
  <conditionalFormatting sqref="E19">
    <cfRule type="expression" dxfId="3" priority="375">
      <formula>COUNTIF(INDIRECT("Checklist!$A125"), "TRUE") = 1</formula>
    </cfRule>
    <cfRule type="expression" dxfId="4" priority="376">
      <formula>COUNTIF(INDIRECT("Checklist!$A125"), "FALSE") = 1</formula>
    </cfRule>
    <cfRule type="notContainsBlanks" dxfId="7" priority="377">
      <formula>LEN(TRIM(E19))&gt;0</formula>
    </cfRule>
  </conditionalFormatting>
  <conditionalFormatting sqref="E195">
    <cfRule type="expression" dxfId="3" priority="3989">
      <formula>COUNTIF(INDIRECT("Checklist!$A1235"), "TRUE") = 1</formula>
    </cfRule>
    <cfRule type="expression" dxfId="4" priority="3990">
      <formula>COUNTIF(INDIRECT("Checklist!$A1235"), "FALSE") = 1</formula>
    </cfRule>
    <cfRule type="notContainsBlanks" dxfId="7" priority="3991">
      <formula>LEN(TRIM(E195))&gt;0</formula>
    </cfRule>
  </conditionalFormatting>
  <conditionalFormatting sqref="E20">
    <cfRule type="expression" dxfId="3" priority="393">
      <formula>COUNTIF(INDIRECT("Checklist!$A131"), "TRUE") = 1</formula>
    </cfRule>
    <cfRule type="expression" dxfId="4" priority="394">
      <formula>COUNTIF(INDIRECT("Checklist!$A131"), "FALSE") = 1</formula>
    </cfRule>
    <cfRule type="notContainsBlanks" dxfId="7" priority="395">
      <formula>LEN(TRIM(E20))&gt;0</formula>
    </cfRule>
  </conditionalFormatting>
  <conditionalFormatting sqref="E203">
    <cfRule type="expression" dxfId="3" priority="4015">
      <formula>COUNTIF(INDIRECT("Checklist!$A1243"), "TRUE") = 1</formula>
    </cfRule>
    <cfRule type="expression" dxfId="4" priority="4016">
      <formula>COUNTIF(INDIRECT("Checklist!$A1243"), "FALSE") = 1</formula>
    </cfRule>
    <cfRule type="notContainsBlanks" dxfId="7" priority="4017">
      <formula>LEN(TRIM(E203))&gt;0</formula>
    </cfRule>
  </conditionalFormatting>
  <conditionalFormatting sqref="E204">
    <cfRule type="expression" dxfId="3" priority="4033">
      <formula>COUNTIF(INDIRECT("Checklist!$A1249"), "TRUE") = 1</formula>
    </cfRule>
    <cfRule type="expression" dxfId="4" priority="4034">
      <formula>COUNTIF(INDIRECT("Checklist!$A1249"), "FALSE") = 1</formula>
    </cfRule>
    <cfRule type="notContainsBlanks" dxfId="7" priority="4035">
      <formula>LEN(TRIM(E204))&gt;0</formula>
    </cfRule>
  </conditionalFormatting>
  <conditionalFormatting sqref="E205">
    <cfRule type="expression" dxfId="3" priority="4051">
      <formula>COUNTIF(INDIRECT("Checklist!$A1255"), "TRUE") = 1</formula>
    </cfRule>
    <cfRule type="expression" dxfId="4" priority="4052">
      <formula>COUNTIF(INDIRECT("Checklist!$A1255"), "FALSE") = 1</formula>
    </cfRule>
    <cfRule type="notContainsBlanks" dxfId="7" priority="4053">
      <formula>LEN(TRIM(E205))&gt;0</formula>
    </cfRule>
  </conditionalFormatting>
  <conditionalFormatting sqref="E21">
    <cfRule type="expression" dxfId="3" priority="411">
      <formula>COUNTIF(INDIRECT("Checklist!$A137"), "TRUE") = 1</formula>
    </cfRule>
    <cfRule type="expression" dxfId="4" priority="412">
      <formula>COUNTIF(INDIRECT("Checklist!$A137"), "FALSE") = 1</formula>
    </cfRule>
    <cfRule type="notContainsBlanks" dxfId="7" priority="413">
      <formula>LEN(TRIM(E21))&gt;0</formula>
    </cfRule>
  </conditionalFormatting>
  <conditionalFormatting sqref="E211">
    <cfRule type="expression" dxfId="3" priority="4128">
      <formula>COUNTIF(INDIRECT("Checklist!$A1280"), "TRUE") = 1</formula>
    </cfRule>
    <cfRule type="expression" dxfId="4" priority="4129">
      <formula>COUNTIF(INDIRECT("Checklist!$A1280"), "FALSE") = 1</formula>
    </cfRule>
    <cfRule type="notContainsBlanks" dxfId="7" priority="4130">
      <formula>LEN(TRIM(E211))&gt;0</formula>
    </cfRule>
  </conditionalFormatting>
  <conditionalFormatting sqref="E212">
    <cfRule type="expression" dxfId="3" priority="4146">
      <formula>COUNTIF(INDIRECT("Checklist!$A1286"), "TRUE") = 1</formula>
    </cfRule>
    <cfRule type="expression" dxfId="4" priority="4147">
      <formula>COUNTIF(INDIRECT("Checklist!$A1286"), "FALSE") = 1</formula>
    </cfRule>
    <cfRule type="notContainsBlanks" dxfId="7" priority="4148">
      <formula>LEN(TRIM(E212))&gt;0</formula>
    </cfRule>
  </conditionalFormatting>
  <conditionalFormatting sqref="E213">
    <cfRule type="expression" dxfId="3" priority="4164">
      <formula>COUNTIF(INDIRECT("Checklist!$A1292"), "TRUE") = 1</formula>
    </cfRule>
    <cfRule type="expression" dxfId="4" priority="4165">
      <formula>COUNTIF(INDIRECT("Checklist!$A1292"), "FALSE") = 1</formula>
    </cfRule>
    <cfRule type="notContainsBlanks" dxfId="7" priority="4166">
      <formula>LEN(TRIM(E213))&gt;0</formula>
    </cfRule>
  </conditionalFormatting>
  <conditionalFormatting sqref="E22">
    <cfRule type="expression" dxfId="3" priority="429">
      <formula>COUNTIF(INDIRECT("Checklist!$A143"), "TRUE") = 1</formula>
    </cfRule>
    <cfRule type="expression" dxfId="4" priority="430">
      <formula>COUNTIF(INDIRECT("Checklist!$A143"), "FALSE") = 1</formula>
    </cfRule>
    <cfRule type="notContainsBlanks" dxfId="7" priority="431">
      <formula>LEN(TRIM(E22))&gt;0</formula>
    </cfRule>
  </conditionalFormatting>
  <conditionalFormatting sqref="E23">
    <cfRule type="expression" dxfId="3" priority="447">
      <formula>COUNTIF(INDIRECT("Checklist!$A149"), "TRUE") = 1</formula>
    </cfRule>
    <cfRule type="expression" dxfId="4" priority="448">
      <formula>COUNTIF(INDIRECT("Checklist!$A149"), "FALSE") = 1</formula>
    </cfRule>
    <cfRule type="notContainsBlanks" dxfId="7" priority="449">
      <formula>LEN(TRIM(E23))&gt;0</formula>
    </cfRule>
  </conditionalFormatting>
  <conditionalFormatting sqref="E27">
    <cfRule type="expression" dxfId="3" priority="557">
      <formula>COUNTIF(INDIRECT("Checklist!$A185"), "TRUE") = 1</formula>
    </cfRule>
    <cfRule type="expression" dxfId="4" priority="558">
      <formula>COUNTIF(INDIRECT("Checklist!$A185"), "FALSE") = 1</formula>
    </cfRule>
    <cfRule type="notContainsBlanks" dxfId="7" priority="559">
      <formula>LEN(TRIM(E27))&gt;0</formula>
    </cfRule>
  </conditionalFormatting>
  <conditionalFormatting sqref="E28">
    <cfRule type="expression" dxfId="3" priority="575">
      <formula>COUNTIF(INDIRECT("Checklist!$A191"), "TRUE") = 1</formula>
    </cfRule>
    <cfRule type="expression" dxfId="4" priority="576">
      <formula>COUNTIF(INDIRECT("Checklist!$A191"), "FALSE") = 1</formula>
    </cfRule>
    <cfRule type="notContainsBlanks" dxfId="7" priority="577">
      <formula>LEN(TRIM(E28))&gt;0</formula>
    </cfRule>
  </conditionalFormatting>
  <conditionalFormatting sqref="E29">
    <cfRule type="expression" dxfId="3" priority="593">
      <formula>COUNTIF(INDIRECT("Checklist!$A197"), "TRUE") = 1</formula>
    </cfRule>
    <cfRule type="expression" dxfId="4" priority="594">
      <formula>COUNTIF(INDIRECT("Checklist!$A197"), "FALSE") = 1</formula>
    </cfRule>
    <cfRule type="notContainsBlanks" dxfId="7" priority="595">
      <formula>LEN(TRIM(E29))&gt;0</formula>
    </cfRule>
  </conditionalFormatting>
  <conditionalFormatting sqref="E3">
    <cfRule type="expression" dxfId="3" priority="11">
      <formula>COUNTIF(INDIRECT("Checklist!$A5"), "TRUE") = 1</formula>
    </cfRule>
    <cfRule type="expression" dxfId="4" priority="12">
      <formula>COUNTIF(INDIRECT("Checklist!$A5"), "FALSE") = 1</formula>
    </cfRule>
    <cfRule type="notContainsBlanks" dxfId="7" priority="13">
      <formula>LEN(TRIM(E3))&gt;0</formula>
    </cfRule>
  </conditionalFormatting>
  <conditionalFormatting sqref="E30">
    <cfRule type="expression" dxfId="3" priority="611">
      <formula>COUNTIF(INDIRECT("Checklist!$A203"), "TRUE") = 1</formula>
    </cfRule>
    <cfRule type="expression" dxfId="4" priority="612">
      <formula>COUNTIF(INDIRECT("Checklist!$A203"), "FALSE") = 1</formula>
    </cfRule>
    <cfRule type="notContainsBlanks" dxfId="7" priority="613">
      <formula>LEN(TRIM(E30))&gt;0</formula>
    </cfRule>
  </conditionalFormatting>
  <conditionalFormatting sqref="E31">
    <cfRule type="expression" dxfId="3" priority="629">
      <formula>COUNTIF(INDIRECT("Checklist!$A209"), "TRUE") = 1</formula>
    </cfRule>
    <cfRule type="expression" dxfId="4" priority="630">
      <formula>COUNTIF(INDIRECT("Checklist!$A209"), "FALSE") = 1</formula>
    </cfRule>
    <cfRule type="notContainsBlanks" dxfId="7" priority="631">
      <formula>LEN(TRIM(E31))&gt;0</formula>
    </cfRule>
  </conditionalFormatting>
  <conditionalFormatting sqref="E35">
    <cfRule type="expression" dxfId="3" priority="739">
      <formula>COUNTIF(INDIRECT("Checklist!$A245"), "TRUE") = 1</formula>
    </cfRule>
    <cfRule type="expression" dxfId="4" priority="740">
      <formula>COUNTIF(INDIRECT("Checklist!$A245"), "FALSE") = 1</formula>
    </cfRule>
    <cfRule type="notContainsBlanks" dxfId="7" priority="741">
      <formula>LEN(TRIM(E35))&gt;0</formula>
    </cfRule>
  </conditionalFormatting>
  <conditionalFormatting sqref="E36">
    <cfRule type="expression" dxfId="3" priority="757">
      <formula>COUNTIF(INDIRECT("Checklist!$A251"), "TRUE") = 1</formula>
    </cfRule>
    <cfRule type="expression" dxfId="4" priority="758">
      <formula>COUNTIF(INDIRECT("Checklist!$A251"), "FALSE") = 1</formula>
    </cfRule>
    <cfRule type="notContainsBlanks" dxfId="7" priority="759">
      <formula>LEN(TRIM(E36))&gt;0</formula>
    </cfRule>
  </conditionalFormatting>
  <conditionalFormatting sqref="E37">
    <cfRule type="expression" dxfId="3" priority="775">
      <formula>COUNTIF(INDIRECT("Checklist!$A257"), "TRUE") = 1</formula>
    </cfRule>
    <cfRule type="expression" dxfId="4" priority="776">
      <formula>COUNTIF(INDIRECT("Checklist!$A257"), "FALSE") = 1</formula>
    </cfRule>
    <cfRule type="notContainsBlanks" dxfId="7" priority="777">
      <formula>LEN(TRIM(E37))&gt;0</formula>
    </cfRule>
  </conditionalFormatting>
  <conditionalFormatting sqref="E38">
    <cfRule type="expression" dxfId="3" priority="793">
      <formula>COUNTIF(INDIRECT("Checklist!$A263"), "TRUE") = 1</formula>
    </cfRule>
    <cfRule type="expression" dxfId="4" priority="794">
      <formula>COUNTIF(INDIRECT("Checklist!$A263"), "FALSE") = 1</formula>
    </cfRule>
    <cfRule type="notContainsBlanks" dxfId="7" priority="795">
      <formula>LEN(TRIM(E38))&gt;0</formula>
    </cfRule>
  </conditionalFormatting>
  <conditionalFormatting sqref="E39">
    <cfRule type="expression" dxfId="3" priority="811">
      <formula>COUNTIF(INDIRECT("Checklist!$A269"), "TRUE") = 1</formula>
    </cfRule>
    <cfRule type="expression" dxfId="4" priority="812">
      <formula>COUNTIF(INDIRECT("Checklist!$A269"), "FALSE") = 1</formula>
    </cfRule>
    <cfRule type="notContainsBlanks" dxfId="7" priority="813">
      <formula>LEN(TRIM(E39))&gt;0</formula>
    </cfRule>
  </conditionalFormatting>
  <conditionalFormatting sqref="E4">
    <cfRule type="expression" dxfId="3" priority="29">
      <formula>COUNTIF(INDIRECT("Checklist!$A11"), "TRUE") = 1</formula>
    </cfRule>
    <cfRule type="expression" dxfId="4" priority="30">
      <formula>COUNTIF(INDIRECT("Checklist!$A11"), "FALSE") = 1</formula>
    </cfRule>
    <cfRule type="notContainsBlanks" dxfId="7" priority="31">
      <formula>LEN(TRIM(E4))&gt;0</formula>
    </cfRule>
  </conditionalFormatting>
  <conditionalFormatting sqref="E43">
    <cfRule type="expression" dxfId="3" priority="921">
      <formula>COUNTIF(INDIRECT("Checklist!$A305"), "TRUE") = 1</formula>
    </cfRule>
    <cfRule type="expression" dxfId="4" priority="922">
      <formula>COUNTIF(INDIRECT("Checklist!$A305"), "FALSE") = 1</formula>
    </cfRule>
    <cfRule type="notContainsBlanks" dxfId="7" priority="923">
      <formula>LEN(TRIM(E43))&gt;0</formula>
    </cfRule>
  </conditionalFormatting>
  <conditionalFormatting sqref="E44">
    <cfRule type="expression" dxfId="3" priority="939">
      <formula>COUNTIF(INDIRECT("Checklist!$A311"), "TRUE") = 1</formula>
    </cfRule>
    <cfRule type="expression" dxfId="4" priority="940">
      <formula>COUNTIF(INDIRECT("Checklist!$A311"), "FALSE") = 1</formula>
    </cfRule>
    <cfRule type="notContainsBlanks" dxfId="7" priority="941">
      <formula>LEN(TRIM(E44))&gt;0</formula>
    </cfRule>
  </conditionalFormatting>
  <conditionalFormatting sqref="E45">
    <cfRule type="expression" dxfId="3" priority="957">
      <formula>COUNTIF(INDIRECT("Checklist!$A317"), "TRUE") = 1</formula>
    </cfRule>
    <cfRule type="expression" dxfId="4" priority="958">
      <formula>COUNTIF(INDIRECT("Checklist!$A317"), "FALSE") = 1</formula>
    </cfRule>
    <cfRule type="notContainsBlanks" dxfId="7" priority="959">
      <formula>LEN(TRIM(E45))&gt;0</formula>
    </cfRule>
  </conditionalFormatting>
  <conditionalFormatting sqref="E46">
    <cfRule type="expression" dxfId="3" priority="975">
      <formula>COUNTIF(INDIRECT("Checklist!$A323"), "TRUE") = 1</formula>
    </cfRule>
    <cfRule type="expression" dxfId="4" priority="976">
      <formula>COUNTIF(INDIRECT("Checklist!$A323"), "FALSE") = 1</formula>
    </cfRule>
    <cfRule type="notContainsBlanks" dxfId="7" priority="977">
      <formula>LEN(TRIM(E46))&gt;0</formula>
    </cfRule>
  </conditionalFormatting>
  <conditionalFormatting sqref="E47">
    <cfRule type="expression" dxfId="3" priority="993">
      <formula>COUNTIF(INDIRECT("Checklist!$A329"), "TRUE") = 1</formula>
    </cfRule>
    <cfRule type="expression" dxfId="4" priority="994">
      <formula>COUNTIF(INDIRECT("Checklist!$A329"), "FALSE") = 1</formula>
    </cfRule>
    <cfRule type="notContainsBlanks" dxfId="7" priority="995">
      <formula>LEN(TRIM(E47))&gt;0</formula>
    </cfRule>
  </conditionalFormatting>
  <conditionalFormatting sqref="E5">
    <cfRule type="expression" dxfId="3" priority="47">
      <formula>COUNTIF(INDIRECT("Checklist!$A17"), "TRUE") = 1</formula>
    </cfRule>
    <cfRule type="expression" dxfId="4" priority="48">
      <formula>COUNTIF(INDIRECT("Checklist!$A17"), "FALSE") = 1</formula>
    </cfRule>
    <cfRule type="notContainsBlanks" dxfId="7" priority="49">
      <formula>LEN(TRIM(E5))&gt;0</formula>
    </cfRule>
  </conditionalFormatting>
  <conditionalFormatting sqref="E51">
    <cfRule type="expression" dxfId="3" priority="1103">
      <formula>COUNTIF(INDIRECT("Checklist!$A365"), "TRUE") = 1</formula>
    </cfRule>
    <cfRule type="expression" dxfId="4" priority="1104">
      <formula>COUNTIF(INDIRECT("Checklist!$A365"), "FALSE") = 1</formula>
    </cfRule>
    <cfRule type="notContainsBlanks" dxfId="7" priority="1105">
      <formula>LEN(TRIM(E51))&gt;0</formula>
    </cfRule>
  </conditionalFormatting>
  <conditionalFormatting sqref="E52">
    <cfRule type="expression" dxfId="3" priority="1121">
      <formula>COUNTIF(INDIRECT("Checklist!$A371"), "TRUE") = 1</formula>
    </cfRule>
    <cfRule type="expression" dxfId="4" priority="1122">
      <formula>COUNTIF(INDIRECT("Checklist!$A371"), "FALSE") = 1</formula>
    </cfRule>
    <cfRule type="notContainsBlanks" dxfId="7" priority="1123">
      <formula>LEN(TRIM(E52))&gt;0</formula>
    </cfRule>
  </conditionalFormatting>
  <conditionalFormatting sqref="E53">
    <cfRule type="expression" dxfId="3" priority="1139">
      <formula>COUNTIF(INDIRECT("Checklist!$A377"), "TRUE") = 1</formula>
    </cfRule>
    <cfRule type="expression" dxfId="4" priority="1140">
      <formula>COUNTIF(INDIRECT("Checklist!$A377"), "FALSE") = 1</formula>
    </cfRule>
    <cfRule type="notContainsBlanks" dxfId="7" priority="1141">
      <formula>LEN(TRIM(E53))&gt;0</formula>
    </cfRule>
  </conditionalFormatting>
  <conditionalFormatting sqref="E54">
    <cfRule type="expression" dxfId="3" priority="1157">
      <formula>COUNTIF(INDIRECT("Checklist!$A383"), "TRUE") = 1</formula>
    </cfRule>
    <cfRule type="expression" dxfId="4" priority="1158">
      <formula>COUNTIF(INDIRECT("Checklist!$A383"), "FALSE") = 1</formula>
    </cfRule>
    <cfRule type="notContainsBlanks" dxfId="7" priority="1159">
      <formula>LEN(TRIM(E54))&gt;0</formula>
    </cfRule>
  </conditionalFormatting>
  <conditionalFormatting sqref="E55">
    <cfRule type="expression" dxfId="3" priority="1175">
      <formula>COUNTIF(INDIRECT("Checklist!$A389"), "TRUE") = 1</formula>
    </cfRule>
    <cfRule type="expression" dxfId="4" priority="1176">
      <formula>COUNTIF(INDIRECT("Checklist!$A389"), "FALSE") = 1</formula>
    </cfRule>
    <cfRule type="notContainsBlanks" dxfId="7" priority="1177">
      <formula>LEN(TRIM(E55))&gt;0</formula>
    </cfRule>
  </conditionalFormatting>
  <conditionalFormatting sqref="E59">
    <cfRule type="expression" dxfId="3" priority="1285">
      <formula>COUNTIF(INDIRECT("Checklist!$A425"), "TRUE") = 1</formula>
    </cfRule>
    <cfRule type="expression" dxfId="4" priority="1286">
      <formula>COUNTIF(INDIRECT("Checklist!$A425"), "FALSE") = 1</formula>
    </cfRule>
    <cfRule type="notContainsBlanks" dxfId="7" priority="1287">
      <formula>LEN(TRIM(E59))&gt;0</formula>
    </cfRule>
  </conditionalFormatting>
  <conditionalFormatting sqref="E6">
    <cfRule type="expression" dxfId="3" priority="65">
      <formula>COUNTIF(INDIRECT("Checklist!$A23"), "TRUE") = 1</formula>
    </cfRule>
    <cfRule type="expression" dxfId="4" priority="66">
      <formula>COUNTIF(INDIRECT("Checklist!$A23"), "FALSE") = 1</formula>
    </cfRule>
    <cfRule type="notContainsBlanks" dxfId="7" priority="67">
      <formula>LEN(TRIM(E6))&gt;0</formula>
    </cfRule>
  </conditionalFormatting>
  <conditionalFormatting sqref="E60">
    <cfRule type="expression" dxfId="3" priority="1303">
      <formula>COUNTIF(INDIRECT("Checklist!$A431"), "TRUE") = 1</formula>
    </cfRule>
    <cfRule type="expression" dxfId="4" priority="1304">
      <formula>COUNTIF(INDIRECT("Checklist!$A431"), "FALSE") = 1</formula>
    </cfRule>
    <cfRule type="notContainsBlanks" dxfId="7" priority="1305">
      <formula>LEN(TRIM(E60))&gt;0</formula>
    </cfRule>
  </conditionalFormatting>
  <conditionalFormatting sqref="E61">
    <cfRule type="expression" dxfId="3" priority="1321">
      <formula>COUNTIF(INDIRECT("Checklist!$A437"), "TRUE") = 1</formula>
    </cfRule>
    <cfRule type="expression" dxfId="4" priority="1322">
      <formula>COUNTIF(INDIRECT("Checklist!$A437"), "FALSE") = 1</formula>
    </cfRule>
    <cfRule type="notContainsBlanks" dxfId="7" priority="1323">
      <formula>LEN(TRIM(E61))&gt;0</formula>
    </cfRule>
  </conditionalFormatting>
  <conditionalFormatting sqref="E62">
    <cfRule type="expression" dxfId="3" priority="1339">
      <formula>COUNTIF(INDIRECT("Checklist!$A443"), "TRUE") = 1</formula>
    </cfRule>
    <cfRule type="expression" dxfId="4" priority="1340">
      <formula>COUNTIF(INDIRECT("Checklist!$A443"), "FALSE") = 1</formula>
    </cfRule>
    <cfRule type="notContainsBlanks" dxfId="7" priority="1341">
      <formula>LEN(TRIM(E62))&gt;0</formula>
    </cfRule>
  </conditionalFormatting>
  <conditionalFormatting sqref="E63">
    <cfRule type="expression" dxfId="3" priority="1357">
      <formula>COUNTIF(INDIRECT("Checklist!$A449"), "TRUE") = 1</formula>
    </cfRule>
    <cfRule type="expression" dxfId="4" priority="1358">
      <formula>COUNTIF(INDIRECT("Checklist!$A449"), "FALSE") = 1</formula>
    </cfRule>
    <cfRule type="notContainsBlanks" dxfId="7" priority="1359">
      <formula>LEN(TRIM(E63))&gt;0</formula>
    </cfRule>
  </conditionalFormatting>
  <conditionalFormatting sqref="E67">
    <cfRule type="expression" dxfId="3" priority="1467">
      <formula>COUNTIF(INDIRECT("Checklist!$A485"), "TRUE") = 1</formula>
    </cfRule>
    <cfRule type="expression" dxfId="4" priority="1468">
      <formula>COUNTIF(INDIRECT("Checklist!$A485"), "FALSE") = 1</formula>
    </cfRule>
    <cfRule type="notContainsBlanks" dxfId="7" priority="1469">
      <formula>LEN(TRIM(E67))&gt;0</formula>
    </cfRule>
  </conditionalFormatting>
  <conditionalFormatting sqref="E68">
    <cfRule type="expression" dxfId="3" priority="1485">
      <formula>COUNTIF(INDIRECT("Checklist!$A491"), "TRUE") = 1</formula>
    </cfRule>
    <cfRule type="expression" dxfId="4" priority="1486">
      <formula>COUNTIF(INDIRECT("Checklist!$A491"), "FALSE") = 1</formula>
    </cfRule>
    <cfRule type="notContainsBlanks" dxfId="7" priority="1487">
      <formula>LEN(TRIM(E68))&gt;0</formula>
    </cfRule>
  </conditionalFormatting>
  <conditionalFormatting sqref="E69">
    <cfRule type="expression" dxfId="3" priority="1503">
      <formula>COUNTIF(INDIRECT("Checklist!$A497"), "TRUE") = 1</formula>
    </cfRule>
    <cfRule type="expression" dxfId="4" priority="1504">
      <formula>COUNTIF(INDIRECT("Checklist!$A497"), "FALSE") = 1</formula>
    </cfRule>
    <cfRule type="notContainsBlanks" dxfId="7" priority="1505">
      <formula>LEN(TRIM(E69))&gt;0</formula>
    </cfRule>
  </conditionalFormatting>
  <conditionalFormatting sqref="E7">
    <cfRule type="expression" dxfId="3" priority="83">
      <formula>COUNTIF(INDIRECT("Checklist!$A29"), "TRUE") = 1</formula>
    </cfRule>
    <cfRule type="expression" dxfId="4" priority="84">
      <formula>COUNTIF(INDIRECT("Checklist!$A29"), "FALSE") = 1</formula>
    </cfRule>
    <cfRule type="notContainsBlanks" dxfId="7" priority="85">
      <formula>LEN(TRIM(E7))&gt;0</formula>
    </cfRule>
  </conditionalFormatting>
  <conditionalFormatting sqref="E70">
    <cfRule type="expression" dxfId="3" priority="1521">
      <formula>COUNTIF(INDIRECT("Checklist!$A503"), "TRUE") = 1</formula>
    </cfRule>
    <cfRule type="expression" dxfId="4" priority="1522">
      <formula>COUNTIF(INDIRECT("Checklist!$A503"), "FALSE") = 1</formula>
    </cfRule>
    <cfRule type="notContainsBlanks" dxfId="7" priority="1523">
      <formula>LEN(TRIM(E70))&gt;0</formula>
    </cfRule>
  </conditionalFormatting>
  <conditionalFormatting sqref="E71">
    <cfRule type="expression" dxfId="3" priority="1539">
      <formula>COUNTIF(INDIRECT("Checklist!$A509"), "TRUE") = 1</formula>
    </cfRule>
    <cfRule type="expression" dxfId="4" priority="1540">
      <formula>COUNTIF(INDIRECT("Checklist!$A509"), "FALSE") = 1</formula>
    </cfRule>
    <cfRule type="notContainsBlanks" dxfId="7" priority="1541">
      <formula>LEN(TRIM(E71))&gt;0</formula>
    </cfRule>
  </conditionalFormatting>
  <conditionalFormatting sqref="E75">
    <cfRule type="expression" dxfId="3" priority="1649">
      <formula>COUNTIF(INDIRECT("Checklist!$A545"), "TRUE") = 1</formula>
    </cfRule>
    <cfRule type="expression" dxfId="4" priority="1650">
      <formula>COUNTIF(INDIRECT("Checklist!$A545"), "FALSE") = 1</formula>
    </cfRule>
    <cfRule type="notContainsBlanks" dxfId="7" priority="1651">
      <formula>LEN(TRIM(E75))&gt;0</formula>
    </cfRule>
  </conditionalFormatting>
  <conditionalFormatting sqref="E76">
    <cfRule type="expression" dxfId="3" priority="1667">
      <formula>COUNTIF(INDIRECT("Checklist!$A551"), "TRUE") = 1</formula>
    </cfRule>
    <cfRule type="expression" dxfId="4" priority="1668">
      <formula>COUNTIF(INDIRECT("Checklist!$A551"), "FALSE") = 1</formula>
    </cfRule>
    <cfRule type="notContainsBlanks" dxfId="7" priority="1669">
      <formula>LEN(TRIM(E76))&gt;0</formula>
    </cfRule>
  </conditionalFormatting>
  <conditionalFormatting sqref="E77">
    <cfRule type="expression" dxfId="3" priority="1685">
      <formula>COUNTIF(INDIRECT("Checklist!$A557"), "TRUE") = 1</formula>
    </cfRule>
    <cfRule type="expression" dxfId="4" priority="1686">
      <formula>COUNTIF(INDIRECT("Checklist!$A557"), "FALSE") = 1</formula>
    </cfRule>
    <cfRule type="notContainsBlanks" dxfId="7" priority="1687">
      <formula>LEN(TRIM(E77))&gt;0</formula>
    </cfRule>
  </conditionalFormatting>
  <conditionalFormatting sqref="E78">
    <cfRule type="expression" dxfId="3" priority="1703">
      <formula>COUNTIF(INDIRECT("Checklist!$A563"), "TRUE") = 1</formula>
    </cfRule>
    <cfRule type="expression" dxfId="4" priority="1704">
      <formula>COUNTIF(INDIRECT("Checklist!$A563"), "FALSE") = 1</formula>
    </cfRule>
    <cfRule type="notContainsBlanks" dxfId="7" priority="1705">
      <formula>LEN(TRIM(E78))&gt;0</formula>
    </cfRule>
  </conditionalFormatting>
  <conditionalFormatting sqref="E79">
    <cfRule type="expression" dxfId="3" priority="1721">
      <formula>COUNTIF(INDIRECT("Checklist!$A569"), "TRUE") = 1</formula>
    </cfRule>
    <cfRule type="expression" dxfId="4" priority="1722">
      <formula>COUNTIF(INDIRECT("Checklist!$A569"), "FALSE") = 1</formula>
    </cfRule>
    <cfRule type="notContainsBlanks" dxfId="7" priority="1723">
      <formula>LEN(TRIM(E79))&gt;0</formula>
    </cfRule>
  </conditionalFormatting>
  <conditionalFormatting sqref="E83">
    <cfRule type="expression" dxfId="3" priority="1831">
      <formula>COUNTIF(INDIRECT("Checklist!$A605"), "TRUE") = 1</formula>
    </cfRule>
    <cfRule type="expression" dxfId="4" priority="1832">
      <formula>COUNTIF(INDIRECT("Checklist!$A605"), "FALSE") = 1</formula>
    </cfRule>
    <cfRule type="notContainsBlanks" dxfId="7" priority="1833">
      <formula>LEN(TRIM(E83))&gt;0</formula>
    </cfRule>
  </conditionalFormatting>
  <conditionalFormatting sqref="E84">
    <cfRule type="expression" dxfId="3" priority="1849">
      <formula>COUNTIF(INDIRECT("Checklist!$A611"), "TRUE") = 1</formula>
    </cfRule>
    <cfRule type="expression" dxfId="4" priority="1850">
      <formula>COUNTIF(INDIRECT("Checklist!$A611"), "FALSE") = 1</formula>
    </cfRule>
    <cfRule type="notContainsBlanks" dxfId="7" priority="1851">
      <formula>LEN(TRIM(E84))&gt;0</formula>
    </cfRule>
  </conditionalFormatting>
  <conditionalFormatting sqref="E85">
    <cfRule type="expression" dxfId="3" priority="1867">
      <formula>COUNTIF(INDIRECT("Checklist!$A617"), "TRUE") = 1</formula>
    </cfRule>
    <cfRule type="expression" dxfId="4" priority="1868">
      <formula>COUNTIF(INDIRECT("Checklist!$A617"), "FALSE") = 1</formula>
    </cfRule>
    <cfRule type="notContainsBlanks" dxfId="7" priority="1869">
      <formula>LEN(TRIM(E85))&gt;0</formula>
    </cfRule>
  </conditionalFormatting>
  <conditionalFormatting sqref="E86">
    <cfRule type="expression" dxfId="3" priority="1885">
      <formula>COUNTIF(INDIRECT("Checklist!$A623"), "TRUE") = 1</formula>
    </cfRule>
    <cfRule type="expression" dxfId="4" priority="1886">
      <formula>COUNTIF(INDIRECT("Checklist!$A623"), "FALSE") = 1</formula>
    </cfRule>
    <cfRule type="notContainsBlanks" dxfId="7" priority="1887">
      <formula>LEN(TRIM(E86))&gt;0</formula>
    </cfRule>
  </conditionalFormatting>
  <conditionalFormatting sqref="E87">
    <cfRule type="expression" dxfId="3" priority="1903">
      <formula>COUNTIF(INDIRECT("Checklist!$A629"), "TRUE") = 1</formula>
    </cfRule>
    <cfRule type="expression" dxfId="4" priority="1904">
      <formula>COUNTIF(INDIRECT("Checklist!$A629"), "FALSE") = 1</formula>
    </cfRule>
    <cfRule type="notContainsBlanks" dxfId="7" priority="1905">
      <formula>LEN(TRIM(E87))&gt;0</formula>
    </cfRule>
  </conditionalFormatting>
  <conditionalFormatting sqref="E91">
    <cfRule type="expression" dxfId="3" priority="2013">
      <formula>COUNTIF(INDIRECT("Checklist!$A665"), "TRUE") = 1</formula>
    </cfRule>
    <cfRule type="expression" dxfId="4" priority="2014">
      <formula>COUNTIF(INDIRECT("Checklist!$A665"), "FALSE") = 1</formula>
    </cfRule>
    <cfRule type="notContainsBlanks" dxfId="7" priority="2015">
      <formula>LEN(TRIM(E91))&gt;0</formula>
    </cfRule>
  </conditionalFormatting>
  <conditionalFormatting sqref="E92">
    <cfRule type="expression" dxfId="3" priority="2031">
      <formula>COUNTIF(INDIRECT("Checklist!$A671"), "TRUE") = 1</formula>
    </cfRule>
    <cfRule type="expression" dxfId="4" priority="2032">
      <formula>COUNTIF(INDIRECT("Checklist!$A671"), "FALSE") = 1</formula>
    </cfRule>
    <cfRule type="notContainsBlanks" dxfId="7" priority="2033">
      <formula>LEN(TRIM(E92))&gt;0</formula>
    </cfRule>
  </conditionalFormatting>
  <conditionalFormatting sqref="E93">
    <cfRule type="expression" dxfId="3" priority="2049">
      <formula>COUNTIF(INDIRECT("Checklist!$A677"), "TRUE") = 1</formula>
    </cfRule>
    <cfRule type="expression" dxfId="4" priority="2050">
      <formula>COUNTIF(INDIRECT("Checklist!$A677"), "FALSE") = 1</formula>
    </cfRule>
    <cfRule type="notContainsBlanks" dxfId="7" priority="2051">
      <formula>LEN(TRIM(E93))&gt;0</formula>
    </cfRule>
  </conditionalFormatting>
  <conditionalFormatting sqref="E94">
    <cfRule type="expression" dxfId="3" priority="2067">
      <formula>COUNTIF(INDIRECT("Checklist!$A683"), "TRUE") = 1</formula>
    </cfRule>
    <cfRule type="expression" dxfId="4" priority="2068">
      <formula>COUNTIF(INDIRECT("Checklist!$A683"), "FALSE") = 1</formula>
    </cfRule>
    <cfRule type="notContainsBlanks" dxfId="7" priority="2069">
      <formula>LEN(TRIM(E94))&gt;0</formula>
    </cfRule>
  </conditionalFormatting>
  <conditionalFormatting sqref="E95">
    <cfRule type="expression" dxfId="3" priority="2085">
      <formula>COUNTIF(INDIRECT("Checklist!$A689"), "TRUE") = 1</formula>
    </cfRule>
    <cfRule type="expression" dxfId="4" priority="2086">
      <formula>COUNTIF(INDIRECT("Checklist!$A689"), "FALSE") = 1</formula>
    </cfRule>
    <cfRule type="notContainsBlanks" dxfId="7" priority="2087">
      <formula>LEN(TRIM(E95))&gt;0</formula>
    </cfRule>
  </conditionalFormatting>
  <conditionalFormatting sqref="E99">
    <cfRule type="expression" dxfId="3" priority="2195">
      <formula>COUNTIF(INDIRECT("Checklist!$A725"), "TRUE") = 1</formula>
    </cfRule>
    <cfRule type="expression" dxfId="4" priority="2196">
      <formula>COUNTIF(INDIRECT("Checklist!$A725"), "FALSE") = 1</formula>
    </cfRule>
    <cfRule type="notContainsBlanks" dxfId="7" priority="2197">
      <formula>LEN(TRIM(E99))&gt;0</formula>
    </cfRule>
  </conditionalFormatting>
  <conditionalFormatting sqref="F100">
    <cfRule type="expression" dxfId="3" priority="2216">
      <formula>COUNTIF(INDIRECT("Checklist!$A732"), "TRUE") = 1</formula>
    </cfRule>
    <cfRule type="expression" dxfId="4" priority="2217">
      <formula>COUNTIF(INDIRECT("Checklist!$A732"), "FALSE") = 1</formula>
    </cfRule>
    <cfRule type="notContainsBlanks" dxfId="7" priority="2218">
      <formula>LEN(TRIM(F100))&gt;0</formula>
    </cfRule>
  </conditionalFormatting>
  <conditionalFormatting sqref="F101">
    <cfRule type="expression" dxfId="3" priority="2234">
      <formula>COUNTIF(INDIRECT("Checklist!$A738"), "TRUE") = 1</formula>
    </cfRule>
    <cfRule type="expression" dxfId="4" priority="2235">
      <formula>COUNTIF(INDIRECT("Checklist!$A738"), "FALSE") = 1</formula>
    </cfRule>
    <cfRule type="notContainsBlanks" dxfId="7" priority="2236">
      <formula>LEN(TRIM(F101))&gt;0</formula>
    </cfRule>
  </conditionalFormatting>
  <conditionalFormatting sqref="F102">
    <cfRule type="expression" dxfId="3" priority="2252">
      <formula>COUNTIF(INDIRECT("Checklist!$A744"), "TRUE") = 1</formula>
    </cfRule>
    <cfRule type="expression" dxfId="4" priority="2253">
      <formula>COUNTIF(INDIRECT("Checklist!$A744"), "FALSE") = 1</formula>
    </cfRule>
    <cfRule type="notContainsBlanks" dxfId="7" priority="2254">
      <formula>LEN(TRIM(F102))&gt;0</formula>
    </cfRule>
  </conditionalFormatting>
  <conditionalFormatting sqref="F103">
    <cfRule type="expression" dxfId="3" priority="2270">
      <formula>COUNTIF(INDIRECT("Checklist!$A750"), "TRUE") = 1</formula>
    </cfRule>
    <cfRule type="expression" dxfId="4" priority="2271">
      <formula>COUNTIF(INDIRECT("Checklist!$A750"), "FALSE") = 1</formula>
    </cfRule>
    <cfRule type="notContainsBlanks" dxfId="7" priority="2272">
      <formula>LEN(TRIM(F103))&gt;0</formula>
    </cfRule>
  </conditionalFormatting>
  <conditionalFormatting sqref="F107">
    <cfRule type="expression" dxfId="3" priority="2380">
      <formula>COUNTIF(INDIRECT("Checklist!$A786"), "TRUE") = 1</formula>
    </cfRule>
    <cfRule type="expression" dxfId="4" priority="2381">
      <formula>COUNTIF(INDIRECT("Checklist!$A786"), "FALSE") = 1</formula>
    </cfRule>
    <cfRule type="notContainsBlanks" dxfId="7" priority="2382">
      <formula>LEN(TRIM(F107))&gt;0</formula>
    </cfRule>
  </conditionalFormatting>
  <conditionalFormatting sqref="F108">
    <cfRule type="expression" dxfId="3" priority="2398">
      <formula>COUNTIF(INDIRECT("Checklist!$A792"), "TRUE") = 1</formula>
    </cfRule>
    <cfRule type="expression" dxfId="4" priority="2399">
      <formula>COUNTIF(INDIRECT("Checklist!$A792"), "FALSE") = 1</formula>
    </cfRule>
    <cfRule type="notContainsBlanks" dxfId="7" priority="2400">
      <formula>LEN(TRIM(F108))&gt;0</formula>
    </cfRule>
  </conditionalFormatting>
  <conditionalFormatting sqref="F109">
    <cfRule type="expression" dxfId="3" priority="2416">
      <formula>COUNTIF(INDIRECT("Checklist!$A798"), "TRUE") = 1</formula>
    </cfRule>
    <cfRule type="expression" dxfId="4" priority="2417">
      <formula>COUNTIF(INDIRECT("Checklist!$A798"), "FALSE") = 1</formula>
    </cfRule>
    <cfRule type="notContainsBlanks" dxfId="7" priority="2418">
      <formula>LEN(TRIM(F109))&gt;0</formula>
    </cfRule>
  </conditionalFormatting>
  <conditionalFormatting sqref="F11">
    <cfRule type="expression" dxfId="3" priority="196">
      <formula>COUNTIF(INDIRECT("Checklist!$A66"), "TRUE") = 1</formula>
    </cfRule>
    <cfRule type="expression" dxfId="4" priority="197">
      <formula>COUNTIF(INDIRECT("Checklist!$A66"), "FALSE") = 1</formula>
    </cfRule>
    <cfRule type="notContainsBlanks" dxfId="7" priority="198">
      <formula>LEN(TRIM(F11))&gt;0</formula>
    </cfRule>
  </conditionalFormatting>
  <conditionalFormatting sqref="F110">
    <cfRule type="expression" dxfId="3" priority="2434">
      <formula>COUNTIF(INDIRECT("Checklist!$A804"), "TRUE") = 1</formula>
    </cfRule>
    <cfRule type="expression" dxfId="4" priority="2435">
      <formula>COUNTIF(INDIRECT("Checklist!$A804"), "FALSE") = 1</formula>
    </cfRule>
    <cfRule type="notContainsBlanks" dxfId="7" priority="2436">
      <formula>LEN(TRIM(F110))&gt;0</formula>
    </cfRule>
  </conditionalFormatting>
  <conditionalFormatting sqref="F111">
    <cfRule type="expression" dxfId="3" priority="2452">
      <formula>COUNTIF(INDIRECT("Checklist!$A1219"), "TRUE") = 1</formula>
    </cfRule>
    <cfRule type="expression" dxfId="4" priority="2453">
      <formula>COUNTIF(INDIRECT("Checklist!$A1219"), "FALSE") = 1</formula>
    </cfRule>
    <cfRule type="notContainsBlanks" dxfId="7" priority="2454">
      <formula>LEN(TRIM(F111))&gt;0</formula>
    </cfRule>
  </conditionalFormatting>
  <conditionalFormatting sqref="F115">
    <cfRule type="expression" dxfId="3" priority="2562">
      <formula>COUNTIF(INDIRECT("Checklist!$A846"), "TRUE") = 1</formula>
    </cfRule>
    <cfRule type="expression" dxfId="4" priority="2563">
      <formula>COUNTIF(INDIRECT("Checklist!$A846"), "FALSE") = 1</formula>
    </cfRule>
    <cfRule type="notContainsBlanks" dxfId="7" priority="2564">
      <formula>LEN(TRIM(F115))&gt;0</formula>
    </cfRule>
  </conditionalFormatting>
  <conditionalFormatting sqref="F116">
    <cfRule type="expression" dxfId="3" priority="2580">
      <formula>COUNTIF(INDIRECT("Checklist!$A1232"), "TRUE") = 1</formula>
    </cfRule>
    <cfRule type="expression" dxfId="4" priority="2581">
      <formula>COUNTIF(INDIRECT("Checklist!$A1232"), "FALSE") = 1</formula>
    </cfRule>
    <cfRule type="notContainsBlanks" dxfId="7" priority="2582">
      <formula>LEN(TRIM(F116))&gt;0</formula>
    </cfRule>
  </conditionalFormatting>
  <conditionalFormatting sqref="F117">
    <cfRule type="expression" dxfId="3" priority="2598">
      <formula>COUNTIF(INDIRECT("Checklist!$A858"), "TRUE") = 1</formula>
    </cfRule>
    <cfRule type="expression" dxfId="4" priority="2599">
      <formula>COUNTIF(INDIRECT("Checklist!$A858"), "FALSE") = 1</formula>
    </cfRule>
    <cfRule type="notContainsBlanks" dxfId="7" priority="2600">
      <formula>LEN(TRIM(F117))&gt;0</formula>
    </cfRule>
  </conditionalFormatting>
  <conditionalFormatting sqref="F118">
    <cfRule type="expression" dxfId="3" priority="2616">
      <formula>COUNTIF(INDIRECT("Checklist!$A864"), "TRUE") = 1</formula>
    </cfRule>
    <cfRule type="expression" dxfId="4" priority="2617">
      <formula>COUNTIF(INDIRECT("Checklist!$A864"), "FALSE") = 1</formula>
    </cfRule>
    <cfRule type="notContainsBlanks" dxfId="7" priority="2618">
      <formula>LEN(TRIM(F118))&gt;0</formula>
    </cfRule>
  </conditionalFormatting>
  <conditionalFormatting sqref="F119">
    <cfRule type="expression" dxfId="3" priority="2634">
      <formula>COUNTIF(INDIRECT("Checklist!$A1235"), "TRUE") = 1</formula>
    </cfRule>
    <cfRule type="expression" dxfId="4" priority="2635">
      <formula>COUNTIF(INDIRECT("Checklist!$A1235"), "FALSE") = 1</formula>
    </cfRule>
    <cfRule type="notContainsBlanks" dxfId="7" priority="2636">
      <formula>LEN(TRIM(F119))&gt;0</formula>
    </cfRule>
  </conditionalFormatting>
  <conditionalFormatting sqref="F12">
    <cfRule type="expression" dxfId="3" priority="214">
      <formula>COUNTIF(INDIRECT("Checklist!$A72"), "TRUE") = 1</formula>
    </cfRule>
    <cfRule type="expression" dxfId="4" priority="215">
      <formula>COUNTIF(INDIRECT("Checklist!$A72"), "FALSE") = 1</formula>
    </cfRule>
    <cfRule type="notContainsBlanks" dxfId="7" priority="216">
      <formula>LEN(TRIM(F12))&gt;0</formula>
    </cfRule>
  </conditionalFormatting>
  <conditionalFormatting sqref="F123">
    <cfRule type="expression" dxfId="3" priority="2744">
      <formula>COUNTIF(INDIRECT("Checklist!$A906"), "TRUE") = 1</formula>
    </cfRule>
    <cfRule type="expression" dxfId="4" priority="2745">
      <formula>COUNTIF(INDIRECT("Checklist!$A906"), "FALSE") = 1</formula>
    </cfRule>
    <cfRule type="notContainsBlanks" dxfId="7" priority="2746">
      <formula>LEN(TRIM(F123))&gt;0</formula>
    </cfRule>
  </conditionalFormatting>
  <conditionalFormatting sqref="F13">
    <cfRule type="expression" dxfId="3" priority="232">
      <formula>COUNTIF(INDIRECT("Checklist!$A78"), "TRUE") = 1</formula>
    </cfRule>
    <cfRule type="expression" dxfId="4" priority="233">
      <formula>COUNTIF(INDIRECT("Checklist!$A78"), "FALSE") = 1</formula>
    </cfRule>
    <cfRule type="notContainsBlanks" dxfId="7" priority="234">
      <formula>LEN(TRIM(F13))&gt;0</formula>
    </cfRule>
  </conditionalFormatting>
  <conditionalFormatting sqref="F131">
    <cfRule type="expression" dxfId="3" priority="2851">
      <formula>COUNTIF(INDIRECT("Checklist!$A941"), "TRUE") = 1</formula>
    </cfRule>
    <cfRule type="expression" dxfId="4" priority="2852">
      <formula>COUNTIF(INDIRECT("Checklist!$A941"), "FALSE") = 1</formula>
    </cfRule>
    <cfRule type="notContainsBlanks" dxfId="7" priority="2853">
      <formula>LEN(TRIM(F131))&gt;0</formula>
    </cfRule>
  </conditionalFormatting>
  <conditionalFormatting sqref="F132">
    <cfRule type="expression" dxfId="3" priority="2869">
      <formula>COUNTIF(INDIRECT("Checklist!$A947"), "TRUE") = 1</formula>
    </cfRule>
    <cfRule type="expression" dxfId="4" priority="2870">
      <formula>COUNTIF(INDIRECT("Checklist!$A947"), "FALSE") = 1</formula>
    </cfRule>
    <cfRule type="notContainsBlanks" dxfId="7" priority="2871">
      <formula>LEN(TRIM(F132))&gt;0</formula>
    </cfRule>
  </conditionalFormatting>
  <conditionalFormatting sqref="F133">
    <cfRule type="expression" dxfId="3" priority="2887">
      <formula>COUNTIF(INDIRECT("Checklist!$A953"), "TRUE") = 1</formula>
    </cfRule>
    <cfRule type="expression" dxfId="4" priority="2888">
      <formula>COUNTIF(INDIRECT("Checklist!$A953"), "FALSE") = 1</formula>
    </cfRule>
    <cfRule type="notContainsBlanks" dxfId="7" priority="2889">
      <formula>LEN(TRIM(F133))&gt;0</formula>
    </cfRule>
  </conditionalFormatting>
  <conditionalFormatting sqref="F134">
    <cfRule type="expression" dxfId="3" priority="2905">
      <formula>COUNTIF(INDIRECT("Checklist!$A959"), "TRUE") = 1</formula>
    </cfRule>
    <cfRule type="expression" dxfId="4" priority="2906">
      <formula>COUNTIF(INDIRECT("Checklist!$A959"), "FALSE") = 1</formula>
    </cfRule>
    <cfRule type="notContainsBlanks" dxfId="7" priority="2907">
      <formula>LEN(TRIM(F134))&gt;0</formula>
    </cfRule>
  </conditionalFormatting>
  <conditionalFormatting sqref="F135">
    <cfRule type="expression" dxfId="3" priority="2923">
      <formula>COUNTIF(INDIRECT("Checklist!$A965"), "TRUE") = 1</formula>
    </cfRule>
    <cfRule type="expression" dxfId="4" priority="2924">
      <formula>COUNTIF(INDIRECT("Checklist!$A965"), "FALSE") = 1</formula>
    </cfRule>
    <cfRule type="notContainsBlanks" dxfId="7" priority="2925">
      <formula>LEN(TRIM(F135))&gt;0</formula>
    </cfRule>
  </conditionalFormatting>
  <conditionalFormatting sqref="F139">
    <cfRule type="expression" dxfId="3" priority="3033">
      <formula>COUNTIF(INDIRECT("Checklist!$A1001"), "TRUE") = 1</formula>
    </cfRule>
    <cfRule type="expression" dxfId="4" priority="3034">
      <formula>COUNTIF(INDIRECT("Checklist!$A1001"), "FALSE") = 1</formula>
    </cfRule>
    <cfRule type="notContainsBlanks" dxfId="7" priority="3035">
      <formula>LEN(TRIM(F139))&gt;0</formula>
    </cfRule>
  </conditionalFormatting>
  <conditionalFormatting sqref="F14">
    <cfRule type="expression" dxfId="3" priority="250">
      <formula>COUNTIF(INDIRECT("Checklist!$A84"), "TRUE") = 1</formula>
    </cfRule>
    <cfRule type="expression" dxfId="4" priority="251">
      <formula>COUNTIF(INDIRECT("Checklist!$A84"), "FALSE") = 1</formula>
    </cfRule>
    <cfRule type="notContainsBlanks" dxfId="7" priority="252">
      <formula>LEN(TRIM(F14))&gt;0</formula>
    </cfRule>
  </conditionalFormatting>
  <conditionalFormatting sqref="F140">
    <cfRule type="expression" dxfId="3" priority="3051">
      <formula>COUNTIF(INDIRECT("Checklist!$A1007"), "TRUE") = 1</formula>
    </cfRule>
    <cfRule type="expression" dxfId="4" priority="3052">
      <formula>COUNTIF(INDIRECT("Checklist!$A1007"), "FALSE") = 1</formula>
    </cfRule>
    <cfRule type="notContainsBlanks" dxfId="7" priority="3053">
      <formula>LEN(TRIM(F140))&gt;0</formula>
    </cfRule>
  </conditionalFormatting>
  <conditionalFormatting sqref="F147">
    <cfRule type="expression" dxfId="3" priority="3098">
      <formula>COUNTIF(INDIRECT("Checklist!$A1020"), "TRUE") = 1</formula>
    </cfRule>
    <cfRule type="expression" dxfId="4" priority="3099">
      <formula>COUNTIF(INDIRECT("Checklist!$A1020"), "FALSE") = 1</formula>
    </cfRule>
    <cfRule type="notContainsBlanks" dxfId="7" priority="3100">
      <formula>LEN(TRIM(F147))&gt;0</formula>
    </cfRule>
  </conditionalFormatting>
  <conditionalFormatting sqref="F148">
    <cfRule type="expression" dxfId="3" priority="3116">
      <formula>COUNTIF(INDIRECT("Checklist!$A1026"), "TRUE") = 1</formula>
    </cfRule>
    <cfRule type="expression" dxfId="4" priority="3117">
      <formula>COUNTIF(INDIRECT("Checklist!$A1026"), "FALSE") = 1</formula>
    </cfRule>
    <cfRule type="notContainsBlanks" dxfId="7" priority="3118">
      <formula>LEN(TRIM(F148))&gt;0</formula>
    </cfRule>
  </conditionalFormatting>
  <conditionalFormatting sqref="F149">
    <cfRule type="expression" dxfId="3" priority="3134">
      <formula>COUNTIF(INDIRECT("Checklist!$A1032"), "TRUE") = 1</formula>
    </cfRule>
    <cfRule type="expression" dxfId="4" priority="3135">
      <formula>COUNTIF(INDIRECT("Checklist!$A1032"), "FALSE") = 1</formula>
    </cfRule>
    <cfRule type="notContainsBlanks" dxfId="7" priority="3136">
      <formula>LEN(TRIM(F149))&gt;0</formula>
    </cfRule>
  </conditionalFormatting>
  <conditionalFormatting sqref="F15">
    <cfRule type="expression" dxfId="3" priority="268">
      <formula>COUNTIF(INDIRECT("Checklist!$A90"), "TRUE") = 1</formula>
    </cfRule>
    <cfRule type="expression" dxfId="4" priority="269">
      <formula>COUNTIF(INDIRECT("Checklist!$A90"), "FALSE") = 1</formula>
    </cfRule>
    <cfRule type="notContainsBlanks" dxfId="7" priority="270">
      <formula>LEN(TRIM(F15))&gt;0</formula>
    </cfRule>
  </conditionalFormatting>
  <conditionalFormatting sqref="F150">
    <cfRule type="expression" dxfId="3" priority="3152">
      <formula>COUNTIF(INDIRECT("Checklist!$A1038"), "TRUE") = 1</formula>
    </cfRule>
    <cfRule type="expression" dxfId="4" priority="3153">
      <formula>COUNTIF(INDIRECT("Checklist!$A1038"), "FALSE") = 1</formula>
    </cfRule>
    <cfRule type="notContainsBlanks" dxfId="7" priority="3154">
      <formula>LEN(TRIM(F150))&gt;0</formula>
    </cfRule>
  </conditionalFormatting>
  <conditionalFormatting sqref="F155">
    <cfRule type="expression" dxfId="3" priority="3262">
      <formula>COUNTIF(INDIRECT("Checklist!$None"), "TRUE") = 1</formula>
    </cfRule>
    <cfRule type="expression" dxfId="4" priority="3263">
      <formula>COUNTIF(INDIRECT("Checklist!$None"), "FALSE") = 1</formula>
    </cfRule>
    <cfRule type="notContainsBlanks" dxfId="7" priority="3264">
      <formula>LEN(TRIM(F155))&gt;0</formula>
    </cfRule>
  </conditionalFormatting>
  <conditionalFormatting sqref="F156">
    <cfRule type="expression" dxfId="3" priority="3280">
      <formula>COUNTIF(INDIRECT("Checklist!$None"), "TRUE") = 1</formula>
    </cfRule>
    <cfRule type="expression" dxfId="4" priority="3281">
      <formula>COUNTIF(INDIRECT("Checklist!$None"), "FALSE") = 1</formula>
    </cfRule>
    <cfRule type="notContainsBlanks" dxfId="7" priority="3282">
      <formula>LEN(TRIM(F156))&gt;0</formula>
    </cfRule>
  </conditionalFormatting>
  <conditionalFormatting sqref="F157">
    <cfRule type="expression" dxfId="3" priority="3298">
      <formula>COUNTIF(INDIRECT("Checklist!$None"), "TRUE") = 1</formula>
    </cfRule>
    <cfRule type="expression" dxfId="4" priority="3299">
      <formula>COUNTIF(INDIRECT("Checklist!$None"), "FALSE") = 1</formula>
    </cfRule>
    <cfRule type="notContainsBlanks" dxfId="7" priority="3300">
      <formula>LEN(TRIM(F157))&gt;0</formula>
    </cfRule>
  </conditionalFormatting>
  <conditionalFormatting sqref="F158">
    <cfRule type="expression" dxfId="3" priority="3316">
      <formula>COUNTIF(INDIRECT("Checklist!$A646"), "TRUE") = 1</formula>
    </cfRule>
    <cfRule type="expression" dxfId="4" priority="3317">
      <formula>COUNTIF(INDIRECT("Checklist!$A646"), "FALSE") = 1</formula>
    </cfRule>
    <cfRule type="notContainsBlanks" dxfId="7" priority="3318">
      <formula>LEN(TRIM(F158))&gt;0</formula>
    </cfRule>
  </conditionalFormatting>
  <conditionalFormatting sqref="F163">
    <cfRule type="expression" dxfId="3" priority="3411">
      <formula>COUNTIF(INDIRECT("Checklist!$A1088"), "TRUE") = 1</formula>
    </cfRule>
    <cfRule type="expression" dxfId="4" priority="3412">
      <formula>COUNTIF(INDIRECT("Checklist!$A1088"), "FALSE") = 1</formula>
    </cfRule>
    <cfRule type="notContainsBlanks" dxfId="7" priority="3413">
      <formula>LEN(TRIM(F163))&gt;0</formula>
    </cfRule>
  </conditionalFormatting>
  <conditionalFormatting sqref="F164">
    <cfRule type="expression" dxfId="3" priority="3429">
      <formula>COUNTIF(INDIRECT("Checklist!$A1092"), "TRUE") = 1</formula>
    </cfRule>
    <cfRule type="expression" dxfId="4" priority="3430">
      <formula>COUNTIF(INDIRECT("Checklist!$A1092"), "FALSE") = 1</formula>
    </cfRule>
    <cfRule type="notContainsBlanks" dxfId="7" priority="3431">
      <formula>LEN(TRIM(F164))&gt;0</formula>
    </cfRule>
  </conditionalFormatting>
  <conditionalFormatting sqref="F165">
    <cfRule type="expression" dxfId="3" priority="3447">
      <formula>COUNTIF(INDIRECT("Checklist!$A1096"), "TRUE") = 1</formula>
    </cfRule>
    <cfRule type="expression" dxfId="4" priority="3448">
      <formula>COUNTIF(INDIRECT("Checklist!$A1096"), "FALSE") = 1</formula>
    </cfRule>
    <cfRule type="notContainsBlanks" dxfId="7" priority="3449">
      <formula>LEN(TRIM(F165))&gt;0</formula>
    </cfRule>
  </conditionalFormatting>
  <conditionalFormatting sqref="F166">
    <cfRule type="expression" dxfId="3" priority="3465">
      <formula>COUNTIF(INDIRECT("Checklist!$None"), "TRUE") = 1</formula>
    </cfRule>
    <cfRule type="expression" dxfId="4" priority="3466">
      <formula>COUNTIF(INDIRECT("Checklist!$None"), "FALSE") = 1</formula>
    </cfRule>
    <cfRule type="notContainsBlanks" dxfId="7" priority="3467">
      <formula>LEN(TRIM(F166))&gt;0</formula>
    </cfRule>
  </conditionalFormatting>
  <conditionalFormatting sqref="F167">
    <cfRule type="expression" dxfId="3" priority="3483">
      <formula>COUNTIF(INDIRECT("Checklist!$A1100"), "TRUE") = 1</formula>
    </cfRule>
    <cfRule type="expression" dxfId="4" priority="3484">
      <formula>COUNTIF(INDIRECT("Checklist!$A1100"), "FALSE") = 1</formula>
    </cfRule>
    <cfRule type="notContainsBlanks" dxfId="7" priority="3485">
      <formula>LEN(TRIM(F167))&gt;0</formula>
    </cfRule>
  </conditionalFormatting>
  <conditionalFormatting sqref="F171">
    <cfRule type="expression" dxfId="3" priority="3563">
      <formula>COUNTIF(INDIRECT("Checklist!$None"), "TRUE") = 1</formula>
    </cfRule>
    <cfRule type="expression" dxfId="4" priority="3564">
      <formula>COUNTIF(INDIRECT("Checklist!$None"), "FALSE") = 1</formula>
    </cfRule>
    <cfRule type="notContainsBlanks" dxfId="7" priority="3565">
      <formula>LEN(TRIM(F171))&gt;0</formula>
    </cfRule>
  </conditionalFormatting>
  <conditionalFormatting sqref="F172">
    <cfRule type="expression" dxfId="3" priority="3581">
      <formula>COUNTIF(INDIRECT("Checklist!$A1126"), "TRUE") = 1</formula>
    </cfRule>
    <cfRule type="expression" dxfId="4" priority="3582">
      <formula>COUNTIF(INDIRECT("Checklist!$A1126"), "FALSE") = 1</formula>
    </cfRule>
    <cfRule type="notContainsBlanks" dxfId="7" priority="3583">
      <formula>LEN(TRIM(F172))&gt;0</formula>
    </cfRule>
  </conditionalFormatting>
  <conditionalFormatting sqref="F173">
    <cfRule type="expression" dxfId="3" priority="3599">
      <formula>COUNTIF(INDIRECT("Checklist!$A1130"), "TRUE") = 1</formula>
    </cfRule>
    <cfRule type="expression" dxfId="4" priority="3600">
      <formula>COUNTIF(INDIRECT("Checklist!$A1130"), "FALSE") = 1</formula>
    </cfRule>
    <cfRule type="notContainsBlanks" dxfId="7" priority="3601">
      <formula>LEN(TRIM(F173))&gt;0</formula>
    </cfRule>
  </conditionalFormatting>
  <conditionalFormatting sqref="F179">
    <cfRule type="expression" dxfId="3" priority="3709">
      <formula>COUNTIF(INDIRECT("Checklist!$A1143"), "TRUE") = 1</formula>
    </cfRule>
    <cfRule type="expression" dxfId="4" priority="3710">
      <formula>COUNTIF(INDIRECT("Checklist!$A1143"), "FALSE") = 1</formula>
    </cfRule>
    <cfRule type="notContainsBlanks" dxfId="7" priority="3711">
      <formula>LEN(TRIM(F179))&gt;0</formula>
    </cfRule>
  </conditionalFormatting>
  <conditionalFormatting sqref="F180">
    <cfRule type="expression" dxfId="3" priority="3727">
      <formula>COUNTIF(INDIRECT("Checklist!$A1149"), "TRUE") = 1</formula>
    </cfRule>
    <cfRule type="expression" dxfId="4" priority="3728">
      <formula>COUNTIF(INDIRECT("Checklist!$A1149"), "FALSE") = 1</formula>
    </cfRule>
    <cfRule type="notContainsBlanks" dxfId="7" priority="3729">
      <formula>LEN(TRIM(F180))&gt;0</formula>
    </cfRule>
  </conditionalFormatting>
  <conditionalFormatting sqref="F181">
    <cfRule type="expression" dxfId="3" priority="3745">
      <formula>COUNTIF(INDIRECT("Checklist!$A1155"), "TRUE") = 1</formula>
    </cfRule>
    <cfRule type="expression" dxfId="4" priority="3746">
      <formula>COUNTIF(INDIRECT("Checklist!$A1155"), "FALSE") = 1</formula>
    </cfRule>
    <cfRule type="notContainsBlanks" dxfId="7" priority="3747">
      <formula>LEN(TRIM(F181))&gt;0</formula>
    </cfRule>
  </conditionalFormatting>
  <conditionalFormatting sqref="F182">
    <cfRule type="expression" dxfId="3" priority="3763">
      <formula>COUNTIF(INDIRECT("Checklist!$A1161"), "TRUE") = 1</formula>
    </cfRule>
    <cfRule type="expression" dxfId="4" priority="3764">
      <formula>COUNTIF(INDIRECT("Checklist!$A1161"), "FALSE") = 1</formula>
    </cfRule>
    <cfRule type="notContainsBlanks" dxfId="7" priority="3765">
      <formula>LEN(TRIM(F182))&gt;0</formula>
    </cfRule>
  </conditionalFormatting>
  <conditionalFormatting sqref="F187">
    <cfRule type="expression" dxfId="3" priority="3879">
      <formula>COUNTIF(INDIRECT("Checklist!$A1199"), "TRUE") = 1</formula>
    </cfRule>
    <cfRule type="expression" dxfId="4" priority="3880">
      <formula>COUNTIF(INDIRECT("Checklist!$A1199"), "FALSE") = 1</formula>
    </cfRule>
    <cfRule type="notContainsBlanks" dxfId="7" priority="3881">
      <formula>LEN(TRIM(F187))&gt;0</formula>
    </cfRule>
  </conditionalFormatting>
  <conditionalFormatting sqref="F19">
    <cfRule type="expression" dxfId="3" priority="378">
      <formula>COUNTIF(INDIRECT("Checklist!$A126"), "TRUE") = 1</formula>
    </cfRule>
    <cfRule type="expression" dxfId="4" priority="379">
      <formula>COUNTIF(INDIRECT("Checklist!$A126"), "FALSE") = 1</formula>
    </cfRule>
    <cfRule type="notContainsBlanks" dxfId="7" priority="380">
      <formula>LEN(TRIM(F19))&gt;0</formula>
    </cfRule>
  </conditionalFormatting>
  <conditionalFormatting sqref="F195">
    <cfRule type="expression" dxfId="3" priority="3992">
      <formula>COUNTIF(INDIRECT("Checklist!$A1236"), "TRUE") = 1</formula>
    </cfRule>
    <cfRule type="expression" dxfId="4" priority="3993">
      <formula>COUNTIF(INDIRECT("Checklist!$A1236"), "FALSE") = 1</formula>
    </cfRule>
    <cfRule type="notContainsBlanks" dxfId="7" priority="3994">
      <formula>LEN(TRIM(F195))&gt;0</formula>
    </cfRule>
  </conditionalFormatting>
  <conditionalFormatting sqref="F20">
    <cfRule type="expression" dxfId="3" priority="396">
      <formula>COUNTIF(INDIRECT("Checklist!$A1214"), "TRUE") = 1</formula>
    </cfRule>
    <cfRule type="expression" dxfId="4" priority="397">
      <formula>COUNTIF(INDIRECT("Checklist!$A1214"), "FALSE") = 1</formula>
    </cfRule>
    <cfRule type="notContainsBlanks" dxfId="7" priority="398">
      <formula>LEN(TRIM(F20))&gt;0</formula>
    </cfRule>
  </conditionalFormatting>
  <conditionalFormatting sqref="F203">
    <cfRule type="expression" dxfId="3" priority="4018">
      <formula>COUNTIF(INDIRECT("Checklist!$A1244"), "TRUE") = 1</formula>
    </cfRule>
    <cfRule type="expression" dxfId="4" priority="4019">
      <formula>COUNTIF(INDIRECT("Checklist!$A1244"), "FALSE") = 1</formula>
    </cfRule>
    <cfRule type="notContainsBlanks" dxfId="7" priority="4020">
      <formula>LEN(TRIM(F203))&gt;0</formula>
    </cfRule>
  </conditionalFormatting>
  <conditionalFormatting sqref="F204">
    <cfRule type="expression" dxfId="3" priority="4036">
      <formula>COUNTIF(INDIRECT("Checklist!$A1250"), "TRUE") = 1</formula>
    </cfRule>
    <cfRule type="expression" dxfId="4" priority="4037">
      <formula>COUNTIF(INDIRECT("Checklist!$A1250"), "FALSE") = 1</formula>
    </cfRule>
    <cfRule type="notContainsBlanks" dxfId="7" priority="4038">
      <formula>LEN(TRIM(F204))&gt;0</formula>
    </cfRule>
  </conditionalFormatting>
  <conditionalFormatting sqref="F205">
    <cfRule type="expression" dxfId="3" priority="4054">
      <formula>COUNTIF(INDIRECT("Checklist!$A1256"), "TRUE") = 1</formula>
    </cfRule>
    <cfRule type="expression" dxfId="4" priority="4055">
      <formula>COUNTIF(INDIRECT("Checklist!$A1256"), "FALSE") = 1</formula>
    </cfRule>
    <cfRule type="notContainsBlanks" dxfId="7" priority="4056">
      <formula>LEN(TRIM(F205))&gt;0</formula>
    </cfRule>
  </conditionalFormatting>
  <conditionalFormatting sqref="F21">
    <cfRule type="expression" dxfId="3" priority="414">
      <formula>COUNTIF(INDIRECT("Checklist!$A138"), "TRUE") = 1</formula>
    </cfRule>
    <cfRule type="expression" dxfId="4" priority="415">
      <formula>COUNTIF(INDIRECT("Checklist!$A138"), "FALSE") = 1</formula>
    </cfRule>
    <cfRule type="notContainsBlanks" dxfId="7" priority="416">
      <formula>LEN(TRIM(F21))&gt;0</formula>
    </cfRule>
  </conditionalFormatting>
  <conditionalFormatting sqref="F211">
    <cfRule type="expression" dxfId="3" priority="4131">
      <formula>COUNTIF(INDIRECT("Checklist!$A1281"), "TRUE") = 1</formula>
    </cfRule>
    <cfRule type="expression" dxfId="4" priority="4132">
      <formula>COUNTIF(INDIRECT("Checklist!$A1281"), "FALSE") = 1</formula>
    </cfRule>
    <cfRule type="notContainsBlanks" dxfId="7" priority="4133">
      <formula>LEN(TRIM(F211))&gt;0</formula>
    </cfRule>
  </conditionalFormatting>
  <conditionalFormatting sqref="F212">
    <cfRule type="expression" dxfId="3" priority="4149">
      <formula>COUNTIF(INDIRECT("Checklist!$A1287"), "TRUE") = 1</formula>
    </cfRule>
    <cfRule type="expression" dxfId="4" priority="4150">
      <formula>COUNTIF(INDIRECT("Checklist!$A1287"), "FALSE") = 1</formula>
    </cfRule>
    <cfRule type="notContainsBlanks" dxfId="7" priority="4151">
      <formula>LEN(TRIM(F212))&gt;0</formula>
    </cfRule>
  </conditionalFormatting>
  <conditionalFormatting sqref="F213">
    <cfRule type="expression" dxfId="3" priority="4167">
      <formula>COUNTIF(INDIRECT("Checklist!$A1293"), "TRUE") = 1</formula>
    </cfRule>
    <cfRule type="expression" dxfId="4" priority="4168">
      <formula>COUNTIF(INDIRECT("Checklist!$A1293"), "FALSE") = 1</formula>
    </cfRule>
    <cfRule type="notContainsBlanks" dxfId="7" priority="4169">
      <formula>LEN(TRIM(F213))&gt;0</formula>
    </cfRule>
  </conditionalFormatting>
  <conditionalFormatting sqref="F22">
    <cfRule type="expression" dxfId="3" priority="432">
      <formula>COUNTIF(INDIRECT("Checklist!$A1217"), "TRUE") = 1</formula>
    </cfRule>
    <cfRule type="expression" dxfId="4" priority="433">
      <formula>COUNTIF(INDIRECT("Checklist!$A1217"), "FALSE") = 1</formula>
    </cfRule>
    <cfRule type="notContainsBlanks" dxfId="7" priority="434">
      <formula>LEN(TRIM(F22))&gt;0</formula>
    </cfRule>
  </conditionalFormatting>
  <conditionalFormatting sqref="F23">
    <cfRule type="expression" dxfId="3" priority="450">
      <formula>COUNTIF(INDIRECT("Checklist!$A150"), "TRUE") = 1</formula>
    </cfRule>
    <cfRule type="expression" dxfId="4" priority="451">
      <formula>COUNTIF(INDIRECT("Checklist!$A150"), "FALSE") = 1</formula>
    </cfRule>
    <cfRule type="notContainsBlanks" dxfId="7" priority="452">
      <formula>LEN(TRIM(F23))&gt;0</formula>
    </cfRule>
  </conditionalFormatting>
  <conditionalFormatting sqref="F27">
    <cfRule type="expression" dxfId="3" priority="560">
      <formula>COUNTIF(INDIRECT("Checklist!$A186"), "TRUE") = 1</formula>
    </cfRule>
    <cfRule type="expression" dxfId="4" priority="561">
      <formula>COUNTIF(INDIRECT("Checklist!$A186"), "FALSE") = 1</formula>
    </cfRule>
    <cfRule type="notContainsBlanks" dxfId="7" priority="562">
      <formula>LEN(TRIM(F27))&gt;0</formula>
    </cfRule>
  </conditionalFormatting>
  <conditionalFormatting sqref="F28">
    <cfRule type="expression" dxfId="3" priority="578">
      <formula>COUNTIF(INDIRECT("Checklist!$A192"), "TRUE") = 1</formula>
    </cfRule>
    <cfRule type="expression" dxfId="4" priority="579">
      <formula>COUNTIF(INDIRECT("Checklist!$A192"), "FALSE") = 1</formula>
    </cfRule>
    <cfRule type="notContainsBlanks" dxfId="7" priority="580">
      <formula>LEN(TRIM(F28))&gt;0</formula>
    </cfRule>
  </conditionalFormatting>
  <conditionalFormatting sqref="F29">
    <cfRule type="expression" dxfId="3" priority="596">
      <formula>COUNTIF(INDIRECT("Checklist!$A198"), "TRUE") = 1</formula>
    </cfRule>
    <cfRule type="expression" dxfId="4" priority="597">
      <formula>COUNTIF(INDIRECT("Checklist!$A198"), "FALSE") = 1</formula>
    </cfRule>
    <cfRule type="notContainsBlanks" dxfId="7" priority="598">
      <formula>LEN(TRIM(F29))&gt;0</formula>
    </cfRule>
  </conditionalFormatting>
  <conditionalFormatting sqref="F3">
    <cfRule type="expression" dxfId="3" priority="14">
      <formula>COUNTIF(INDIRECT("Checklist!$A6"), "TRUE") = 1</formula>
    </cfRule>
    <cfRule type="expression" dxfId="4" priority="15">
      <formula>COUNTIF(INDIRECT("Checklist!$A6"), "FALSE") = 1</formula>
    </cfRule>
    <cfRule type="notContainsBlanks" dxfId="7" priority="16">
      <formula>LEN(TRIM(F3))&gt;0</formula>
    </cfRule>
  </conditionalFormatting>
  <conditionalFormatting sqref="F30">
    <cfRule type="expression" dxfId="3" priority="614">
      <formula>COUNTIF(INDIRECT("Checklist!$A204"), "TRUE") = 1</formula>
    </cfRule>
    <cfRule type="expression" dxfId="4" priority="615">
      <formula>COUNTIF(INDIRECT("Checklist!$A204"), "FALSE") = 1</formula>
    </cfRule>
    <cfRule type="notContainsBlanks" dxfId="7" priority="616">
      <formula>LEN(TRIM(F30))&gt;0</formula>
    </cfRule>
  </conditionalFormatting>
  <conditionalFormatting sqref="F31">
    <cfRule type="expression" dxfId="3" priority="632">
      <formula>COUNTIF(INDIRECT("Checklist!$A210"), "TRUE") = 1</formula>
    </cfRule>
    <cfRule type="expression" dxfId="4" priority="633">
      <formula>COUNTIF(INDIRECT("Checklist!$A210"), "FALSE") = 1</formula>
    </cfRule>
    <cfRule type="notContainsBlanks" dxfId="7" priority="634">
      <formula>LEN(TRIM(F31))&gt;0</formula>
    </cfRule>
  </conditionalFormatting>
  <conditionalFormatting sqref="F35">
    <cfRule type="expression" dxfId="3" priority="742">
      <formula>COUNTIF(INDIRECT("Checklist!$A246"), "TRUE") = 1</formula>
    </cfRule>
    <cfRule type="expression" dxfId="4" priority="743">
      <formula>COUNTIF(INDIRECT("Checklist!$A246"), "FALSE") = 1</formula>
    </cfRule>
    <cfRule type="notContainsBlanks" dxfId="7" priority="744">
      <formula>LEN(TRIM(F35))&gt;0</formula>
    </cfRule>
  </conditionalFormatting>
  <conditionalFormatting sqref="F36">
    <cfRule type="expression" dxfId="3" priority="760">
      <formula>COUNTIF(INDIRECT("Checklist!$A252"), "TRUE") = 1</formula>
    </cfRule>
    <cfRule type="expression" dxfId="4" priority="761">
      <formula>COUNTIF(INDIRECT("Checklist!$A252"), "FALSE") = 1</formula>
    </cfRule>
    <cfRule type="notContainsBlanks" dxfId="7" priority="762">
      <formula>LEN(TRIM(F36))&gt;0</formula>
    </cfRule>
  </conditionalFormatting>
  <conditionalFormatting sqref="F37">
    <cfRule type="expression" dxfId="3" priority="778">
      <formula>COUNTIF(INDIRECT("Checklist!$A258"), "TRUE") = 1</formula>
    </cfRule>
    <cfRule type="expression" dxfId="4" priority="779">
      <formula>COUNTIF(INDIRECT("Checklist!$A258"), "FALSE") = 1</formula>
    </cfRule>
    <cfRule type="notContainsBlanks" dxfId="7" priority="780">
      <formula>LEN(TRIM(F37))&gt;0</formula>
    </cfRule>
  </conditionalFormatting>
  <conditionalFormatting sqref="F38">
    <cfRule type="expression" dxfId="3" priority="796">
      <formula>COUNTIF(INDIRECT("Checklist!$A264"), "TRUE") = 1</formula>
    </cfRule>
    <cfRule type="expression" dxfId="4" priority="797">
      <formula>COUNTIF(INDIRECT("Checklist!$A264"), "FALSE") = 1</formula>
    </cfRule>
    <cfRule type="notContainsBlanks" dxfId="7" priority="798">
      <formula>LEN(TRIM(F38))&gt;0</formula>
    </cfRule>
  </conditionalFormatting>
  <conditionalFormatting sqref="F39">
    <cfRule type="expression" dxfId="3" priority="814">
      <formula>COUNTIF(INDIRECT("Checklist!$A270"), "TRUE") = 1</formula>
    </cfRule>
    <cfRule type="expression" dxfId="4" priority="815">
      <formula>COUNTIF(INDIRECT("Checklist!$A270"), "FALSE") = 1</formula>
    </cfRule>
    <cfRule type="notContainsBlanks" dxfId="7" priority="816">
      <formula>LEN(TRIM(F39))&gt;0</formula>
    </cfRule>
  </conditionalFormatting>
  <conditionalFormatting sqref="F4">
    <cfRule type="expression" dxfId="3" priority="32">
      <formula>COUNTIF(INDIRECT("Checklist!$A12"), "TRUE") = 1</formula>
    </cfRule>
    <cfRule type="expression" dxfId="4" priority="33">
      <formula>COUNTIF(INDIRECT("Checklist!$A12"), "FALSE") = 1</formula>
    </cfRule>
    <cfRule type="notContainsBlanks" dxfId="7" priority="34">
      <formula>LEN(TRIM(F4))&gt;0</formula>
    </cfRule>
  </conditionalFormatting>
  <conditionalFormatting sqref="F43">
    <cfRule type="expression" dxfId="3" priority="924">
      <formula>COUNTIF(INDIRECT("Checklist!$A306"), "TRUE") = 1</formula>
    </cfRule>
    <cfRule type="expression" dxfId="4" priority="925">
      <formula>COUNTIF(INDIRECT("Checklist!$A306"), "FALSE") = 1</formula>
    </cfRule>
    <cfRule type="notContainsBlanks" dxfId="7" priority="926">
      <formula>LEN(TRIM(F43))&gt;0</formula>
    </cfRule>
  </conditionalFormatting>
  <conditionalFormatting sqref="F44">
    <cfRule type="expression" dxfId="3" priority="942">
      <formula>COUNTIF(INDIRECT("Checklist!$A312"), "TRUE") = 1</formula>
    </cfRule>
    <cfRule type="expression" dxfId="4" priority="943">
      <formula>COUNTIF(INDIRECT("Checklist!$A312"), "FALSE") = 1</formula>
    </cfRule>
    <cfRule type="notContainsBlanks" dxfId="7" priority="944">
      <formula>LEN(TRIM(F44))&gt;0</formula>
    </cfRule>
  </conditionalFormatting>
  <conditionalFormatting sqref="F45">
    <cfRule type="expression" dxfId="3" priority="960">
      <formula>COUNTIF(INDIRECT("Checklist!$A318"), "TRUE") = 1</formula>
    </cfRule>
    <cfRule type="expression" dxfId="4" priority="961">
      <formula>COUNTIF(INDIRECT("Checklist!$A318"), "FALSE") = 1</formula>
    </cfRule>
    <cfRule type="notContainsBlanks" dxfId="7" priority="962">
      <formula>LEN(TRIM(F45))&gt;0</formula>
    </cfRule>
  </conditionalFormatting>
  <conditionalFormatting sqref="F46">
    <cfRule type="expression" dxfId="3" priority="978">
      <formula>COUNTIF(INDIRECT("Checklist!$A324"), "TRUE") = 1</formula>
    </cfRule>
    <cfRule type="expression" dxfId="4" priority="979">
      <formula>COUNTIF(INDIRECT("Checklist!$A324"), "FALSE") = 1</formula>
    </cfRule>
    <cfRule type="notContainsBlanks" dxfId="7" priority="980">
      <formula>LEN(TRIM(F46))&gt;0</formula>
    </cfRule>
  </conditionalFormatting>
  <conditionalFormatting sqref="F47">
    <cfRule type="expression" dxfId="3" priority="996">
      <formula>COUNTIF(INDIRECT("Checklist!$A330"), "TRUE") = 1</formula>
    </cfRule>
    <cfRule type="expression" dxfId="4" priority="997">
      <formula>COUNTIF(INDIRECT("Checklist!$A330"), "FALSE") = 1</formula>
    </cfRule>
    <cfRule type="notContainsBlanks" dxfId="7" priority="998">
      <formula>LEN(TRIM(F47))&gt;0</formula>
    </cfRule>
  </conditionalFormatting>
  <conditionalFormatting sqref="F5">
    <cfRule type="expression" dxfId="3" priority="50">
      <formula>COUNTIF(INDIRECT("Checklist!$A18"), "TRUE") = 1</formula>
    </cfRule>
    <cfRule type="expression" dxfId="4" priority="51">
      <formula>COUNTIF(INDIRECT("Checklist!$A18"), "FALSE") = 1</formula>
    </cfRule>
    <cfRule type="notContainsBlanks" dxfId="7" priority="52">
      <formula>LEN(TRIM(F5))&gt;0</formula>
    </cfRule>
  </conditionalFormatting>
  <conditionalFormatting sqref="F51">
    <cfRule type="expression" dxfId="3" priority="1106">
      <formula>COUNTIF(INDIRECT("Checklist!$A366"), "TRUE") = 1</formula>
    </cfRule>
    <cfRule type="expression" dxfId="4" priority="1107">
      <formula>COUNTIF(INDIRECT("Checklist!$A366"), "FALSE") = 1</formula>
    </cfRule>
    <cfRule type="notContainsBlanks" dxfId="7" priority="1108">
      <formula>LEN(TRIM(F51))&gt;0</formula>
    </cfRule>
  </conditionalFormatting>
  <conditionalFormatting sqref="F52">
    <cfRule type="expression" dxfId="3" priority="1124">
      <formula>COUNTIF(INDIRECT("Checklist!$A372"), "TRUE") = 1</formula>
    </cfRule>
    <cfRule type="expression" dxfId="4" priority="1125">
      <formula>COUNTIF(INDIRECT("Checklist!$A372"), "FALSE") = 1</formula>
    </cfRule>
    <cfRule type="notContainsBlanks" dxfId="7" priority="1126">
      <formula>LEN(TRIM(F52))&gt;0</formula>
    </cfRule>
  </conditionalFormatting>
  <conditionalFormatting sqref="F53">
    <cfRule type="expression" dxfId="3" priority="1142">
      <formula>COUNTIF(INDIRECT("Checklist!$A378"), "TRUE") = 1</formula>
    </cfRule>
    <cfRule type="expression" dxfId="4" priority="1143">
      <formula>COUNTIF(INDIRECT("Checklist!$A378"), "FALSE") = 1</formula>
    </cfRule>
    <cfRule type="notContainsBlanks" dxfId="7" priority="1144">
      <formula>LEN(TRIM(F53))&gt;0</formula>
    </cfRule>
  </conditionalFormatting>
  <conditionalFormatting sqref="F54">
    <cfRule type="expression" dxfId="3" priority="1160">
      <formula>COUNTIF(INDIRECT("Checklist!$A384"), "TRUE") = 1</formula>
    </cfRule>
    <cfRule type="expression" dxfId="4" priority="1161">
      <formula>COUNTIF(INDIRECT("Checklist!$A384"), "FALSE") = 1</formula>
    </cfRule>
    <cfRule type="notContainsBlanks" dxfId="7" priority="1162">
      <formula>LEN(TRIM(F54))&gt;0</formula>
    </cfRule>
  </conditionalFormatting>
  <conditionalFormatting sqref="F55">
    <cfRule type="expression" dxfId="3" priority="1178">
      <formula>COUNTIF(INDIRECT("Checklist!$A390"), "TRUE") = 1</formula>
    </cfRule>
    <cfRule type="expression" dxfId="4" priority="1179">
      <formula>COUNTIF(INDIRECT("Checklist!$A390"), "FALSE") = 1</formula>
    </cfRule>
    <cfRule type="notContainsBlanks" dxfId="7" priority="1180">
      <formula>LEN(TRIM(F55))&gt;0</formula>
    </cfRule>
  </conditionalFormatting>
  <conditionalFormatting sqref="F59">
    <cfRule type="expression" dxfId="3" priority="1288">
      <formula>COUNTIF(INDIRECT("Checklist!$A426"), "TRUE") = 1</formula>
    </cfRule>
    <cfRule type="expression" dxfId="4" priority="1289">
      <formula>COUNTIF(INDIRECT("Checklist!$A426"), "FALSE") = 1</formula>
    </cfRule>
    <cfRule type="notContainsBlanks" dxfId="7" priority="1290">
      <formula>LEN(TRIM(F59))&gt;0</formula>
    </cfRule>
  </conditionalFormatting>
  <conditionalFormatting sqref="F6">
    <cfRule type="expression" dxfId="3" priority="68">
      <formula>COUNTIF(INDIRECT("Checklist!$A24"), "TRUE") = 1</formula>
    </cfRule>
    <cfRule type="expression" dxfId="4" priority="69">
      <formula>COUNTIF(INDIRECT("Checklist!$A24"), "FALSE") = 1</formula>
    </cfRule>
    <cfRule type="notContainsBlanks" dxfId="7" priority="70">
      <formula>LEN(TRIM(F6))&gt;0</formula>
    </cfRule>
  </conditionalFormatting>
  <conditionalFormatting sqref="F60">
    <cfRule type="expression" dxfId="3" priority="1306">
      <formula>COUNTIF(INDIRECT("Checklist!$A432"), "TRUE") = 1</formula>
    </cfRule>
    <cfRule type="expression" dxfId="4" priority="1307">
      <formula>COUNTIF(INDIRECT("Checklist!$A432"), "FALSE") = 1</formula>
    </cfRule>
    <cfRule type="notContainsBlanks" dxfId="7" priority="1308">
      <formula>LEN(TRIM(F60))&gt;0</formula>
    </cfRule>
  </conditionalFormatting>
  <conditionalFormatting sqref="F61">
    <cfRule type="expression" dxfId="3" priority="1324">
      <formula>COUNTIF(INDIRECT("Checklist!$A438"), "TRUE") = 1</formula>
    </cfRule>
    <cfRule type="expression" dxfId="4" priority="1325">
      <formula>COUNTIF(INDIRECT("Checklist!$A438"), "FALSE") = 1</formula>
    </cfRule>
    <cfRule type="notContainsBlanks" dxfId="7" priority="1326">
      <formula>LEN(TRIM(F61))&gt;0</formula>
    </cfRule>
  </conditionalFormatting>
  <conditionalFormatting sqref="F62">
    <cfRule type="expression" dxfId="3" priority="1342">
      <formula>COUNTIF(INDIRECT("Checklist!$A444"), "TRUE") = 1</formula>
    </cfRule>
    <cfRule type="expression" dxfId="4" priority="1343">
      <formula>COUNTIF(INDIRECT("Checklist!$A444"), "FALSE") = 1</formula>
    </cfRule>
    <cfRule type="notContainsBlanks" dxfId="7" priority="1344">
      <formula>LEN(TRIM(F62))&gt;0</formula>
    </cfRule>
  </conditionalFormatting>
  <conditionalFormatting sqref="F63">
    <cfRule type="expression" dxfId="3" priority="1360">
      <formula>COUNTIF(INDIRECT("Checklist!$A450"), "TRUE") = 1</formula>
    </cfRule>
    <cfRule type="expression" dxfId="4" priority="1361">
      <formula>COUNTIF(INDIRECT("Checklist!$A450"), "FALSE") = 1</formula>
    </cfRule>
    <cfRule type="notContainsBlanks" dxfId="7" priority="1362">
      <formula>LEN(TRIM(F63))&gt;0</formula>
    </cfRule>
  </conditionalFormatting>
  <conditionalFormatting sqref="F67">
    <cfRule type="expression" dxfId="3" priority="1470">
      <formula>COUNTIF(INDIRECT("Checklist!$A486"), "TRUE") = 1</formula>
    </cfRule>
    <cfRule type="expression" dxfId="4" priority="1471">
      <formula>COUNTIF(INDIRECT("Checklist!$A486"), "FALSE") = 1</formula>
    </cfRule>
    <cfRule type="notContainsBlanks" dxfId="7" priority="1472">
      <formula>LEN(TRIM(F67))&gt;0</formula>
    </cfRule>
  </conditionalFormatting>
  <conditionalFormatting sqref="F68">
    <cfRule type="expression" dxfId="3" priority="1488">
      <formula>COUNTIF(INDIRECT("Checklist!$A492"), "TRUE") = 1</formula>
    </cfRule>
    <cfRule type="expression" dxfId="4" priority="1489">
      <formula>COUNTIF(INDIRECT("Checklist!$A492"), "FALSE") = 1</formula>
    </cfRule>
    <cfRule type="notContainsBlanks" dxfId="7" priority="1490">
      <formula>LEN(TRIM(F68))&gt;0</formula>
    </cfRule>
  </conditionalFormatting>
  <conditionalFormatting sqref="F69">
    <cfRule type="expression" dxfId="3" priority="1506">
      <formula>COUNTIF(INDIRECT("Checklist!$A498"), "TRUE") = 1</formula>
    </cfRule>
    <cfRule type="expression" dxfId="4" priority="1507">
      <formula>COUNTIF(INDIRECT("Checklist!$A498"), "FALSE") = 1</formula>
    </cfRule>
    <cfRule type="notContainsBlanks" dxfId="7" priority="1508">
      <formula>LEN(TRIM(F69))&gt;0</formula>
    </cfRule>
  </conditionalFormatting>
  <conditionalFormatting sqref="F7">
    <cfRule type="expression" dxfId="3" priority="86">
      <formula>COUNTIF(INDIRECT("Checklist!$A30"), "TRUE") = 1</formula>
    </cfRule>
    <cfRule type="expression" dxfId="4" priority="87">
      <formula>COUNTIF(INDIRECT("Checklist!$A30"), "FALSE") = 1</formula>
    </cfRule>
    <cfRule type="notContainsBlanks" dxfId="7" priority="88">
      <formula>LEN(TRIM(F7))&gt;0</formula>
    </cfRule>
  </conditionalFormatting>
  <conditionalFormatting sqref="F70">
    <cfRule type="expression" dxfId="3" priority="1524">
      <formula>COUNTIF(INDIRECT("Checklist!$A504"), "TRUE") = 1</formula>
    </cfRule>
    <cfRule type="expression" dxfId="4" priority="1525">
      <formula>COUNTIF(INDIRECT("Checklist!$A504"), "FALSE") = 1</formula>
    </cfRule>
    <cfRule type="notContainsBlanks" dxfId="7" priority="1526">
      <formula>LEN(TRIM(F70))&gt;0</formula>
    </cfRule>
  </conditionalFormatting>
  <conditionalFormatting sqref="F71">
    <cfRule type="expression" dxfId="3" priority="1542">
      <formula>COUNTIF(INDIRECT("Checklist!$A510"), "TRUE") = 1</formula>
    </cfRule>
    <cfRule type="expression" dxfId="4" priority="1543">
      <formula>COUNTIF(INDIRECT("Checklist!$A510"), "FALSE") = 1</formula>
    </cfRule>
    <cfRule type="notContainsBlanks" dxfId="7" priority="1544">
      <formula>LEN(TRIM(F71))&gt;0</formula>
    </cfRule>
  </conditionalFormatting>
  <conditionalFormatting sqref="F75">
    <cfRule type="expression" dxfId="3" priority="1652">
      <formula>COUNTIF(INDIRECT("Checklist!$A546"), "TRUE") = 1</formula>
    </cfRule>
    <cfRule type="expression" dxfId="4" priority="1653">
      <formula>COUNTIF(INDIRECT("Checklist!$A546"), "FALSE") = 1</formula>
    </cfRule>
    <cfRule type="notContainsBlanks" dxfId="7" priority="1654">
      <formula>LEN(TRIM(F75))&gt;0</formula>
    </cfRule>
  </conditionalFormatting>
  <conditionalFormatting sqref="F76">
    <cfRule type="expression" dxfId="3" priority="1670">
      <formula>COUNTIF(INDIRECT("Checklist!$A552"), "TRUE") = 1</formula>
    </cfRule>
    <cfRule type="expression" dxfId="4" priority="1671">
      <formula>COUNTIF(INDIRECT("Checklist!$A552"), "FALSE") = 1</formula>
    </cfRule>
    <cfRule type="notContainsBlanks" dxfId="7" priority="1672">
      <formula>LEN(TRIM(F76))&gt;0</formula>
    </cfRule>
  </conditionalFormatting>
  <conditionalFormatting sqref="F77">
    <cfRule type="expression" dxfId="3" priority="1688">
      <formula>COUNTIF(INDIRECT("Checklist!$A558"), "TRUE") = 1</formula>
    </cfRule>
    <cfRule type="expression" dxfId="4" priority="1689">
      <formula>COUNTIF(INDIRECT("Checklist!$A558"), "FALSE") = 1</formula>
    </cfRule>
    <cfRule type="notContainsBlanks" dxfId="7" priority="1690">
      <formula>LEN(TRIM(F77))&gt;0</formula>
    </cfRule>
  </conditionalFormatting>
  <conditionalFormatting sqref="F78">
    <cfRule type="expression" dxfId="3" priority="1706">
      <formula>COUNTIF(INDIRECT("Checklist!$A564"), "TRUE") = 1</formula>
    </cfRule>
    <cfRule type="expression" dxfId="4" priority="1707">
      <formula>COUNTIF(INDIRECT("Checklist!$A564"), "FALSE") = 1</formula>
    </cfRule>
    <cfRule type="notContainsBlanks" dxfId="7" priority="1708">
      <formula>LEN(TRIM(F78))&gt;0</formula>
    </cfRule>
  </conditionalFormatting>
  <conditionalFormatting sqref="F79">
    <cfRule type="expression" dxfId="3" priority="1724">
      <formula>COUNTIF(INDIRECT("Checklist!$A1218"), "TRUE") = 1</formula>
    </cfRule>
    <cfRule type="expression" dxfId="4" priority="1725">
      <formula>COUNTIF(INDIRECT("Checklist!$A1218"), "FALSE") = 1</formula>
    </cfRule>
    <cfRule type="notContainsBlanks" dxfId="7" priority="1726">
      <formula>LEN(TRIM(F79))&gt;0</formula>
    </cfRule>
  </conditionalFormatting>
  <conditionalFormatting sqref="F83">
    <cfRule type="expression" dxfId="3" priority="1834">
      <formula>COUNTIF(INDIRECT("Checklist!$A606"), "TRUE") = 1</formula>
    </cfRule>
    <cfRule type="expression" dxfId="4" priority="1835">
      <formula>COUNTIF(INDIRECT("Checklist!$A606"), "FALSE") = 1</formula>
    </cfRule>
    <cfRule type="notContainsBlanks" dxfId="7" priority="1836">
      <formula>LEN(TRIM(F83))&gt;0</formula>
    </cfRule>
  </conditionalFormatting>
  <conditionalFormatting sqref="F84">
    <cfRule type="expression" dxfId="3" priority="1852">
      <formula>COUNTIF(INDIRECT("Checklist!$A612"), "TRUE") = 1</formula>
    </cfRule>
    <cfRule type="expression" dxfId="4" priority="1853">
      <formula>COUNTIF(INDIRECT("Checklist!$A612"), "FALSE") = 1</formula>
    </cfRule>
    <cfRule type="notContainsBlanks" dxfId="7" priority="1854">
      <formula>LEN(TRIM(F84))&gt;0</formula>
    </cfRule>
  </conditionalFormatting>
  <conditionalFormatting sqref="F85">
    <cfRule type="expression" dxfId="3" priority="1870">
      <formula>COUNTIF(INDIRECT("Checklist!$A618"), "TRUE") = 1</formula>
    </cfRule>
    <cfRule type="expression" dxfId="4" priority="1871">
      <formula>COUNTIF(INDIRECT("Checklist!$A618"), "FALSE") = 1</formula>
    </cfRule>
    <cfRule type="notContainsBlanks" dxfId="7" priority="1872">
      <formula>LEN(TRIM(F85))&gt;0</formula>
    </cfRule>
  </conditionalFormatting>
  <conditionalFormatting sqref="F86">
    <cfRule type="expression" dxfId="3" priority="1888">
      <formula>COUNTIF(INDIRECT("Checklist!$A624"), "TRUE") = 1</formula>
    </cfRule>
    <cfRule type="expression" dxfId="4" priority="1889">
      <formula>COUNTIF(INDIRECT("Checklist!$A624"), "FALSE") = 1</formula>
    </cfRule>
    <cfRule type="notContainsBlanks" dxfId="7" priority="1890">
      <formula>LEN(TRIM(F86))&gt;0</formula>
    </cfRule>
  </conditionalFormatting>
  <conditionalFormatting sqref="F87">
    <cfRule type="expression" dxfId="3" priority="1906">
      <formula>COUNTIF(INDIRECT("Checklist!$A630"), "TRUE") = 1</formula>
    </cfRule>
    <cfRule type="expression" dxfId="4" priority="1907">
      <formula>COUNTIF(INDIRECT("Checklist!$A630"), "FALSE") = 1</formula>
    </cfRule>
    <cfRule type="notContainsBlanks" dxfId="7" priority="1908">
      <formula>LEN(TRIM(F87))&gt;0</formula>
    </cfRule>
  </conditionalFormatting>
  <conditionalFormatting sqref="F91">
    <cfRule type="expression" dxfId="3" priority="2016">
      <formula>COUNTIF(INDIRECT("Checklist!$A666"), "TRUE") = 1</formula>
    </cfRule>
    <cfRule type="expression" dxfId="4" priority="2017">
      <formula>COUNTIF(INDIRECT("Checklist!$A666"), "FALSE") = 1</formula>
    </cfRule>
    <cfRule type="notContainsBlanks" dxfId="7" priority="2018">
      <formula>LEN(TRIM(F91))&gt;0</formula>
    </cfRule>
  </conditionalFormatting>
  <conditionalFormatting sqref="F92">
    <cfRule type="expression" dxfId="3" priority="2034">
      <formula>COUNTIF(INDIRECT("Checklist!$A672"), "TRUE") = 1</formula>
    </cfRule>
    <cfRule type="expression" dxfId="4" priority="2035">
      <formula>COUNTIF(INDIRECT("Checklist!$A672"), "FALSE") = 1</formula>
    </cfRule>
    <cfRule type="notContainsBlanks" dxfId="7" priority="2036">
      <formula>LEN(TRIM(F92))&gt;0</formula>
    </cfRule>
  </conditionalFormatting>
  <conditionalFormatting sqref="F93">
    <cfRule type="expression" dxfId="3" priority="2052">
      <formula>COUNTIF(INDIRECT("Checklist!$A678"), "TRUE") = 1</formula>
    </cfRule>
    <cfRule type="expression" dxfId="4" priority="2053">
      <formula>COUNTIF(INDIRECT("Checklist!$A678"), "FALSE") = 1</formula>
    </cfRule>
    <cfRule type="notContainsBlanks" dxfId="7" priority="2054">
      <formula>LEN(TRIM(F93))&gt;0</formula>
    </cfRule>
  </conditionalFormatting>
  <conditionalFormatting sqref="F94">
    <cfRule type="expression" dxfId="3" priority="2070">
      <formula>COUNTIF(INDIRECT("Checklist!$A684"), "TRUE") = 1</formula>
    </cfRule>
    <cfRule type="expression" dxfId="4" priority="2071">
      <formula>COUNTIF(INDIRECT("Checklist!$A684"), "FALSE") = 1</formula>
    </cfRule>
    <cfRule type="notContainsBlanks" dxfId="7" priority="2072">
      <formula>LEN(TRIM(F94))&gt;0</formula>
    </cfRule>
  </conditionalFormatting>
  <conditionalFormatting sqref="F95">
    <cfRule type="expression" dxfId="3" priority="2088">
      <formula>COUNTIF(INDIRECT("Checklist!$A690"), "TRUE") = 1</formula>
    </cfRule>
    <cfRule type="expression" dxfId="4" priority="2089">
      <formula>COUNTIF(INDIRECT("Checklist!$A690"), "FALSE") = 1</formula>
    </cfRule>
    <cfRule type="notContainsBlanks" dxfId="7" priority="2090">
      <formula>LEN(TRIM(F95))&gt;0</formula>
    </cfRule>
  </conditionalFormatting>
  <conditionalFormatting sqref="F99">
    <cfRule type="expression" dxfId="3" priority="2198">
      <formula>COUNTIF(INDIRECT("Checklist!$A726"), "TRUE") = 1</formula>
    </cfRule>
    <cfRule type="expression" dxfId="4" priority="2199">
      <formula>COUNTIF(INDIRECT("Checklist!$A726"), "FALSE") = 1</formula>
    </cfRule>
    <cfRule type="notContainsBlanks" dxfId="7" priority="2200">
      <formula>LEN(TRIM(F99))&gt;0</formula>
    </cfRule>
  </conditionalFormatting>
  <conditionalFormatting sqref="G100">
    <cfRule type="expression" dxfId="3" priority="2219">
      <formula>COUNTIF(INDIRECT("Checklist!$A733"), "TRUE") = 1</formula>
    </cfRule>
    <cfRule type="expression" dxfId="4" priority="2220">
      <formula>COUNTIF(INDIRECT("Checklist!$A733"), "FALSE") = 1</formula>
    </cfRule>
    <cfRule type="notContainsBlanks" dxfId="7" priority="2221">
      <formula>LEN(TRIM(G100))&gt;0</formula>
    </cfRule>
  </conditionalFormatting>
  <conditionalFormatting sqref="G101">
    <cfRule type="expression" dxfId="3" priority="2237">
      <formula>COUNTIF(INDIRECT("Checklist!$A739"), "TRUE") = 1</formula>
    </cfRule>
    <cfRule type="expression" dxfId="4" priority="2238">
      <formula>COUNTIF(INDIRECT("Checklist!$A739"), "FALSE") = 1</formula>
    </cfRule>
    <cfRule type="notContainsBlanks" dxfId="7" priority="2239">
      <formula>LEN(TRIM(G101))&gt;0</formula>
    </cfRule>
  </conditionalFormatting>
  <conditionalFormatting sqref="G102">
    <cfRule type="expression" dxfId="3" priority="2255">
      <formula>COUNTIF(INDIRECT("Checklist!$A745"), "TRUE") = 1</formula>
    </cfRule>
    <cfRule type="expression" dxfId="4" priority="2256">
      <formula>COUNTIF(INDIRECT("Checklist!$A745"), "FALSE") = 1</formula>
    </cfRule>
    <cfRule type="notContainsBlanks" dxfId="7" priority="2257">
      <formula>LEN(TRIM(G102))&gt;0</formula>
    </cfRule>
  </conditionalFormatting>
  <conditionalFormatting sqref="G103">
    <cfRule type="expression" dxfId="3" priority="2273">
      <formula>COUNTIF(INDIRECT("Checklist!$A751"), "TRUE") = 1</formula>
    </cfRule>
    <cfRule type="expression" dxfId="4" priority="2274">
      <formula>COUNTIF(INDIRECT("Checklist!$A751"), "FALSE") = 1</formula>
    </cfRule>
    <cfRule type="notContainsBlanks" dxfId="7" priority="2275">
      <formula>LEN(TRIM(G103))&gt;0</formula>
    </cfRule>
  </conditionalFormatting>
  <conditionalFormatting sqref="G107">
    <cfRule type="expression" dxfId="3" priority="2383">
      <formula>COUNTIF(INDIRECT("Checklist!$A787"), "TRUE") = 1</formula>
    </cfRule>
    <cfRule type="expression" dxfId="4" priority="2384">
      <formula>COUNTIF(INDIRECT("Checklist!$A787"), "FALSE") = 1</formula>
    </cfRule>
    <cfRule type="notContainsBlanks" dxfId="7" priority="2385">
      <formula>LEN(TRIM(G107))&gt;0</formula>
    </cfRule>
  </conditionalFormatting>
  <conditionalFormatting sqref="G108">
    <cfRule type="expression" dxfId="3" priority="2401">
      <formula>COUNTIF(INDIRECT("Checklist!$A793"), "TRUE") = 1</formula>
    </cfRule>
    <cfRule type="expression" dxfId="4" priority="2402">
      <formula>COUNTIF(INDIRECT("Checklist!$A793"), "FALSE") = 1</formula>
    </cfRule>
    <cfRule type="notContainsBlanks" dxfId="7" priority="2403">
      <formula>LEN(TRIM(G108))&gt;0</formula>
    </cfRule>
  </conditionalFormatting>
  <conditionalFormatting sqref="G109">
    <cfRule type="expression" dxfId="3" priority="2419">
      <formula>COUNTIF(INDIRECT("Checklist!$A799"), "TRUE") = 1</formula>
    </cfRule>
    <cfRule type="expression" dxfId="4" priority="2420">
      <formula>COUNTIF(INDIRECT("Checklist!$A799"), "FALSE") = 1</formula>
    </cfRule>
    <cfRule type="notContainsBlanks" dxfId="7" priority="2421">
      <formula>LEN(TRIM(G109))&gt;0</formula>
    </cfRule>
  </conditionalFormatting>
  <conditionalFormatting sqref="G11">
    <cfRule type="expression" dxfId="3" priority="199">
      <formula>COUNTIF(INDIRECT("Checklist!$A67"), "TRUE") = 1</formula>
    </cfRule>
    <cfRule type="expression" dxfId="4" priority="200">
      <formula>COUNTIF(INDIRECT("Checklist!$A67"), "FALSE") = 1</formula>
    </cfRule>
    <cfRule type="notContainsBlanks" dxfId="7" priority="201">
      <formula>LEN(TRIM(G11))&gt;0</formula>
    </cfRule>
  </conditionalFormatting>
  <conditionalFormatting sqref="G110">
    <cfRule type="expression" dxfId="3" priority="2437">
      <formula>COUNTIF(INDIRECT("Checklist!$A805"), "TRUE") = 1</formula>
    </cfRule>
    <cfRule type="expression" dxfId="4" priority="2438">
      <formula>COUNTIF(INDIRECT("Checklist!$A805"), "FALSE") = 1</formula>
    </cfRule>
    <cfRule type="notContainsBlanks" dxfId="7" priority="2439">
      <formula>LEN(TRIM(G110))&gt;0</formula>
    </cfRule>
  </conditionalFormatting>
  <conditionalFormatting sqref="G111">
    <cfRule type="expression" dxfId="3" priority="2455">
      <formula>COUNTIF(INDIRECT("Checklist!$A811"), "TRUE") = 1</formula>
    </cfRule>
    <cfRule type="expression" dxfId="4" priority="2456">
      <formula>COUNTIF(INDIRECT("Checklist!$A811"), "FALSE") = 1</formula>
    </cfRule>
    <cfRule type="notContainsBlanks" dxfId="7" priority="2457">
      <formula>LEN(TRIM(G111))&gt;0</formula>
    </cfRule>
  </conditionalFormatting>
  <conditionalFormatting sqref="G115">
    <cfRule type="expression" dxfId="3" priority="2565">
      <formula>COUNTIF(INDIRECT("Checklist!$A847"), "TRUE") = 1</formula>
    </cfRule>
    <cfRule type="expression" dxfId="4" priority="2566">
      <formula>COUNTIF(INDIRECT("Checklist!$A847"), "FALSE") = 1</formula>
    </cfRule>
    <cfRule type="notContainsBlanks" dxfId="7" priority="2567">
      <formula>LEN(TRIM(G115))&gt;0</formula>
    </cfRule>
  </conditionalFormatting>
  <conditionalFormatting sqref="G116">
    <cfRule type="expression" dxfId="3" priority="2583">
      <formula>COUNTIF(INDIRECT("Checklist!$A853"), "TRUE") = 1</formula>
    </cfRule>
    <cfRule type="expression" dxfId="4" priority="2584">
      <formula>COUNTIF(INDIRECT("Checklist!$A853"), "FALSE") = 1</formula>
    </cfRule>
    <cfRule type="notContainsBlanks" dxfId="7" priority="2585">
      <formula>LEN(TRIM(G116))&gt;0</formula>
    </cfRule>
  </conditionalFormatting>
  <conditionalFormatting sqref="G117">
    <cfRule type="expression" dxfId="3" priority="2601">
      <formula>COUNTIF(INDIRECT("Checklist!$A1233"), "TRUE") = 1</formula>
    </cfRule>
    <cfRule type="expression" dxfId="4" priority="2602">
      <formula>COUNTIF(INDIRECT("Checklist!$A1233"), "FALSE") = 1</formula>
    </cfRule>
    <cfRule type="notContainsBlanks" dxfId="7" priority="2603">
      <formula>LEN(TRIM(G117))&gt;0</formula>
    </cfRule>
  </conditionalFormatting>
  <conditionalFormatting sqref="G118">
    <cfRule type="expression" dxfId="3" priority="2619">
      <formula>COUNTIF(INDIRECT("Checklist!$A865"), "TRUE") = 1</formula>
    </cfRule>
    <cfRule type="expression" dxfId="4" priority="2620">
      <formula>COUNTIF(INDIRECT("Checklist!$A865"), "FALSE") = 1</formula>
    </cfRule>
    <cfRule type="notContainsBlanks" dxfId="7" priority="2621">
      <formula>LEN(TRIM(G118))&gt;0</formula>
    </cfRule>
  </conditionalFormatting>
  <conditionalFormatting sqref="G119">
    <cfRule type="expression" dxfId="3" priority="2637">
      <formula>COUNTIF(INDIRECT("Checklist!$A871"), "TRUE") = 1</formula>
    </cfRule>
    <cfRule type="expression" dxfId="4" priority="2638">
      <formula>COUNTIF(INDIRECT("Checklist!$A871"), "FALSE") = 1</formula>
    </cfRule>
    <cfRule type="notContainsBlanks" dxfId="7" priority="2639">
      <formula>LEN(TRIM(G119))&gt;0</formula>
    </cfRule>
  </conditionalFormatting>
  <conditionalFormatting sqref="G12">
    <cfRule type="expression" dxfId="3" priority="217">
      <formula>COUNTIF(INDIRECT("Checklist!$A73"), "TRUE") = 1</formula>
    </cfRule>
    <cfRule type="expression" dxfId="4" priority="218">
      <formula>COUNTIF(INDIRECT("Checklist!$A73"), "FALSE") = 1</formula>
    </cfRule>
    <cfRule type="notContainsBlanks" dxfId="7" priority="219">
      <formula>LEN(TRIM(G12))&gt;0</formula>
    </cfRule>
  </conditionalFormatting>
  <conditionalFormatting sqref="G13">
    <cfRule type="expression" dxfId="3" priority="235">
      <formula>COUNTIF(INDIRECT("Checklist!$A79"), "TRUE") = 1</formula>
    </cfRule>
    <cfRule type="expression" dxfId="4" priority="236">
      <formula>COUNTIF(INDIRECT("Checklist!$A79"), "FALSE") = 1</formula>
    </cfRule>
    <cfRule type="notContainsBlanks" dxfId="7" priority="237">
      <formula>LEN(TRIM(G13))&gt;0</formula>
    </cfRule>
  </conditionalFormatting>
  <conditionalFormatting sqref="G131">
    <cfRule type="expression" dxfId="3" priority="2854">
      <formula>COUNTIF(INDIRECT("Checklist!$A942"), "TRUE") = 1</formula>
    </cfRule>
    <cfRule type="expression" dxfId="4" priority="2855">
      <formula>COUNTIF(INDIRECT("Checklist!$A942"), "FALSE") = 1</formula>
    </cfRule>
    <cfRule type="notContainsBlanks" dxfId="7" priority="2856">
      <formula>LEN(TRIM(G131))&gt;0</formula>
    </cfRule>
  </conditionalFormatting>
  <conditionalFormatting sqref="G132">
    <cfRule type="expression" dxfId="3" priority="2872">
      <formula>COUNTIF(INDIRECT("Checklist!$A948"), "TRUE") = 1</formula>
    </cfRule>
    <cfRule type="expression" dxfId="4" priority="2873">
      <formula>COUNTIF(INDIRECT("Checklist!$A948"), "FALSE") = 1</formula>
    </cfRule>
    <cfRule type="notContainsBlanks" dxfId="7" priority="2874">
      <formula>LEN(TRIM(G132))&gt;0</formula>
    </cfRule>
  </conditionalFormatting>
  <conditionalFormatting sqref="G133">
    <cfRule type="expression" dxfId="3" priority="2890">
      <formula>COUNTIF(INDIRECT("Checklist!$A954"), "TRUE") = 1</formula>
    </cfRule>
    <cfRule type="expression" dxfId="4" priority="2891">
      <formula>COUNTIF(INDIRECT("Checklist!$A954"), "FALSE") = 1</formula>
    </cfRule>
    <cfRule type="notContainsBlanks" dxfId="7" priority="2892">
      <formula>LEN(TRIM(G133))&gt;0</formula>
    </cfRule>
  </conditionalFormatting>
  <conditionalFormatting sqref="G134">
    <cfRule type="expression" dxfId="3" priority="2908">
      <formula>COUNTIF(INDIRECT("Checklist!$A960"), "TRUE") = 1</formula>
    </cfRule>
    <cfRule type="expression" dxfId="4" priority="2909">
      <formula>COUNTIF(INDIRECT("Checklist!$A960"), "FALSE") = 1</formula>
    </cfRule>
    <cfRule type="notContainsBlanks" dxfId="7" priority="2910">
      <formula>LEN(TRIM(G134))&gt;0</formula>
    </cfRule>
  </conditionalFormatting>
  <conditionalFormatting sqref="G135">
    <cfRule type="expression" dxfId="3" priority="2926">
      <formula>COUNTIF(INDIRECT("Checklist!$A966"), "TRUE") = 1</formula>
    </cfRule>
    <cfRule type="expression" dxfId="4" priority="2927">
      <formula>COUNTIF(INDIRECT("Checklist!$A966"), "FALSE") = 1</formula>
    </cfRule>
    <cfRule type="notContainsBlanks" dxfId="7" priority="2928">
      <formula>LEN(TRIM(G135))&gt;0</formula>
    </cfRule>
  </conditionalFormatting>
  <conditionalFormatting sqref="G139">
    <cfRule type="expression" dxfId="3" priority="3036">
      <formula>COUNTIF(INDIRECT("Checklist!$A1002"), "TRUE") = 1</formula>
    </cfRule>
    <cfRule type="expression" dxfId="4" priority="3037">
      <formula>COUNTIF(INDIRECT("Checklist!$A1002"), "FALSE") = 1</formula>
    </cfRule>
    <cfRule type="notContainsBlanks" dxfId="7" priority="3038">
      <formula>LEN(TRIM(G139))&gt;0</formula>
    </cfRule>
  </conditionalFormatting>
  <conditionalFormatting sqref="G14">
    <cfRule type="expression" dxfId="3" priority="253">
      <formula>COUNTIF(INDIRECT("Checklist!$A85"), "TRUE") = 1</formula>
    </cfRule>
    <cfRule type="expression" dxfId="4" priority="254">
      <formula>COUNTIF(INDIRECT("Checklist!$A85"), "FALSE") = 1</formula>
    </cfRule>
    <cfRule type="notContainsBlanks" dxfId="7" priority="255">
      <formula>LEN(TRIM(G14))&gt;0</formula>
    </cfRule>
  </conditionalFormatting>
  <conditionalFormatting sqref="G140">
    <cfRule type="expression" dxfId="3" priority="3054">
      <formula>COUNTIF(INDIRECT("Checklist!$A1008"), "TRUE") = 1</formula>
    </cfRule>
    <cfRule type="expression" dxfId="4" priority="3055">
      <formula>COUNTIF(INDIRECT("Checklist!$A1008"), "FALSE") = 1</formula>
    </cfRule>
    <cfRule type="notContainsBlanks" dxfId="7" priority="3056">
      <formula>LEN(TRIM(G140))&gt;0</formula>
    </cfRule>
  </conditionalFormatting>
  <conditionalFormatting sqref="G147">
    <cfRule type="expression" dxfId="3" priority="3101">
      <formula>COUNTIF(INDIRECT("Checklist!$A1021"), "TRUE") = 1</formula>
    </cfRule>
    <cfRule type="expression" dxfId="4" priority="3102">
      <formula>COUNTIF(INDIRECT("Checklist!$A1021"), "FALSE") = 1</formula>
    </cfRule>
    <cfRule type="notContainsBlanks" dxfId="7" priority="3103">
      <formula>LEN(TRIM(G147))&gt;0</formula>
    </cfRule>
  </conditionalFormatting>
  <conditionalFormatting sqref="G148">
    <cfRule type="expression" dxfId="3" priority="3119">
      <formula>COUNTIF(INDIRECT("Checklist!$A1027"), "TRUE") = 1</formula>
    </cfRule>
    <cfRule type="expression" dxfId="4" priority="3120">
      <formula>COUNTIF(INDIRECT("Checklist!$A1027"), "FALSE") = 1</formula>
    </cfRule>
    <cfRule type="notContainsBlanks" dxfId="7" priority="3121">
      <formula>LEN(TRIM(G148))&gt;0</formula>
    </cfRule>
  </conditionalFormatting>
  <conditionalFormatting sqref="G149">
    <cfRule type="expression" dxfId="3" priority="3137">
      <formula>COUNTIF(INDIRECT("Checklist!$A1033"), "TRUE") = 1</formula>
    </cfRule>
    <cfRule type="expression" dxfId="4" priority="3138">
      <formula>COUNTIF(INDIRECT("Checklist!$A1033"), "FALSE") = 1</formula>
    </cfRule>
    <cfRule type="notContainsBlanks" dxfId="7" priority="3139">
      <formula>LEN(TRIM(G149))&gt;0</formula>
    </cfRule>
  </conditionalFormatting>
  <conditionalFormatting sqref="G15">
    <cfRule type="expression" dxfId="3" priority="271">
      <formula>COUNTIF(INDIRECT("Checklist!$A91"), "TRUE") = 1</formula>
    </cfRule>
    <cfRule type="expression" dxfId="4" priority="272">
      <formula>COUNTIF(INDIRECT("Checklist!$A91"), "FALSE") = 1</formula>
    </cfRule>
    <cfRule type="notContainsBlanks" dxfId="7" priority="273">
      <formula>LEN(TRIM(G15))&gt;0</formula>
    </cfRule>
  </conditionalFormatting>
  <conditionalFormatting sqref="G150">
    <cfRule type="expression" dxfId="3" priority="3155">
      <formula>COUNTIF(INDIRECT("Checklist!$A1039"), "TRUE") = 1</formula>
    </cfRule>
    <cfRule type="expression" dxfId="4" priority="3156">
      <formula>COUNTIF(INDIRECT("Checklist!$A1039"), "FALSE") = 1</formula>
    </cfRule>
    <cfRule type="notContainsBlanks" dxfId="7" priority="3157">
      <formula>LEN(TRIM(G150))&gt;0</formula>
    </cfRule>
  </conditionalFormatting>
  <conditionalFormatting sqref="G155">
    <cfRule type="expression" dxfId="3" priority="3265">
      <formula>COUNTIF(INDIRECT("Checklist!$None"), "TRUE") = 1</formula>
    </cfRule>
    <cfRule type="expression" dxfId="4" priority="3266">
      <formula>COUNTIF(INDIRECT("Checklist!$None"), "FALSE") = 1</formula>
    </cfRule>
    <cfRule type="notContainsBlanks" dxfId="7" priority="3267">
      <formula>LEN(TRIM(G155))&gt;0</formula>
    </cfRule>
  </conditionalFormatting>
  <conditionalFormatting sqref="G156">
    <cfRule type="expression" dxfId="3" priority="3283">
      <formula>COUNTIF(INDIRECT("Checklist!$None"), "TRUE") = 1</formula>
    </cfRule>
    <cfRule type="expression" dxfId="4" priority="3284">
      <formula>COUNTIF(INDIRECT("Checklist!$None"), "FALSE") = 1</formula>
    </cfRule>
    <cfRule type="notContainsBlanks" dxfId="7" priority="3285">
      <formula>LEN(TRIM(G156))&gt;0</formula>
    </cfRule>
  </conditionalFormatting>
  <conditionalFormatting sqref="G157">
    <cfRule type="expression" dxfId="3" priority="3301">
      <formula>COUNTIF(INDIRECT("Checklist!$None"), "TRUE") = 1</formula>
    </cfRule>
    <cfRule type="expression" dxfId="4" priority="3302">
      <formula>COUNTIF(INDIRECT("Checklist!$None"), "FALSE") = 1</formula>
    </cfRule>
    <cfRule type="notContainsBlanks" dxfId="7" priority="3303">
      <formula>LEN(TRIM(G157))&gt;0</formula>
    </cfRule>
  </conditionalFormatting>
  <conditionalFormatting sqref="G158">
    <cfRule type="expression" dxfId="3" priority="3319">
      <formula>COUNTIF(INDIRECT("Checklist!$A1068"), "TRUE") = 1</formula>
    </cfRule>
    <cfRule type="expression" dxfId="4" priority="3320">
      <formula>COUNTIF(INDIRECT("Checklist!$A1068"), "FALSE") = 1</formula>
    </cfRule>
    <cfRule type="notContainsBlanks" dxfId="7" priority="3321">
      <formula>LEN(TRIM(G158))&gt;0</formula>
    </cfRule>
  </conditionalFormatting>
  <conditionalFormatting sqref="G163">
    <cfRule type="expression" dxfId="3" priority="3414">
      <formula>COUNTIF(INDIRECT("Checklist!$None"), "TRUE") = 1</formula>
    </cfRule>
    <cfRule type="expression" dxfId="4" priority="3415">
      <formula>COUNTIF(INDIRECT("Checklist!$None"), "FALSE") = 1</formula>
    </cfRule>
    <cfRule type="notContainsBlanks" dxfId="7" priority="3416">
      <formula>LEN(TRIM(G163))&gt;0</formula>
    </cfRule>
  </conditionalFormatting>
  <conditionalFormatting sqref="G164">
    <cfRule type="expression" dxfId="3" priority="3432">
      <formula>COUNTIF(INDIRECT("Checklist!$None"), "TRUE") = 1</formula>
    </cfRule>
    <cfRule type="expression" dxfId="4" priority="3433">
      <formula>COUNTIF(INDIRECT("Checklist!$None"), "FALSE") = 1</formula>
    </cfRule>
    <cfRule type="notContainsBlanks" dxfId="7" priority="3434">
      <formula>LEN(TRIM(G164))&gt;0</formula>
    </cfRule>
  </conditionalFormatting>
  <conditionalFormatting sqref="G165">
    <cfRule type="expression" dxfId="3" priority="3450">
      <formula>COUNTIF(INDIRECT("Checklist!$None"), "TRUE") = 1</formula>
    </cfRule>
    <cfRule type="expression" dxfId="4" priority="3451">
      <formula>COUNTIF(INDIRECT("Checklist!$None"), "FALSE") = 1</formula>
    </cfRule>
    <cfRule type="notContainsBlanks" dxfId="7" priority="3452">
      <formula>LEN(TRIM(G165))&gt;0</formula>
    </cfRule>
  </conditionalFormatting>
  <conditionalFormatting sqref="G166">
    <cfRule type="expression" dxfId="3" priority="3468">
      <formula>COUNTIF(INDIRECT("Checklist!$None"), "TRUE") = 1</formula>
    </cfRule>
    <cfRule type="expression" dxfId="4" priority="3469">
      <formula>COUNTIF(INDIRECT("Checklist!$None"), "FALSE") = 1</formula>
    </cfRule>
    <cfRule type="notContainsBlanks" dxfId="7" priority="3470">
      <formula>LEN(TRIM(G166))&gt;0</formula>
    </cfRule>
  </conditionalFormatting>
  <conditionalFormatting sqref="G167">
    <cfRule type="expression" dxfId="3" priority="3486">
      <formula>COUNTIF(INDIRECT("Checklist!$A1101"), "TRUE") = 1</formula>
    </cfRule>
    <cfRule type="expression" dxfId="4" priority="3487">
      <formula>COUNTIF(INDIRECT("Checklist!$A1101"), "FALSE") = 1</formula>
    </cfRule>
    <cfRule type="notContainsBlanks" dxfId="7" priority="3488">
      <formula>LEN(TRIM(G167))&gt;0</formula>
    </cfRule>
  </conditionalFormatting>
  <conditionalFormatting sqref="G171">
    <cfRule type="expression" dxfId="3" priority="3566">
      <formula>COUNTIF(INDIRECT("Checklist!$None"), "TRUE") = 1</formula>
    </cfRule>
    <cfRule type="expression" dxfId="4" priority="3567">
      <formula>COUNTIF(INDIRECT("Checklist!$None"), "FALSE") = 1</formula>
    </cfRule>
    <cfRule type="notContainsBlanks" dxfId="7" priority="3568">
      <formula>LEN(TRIM(G171))&gt;0</formula>
    </cfRule>
  </conditionalFormatting>
  <conditionalFormatting sqref="G172">
    <cfRule type="expression" dxfId="3" priority="3584">
      <formula>COUNTIF(INDIRECT("Checklist!$None"), "TRUE") = 1</formula>
    </cfRule>
    <cfRule type="expression" dxfId="4" priority="3585">
      <formula>COUNTIF(INDIRECT("Checklist!$None"), "FALSE") = 1</formula>
    </cfRule>
    <cfRule type="notContainsBlanks" dxfId="7" priority="3586">
      <formula>LEN(TRIM(G172))&gt;0</formula>
    </cfRule>
  </conditionalFormatting>
  <conditionalFormatting sqref="G173">
    <cfRule type="expression" dxfId="3" priority="3602">
      <formula>COUNTIF(INDIRECT("Checklist!$A1131"), "TRUE") = 1</formula>
    </cfRule>
    <cfRule type="expression" dxfId="4" priority="3603">
      <formula>COUNTIF(INDIRECT("Checklist!$A1131"), "FALSE") = 1</formula>
    </cfRule>
    <cfRule type="notContainsBlanks" dxfId="7" priority="3604">
      <formula>LEN(TRIM(G173))&gt;0</formula>
    </cfRule>
  </conditionalFormatting>
  <conditionalFormatting sqref="G179">
    <cfRule type="expression" dxfId="3" priority="3712">
      <formula>COUNTIF(INDIRECT("Checklist!$A1144"), "TRUE") = 1</formula>
    </cfRule>
    <cfRule type="expression" dxfId="4" priority="3713">
      <formula>COUNTIF(INDIRECT("Checklist!$A1144"), "FALSE") = 1</formula>
    </cfRule>
    <cfRule type="notContainsBlanks" dxfId="7" priority="3714">
      <formula>LEN(TRIM(G179))&gt;0</formula>
    </cfRule>
  </conditionalFormatting>
  <conditionalFormatting sqref="G180">
    <cfRule type="expression" dxfId="3" priority="3730">
      <formula>COUNTIF(INDIRECT("Checklist!$A1150"), "TRUE") = 1</formula>
    </cfRule>
    <cfRule type="expression" dxfId="4" priority="3731">
      <formula>COUNTIF(INDIRECT("Checklist!$A1150"), "FALSE") = 1</formula>
    </cfRule>
    <cfRule type="notContainsBlanks" dxfId="7" priority="3732">
      <formula>LEN(TRIM(G180))&gt;0</formula>
    </cfRule>
  </conditionalFormatting>
  <conditionalFormatting sqref="G181">
    <cfRule type="expression" dxfId="3" priority="3748">
      <formula>COUNTIF(INDIRECT("Checklist!$A1156"), "TRUE") = 1</formula>
    </cfRule>
    <cfRule type="expression" dxfId="4" priority="3749">
      <formula>COUNTIF(INDIRECT("Checklist!$A1156"), "FALSE") = 1</formula>
    </cfRule>
    <cfRule type="notContainsBlanks" dxfId="7" priority="3750">
      <formula>LEN(TRIM(G181))&gt;0</formula>
    </cfRule>
  </conditionalFormatting>
  <conditionalFormatting sqref="G182">
    <cfRule type="expression" dxfId="3" priority="3766">
      <formula>COUNTIF(INDIRECT("Checklist!$A1162"), "TRUE") = 1</formula>
    </cfRule>
    <cfRule type="expression" dxfId="4" priority="3767">
      <formula>COUNTIF(INDIRECT("Checklist!$A1162"), "FALSE") = 1</formula>
    </cfRule>
    <cfRule type="notContainsBlanks" dxfId="7" priority="3768">
      <formula>LEN(TRIM(G182))&gt;0</formula>
    </cfRule>
  </conditionalFormatting>
  <conditionalFormatting sqref="G187">
    <cfRule type="expression" dxfId="3" priority="3882">
      <formula>COUNTIF(INDIRECT("Checklist!$A1200"), "TRUE") = 1</formula>
    </cfRule>
    <cfRule type="expression" dxfId="4" priority="3883">
      <formula>COUNTIF(INDIRECT("Checklist!$A1200"), "FALSE") = 1</formula>
    </cfRule>
    <cfRule type="notContainsBlanks" dxfId="7" priority="3884">
      <formula>LEN(TRIM(G187))&gt;0</formula>
    </cfRule>
  </conditionalFormatting>
  <conditionalFormatting sqref="G19">
    <cfRule type="expression" dxfId="3" priority="381">
      <formula>COUNTIF(INDIRECT("Checklist!$A127"), "TRUE") = 1</formula>
    </cfRule>
    <cfRule type="expression" dxfId="4" priority="382">
      <formula>COUNTIF(INDIRECT("Checklist!$A127"), "FALSE") = 1</formula>
    </cfRule>
    <cfRule type="notContainsBlanks" dxfId="7" priority="383">
      <formula>LEN(TRIM(G19))&gt;0</formula>
    </cfRule>
  </conditionalFormatting>
  <conditionalFormatting sqref="G195">
    <cfRule type="expression" dxfId="3" priority="3995">
      <formula>COUNTIF(INDIRECT("Checklist!$A1237"), "TRUE") = 1</formula>
    </cfRule>
    <cfRule type="expression" dxfId="4" priority="3996">
      <formula>COUNTIF(INDIRECT("Checklist!$A1237"), "FALSE") = 1</formula>
    </cfRule>
    <cfRule type="notContainsBlanks" dxfId="7" priority="3997">
      <formula>LEN(TRIM(G195))&gt;0</formula>
    </cfRule>
  </conditionalFormatting>
  <conditionalFormatting sqref="G20">
    <cfRule type="expression" dxfId="3" priority="399">
      <formula>COUNTIF(INDIRECT("Checklist!$A133"), "TRUE") = 1</formula>
    </cfRule>
    <cfRule type="expression" dxfId="4" priority="400">
      <formula>COUNTIF(INDIRECT("Checklist!$A133"), "FALSE") = 1</formula>
    </cfRule>
    <cfRule type="notContainsBlanks" dxfId="7" priority="401">
      <formula>LEN(TRIM(G20))&gt;0</formula>
    </cfRule>
  </conditionalFormatting>
  <conditionalFormatting sqref="G203">
    <cfRule type="expression" dxfId="3" priority="4021">
      <formula>COUNTIF(INDIRECT("Checklist!$A1245"), "TRUE") = 1</formula>
    </cfRule>
    <cfRule type="expression" dxfId="4" priority="4022">
      <formula>COUNTIF(INDIRECT("Checklist!$A1245"), "FALSE") = 1</formula>
    </cfRule>
    <cfRule type="notContainsBlanks" dxfId="7" priority="4023">
      <formula>LEN(TRIM(G203))&gt;0</formula>
    </cfRule>
  </conditionalFormatting>
  <conditionalFormatting sqref="G204">
    <cfRule type="expression" dxfId="3" priority="4039">
      <formula>COUNTIF(INDIRECT("Checklist!$A1251"), "TRUE") = 1</formula>
    </cfRule>
    <cfRule type="expression" dxfId="4" priority="4040">
      <formula>COUNTIF(INDIRECT("Checklist!$A1251"), "FALSE") = 1</formula>
    </cfRule>
    <cfRule type="notContainsBlanks" dxfId="7" priority="4041">
      <formula>LEN(TRIM(G204))&gt;0</formula>
    </cfRule>
  </conditionalFormatting>
  <conditionalFormatting sqref="G205">
    <cfRule type="expression" dxfId="3" priority="4057">
      <formula>COUNTIF(INDIRECT("Checklist!$A1257"), "TRUE") = 1</formula>
    </cfRule>
    <cfRule type="expression" dxfId="4" priority="4058">
      <formula>COUNTIF(INDIRECT("Checklist!$A1257"), "FALSE") = 1</formula>
    </cfRule>
    <cfRule type="notContainsBlanks" dxfId="7" priority="4059">
      <formula>LEN(TRIM(G205))&gt;0</formula>
    </cfRule>
  </conditionalFormatting>
  <conditionalFormatting sqref="G21">
    <cfRule type="expression" dxfId="3" priority="417">
      <formula>COUNTIF(INDIRECT("Checklist!$A139"), "TRUE") = 1</formula>
    </cfRule>
    <cfRule type="expression" dxfId="4" priority="418">
      <formula>COUNTIF(INDIRECT("Checklist!$A139"), "FALSE") = 1</formula>
    </cfRule>
    <cfRule type="notContainsBlanks" dxfId="7" priority="419">
      <formula>LEN(TRIM(G21))&gt;0</formula>
    </cfRule>
  </conditionalFormatting>
  <conditionalFormatting sqref="G211">
    <cfRule type="expression" dxfId="3" priority="4134">
      <formula>COUNTIF(INDIRECT("Checklist!$A1282"), "TRUE") = 1</formula>
    </cfRule>
    <cfRule type="expression" dxfId="4" priority="4135">
      <formula>COUNTIF(INDIRECT("Checklist!$A1282"), "FALSE") = 1</formula>
    </cfRule>
    <cfRule type="notContainsBlanks" dxfId="7" priority="4136">
      <formula>LEN(TRIM(G211))&gt;0</formula>
    </cfRule>
  </conditionalFormatting>
  <conditionalFormatting sqref="G212">
    <cfRule type="expression" dxfId="3" priority="4152">
      <formula>COUNTIF(INDIRECT("Checklist!$A1288"), "TRUE") = 1</formula>
    </cfRule>
    <cfRule type="expression" dxfId="4" priority="4153">
      <formula>COUNTIF(INDIRECT("Checklist!$A1288"), "FALSE") = 1</formula>
    </cfRule>
    <cfRule type="notContainsBlanks" dxfId="7" priority="4154">
      <formula>LEN(TRIM(G212))&gt;0</formula>
    </cfRule>
  </conditionalFormatting>
  <conditionalFormatting sqref="G22">
    <cfRule type="expression" dxfId="3" priority="435">
      <formula>COUNTIF(INDIRECT("Checklist!$A145"), "TRUE") = 1</formula>
    </cfRule>
    <cfRule type="expression" dxfId="4" priority="436">
      <formula>COUNTIF(INDIRECT("Checklist!$A145"), "FALSE") = 1</formula>
    </cfRule>
    <cfRule type="notContainsBlanks" dxfId="7" priority="437">
      <formula>LEN(TRIM(G22))&gt;0</formula>
    </cfRule>
  </conditionalFormatting>
  <conditionalFormatting sqref="G23">
    <cfRule type="expression" dxfId="3" priority="453">
      <formula>COUNTIF(INDIRECT("Checklist!$A151"), "TRUE") = 1</formula>
    </cfRule>
    <cfRule type="expression" dxfId="4" priority="454">
      <formula>COUNTIF(INDIRECT("Checklist!$A151"), "FALSE") = 1</formula>
    </cfRule>
    <cfRule type="notContainsBlanks" dxfId="7" priority="455">
      <formula>LEN(TRIM(G23))&gt;0</formula>
    </cfRule>
  </conditionalFormatting>
  <conditionalFormatting sqref="G27">
    <cfRule type="expression" dxfId="3" priority="563">
      <formula>COUNTIF(INDIRECT("Checklist!$A187"), "TRUE") = 1</formula>
    </cfRule>
    <cfRule type="expression" dxfId="4" priority="564">
      <formula>COUNTIF(INDIRECT("Checklist!$A187"), "FALSE") = 1</formula>
    </cfRule>
    <cfRule type="notContainsBlanks" dxfId="7" priority="565">
      <formula>LEN(TRIM(G27))&gt;0</formula>
    </cfRule>
  </conditionalFormatting>
  <conditionalFormatting sqref="G28">
    <cfRule type="expression" dxfId="3" priority="581">
      <formula>COUNTIF(INDIRECT("Checklist!$A193"), "TRUE") = 1</formula>
    </cfRule>
    <cfRule type="expression" dxfId="4" priority="582">
      <formula>COUNTIF(INDIRECT("Checklist!$A193"), "FALSE") = 1</formula>
    </cfRule>
    <cfRule type="notContainsBlanks" dxfId="7" priority="583">
      <formula>LEN(TRIM(G28))&gt;0</formula>
    </cfRule>
  </conditionalFormatting>
  <conditionalFormatting sqref="G29">
    <cfRule type="expression" dxfId="3" priority="599">
      <formula>COUNTIF(INDIRECT("Checklist!$A199"), "TRUE") = 1</formula>
    </cfRule>
    <cfRule type="expression" dxfId="4" priority="600">
      <formula>COUNTIF(INDIRECT("Checklist!$A199"), "FALSE") = 1</formula>
    </cfRule>
    <cfRule type="notContainsBlanks" dxfId="7" priority="601">
      <formula>LEN(TRIM(G29))&gt;0</formula>
    </cfRule>
  </conditionalFormatting>
  <conditionalFormatting sqref="G3">
    <cfRule type="expression" dxfId="3" priority="17">
      <formula>COUNTIF(INDIRECT("Checklist!$A1204"), "TRUE") = 1</formula>
    </cfRule>
    <cfRule type="expression" dxfId="4" priority="18">
      <formula>COUNTIF(INDIRECT("Checklist!$A1204"), "FALSE") = 1</formula>
    </cfRule>
    <cfRule type="notContainsBlanks" dxfId="7" priority="19">
      <formula>LEN(TRIM(G3))&gt;0</formula>
    </cfRule>
  </conditionalFormatting>
  <conditionalFormatting sqref="G30">
    <cfRule type="expression" dxfId="3" priority="617">
      <formula>COUNTIF(INDIRECT("Checklist!$A205"), "TRUE") = 1</formula>
    </cfRule>
    <cfRule type="expression" dxfId="4" priority="618">
      <formula>COUNTIF(INDIRECT("Checklist!$A205"), "FALSE") = 1</formula>
    </cfRule>
    <cfRule type="notContainsBlanks" dxfId="7" priority="619">
      <formula>LEN(TRIM(G30))&gt;0</formula>
    </cfRule>
  </conditionalFormatting>
  <conditionalFormatting sqref="G31">
    <cfRule type="expression" dxfId="3" priority="635">
      <formula>COUNTIF(INDIRECT("Checklist!$A211"), "TRUE") = 1</formula>
    </cfRule>
    <cfRule type="expression" dxfId="4" priority="636">
      <formula>COUNTIF(INDIRECT("Checklist!$A211"), "FALSE") = 1</formula>
    </cfRule>
    <cfRule type="notContainsBlanks" dxfId="7" priority="637">
      <formula>LEN(TRIM(G31))&gt;0</formula>
    </cfRule>
  </conditionalFormatting>
  <conditionalFormatting sqref="G35">
    <cfRule type="expression" dxfId="3" priority="745">
      <formula>COUNTIF(INDIRECT("Checklist!$A247"), "TRUE") = 1</formula>
    </cfRule>
    <cfRule type="expression" dxfId="4" priority="746">
      <formula>COUNTIF(INDIRECT("Checklist!$A247"), "FALSE") = 1</formula>
    </cfRule>
    <cfRule type="notContainsBlanks" dxfId="7" priority="747">
      <formula>LEN(TRIM(G35))&gt;0</formula>
    </cfRule>
  </conditionalFormatting>
  <conditionalFormatting sqref="G36">
    <cfRule type="expression" dxfId="3" priority="763">
      <formula>COUNTIF(INDIRECT("Checklist!$A253"), "TRUE") = 1</formula>
    </cfRule>
    <cfRule type="expression" dxfId="4" priority="764">
      <formula>COUNTIF(INDIRECT("Checklist!$A253"), "FALSE") = 1</formula>
    </cfRule>
    <cfRule type="notContainsBlanks" dxfId="7" priority="765">
      <formula>LEN(TRIM(G36))&gt;0</formula>
    </cfRule>
  </conditionalFormatting>
  <conditionalFormatting sqref="G37">
    <cfRule type="expression" dxfId="3" priority="781">
      <formula>COUNTIF(INDIRECT("Checklist!$A259"), "TRUE") = 1</formula>
    </cfRule>
    <cfRule type="expression" dxfId="4" priority="782">
      <formula>COUNTIF(INDIRECT("Checklist!$A259"), "FALSE") = 1</formula>
    </cfRule>
    <cfRule type="notContainsBlanks" dxfId="7" priority="783">
      <formula>LEN(TRIM(G37))&gt;0</formula>
    </cfRule>
  </conditionalFormatting>
  <conditionalFormatting sqref="G38">
    <cfRule type="expression" dxfId="3" priority="799">
      <formula>COUNTIF(INDIRECT("Checklist!$A265"), "TRUE") = 1</formula>
    </cfRule>
    <cfRule type="expression" dxfId="4" priority="800">
      <formula>COUNTIF(INDIRECT("Checklist!$A265"), "FALSE") = 1</formula>
    </cfRule>
    <cfRule type="notContainsBlanks" dxfId="7" priority="801">
      <formula>LEN(TRIM(G38))&gt;0</formula>
    </cfRule>
  </conditionalFormatting>
  <conditionalFormatting sqref="G39">
    <cfRule type="expression" dxfId="3" priority="817">
      <formula>COUNTIF(INDIRECT("Checklist!$A271"), "TRUE") = 1</formula>
    </cfRule>
    <cfRule type="expression" dxfId="4" priority="818">
      <formula>COUNTIF(INDIRECT("Checklist!$A271"), "FALSE") = 1</formula>
    </cfRule>
    <cfRule type="notContainsBlanks" dxfId="7" priority="819">
      <formula>LEN(TRIM(G39))&gt;0</formula>
    </cfRule>
  </conditionalFormatting>
  <conditionalFormatting sqref="G4">
    <cfRule type="expression" dxfId="3" priority="35">
      <formula>COUNTIF(INDIRECT("Checklist!$A1206"), "TRUE") = 1</formula>
    </cfRule>
    <cfRule type="expression" dxfId="4" priority="36">
      <formula>COUNTIF(INDIRECT("Checklist!$A1206"), "FALSE") = 1</formula>
    </cfRule>
    <cfRule type="notContainsBlanks" dxfId="7" priority="37">
      <formula>LEN(TRIM(G4))&gt;0</formula>
    </cfRule>
  </conditionalFormatting>
  <conditionalFormatting sqref="G43">
    <cfRule type="expression" dxfId="3" priority="927">
      <formula>COUNTIF(INDIRECT("Checklist!$A307"), "TRUE") = 1</formula>
    </cfRule>
    <cfRule type="expression" dxfId="4" priority="928">
      <formula>COUNTIF(INDIRECT("Checklist!$A307"), "FALSE") = 1</formula>
    </cfRule>
    <cfRule type="notContainsBlanks" dxfId="7" priority="929">
      <formula>LEN(TRIM(G43))&gt;0</formula>
    </cfRule>
  </conditionalFormatting>
  <conditionalFormatting sqref="G44">
    <cfRule type="expression" dxfId="3" priority="945">
      <formula>COUNTIF(INDIRECT("Checklist!$A313"), "TRUE") = 1</formula>
    </cfRule>
    <cfRule type="expression" dxfId="4" priority="946">
      <formula>COUNTIF(INDIRECT("Checklist!$A313"), "FALSE") = 1</formula>
    </cfRule>
    <cfRule type="notContainsBlanks" dxfId="7" priority="947">
      <formula>LEN(TRIM(G44))&gt;0</formula>
    </cfRule>
  </conditionalFormatting>
  <conditionalFormatting sqref="G45">
    <cfRule type="expression" dxfId="3" priority="963">
      <formula>COUNTIF(INDIRECT("Checklist!$A319"), "TRUE") = 1</formula>
    </cfRule>
    <cfRule type="expression" dxfId="4" priority="964">
      <formula>COUNTIF(INDIRECT("Checklist!$A319"), "FALSE") = 1</formula>
    </cfRule>
    <cfRule type="notContainsBlanks" dxfId="7" priority="965">
      <formula>LEN(TRIM(G45))&gt;0</formula>
    </cfRule>
  </conditionalFormatting>
  <conditionalFormatting sqref="G46">
    <cfRule type="expression" dxfId="3" priority="981">
      <formula>COUNTIF(INDIRECT("Checklist!$A325"), "TRUE") = 1</formula>
    </cfRule>
    <cfRule type="expression" dxfId="4" priority="982">
      <formula>COUNTIF(INDIRECT("Checklist!$A325"), "FALSE") = 1</formula>
    </cfRule>
    <cfRule type="notContainsBlanks" dxfId="7" priority="983">
      <formula>LEN(TRIM(G46))&gt;0</formula>
    </cfRule>
  </conditionalFormatting>
  <conditionalFormatting sqref="G47">
    <cfRule type="expression" dxfId="3" priority="999">
      <formula>COUNTIF(INDIRECT("Checklist!$A331"), "TRUE") = 1</formula>
    </cfRule>
    <cfRule type="expression" dxfId="4" priority="1000">
      <formula>COUNTIF(INDIRECT("Checklist!$A331"), "FALSE") = 1</formula>
    </cfRule>
    <cfRule type="notContainsBlanks" dxfId="7" priority="1001">
      <formula>LEN(TRIM(G47))&gt;0</formula>
    </cfRule>
  </conditionalFormatting>
  <conditionalFormatting sqref="G5">
    <cfRule type="expression" dxfId="3" priority="53">
      <formula>COUNTIF(INDIRECT("Checklist!$A19"), "TRUE") = 1</formula>
    </cfRule>
    <cfRule type="expression" dxfId="4" priority="54">
      <formula>COUNTIF(INDIRECT("Checklist!$A19"), "FALSE") = 1</formula>
    </cfRule>
    <cfRule type="notContainsBlanks" dxfId="7" priority="55">
      <formula>LEN(TRIM(G5))&gt;0</formula>
    </cfRule>
  </conditionalFormatting>
  <conditionalFormatting sqref="G51">
    <cfRule type="expression" dxfId="3" priority="1109">
      <formula>COUNTIF(INDIRECT("Checklist!$A367"), "TRUE") = 1</formula>
    </cfRule>
    <cfRule type="expression" dxfId="4" priority="1110">
      <formula>COUNTIF(INDIRECT("Checklist!$A367"), "FALSE") = 1</formula>
    </cfRule>
    <cfRule type="notContainsBlanks" dxfId="7" priority="1111">
      <formula>LEN(TRIM(G51))&gt;0</formula>
    </cfRule>
  </conditionalFormatting>
  <conditionalFormatting sqref="G52">
    <cfRule type="expression" dxfId="3" priority="1127">
      <formula>COUNTIF(INDIRECT("Checklist!$A373"), "TRUE") = 1</formula>
    </cfRule>
    <cfRule type="expression" dxfId="4" priority="1128">
      <formula>COUNTIF(INDIRECT("Checklist!$A373"), "FALSE") = 1</formula>
    </cfRule>
    <cfRule type="notContainsBlanks" dxfId="7" priority="1129">
      <formula>LEN(TRIM(G52))&gt;0</formula>
    </cfRule>
  </conditionalFormatting>
  <conditionalFormatting sqref="G53">
    <cfRule type="expression" dxfId="3" priority="1145">
      <formula>COUNTIF(INDIRECT("Checklist!$A379"), "TRUE") = 1</formula>
    </cfRule>
    <cfRule type="expression" dxfId="4" priority="1146">
      <formula>COUNTIF(INDIRECT("Checklist!$A379"), "FALSE") = 1</formula>
    </cfRule>
    <cfRule type="notContainsBlanks" dxfId="7" priority="1147">
      <formula>LEN(TRIM(G53))&gt;0</formula>
    </cfRule>
  </conditionalFormatting>
  <conditionalFormatting sqref="G54">
    <cfRule type="expression" dxfId="3" priority="1163">
      <formula>COUNTIF(INDIRECT("Checklist!$A385"), "TRUE") = 1</formula>
    </cfRule>
    <cfRule type="expression" dxfId="4" priority="1164">
      <formula>COUNTIF(INDIRECT("Checklist!$A385"), "FALSE") = 1</formula>
    </cfRule>
    <cfRule type="notContainsBlanks" dxfId="7" priority="1165">
      <formula>LEN(TRIM(G54))&gt;0</formula>
    </cfRule>
  </conditionalFormatting>
  <conditionalFormatting sqref="G55">
    <cfRule type="expression" dxfId="3" priority="1181">
      <formula>COUNTIF(INDIRECT("Checklist!$A391"), "TRUE") = 1</formula>
    </cfRule>
    <cfRule type="expression" dxfId="4" priority="1182">
      <formula>COUNTIF(INDIRECT("Checklist!$A391"), "FALSE") = 1</formula>
    </cfRule>
    <cfRule type="notContainsBlanks" dxfId="7" priority="1183">
      <formula>LEN(TRIM(G55))&gt;0</formula>
    </cfRule>
  </conditionalFormatting>
  <conditionalFormatting sqref="G59">
    <cfRule type="expression" dxfId="3" priority="1291">
      <formula>COUNTIF(INDIRECT("Checklist!$A427"), "TRUE") = 1</formula>
    </cfRule>
    <cfRule type="expression" dxfId="4" priority="1292">
      <formula>COUNTIF(INDIRECT("Checklist!$A427"), "FALSE") = 1</formula>
    </cfRule>
    <cfRule type="notContainsBlanks" dxfId="7" priority="1293">
      <formula>LEN(TRIM(G59))&gt;0</formula>
    </cfRule>
  </conditionalFormatting>
  <conditionalFormatting sqref="G6">
    <cfRule type="expression" dxfId="3" priority="71">
      <formula>COUNTIF(INDIRECT("Checklist!$A25"), "TRUE") = 1</formula>
    </cfRule>
    <cfRule type="expression" dxfId="4" priority="72">
      <formula>COUNTIF(INDIRECT("Checklist!$A25"), "FALSE") = 1</formula>
    </cfRule>
    <cfRule type="notContainsBlanks" dxfId="7" priority="73">
      <formula>LEN(TRIM(G6))&gt;0</formula>
    </cfRule>
  </conditionalFormatting>
  <conditionalFormatting sqref="G60">
    <cfRule type="expression" dxfId="3" priority="1309">
      <formula>COUNTIF(INDIRECT("Checklist!$A433"), "TRUE") = 1</formula>
    </cfRule>
    <cfRule type="expression" dxfId="4" priority="1310">
      <formula>COUNTIF(INDIRECT("Checklist!$A433"), "FALSE") = 1</formula>
    </cfRule>
    <cfRule type="notContainsBlanks" dxfId="7" priority="1311">
      <formula>LEN(TRIM(G60))&gt;0</formula>
    </cfRule>
  </conditionalFormatting>
  <conditionalFormatting sqref="G61">
    <cfRule type="expression" dxfId="3" priority="1327">
      <formula>COUNTIF(INDIRECT("Checklist!$A439"), "TRUE") = 1</formula>
    </cfRule>
    <cfRule type="expression" dxfId="4" priority="1328">
      <formula>COUNTIF(INDIRECT("Checklist!$A439"), "FALSE") = 1</formula>
    </cfRule>
    <cfRule type="notContainsBlanks" dxfId="7" priority="1329">
      <formula>LEN(TRIM(G61))&gt;0</formula>
    </cfRule>
  </conditionalFormatting>
  <conditionalFormatting sqref="G62">
    <cfRule type="expression" dxfId="3" priority="1345">
      <formula>COUNTIF(INDIRECT("Checklist!$A445"), "TRUE") = 1</formula>
    </cfRule>
    <cfRule type="expression" dxfId="4" priority="1346">
      <formula>COUNTIF(INDIRECT("Checklist!$A445"), "FALSE") = 1</formula>
    </cfRule>
    <cfRule type="notContainsBlanks" dxfId="7" priority="1347">
      <formula>LEN(TRIM(G62))&gt;0</formula>
    </cfRule>
  </conditionalFormatting>
  <conditionalFormatting sqref="G63">
    <cfRule type="expression" dxfId="3" priority="1363">
      <formula>COUNTIF(INDIRECT("Checklist!$A451"), "TRUE") = 1</formula>
    </cfRule>
    <cfRule type="expression" dxfId="4" priority="1364">
      <formula>COUNTIF(INDIRECT("Checklist!$A451"), "FALSE") = 1</formula>
    </cfRule>
    <cfRule type="notContainsBlanks" dxfId="7" priority="1365">
      <formula>LEN(TRIM(G63))&gt;0</formula>
    </cfRule>
  </conditionalFormatting>
  <conditionalFormatting sqref="G67">
    <cfRule type="expression" dxfId="3" priority="1473">
      <formula>COUNTIF(INDIRECT("Checklist!$A487"), "TRUE") = 1</formula>
    </cfRule>
    <cfRule type="expression" dxfId="4" priority="1474">
      <formula>COUNTIF(INDIRECT("Checklist!$A487"), "FALSE") = 1</formula>
    </cfRule>
    <cfRule type="notContainsBlanks" dxfId="7" priority="1475">
      <formula>LEN(TRIM(G67))&gt;0</formula>
    </cfRule>
  </conditionalFormatting>
  <conditionalFormatting sqref="G68">
    <cfRule type="expression" dxfId="3" priority="1491">
      <formula>COUNTIF(INDIRECT("Checklist!$A493"), "TRUE") = 1</formula>
    </cfRule>
    <cfRule type="expression" dxfId="4" priority="1492">
      <formula>COUNTIF(INDIRECT("Checklist!$A493"), "FALSE") = 1</formula>
    </cfRule>
    <cfRule type="notContainsBlanks" dxfId="7" priority="1493">
      <formula>LEN(TRIM(G68))&gt;0</formula>
    </cfRule>
  </conditionalFormatting>
  <conditionalFormatting sqref="G69">
    <cfRule type="expression" dxfId="3" priority="1509">
      <formula>COUNTIF(INDIRECT("Checklist!$A499"), "TRUE") = 1</formula>
    </cfRule>
    <cfRule type="expression" dxfId="4" priority="1510">
      <formula>COUNTIF(INDIRECT("Checklist!$A499"), "FALSE") = 1</formula>
    </cfRule>
    <cfRule type="notContainsBlanks" dxfId="7" priority="1511">
      <formula>LEN(TRIM(G69))&gt;0</formula>
    </cfRule>
  </conditionalFormatting>
  <conditionalFormatting sqref="G7">
    <cfRule type="expression" dxfId="3" priority="89">
      <formula>COUNTIF(INDIRECT("Checklist!$A31"), "TRUE") = 1</formula>
    </cfRule>
    <cfRule type="expression" dxfId="4" priority="90">
      <formula>COUNTIF(INDIRECT("Checklist!$A31"), "FALSE") = 1</formula>
    </cfRule>
    <cfRule type="notContainsBlanks" dxfId="7" priority="91">
      <formula>LEN(TRIM(G7))&gt;0</formula>
    </cfRule>
  </conditionalFormatting>
  <conditionalFormatting sqref="G70">
    <cfRule type="expression" dxfId="3" priority="1527">
      <formula>COUNTIF(INDIRECT("Checklist!$A505"), "TRUE") = 1</formula>
    </cfRule>
    <cfRule type="expression" dxfId="4" priority="1528">
      <formula>COUNTIF(INDIRECT("Checklist!$A505"), "FALSE") = 1</formula>
    </cfRule>
    <cfRule type="notContainsBlanks" dxfId="7" priority="1529">
      <formula>LEN(TRIM(G70))&gt;0</formula>
    </cfRule>
  </conditionalFormatting>
  <conditionalFormatting sqref="G71">
    <cfRule type="expression" dxfId="3" priority="1545">
      <formula>COUNTIF(INDIRECT("Checklist!$A511"), "TRUE") = 1</formula>
    </cfRule>
    <cfRule type="expression" dxfId="4" priority="1546">
      <formula>COUNTIF(INDIRECT("Checklist!$A511"), "FALSE") = 1</formula>
    </cfRule>
    <cfRule type="notContainsBlanks" dxfId="7" priority="1547">
      <formula>LEN(TRIM(G71))&gt;0</formula>
    </cfRule>
  </conditionalFormatting>
  <conditionalFormatting sqref="G75">
    <cfRule type="expression" dxfId="3" priority="1655">
      <formula>COUNTIF(INDIRECT("Checklist!$A547"), "TRUE") = 1</formula>
    </cfRule>
    <cfRule type="expression" dxfId="4" priority="1656">
      <formula>COUNTIF(INDIRECT("Checklist!$A547"), "FALSE") = 1</formula>
    </cfRule>
    <cfRule type="notContainsBlanks" dxfId="7" priority="1657">
      <formula>LEN(TRIM(G75))&gt;0</formula>
    </cfRule>
  </conditionalFormatting>
  <conditionalFormatting sqref="G76">
    <cfRule type="expression" dxfId="3" priority="1673">
      <formula>COUNTIF(INDIRECT("Checklist!$A553"), "TRUE") = 1</formula>
    </cfRule>
    <cfRule type="expression" dxfId="4" priority="1674">
      <formula>COUNTIF(INDIRECT("Checklist!$A553"), "FALSE") = 1</formula>
    </cfRule>
    <cfRule type="notContainsBlanks" dxfId="7" priority="1675">
      <formula>LEN(TRIM(G76))&gt;0</formula>
    </cfRule>
  </conditionalFormatting>
  <conditionalFormatting sqref="G77">
    <cfRule type="expression" dxfId="3" priority="1691">
      <formula>COUNTIF(INDIRECT("Checklist!$A559"), "TRUE") = 1</formula>
    </cfRule>
    <cfRule type="expression" dxfId="4" priority="1692">
      <formula>COUNTIF(INDIRECT("Checklist!$A559"), "FALSE") = 1</formula>
    </cfRule>
    <cfRule type="notContainsBlanks" dxfId="7" priority="1693">
      <formula>LEN(TRIM(G77))&gt;0</formula>
    </cfRule>
  </conditionalFormatting>
  <conditionalFormatting sqref="G78">
    <cfRule type="expression" dxfId="3" priority="1709">
      <formula>COUNTIF(INDIRECT("Checklist!$A565"), "TRUE") = 1</formula>
    </cfRule>
    <cfRule type="expression" dxfId="4" priority="1710">
      <formula>COUNTIF(INDIRECT("Checklist!$A565"), "FALSE") = 1</formula>
    </cfRule>
    <cfRule type="notContainsBlanks" dxfId="7" priority="1711">
      <formula>LEN(TRIM(G78))&gt;0</formula>
    </cfRule>
  </conditionalFormatting>
  <conditionalFormatting sqref="G79">
    <cfRule type="expression" dxfId="3" priority="1727">
      <formula>COUNTIF(INDIRECT("Checklist!$A571"), "TRUE") = 1</formula>
    </cfRule>
    <cfRule type="expression" dxfId="4" priority="1728">
      <formula>COUNTIF(INDIRECT("Checklist!$A571"), "FALSE") = 1</formula>
    </cfRule>
    <cfRule type="notContainsBlanks" dxfId="7" priority="1729">
      <formula>LEN(TRIM(G79))&gt;0</formula>
    </cfRule>
  </conditionalFormatting>
  <conditionalFormatting sqref="G83">
    <cfRule type="expression" dxfId="3" priority="1837">
      <formula>COUNTIF(INDIRECT("Checklist!$A607"), "TRUE") = 1</formula>
    </cfRule>
    <cfRule type="expression" dxfId="4" priority="1838">
      <formula>COUNTIF(INDIRECT("Checklist!$A607"), "FALSE") = 1</formula>
    </cfRule>
    <cfRule type="notContainsBlanks" dxfId="7" priority="1839">
      <formula>LEN(TRIM(G83))&gt;0</formula>
    </cfRule>
  </conditionalFormatting>
  <conditionalFormatting sqref="G84">
    <cfRule type="expression" dxfId="3" priority="1855">
      <formula>COUNTIF(INDIRECT("Checklist!$A613"), "TRUE") = 1</formula>
    </cfRule>
    <cfRule type="expression" dxfId="4" priority="1856">
      <formula>COUNTIF(INDIRECT("Checklist!$A613"), "FALSE") = 1</formula>
    </cfRule>
    <cfRule type="notContainsBlanks" dxfId="7" priority="1857">
      <formula>LEN(TRIM(G84))&gt;0</formula>
    </cfRule>
  </conditionalFormatting>
  <conditionalFormatting sqref="G85">
    <cfRule type="expression" dxfId="3" priority="1873">
      <formula>COUNTIF(INDIRECT("Checklist!$A619"), "TRUE") = 1</formula>
    </cfRule>
    <cfRule type="expression" dxfId="4" priority="1874">
      <formula>COUNTIF(INDIRECT("Checklist!$A619"), "FALSE") = 1</formula>
    </cfRule>
    <cfRule type="notContainsBlanks" dxfId="7" priority="1875">
      <formula>LEN(TRIM(G85))&gt;0</formula>
    </cfRule>
  </conditionalFormatting>
  <conditionalFormatting sqref="G86">
    <cfRule type="expression" dxfId="3" priority="1891">
      <formula>COUNTIF(INDIRECT("Checklist!$A625"), "TRUE") = 1</formula>
    </cfRule>
    <cfRule type="expression" dxfId="4" priority="1892">
      <formula>COUNTIF(INDIRECT("Checklist!$A625"), "FALSE") = 1</formula>
    </cfRule>
    <cfRule type="notContainsBlanks" dxfId="7" priority="1893">
      <formula>LEN(TRIM(G86))&gt;0</formula>
    </cfRule>
  </conditionalFormatting>
  <conditionalFormatting sqref="G87">
    <cfRule type="expression" dxfId="3" priority="1909">
      <formula>COUNTIF(INDIRECT("Checklist!$A631"), "TRUE") = 1</formula>
    </cfRule>
    <cfRule type="expression" dxfId="4" priority="1910">
      <formula>COUNTIF(INDIRECT("Checklist!$A631"), "FALSE") = 1</formula>
    </cfRule>
    <cfRule type="notContainsBlanks" dxfId="7" priority="1911">
      <formula>LEN(TRIM(G87))&gt;0</formula>
    </cfRule>
  </conditionalFormatting>
  <conditionalFormatting sqref="G91">
    <cfRule type="expression" dxfId="3" priority="2019">
      <formula>COUNTIF(INDIRECT("Checklist!$A667"), "TRUE") = 1</formula>
    </cfRule>
    <cfRule type="expression" dxfId="4" priority="2020">
      <formula>COUNTIF(INDIRECT("Checklist!$A667"), "FALSE") = 1</formula>
    </cfRule>
    <cfRule type="notContainsBlanks" dxfId="7" priority="2021">
      <formula>LEN(TRIM(G91))&gt;0</formula>
    </cfRule>
  </conditionalFormatting>
  <conditionalFormatting sqref="G92">
    <cfRule type="expression" dxfId="3" priority="2037">
      <formula>COUNTIF(INDIRECT("Checklist!$A673"), "TRUE") = 1</formula>
    </cfRule>
    <cfRule type="expression" dxfId="4" priority="2038">
      <formula>COUNTIF(INDIRECT("Checklist!$A673"), "FALSE") = 1</formula>
    </cfRule>
    <cfRule type="notContainsBlanks" dxfId="7" priority="2039">
      <formula>LEN(TRIM(G92))&gt;0</formula>
    </cfRule>
  </conditionalFormatting>
  <conditionalFormatting sqref="G93">
    <cfRule type="expression" dxfId="3" priority="2055">
      <formula>COUNTIF(INDIRECT("Checklist!$A679"), "TRUE") = 1</formula>
    </cfRule>
    <cfRule type="expression" dxfId="4" priority="2056">
      <formula>COUNTIF(INDIRECT("Checklist!$A679"), "FALSE") = 1</formula>
    </cfRule>
    <cfRule type="notContainsBlanks" dxfId="7" priority="2057">
      <formula>LEN(TRIM(G93))&gt;0</formula>
    </cfRule>
  </conditionalFormatting>
  <conditionalFormatting sqref="G94">
    <cfRule type="expression" dxfId="3" priority="2073">
      <formula>COUNTIF(INDIRECT("Checklist!$A685"), "TRUE") = 1</formula>
    </cfRule>
    <cfRule type="expression" dxfId="4" priority="2074">
      <formula>COUNTIF(INDIRECT("Checklist!$A685"), "FALSE") = 1</formula>
    </cfRule>
    <cfRule type="notContainsBlanks" dxfId="7" priority="2075">
      <formula>LEN(TRIM(G94))&gt;0</formula>
    </cfRule>
  </conditionalFormatting>
  <conditionalFormatting sqref="G95">
    <cfRule type="expression" dxfId="3" priority="2091">
      <formula>COUNTIF(INDIRECT("Checklist!$A691"), "TRUE") = 1</formula>
    </cfRule>
    <cfRule type="expression" dxfId="4" priority="2092">
      <formula>COUNTIF(INDIRECT("Checklist!$A691"), "FALSE") = 1</formula>
    </cfRule>
    <cfRule type="notContainsBlanks" dxfId="7" priority="2093">
      <formula>LEN(TRIM(G95))&gt;0</formula>
    </cfRule>
  </conditionalFormatting>
  <conditionalFormatting sqref="G99">
    <cfRule type="expression" dxfId="3" priority="2201">
      <formula>COUNTIF(INDIRECT("Checklist!$A727"), "TRUE") = 1</formula>
    </cfRule>
    <cfRule type="expression" dxfId="4" priority="2202">
      <formula>COUNTIF(INDIRECT("Checklist!$A727"), "FALSE") = 1</formula>
    </cfRule>
    <cfRule type="notContainsBlanks" dxfId="7" priority="2203">
      <formula>LEN(TRIM(G99))&gt;0</formula>
    </cfRule>
  </conditionalFormatting>
  <conditionalFormatting sqref="I100">
    <cfRule type="expression" dxfId="3" priority="2295">
      <formula>COUNTIF(INDIRECT("Checklist!$A758"), "TRUE") = 1</formula>
    </cfRule>
    <cfRule type="expression" dxfId="4" priority="2296">
      <formula>COUNTIF(INDIRECT("Checklist!$A758"), "FALSE") = 1</formula>
    </cfRule>
    <cfRule type="notContainsBlanks" dxfId="7" priority="2297">
      <formula>LEN(TRIM(I100))&gt;0</formula>
    </cfRule>
  </conditionalFormatting>
  <conditionalFormatting sqref="I101">
    <cfRule type="expression" dxfId="3" priority="2313">
      <formula>COUNTIF(INDIRECT("Checklist!$A764"), "TRUE") = 1</formula>
    </cfRule>
    <cfRule type="expression" dxfId="4" priority="2314">
      <formula>COUNTIF(INDIRECT("Checklist!$A764"), "FALSE") = 1</formula>
    </cfRule>
    <cfRule type="notContainsBlanks" dxfId="7" priority="2315">
      <formula>LEN(TRIM(I101))&gt;0</formula>
    </cfRule>
  </conditionalFormatting>
  <conditionalFormatting sqref="I102">
    <cfRule type="expression" dxfId="3" priority="2331">
      <formula>COUNTIF(INDIRECT("Checklist!$A770"), "TRUE") = 1</formula>
    </cfRule>
    <cfRule type="expression" dxfId="4" priority="2332">
      <formula>COUNTIF(INDIRECT("Checklist!$A770"), "FALSE") = 1</formula>
    </cfRule>
    <cfRule type="notContainsBlanks" dxfId="7" priority="2333">
      <formula>LEN(TRIM(I102))&gt;0</formula>
    </cfRule>
  </conditionalFormatting>
  <conditionalFormatting sqref="I103">
    <cfRule type="expression" dxfId="3" priority="2349">
      <formula>COUNTIF(INDIRECT("Checklist!$A776"), "TRUE") = 1</formula>
    </cfRule>
    <cfRule type="expression" dxfId="4" priority="2350">
      <formula>COUNTIF(INDIRECT("Checklist!$A776"), "FALSE") = 1</formula>
    </cfRule>
    <cfRule type="notContainsBlanks" dxfId="7" priority="2351">
      <formula>LEN(TRIM(I103))&gt;0</formula>
    </cfRule>
  </conditionalFormatting>
  <conditionalFormatting sqref="I106:N106">
    <cfRule type="notContainsBlanks" dxfId="7" priority="2458">
      <formula>LEN(TRIM(I106))&gt;0</formula>
    </cfRule>
  </conditionalFormatting>
  <conditionalFormatting sqref="I107">
    <cfRule type="expression" dxfId="3" priority="2459">
      <formula>COUNTIF(INDIRECT("Checklist!$A812"), "TRUE") = 1</formula>
    </cfRule>
    <cfRule type="expression" dxfId="4" priority="2460">
      <formula>COUNTIF(INDIRECT("Checklist!$A812"), "FALSE") = 1</formula>
    </cfRule>
    <cfRule type="notContainsBlanks" dxfId="7" priority="2461">
      <formula>LEN(TRIM(I107))&gt;0</formula>
    </cfRule>
  </conditionalFormatting>
  <conditionalFormatting sqref="I108">
    <cfRule type="expression" dxfId="3" priority="2477">
      <formula>COUNTIF(INDIRECT("Checklist!$A818"), "TRUE") = 1</formula>
    </cfRule>
    <cfRule type="expression" dxfId="4" priority="2478">
      <formula>COUNTIF(INDIRECT("Checklist!$A818"), "FALSE") = 1</formula>
    </cfRule>
    <cfRule type="notContainsBlanks" dxfId="7" priority="2479">
      <formula>LEN(TRIM(I108))&gt;0</formula>
    </cfRule>
  </conditionalFormatting>
  <conditionalFormatting sqref="I109">
    <cfRule type="expression" dxfId="3" priority="2495">
      <formula>COUNTIF(INDIRECT("Checklist!$A1223"), "TRUE") = 1</formula>
    </cfRule>
    <cfRule type="expression" dxfId="4" priority="2496">
      <formula>COUNTIF(INDIRECT("Checklist!$A1223"), "FALSE") = 1</formula>
    </cfRule>
    <cfRule type="notContainsBlanks" dxfId="7" priority="2497">
      <formula>LEN(TRIM(I109))&gt;0</formula>
    </cfRule>
  </conditionalFormatting>
  <conditionalFormatting sqref="I10:N10">
    <cfRule type="notContainsBlanks" dxfId="7" priority="274">
      <formula>LEN(TRIM(I10))&gt;0</formula>
    </cfRule>
  </conditionalFormatting>
  <conditionalFormatting sqref="I11">
    <cfRule type="expression" dxfId="3" priority="275">
      <formula>COUNTIF(INDIRECT("Checklist!$A92"), "TRUE") = 1</formula>
    </cfRule>
    <cfRule type="expression" dxfId="4" priority="276">
      <formula>COUNTIF(INDIRECT("Checklist!$A92"), "FALSE") = 1</formula>
    </cfRule>
    <cfRule type="notContainsBlanks" dxfId="7" priority="277">
      <formula>LEN(TRIM(I11))&gt;0</formula>
    </cfRule>
  </conditionalFormatting>
  <conditionalFormatting sqref="I110">
    <cfRule type="expression" dxfId="3" priority="2513">
      <formula>COUNTIF(INDIRECT("Checklist!$A830"), "TRUE") = 1</formula>
    </cfRule>
    <cfRule type="expression" dxfId="4" priority="2514">
      <formula>COUNTIF(INDIRECT("Checklist!$A830"), "FALSE") = 1</formula>
    </cfRule>
    <cfRule type="notContainsBlanks" dxfId="7" priority="2515">
      <formula>LEN(TRIM(I110))&gt;0</formula>
    </cfRule>
  </conditionalFormatting>
  <conditionalFormatting sqref="I111">
    <cfRule type="expression" dxfId="3" priority="2531">
      <formula>COUNTIF(INDIRECT("Checklist!$A836"), "TRUE") = 1</formula>
    </cfRule>
    <cfRule type="expression" dxfId="4" priority="2532">
      <formula>COUNTIF(INDIRECT("Checklist!$A836"), "FALSE") = 1</formula>
    </cfRule>
    <cfRule type="notContainsBlanks" dxfId="7" priority="2533">
      <formula>LEN(TRIM(I111))&gt;0</formula>
    </cfRule>
  </conditionalFormatting>
  <conditionalFormatting sqref="I114:N114">
    <cfRule type="notContainsBlanks" dxfId="7" priority="2640">
      <formula>LEN(TRIM(I114))&gt;0</formula>
    </cfRule>
  </conditionalFormatting>
  <conditionalFormatting sqref="I115">
    <cfRule type="expression" dxfId="3" priority="2641">
      <formula>COUNTIF(INDIRECT("Checklist!$A872"), "TRUE") = 1</formula>
    </cfRule>
    <cfRule type="expression" dxfId="4" priority="2642">
      <formula>COUNTIF(INDIRECT("Checklist!$A872"), "FALSE") = 1</formula>
    </cfRule>
    <cfRule type="notContainsBlanks" dxfId="7" priority="2643">
      <formula>LEN(TRIM(I115))&gt;0</formula>
    </cfRule>
  </conditionalFormatting>
  <conditionalFormatting sqref="I116">
    <cfRule type="expression" dxfId="3" priority="2659">
      <formula>COUNTIF(INDIRECT("Checklist!$A878"), "TRUE") = 1</formula>
    </cfRule>
    <cfRule type="expression" dxfId="4" priority="2660">
      <formula>COUNTIF(INDIRECT("Checklist!$A878"), "FALSE") = 1</formula>
    </cfRule>
    <cfRule type="notContainsBlanks" dxfId="7" priority="2661">
      <formula>LEN(TRIM(I116))&gt;0</formula>
    </cfRule>
  </conditionalFormatting>
  <conditionalFormatting sqref="I117">
    <cfRule type="expression" dxfId="3" priority="2677">
      <formula>COUNTIF(INDIRECT("Checklist!$A884"), "TRUE") = 1</formula>
    </cfRule>
    <cfRule type="expression" dxfId="4" priority="2678">
      <formula>COUNTIF(INDIRECT("Checklist!$A884"), "FALSE") = 1</formula>
    </cfRule>
    <cfRule type="notContainsBlanks" dxfId="7" priority="2679">
      <formula>LEN(TRIM(I117))&gt;0</formula>
    </cfRule>
  </conditionalFormatting>
  <conditionalFormatting sqref="I118">
    <cfRule type="expression" dxfId="3" priority="2695">
      <formula>COUNTIF(INDIRECT("Checklist!$A890"), "TRUE") = 1</formula>
    </cfRule>
    <cfRule type="expression" dxfId="4" priority="2696">
      <formula>COUNTIF(INDIRECT("Checklist!$A890"), "FALSE") = 1</formula>
    </cfRule>
    <cfRule type="notContainsBlanks" dxfId="7" priority="2697">
      <formula>LEN(TRIM(I118))&gt;0</formula>
    </cfRule>
  </conditionalFormatting>
  <conditionalFormatting sqref="I119">
    <cfRule type="expression" dxfId="3" priority="2713">
      <formula>COUNTIF(INDIRECT("Checklist!$A896"), "TRUE") = 1</formula>
    </cfRule>
    <cfRule type="expression" dxfId="4" priority="2714">
      <formula>COUNTIF(INDIRECT("Checklist!$A896"), "FALSE") = 1</formula>
    </cfRule>
    <cfRule type="notContainsBlanks" dxfId="7" priority="2715">
      <formula>LEN(TRIM(I119))&gt;0</formula>
    </cfRule>
  </conditionalFormatting>
  <conditionalFormatting sqref="I12">
    <cfRule type="expression" dxfId="3" priority="293">
      <formula>COUNTIF(INDIRECT("Checklist!$A98"), "TRUE") = 1</formula>
    </cfRule>
    <cfRule type="expression" dxfId="4" priority="294">
      <formula>COUNTIF(INDIRECT("Checklist!$A98"), "FALSE") = 1</formula>
    </cfRule>
    <cfRule type="notContainsBlanks" dxfId="7" priority="295">
      <formula>LEN(TRIM(I12))&gt;0</formula>
    </cfRule>
  </conditionalFormatting>
  <conditionalFormatting sqref="I122:N122">
    <cfRule type="notContainsBlanks" dxfId="7" priority="2747">
      <formula>LEN(TRIM(I122))&gt;0</formula>
    </cfRule>
  </conditionalFormatting>
  <conditionalFormatting sqref="I123">
    <cfRule type="expression" dxfId="3" priority="2748">
      <formula>COUNTIF(INDIRECT("Checklist!$A1203"), "TRUE") = 1</formula>
    </cfRule>
    <cfRule type="expression" dxfId="4" priority="2749">
      <formula>COUNTIF(INDIRECT("Checklist!$A1203"), "FALSE") = 1</formula>
    </cfRule>
    <cfRule type="notContainsBlanks" dxfId="7" priority="2750">
      <formula>LEN(TRIM(I123))&gt;0</formula>
    </cfRule>
  </conditionalFormatting>
  <conditionalFormatting sqref="I124">
    <cfRule type="expression" dxfId="3" priority="2766">
      <formula>COUNTIF(INDIRECT("Checklist!$A913"), "TRUE") = 1</formula>
    </cfRule>
    <cfRule type="expression" dxfId="4" priority="2767">
      <formula>COUNTIF(INDIRECT("Checklist!$A913"), "FALSE") = 1</formula>
    </cfRule>
    <cfRule type="notContainsBlanks" dxfId="7" priority="2768">
      <formula>LEN(TRIM(I124))&gt;0</formula>
    </cfRule>
  </conditionalFormatting>
  <conditionalFormatting sqref="I125">
    <cfRule type="expression" dxfId="3" priority="2784">
      <formula>COUNTIF(INDIRECT("Checklist!$A919"), "TRUE") = 1</formula>
    </cfRule>
    <cfRule type="expression" dxfId="4" priority="2785">
      <formula>COUNTIF(INDIRECT("Checklist!$A919"), "FALSE") = 1</formula>
    </cfRule>
    <cfRule type="notContainsBlanks" dxfId="7" priority="2786">
      <formula>LEN(TRIM(I125))&gt;0</formula>
    </cfRule>
  </conditionalFormatting>
  <conditionalFormatting sqref="I126">
    <cfRule type="expression" dxfId="3" priority="2802">
      <formula>COUNTIF(INDIRECT("Checklist!$A925"), "TRUE") = 1</formula>
    </cfRule>
    <cfRule type="expression" dxfId="4" priority="2803">
      <formula>COUNTIF(INDIRECT("Checklist!$A925"), "FALSE") = 1</formula>
    </cfRule>
    <cfRule type="notContainsBlanks" dxfId="7" priority="2804">
      <formula>LEN(TRIM(I126))&gt;0</formula>
    </cfRule>
  </conditionalFormatting>
  <conditionalFormatting sqref="I127">
    <cfRule type="expression" dxfId="3" priority="2820">
      <formula>COUNTIF(INDIRECT("Checklist!$A931"), "TRUE") = 1</formula>
    </cfRule>
    <cfRule type="expression" dxfId="4" priority="2821">
      <formula>COUNTIF(INDIRECT("Checklist!$A931"), "FALSE") = 1</formula>
    </cfRule>
    <cfRule type="notContainsBlanks" dxfId="7" priority="2822">
      <formula>LEN(TRIM(I127))&gt;0</formula>
    </cfRule>
  </conditionalFormatting>
  <conditionalFormatting sqref="I13">
    <cfRule type="expression" dxfId="3" priority="311">
      <formula>COUNTIF(INDIRECT("Checklist!$A104"), "TRUE") = 1</formula>
    </cfRule>
    <cfRule type="expression" dxfId="4" priority="312">
      <formula>COUNTIF(INDIRECT("Checklist!$A104"), "FALSE") = 1</formula>
    </cfRule>
    <cfRule type="notContainsBlanks" dxfId="7" priority="313">
      <formula>LEN(TRIM(I13))&gt;0</formula>
    </cfRule>
  </conditionalFormatting>
  <conditionalFormatting sqref="I130:N130">
    <cfRule type="notContainsBlanks" dxfId="7" priority="2929">
      <formula>LEN(TRIM(I130))&gt;0</formula>
    </cfRule>
  </conditionalFormatting>
  <conditionalFormatting sqref="I131">
    <cfRule type="expression" dxfId="3" priority="2930">
      <formula>COUNTIF(INDIRECT("Checklist!$A967"), "TRUE") = 1</formula>
    </cfRule>
    <cfRule type="expression" dxfId="4" priority="2931">
      <formula>COUNTIF(INDIRECT("Checklist!$A967"), "FALSE") = 1</formula>
    </cfRule>
    <cfRule type="notContainsBlanks" dxfId="7" priority="2932">
      <formula>LEN(TRIM(I131))&gt;0</formula>
    </cfRule>
  </conditionalFormatting>
  <conditionalFormatting sqref="I132">
    <cfRule type="expression" dxfId="3" priority="2948">
      <formula>COUNTIF(INDIRECT("Checklist!$A973"), "TRUE") = 1</formula>
    </cfRule>
    <cfRule type="expression" dxfId="4" priority="2949">
      <formula>COUNTIF(INDIRECT("Checklist!$A973"), "FALSE") = 1</formula>
    </cfRule>
    <cfRule type="notContainsBlanks" dxfId="7" priority="2950">
      <formula>LEN(TRIM(I132))&gt;0</formula>
    </cfRule>
  </conditionalFormatting>
  <conditionalFormatting sqref="I133">
    <cfRule type="expression" dxfId="3" priority="2966">
      <formula>COUNTIF(INDIRECT("Checklist!$A979"), "TRUE") = 1</formula>
    </cfRule>
    <cfRule type="expression" dxfId="4" priority="2967">
      <formula>COUNTIF(INDIRECT("Checklist!$A979"), "FALSE") = 1</formula>
    </cfRule>
    <cfRule type="notContainsBlanks" dxfId="7" priority="2968">
      <formula>LEN(TRIM(I133))&gt;0</formula>
    </cfRule>
  </conditionalFormatting>
  <conditionalFormatting sqref="I134">
    <cfRule type="expression" dxfId="3" priority="2984">
      <formula>COUNTIF(INDIRECT("Checklist!$A985"), "TRUE") = 1</formula>
    </cfRule>
    <cfRule type="expression" dxfId="4" priority="2985">
      <formula>COUNTIF(INDIRECT("Checklist!$A985"), "FALSE") = 1</formula>
    </cfRule>
    <cfRule type="notContainsBlanks" dxfId="7" priority="2986">
      <formula>LEN(TRIM(I134))&gt;0</formula>
    </cfRule>
  </conditionalFormatting>
  <conditionalFormatting sqref="I135">
    <cfRule type="expression" dxfId="3" priority="3002">
      <formula>COUNTIF(INDIRECT("Checklist!$A991"), "TRUE") = 1</formula>
    </cfRule>
    <cfRule type="expression" dxfId="4" priority="3003">
      <formula>COUNTIF(INDIRECT("Checklist!$A991"), "FALSE") = 1</formula>
    </cfRule>
    <cfRule type="notContainsBlanks" dxfId="7" priority="3004">
      <formula>LEN(TRIM(I135))&gt;0</formula>
    </cfRule>
  </conditionalFormatting>
  <conditionalFormatting sqref="I138:N138">
    <cfRule type="notContainsBlanks" dxfId="7" priority="3057">
      <formula>LEN(TRIM(I138))&gt;0</formula>
    </cfRule>
  </conditionalFormatting>
  <conditionalFormatting sqref="I139">
    <cfRule type="expression" dxfId="3" priority="3058">
      <formula>COUNTIF(INDIRECT("Checklist!$A1209"), "TRUE") = 1</formula>
    </cfRule>
    <cfRule type="expression" dxfId="4" priority="3059">
      <formula>COUNTIF(INDIRECT("Checklist!$A1209"), "FALSE") = 1</formula>
    </cfRule>
    <cfRule type="notContainsBlanks" dxfId="7" priority="3060">
      <formula>LEN(TRIM(I139))&gt;0</formula>
    </cfRule>
  </conditionalFormatting>
  <conditionalFormatting sqref="I14">
    <cfRule type="expression" dxfId="3" priority="329">
      <formula>COUNTIF(INDIRECT("Checklist!$A110"), "TRUE") = 1</formula>
    </cfRule>
    <cfRule type="expression" dxfId="4" priority="330">
      <formula>COUNTIF(INDIRECT("Checklist!$A110"), "FALSE") = 1</formula>
    </cfRule>
    <cfRule type="notContainsBlanks" dxfId="7" priority="331">
      <formula>LEN(TRIM(I14))&gt;0</formula>
    </cfRule>
  </conditionalFormatting>
  <conditionalFormatting sqref="I140">
    <cfRule type="expression" dxfId="3" priority="3076">
      <formula>COUNTIF(INDIRECT("Checklist!$A1014"), "TRUE") = 1</formula>
    </cfRule>
    <cfRule type="expression" dxfId="4" priority="3077">
      <formula>COUNTIF(INDIRECT("Checklist!$A1014"), "FALSE") = 1</formula>
    </cfRule>
    <cfRule type="notContainsBlanks" dxfId="7" priority="3078">
      <formula>LEN(TRIM(I140))&gt;0</formula>
    </cfRule>
  </conditionalFormatting>
  <conditionalFormatting sqref="I146:N146">
    <cfRule type="notContainsBlanks" dxfId="7" priority="3170">
      <formula>LEN(TRIM(I146))&gt;0</formula>
    </cfRule>
  </conditionalFormatting>
  <conditionalFormatting sqref="I147">
    <cfRule type="expression" dxfId="3" priority="3171">
      <formula>COUNTIF(INDIRECT("Checklist!$A387"), "TRUE") = 1</formula>
    </cfRule>
    <cfRule type="expression" dxfId="4" priority="3172">
      <formula>COUNTIF(INDIRECT("Checklist!$A387"), "FALSE") = 1</formula>
    </cfRule>
    <cfRule type="notContainsBlanks" dxfId="7" priority="3173">
      <formula>LEN(TRIM(I147))&gt;0</formula>
    </cfRule>
  </conditionalFormatting>
  <conditionalFormatting sqref="I148">
    <cfRule type="expression" dxfId="3" priority="3189">
      <formula>COUNTIF(INDIRECT("Checklist!$A413"), "TRUE") = 1</formula>
    </cfRule>
    <cfRule type="expression" dxfId="4" priority="3190">
      <formula>COUNTIF(INDIRECT("Checklist!$A413"), "FALSE") = 1</formula>
    </cfRule>
    <cfRule type="notContainsBlanks" dxfId="7" priority="3191">
      <formula>LEN(TRIM(I148))&gt;0</formula>
    </cfRule>
  </conditionalFormatting>
  <conditionalFormatting sqref="I149">
    <cfRule type="expression" dxfId="3" priority="3207">
      <formula>COUNTIF(INDIRECT("Checklist!$A414"), "TRUE") = 1</formula>
    </cfRule>
    <cfRule type="expression" dxfId="4" priority="3208">
      <formula>COUNTIF(INDIRECT("Checklist!$A414"), "FALSE") = 1</formula>
    </cfRule>
    <cfRule type="notContainsBlanks" dxfId="7" priority="3209">
      <formula>LEN(TRIM(I149))&gt;0</formula>
    </cfRule>
  </conditionalFormatting>
  <conditionalFormatting sqref="I15">
    <cfRule type="expression" dxfId="3" priority="347">
      <formula>COUNTIF(INDIRECT("Checklist!$A116"), "TRUE") = 1</formula>
    </cfRule>
    <cfRule type="expression" dxfId="4" priority="348">
      <formula>COUNTIF(INDIRECT("Checklist!$A116"), "FALSE") = 1</formula>
    </cfRule>
    <cfRule type="notContainsBlanks" dxfId="7" priority="349">
      <formula>LEN(TRIM(I15))&gt;0</formula>
    </cfRule>
  </conditionalFormatting>
  <conditionalFormatting sqref="I150">
    <cfRule type="expression" dxfId="3" priority="3225">
      <formula>COUNTIF(INDIRECT("Checklist!$A480"), "TRUE") = 1</formula>
    </cfRule>
    <cfRule type="expression" dxfId="4" priority="3226">
      <formula>COUNTIF(INDIRECT("Checklist!$A480"), "FALSE") = 1</formula>
    </cfRule>
    <cfRule type="notContainsBlanks" dxfId="7" priority="3227">
      <formula>LEN(TRIM(I150))&gt;0</formula>
    </cfRule>
  </conditionalFormatting>
  <conditionalFormatting sqref="I151">
    <cfRule type="expression" dxfId="3" priority="3243">
      <formula>COUNTIF(INDIRECT("Checklist!$A493"), "TRUE") = 1</formula>
    </cfRule>
    <cfRule type="expression" dxfId="4" priority="3244">
      <formula>COUNTIF(INDIRECT("Checklist!$A493"), "FALSE") = 1</formula>
    </cfRule>
    <cfRule type="notContainsBlanks" dxfId="7" priority="3245">
      <formula>LEN(TRIM(I151))&gt;0</formula>
    </cfRule>
  </conditionalFormatting>
  <conditionalFormatting sqref="I154:N154">
    <cfRule type="notContainsBlanks" dxfId="7" priority="3328">
      <formula>LEN(TRIM(I154))&gt;0</formula>
    </cfRule>
  </conditionalFormatting>
  <conditionalFormatting sqref="I155">
    <cfRule type="expression" dxfId="3" priority="3329">
      <formula>COUNTIF(INDIRECT("Checklist!$A711"), "TRUE") = 1</formula>
    </cfRule>
    <cfRule type="expression" dxfId="4" priority="3330">
      <formula>COUNTIF(INDIRECT("Checklist!$A711"), "FALSE") = 1</formula>
    </cfRule>
    <cfRule type="notContainsBlanks" dxfId="7" priority="3331">
      <formula>LEN(TRIM(I155))&gt;0</formula>
    </cfRule>
  </conditionalFormatting>
  <conditionalFormatting sqref="I156">
    <cfRule type="expression" dxfId="3" priority="3347">
      <formula>COUNTIF(INDIRECT("Checklist!$A712"), "TRUE") = 1</formula>
    </cfRule>
    <cfRule type="expression" dxfId="4" priority="3348">
      <formula>COUNTIF(INDIRECT("Checklist!$A712"), "FALSE") = 1</formula>
    </cfRule>
    <cfRule type="notContainsBlanks" dxfId="7" priority="3349">
      <formula>LEN(TRIM(I156))&gt;0</formula>
    </cfRule>
  </conditionalFormatting>
  <conditionalFormatting sqref="I157">
    <cfRule type="expression" dxfId="3" priority="3365">
      <formula>COUNTIF(INDIRECT("Checklist!$A677"), "TRUE") = 1</formula>
    </cfRule>
    <cfRule type="expression" dxfId="4" priority="3366">
      <formula>COUNTIF(INDIRECT("Checklist!$A677"), "FALSE") = 1</formula>
    </cfRule>
    <cfRule type="notContainsBlanks" dxfId="7" priority="3367">
      <formula>LEN(TRIM(I157))&gt;0</formula>
    </cfRule>
  </conditionalFormatting>
  <conditionalFormatting sqref="I158">
    <cfRule type="expression" dxfId="3" priority="3383">
      <formula>COUNTIF(INDIRECT("Checklist!$A1080"), "TRUE") = 1</formula>
    </cfRule>
    <cfRule type="expression" dxfId="4" priority="3384">
      <formula>COUNTIF(INDIRECT("Checklist!$A1080"), "FALSE") = 1</formula>
    </cfRule>
    <cfRule type="notContainsBlanks" dxfId="7" priority="3385">
      <formula>LEN(TRIM(I158))&gt;0</formula>
    </cfRule>
  </conditionalFormatting>
  <conditionalFormatting sqref="I162:N162">
    <cfRule type="notContainsBlanks" dxfId="7" priority="3489">
      <formula>LEN(TRIM(I162))&gt;0</formula>
    </cfRule>
  </conditionalFormatting>
  <conditionalFormatting sqref="I163">
    <cfRule type="expression" dxfId="3" priority="3490">
      <formula>COUNTIF(INDIRECT("Checklist!$A667"), "TRUE") = 1</formula>
    </cfRule>
    <cfRule type="expression" dxfId="4" priority="3491">
      <formula>COUNTIF(INDIRECT("Checklist!$A667"), "FALSE") = 1</formula>
    </cfRule>
    <cfRule type="notContainsBlanks" dxfId="7" priority="3492">
      <formula>LEN(TRIM(I163))&gt;0</formula>
    </cfRule>
  </conditionalFormatting>
  <conditionalFormatting sqref="I164">
    <cfRule type="expression" dxfId="3" priority="3508">
      <formula>COUNTIF(INDIRECT("Checklist!$A1107"), "TRUE") = 1</formula>
    </cfRule>
    <cfRule type="expression" dxfId="4" priority="3509">
      <formula>COUNTIF(INDIRECT("Checklist!$A1107"), "FALSE") = 1</formula>
    </cfRule>
    <cfRule type="notContainsBlanks" dxfId="7" priority="3510">
      <formula>LEN(TRIM(I164))&gt;0</formula>
    </cfRule>
  </conditionalFormatting>
  <conditionalFormatting sqref="I165">
    <cfRule type="expression" dxfId="3" priority="3526">
      <formula>COUNTIF(INDIRECT("Checklist!$A1113"), "TRUE") = 1</formula>
    </cfRule>
    <cfRule type="expression" dxfId="4" priority="3527">
      <formula>COUNTIF(INDIRECT("Checklist!$A1113"), "FALSE") = 1</formula>
    </cfRule>
    <cfRule type="notContainsBlanks" dxfId="7" priority="3528">
      <formula>LEN(TRIM(I165))&gt;0</formula>
    </cfRule>
  </conditionalFormatting>
  <conditionalFormatting sqref="I166">
    <cfRule type="expression" dxfId="3" priority="3544">
      <formula>COUNTIF(INDIRECT("Checklist!$A1119"), "TRUE") = 1</formula>
    </cfRule>
    <cfRule type="expression" dxfId="4" priority="3545">
      <formula>COUNTIF(INDIRECT("Checklist!$A1119"), "FALSE") = 1</formula>
    </cfRule>
    <cfRule type="notContainsBlanks" dxfId="7" priority="3546">
      <formula>LEN(TRIM(I166))&gt;0</formula>
    </cfRule>
  </conditionalFormatting>
  <conditionalFormatting sqref="I170:N170">
    <cfRule type="notContainsBlanks" dxfId="7" priority="3614">
      <formula>LEN(TRIM(I170))&gt;0</formula>
    </cfRule>
  </conditionalFormatting>
  <conditionalFormatting sqref="I171">
    <cfRule type="expression" dxfId="3" priority="3615">
      <formula>COUNTIF(INDIRECT("Checklist!$A1230"), "TRUE") = 1</formula>
    </cfRule>
    <cfRule type="expression" dxfId="4" priority="3616">
      <formula>COUNTIF(INDIRECT("Checklist!$A1230"), "FALSE") = 1</formula>
    </cfRule>
    <cfRule type="notContainsBlanks" dxfId="7" priority="3617">
      <formula>LEN(TRIM(I171))&gt;0</formula>
    </cfRule>
  </conditionalFormatting>
  <conditionalFormatting sqref="I172">
    <cfRule type="expression" dxfId="3" priority="3633">
      <formula>COUNTIF(INDIRECT("Checklist!$A855"), "TRUE") = 1</formula>
    </cfRule>
    <cfRule type="expression" dxfId="4" priority="3634">
      <formula>COUNTIF(INDIRECT("Checklist!$A855"), "FALSE") = 1</formula>
    </cfRule>
    <cfRule type="notContainsBlanks" dxfId="7" priority="3635">
      <formula>LEN(TRIM(I172))&gt;0</formula>
    </cfRule>
  </conditionalFormatting>
  <conditionalFormatting sqref="I173">
    <cfRule type="expression" dxfId="3" priority="3651">
      <formula>COUNTIF(INDIRECT("Checklist!$A1238"), "TRUE") = 1</formula>
    </cfRule>
    <cfRule type="expression" dxfId="4" priority="3652">
      <formula>COUNTIF(INDIRECT("Checklist!$A1238"), "FALSE") = 1</formula>
    </cfRule>
    <cfRule type="notContainsBlanks" dxfId="7" priority="3653">
      <formula>LEN(TRIM(I173))&gt;0</formula>
    </cfRule>
  </conditionalFormatting>
  <conditionalFormatting sqref="I174">
    <cfRule type="expression" dxfId="3" priority="3669">
      <formula>COUNTIF(INDIRECT("Checklist!$A894"), "TRUE") = 1</formula>
    </cfRule>
    <cfRule type="expression" dxfId="4" priority="3670">
      <formula>COUNTIF(INDIRECT("Checklist!$A894"), "FALSE") = 1</formula>
    </cfRule>
    <cfRule type="notContainsBlanks" dxfId="7" priority="3671">
      <formula>LEN(TRIM(I174))&gt;0</formula>
    </cfRule>
  </conditionalFormatting>
  <conditionalFormatting sqref="I175">
    <cfRule type="expression" dxfId="3" priority="3687">
      <formula>COUNTIF(INDIRECT("Checklist!$A906"), "TRUE") = 1</formula>
    </cfRule>
    <cfRule type="expression" dxfId="4" priority="3688">
      <formula>COUNTIF(INDIRECT("Checklist!$A906"), "FALSE") = 1</formula>
    </cfRule>
    <cfRule type="notContainsBlanks" dxfId="7" priority="3689">
      <formula>LEN(TRIM(I175))&gt;0</formula>
    </cfRule>
  </conditionalFormatting>
  <conditionalFormatting sqref="I178:N178">
    <cfRule type="notContainsBlanks" dxfId="7" priority="3781">
      <formula>LEN(TRIM(I178))&gt;0</formula>
    </cfRule>
  </conditionalFormatting>
  <conditionalFormatting sqref="I179">
    <cfRule type="expression" dxfId="3" priority="3782">
      <formula>COUNTIF(INDIRECT("Checklist!$A1167"), "TRUE") = 1</formula>
    </cfRule>
    <cfRule type="expression" dxfId="4" priority="3783">
      <formula>COUNTIF(INDIRECT("Checklist!$A1167"), "FALSE") = 1</formula>
    </cfRule>
    <cfRule type="notContainsBlanks" dxfId="7" priority="3784">
      <formula>LEN(TRIM(I179))&gt;0</formula>
    </cfRule>
  </conditionalFormatting>
  <conditionalFormatting sqref="I180">
    <cfRule type="expression" dxfId="3" priority="3800">
      <formula>COUNTIF(INDIRECT("Checklist!$A1173"), "TRUE") = 1</formula>
    </cfRule>
    <cfRule type="expression" dxfId="4" priority="3801">
      <formula>COUNTIF(INDIRECT("Checklist!$A1173"), "FALSE") = 1</formula>
    </cfRule>
    <cfRule type="notContainsBlanks" dxfId="7" priority="3802">
      <formula>LEN(TRIM(I180))&gt;0</formula>
    </cfRule>
  </conditionalFormatting>
  <conditionalFormatting sqref="I181">
    <cfRule type="expression" dxfId="3" priority="3818">
      <formula>COUNTIF(INDIRECT("Checklist!$A1179"), "TRUE") = 1</formula>
    </cfRule>
    <cfRule type="expression" dxfId="4" priority="3819">
      <formula>COUNTIF(INDIRECT("Checklist!$A1179"), "FALSE") = 1</formula>
    </cfRule>
    <cfRule type="notContainsBlanks" dxfId="7" priority="3820">
      <formula>LEN(TRIM(I181))&gt;0</formula>
    </cfRule>
  </conditionalFormatting>
  <conditionalFormatting sqref="I182">
    <cfRule type="expression" dxfId="3" priority="3836">
      <formula>COUNTIF(INDIRECT("Checklist!$A1185"), "TRUE") = 1</formula>
    </cfRule>
    <cfRule type="expression" dxfId="4" priority="3837">
      <formula>COUNTIF(INDIRECT("Checklist!$A1185"), "FALSE") = 1</formula>
    </cfRule>
    <cfRule type="notContainsBlanks" dxfId="7" priority="3838">
      <formula>LEN(TRIM(I182))&gt;0</formula>
    </cfRule>
  </conditionalFormatting>
  <conditionalFormatting sqref="I183">
    <cfRule type="expression" dxfId="3" priority="3854">
      <formula>COUNTIF(INDIRECT("Checklist!$A1191"), "TRUE") = 1</formula>
    </cfRule>
    <cfRule type="expression" dxfId="4" priority="3855">
      <formula>COUNTIF(INDIRECT("Checklist!$A1191"), "FALSE") = 1</formula>
    </cfRule>
    <cfRule type="notContainsBlanks" dxfId="7" priority="3856">
      <formula>LEN(TRIM(I183))&gt;0</formula>
    </cfRule>
  </conditionalFormatting>
  <conditionalFormatting sqref="I186:N186">
    <cfRule type="notContainsBlanks" dxfId="7" priority="3888">
      <formula>LEN(TRIM(I186))&gt;0</formula>
    </cfRule>
  </conditionalFormatting>
  <conditionalFormatting sqref="I187">
    <cfRule type="expression" dxfId="3" priority="3889">
      <formula>COUNTIF(INDIRECT("Checklist!$A1202"), "TRUE") = 1</formula>
    </cfRule>
    <cfRule type="expression" dxfId="4" priority="3890">
      <formula>COUNTIF(INDIRECT("Checklist!$A1202"), "FALSE") = 1</formula>
    </cfRule>
    <cfRule type="notContainsBlanks" dxfId="7" priority="3891">
      <formula>LEN(TRIM(I187))&gt;0</formula>
    </cfRule>
  </conditionalFormatting>
  <conditionalFormatting sqref="I188">
    <cfRule type="expression" dxfId="3" priority="3907">
      <formula>COUNTIF(INDIRECT("Checklist!$A1208"), "TRUE") = 1</formula>
    </cfRule>
    <cfRule type="expression" dxfId="4" priority="3908">
      <formula>COUNTIF(INDIRECT("Checklist!$A1208"), "FALSE") = 1</formula>
    </cfRule>
    <cfRule type="notContainsBlanks" dxfId="7" priority="3909">
      <formula>LEN(TRIM(I188))&gt;0</formula>
    </cfRule>
  </conditionalFormatting>
  <conditionalFormatting sqref="I189">
    <cfRule type="expression" dxfId="3" priority="3925">
      <formula>COUNTIF(INDIRECT("Checklist!$A1214"), "TRUE") = 1</formula>
    </cfRule>
    <cfRule type="expression" dxfId="4" priority="3926">
      <formula>COUNTIF(INDIRECT("Checklist!$A1214"), "FALSE") = 1</formula>
    </cfRule>
    <cfRule type="notContainsBlanks" dxfId="7" priority="3927">
      <formula>LEN(TRIM(I189))&gt;0</formula>
    </cfRule>
  </conditionalFormatting>
  <conditionalFormatting sqref="I18:N18">
    <cfRule type="notContainsBlanks" dxfId="7" priority="456">
      <formula>LEN(TRIM(I18))&gt;0</formula>
    </cfRule>
  </conditionalFormatting>
  <conditionalFormatting sqref="I19">
    <cfRule type="expression" dxfId="3" priority="457">
      <formula>COUNTIF(INDIRECT("Checklist!$A152"), "TRUE") = 1</formula>
    </cfRule>
    <cfRule type="expression" dxfId="4" priority="458">
      <formula>COUNTIF(INDIRECT("Checklist!$A152"), "FALSE") = 1</formula>
    </cfRule>
    <cfRule type="notContainsBlanks" dxfId="7" priority="459">
      <formula>LEN(TRIM(I19))&gt;0</formula>
    </cfRule>
  </conditionalFormatting>
  <conditionalFormatting sqref="I190">
    <cfRule type="expression" dxfId="3" priority="3943">
      <formula>COUNTIF(INDIRECT("Checklist!$A1220"), "TRUE") = 1</formula>
    </cfRule>
    <cfRule type="expression" dxfId="4" priority="3944">
      <formula>COUNTIF(INDIRECT("Checklist!$A1220"), "FALSE") = 1</formula>
    </cfRule>
    <cfRule type="notContainsBlanks" dxfId="7" priority="3945">
      <formula>LEN(TRIM(I190))&gt;0</formula>
    </cfRule>
  </conditionalFormatting>
  <conditionalFormatting sqref="I191">
    <cfRule type="expression" dxfId="3" priority="3961">
      <formula>COUNTIF(INDIRECT("Checklist!$A1226"), "TRUE") = 1</formula>
    </cfRule>
    <cfRule type="expression" dxfId="4" priority="3962">
      <formula>COUNTIF(INDIRECT("Checklist!$A1226"), "FALSE") = 1</formula>
    </cfRule>
    <cfRule type="notContainsBlanks" dxfId="7" priority="3963">
      <formula>LEN(TRIM(I191))&gt;0</formula>
    </cfRule>
  </conditionalFormatting>
  <conditionalFormatting sqref="I194:N194">
    <cfRule type="notContainsBlanks" dxfId="7" priority="4004">
      <formula>LEN(TRIM(I194))&gt;0</formula>
    </cfRule>
  </conditionalFormatting>
  <conditionalFormatting sqref="I20">
    <cfRule type="expression" dxfId="3" priority="475">
      <formula>COUNTIF(INDIRECT("Checklist!$A158"), "TRUE") = 1</formula>
    </cfRule>
    <cfRule type="expression" dxfId="4" priority="476">
      <formula>COUNTIF(INDIRECT("Checklist!$A158"), "FALSE") = 1</formula>
    </cfRule>
    <cfRule type="notContainsBlanks" dxfId="7" priority="477">
      <formula>LEN(TRIM(I20))&gt;0</formula>
    </cfRule>
  </conditionalFormatting>
  <conditionalFormatting sqref="I202:N202">
    <cfRule type="notContainsBlanks" dxfId="7" priority="4060">
      <formula>LEN(TRIM(I202))&gt;0</formula>
    </cfRule>
  </conditionalFormatting>
  <conditionalFormatting sqref="I203">
    <cfRule type="expression" dxfId="3" priority="4061">
      <formula>COUNTIF(INDIRECT("Checklist!$A1258"), "TRUE") = 1</formula>
    </cfRule>
    <cfRule type="expression" dxfId="4" priority="4062">
      <formula>COUNTIF(INDIRECT("Checklist!$A1258"), "FALSE") = 1</formula>
    </cfRule>
    <cfRule type="notContainsBlanks" dxfId="7" priority="4063">
      <formula>LEN(TRIM(I203))&gt;0</formula>
    </cfRule>
  </conditionalFormatting>
  <conditionalFormatting sqref="I204">
    <cfRule type="expression" dxfId="3" priority="4079">
      <formula>COUNTIF(INDIRECT("Checklist!$A1264"), "TRUE") = 1</formula>
    </cfRule>
    <cfRule type="expression" dxfId="4" priority="4080">
      <formula>COUNTIF(INDIRECT("Checklist!$A1264"), "FALSE") = 1</formula>
    </cfRule>
    <cfRule type="notContainsBlanks" dxfId="7" priority="4081">
      <formula>LEN(TRIM(I204))&gt;0</formula>
    </cfRule>
  </conditionalFormatting>
  <conditionalFormatting sqref="I205">
    <cfRule type="expression" dxfId="3" priority="4097">
      <formula>COUNTIF(INDIRECT("Checklist!$A1270"), "TRUE") = 1</formula>
    </cfRule>
    <cfRule type="expression" dxfId="4" priority="4098">
      <formula>COUNTIF(INDIRECT("Checklist!$A1270"), "FALSE") = 1</formula>
    </cfRule>
    <cfRule type="notContainsBlanks" dxfId="7" priority="4099">
      <formula>LEN(TRIM(I205))&gt;0</formula>
    </cfRule>
  </conditionalFormatting>
  <conditionalFormatting sqref="I206">
    <cfRule type="expression" dxfId="3" priority="4115">
      <formula>COUNTIF(INDIRECT("Checklist!$A1276"), "TRUE") = 1</formula>
    </cfRule>
    <cfRule type="expression" dxfId="4" priority="4116">
      <formula>COUNTIF(INDIRECT("Checklist!$A1276"), "FALSE") = 1</formula>
    </cfRule>
    <cfRule type="notContainsBlanks" dxfId="7" priority="4117">
      <formula>LEN(TRIM(I206))&gt;0</formula>
    </cfRule>
  </conditionalFormatting>
  <conditionalFormatting sqref="I21">
    <cfRule type="expression" dxfId="3" priority="493">
      <formula>COUNTIF(INDIRECT("Checklist!$A164"), "TRUE") = 1</formula>
    </cfRule>
    <cfRule type="expression" dxfId="4" priority="494">
      <formula>COUNTIF(INDIRECT("Checklist!$A164"), "FALSE") = 1</formula>
    </cfRule>
    <cfRule type="notContainsBlanks" dxfId="7" priority="495">
      <formula>LEN(TRIM(I21))&gt;0</formula>
    </cfRule>
  </conditionalFormatting>
  <conditionalFormatting sqref="I22">
    <cfRule type="expression" dxfId="3" priority="511">
      <formula>COUNTIF(INDIRECT("Checklist!$A170"), "TRUE") = 1</formula>
    </cfRule>
    <cfRule type="expression" dxfId="4" priority="512">
      <formula>COUNTIF(INDIRECT("Checklist!$A170"), "FALSE") = 1</formula>
    </cfRule>
    <cfRule type="notContainsBlanks" dxfId="7" priority="513">
      <formula>LEN(TRIM(I22))&gt;0</formula>
    </cfRule>
  </conditionalFormatting>
  <conditionalFormatting sqref="I23">
    <cfRule type="expression" dxfId="3" priority="529">
      <formula>COUNTIF(INDIRECT("Checklist!$A176"), "TRUE") = 1</formula>
    </cfRule>
    <cfRule type="expression" dxfId="4" priority="530">
      <formula>COUNTIF(INDIRECT("Checklist!$A176"), "FALSE") = 1</formula>
    </cfRule>
    <cfRule type="notContainsBlanks" dxfId="7" priority="531">
      <formula>LEN(TRIM(I23))&gt;0</formula>
    </cfRule>
  </conditionalFormatting>
  <conditionalFormatting sqref="I26:N26">
    <cfRule type="notContainsBlanks" dxfId="7" priority="638">
      <formula>LEN(TRIM(I26))&gt;0</formula>
    </cfRule>
  </conditionalFormatting>
  <conditionalFormatting sqref="I27">
    <cfRule type="expression" dxfId="3" priority="639">
      <formula>COUNTIF(INDIRECT("Checklist!$A212"), "TRUE") = 1</formula>
    </cfRule>
    <cfRule type="expression" dxfId="4" priority="640">
      <formula>COUNTIF(INDIRECT("Checklist!$A212"), "FALSE") = 1</formula>
    </cfRule>
    <cfRule type="notContainsBlanks" dxfId="7" priority="641">
      <formula>LEN(TRIM(I27))&gt;0</formula>
    </cfRule>
  </conditionalFormatting>
  <conditionalFormatting sqref="I28">
    <cfRule type="expression" dxfId="3" priority="657">
      <formula>COUNTIF(INDIRECT("Checklist!$A218"), "TRUE") = 1</formula>
    </cfRule>
    <cfRule type="expression" dxfId="4" priority="658">
      <formula>COUNTIF(INDIRECT("Checklist!$A218"), "FALSE") = 1</formula>
    </cfRule>
    <cfRule type="notContainsBlanks" dxfId="7" priority="659">
      <formula>LEN(TRIM(I28))&gt;0</formula>
    </cfRule>
  </conditionalFormatting>
  <conditionalFormatting sqref="I29">
    <cfRule type="expression" dxfId="3" priority="675">
      <formula>COUNTIF(INDIRECT("Checklist!$A224"), "TRUE") = 1</formula>
    </cfRule>
    <cfRule type="expression" dxfId="4" priority="676">
      <formula>COUNTIF(INDIRECT("Checklist!$A224"), "FALSE") = 1</formula>
    </cfRule>
    <cfRule type="notContainsBlanks" dxfId="7" priority="677">
      <formula>LEN(TRIM(I29))&gt;0</formula>
    </cfRule>
  </conditionalFormatting>
  <conditionalFormatting sqref="I2:N2">
    <cfRule type="notContainsBlanks" dxfId="7" priority="92">
      <formula>LEN(TRIM(I2))&gt;0</formula>
    </cfRule>
  </conditionalFormatting>
  <conditionalFormatting sqref="I3">
    <cfRule type="expression" dxfId="3" priority="93">
      <formula>COUNTIF(INDIRECT("Checklist!$A32"), "TRUE") = 1</formula>
    </cfRule>
    <cfRule type="expression" dxfId="4" priority="94">
      <formula>COUNTIF(INDIRECT("Checklist!$A32"), "FALSE") = 1</formula>
    </cfRule>
    <cfRule type="notContainsBlanks" dxfId="7" priority="95">
      <formula>LEN(TRIM(I3))&gt;0</formula>
    </cfRule>
  </conditionalFormatting>
  <conditionalFormatting sqref="I30">
    <cfRule type="expression" dxfId="3" priority="693">
      <formula>COUNTIF(INDIRECT("Checklist!$A230"), "TRUE") = 1</formula>
    </cfRule>
    <cfRule type="expression" dxfId="4" priority="694">
      <formula>COUNTIF(INDIRECT("Checklist!$A230"), "FALSE") = 1</formula>
    </cfRule>
    <cfRule type="notContainsBlanks" dxfId="7" priority="695">
      <formula>LEN(TRIM(I30))&gt;0</formula>
    </cfRule>
  </conditionalFormatting>
  <conditionalFormatting sqref="I31">
    <cfRule type="expression" dxfId="3" priority="711">
      <formula>COUNTIF(INDIRECT("Checklist!$A236"), "TRUE") = 1</formula>
    </cfRule>
    <cfRule type="expression" dxfId="4" priority="712">
      <formula>COUNTIF(INDIRECT("Checklist!$A236"), "FALSE") = 1</formula>
    </cfRule>
    <cfRule type="notContainsBlanks" dxfId="7" priority="713">
      <formula>LEN(TRIM(I31))&gt;0</formula>
    </cfRule>
  </conditionalFormatting>
  <conditionalFormatting sqref="I34:N34">
    <cfRule type="notContainsBlanks" dxfId="7" priority="820">
      <formula>LEN(TRIM(I34))&gt;0</formula>
    </cfRule>
  </conditionalFormatting>
  <conditionalFormatting sqref="I35">
    <cfRule type="expression" dxfId="3" priority="821">
      <formula>COUNTIF(INDIRECT("Checklist!$A272"), "TRUE") = 1</formula>
    </cfRule>
    <cfRule type="expression" dxfId="4" priority="822">
      <formula>COUNTIF(INDIRECT("Checklist!$A272"), "FALSE") = 1</formula>
    </cfRule>
    <cfRule type="notContainsBlanks" dxfId="7" priority="823">
      <formula>LEN(TRIM(I35))&gt;0</formula>
    </cfRule>
  </conditionalFormatting>
  <conditionalFormatting sqref="I36">
    <cfRule type="expression" dxfId="3" priority="839">
      <formula>COUNTIF(INDIRECT("Checklist!$A278"), "TRUE") = 1</formula>
    </cfRule>
    <cfRule type="expression" dxfId="4" priority="840">
      <formula>COUNTIF(INDIRECT("Checklist!$A278"), "FALSE") = 1</formula>
    </cfRule>
    <cfRule type="notContainsBlanks" dxfId="7" priority="841">
      <formula>LEN(TRIM(I36))&gt;0</formula>
    </cfRule>
  </conditionalFormatting>
  <conditionalFormatting sqref="I37">
    <cfRule type="expression" dxfId="3" priority="857">
      <formula>COUNTIF(INDIRECT("Checklist!$A284"), "TRUE") = 1</formula>
    </cfRule>
    <cfRule type="expression" dxfId="4" priority="858">
      <formula>COUNTIF(INDIRECT("Checklist!$A284"), "FALSE") = 1</formula>
    </cfRule>
    <cfRule type="notContainsBlanks" dxfId="7" priority="859">
      <formula>LEN(TRIM(I37))&gt;0</formula>
    </cfRule>
  </conditionalFormatting>
  <conditionalFormatting sqref="I38">
    <cfRule type="expression" dxfId="3" priority="875">
      <formula>COUNTIF(INDIRECT("Checklist!$A290"), "TRUE") = 1</formula>
    </cfRule>
    <cfRule type="expression" dxfId="4" priority="876">
      <formula>COUNTIF(INDIRECT("Checklist!$A290"), "FALSE") = 1</formula>
    </cfRule>
    <cfRule type="notContainsBlanks" dxfId="7" priority="877">
      <formula>LEN(TRIM(I38))&gt;0</formula>
    </cfRule>
  </conditionalFormatting>
  <conditionalFormatting sqref="I39">
    <cfRule type="expression" dxfId="3" priority="893">
      <formula>COUNTIF(INDIRECT("Checklist!$A296"), "TRUE") = 1</formula>
    </cfRule>
    <cfRule type="expression" dxfId="4" priority="894">
      <formula>COUNTIF(INDIRECT("Checklist!$A296"), "FALSE") = 1</formula>
    </cfRule>
    <cfRule type="notContainsBlanks" dxfId="7" priority="895">
      <formula>LEN(TRIM(I39))&gt;0</formula>
    </cfRule>
  </conditionalFormatting>
  <conditionalFormatting sqref="I4">
    <cfRule type="expression" dxfId="3" priority="111">
      <formula>COUNTIF(INDIRECT("Checklist!$A38"), "TRUE") = 1</formula>
    </cfRule>
    <cfRule type="expression" dxfId="4" priority="112">
      <formula>COUNTIF(INDIRECT("Checklist!$A38"), "FALSE") = 1</formula>
    </cfRule>
    <cfRule type="notContainsBlanks" dxfId="7" priority="113">
      <formula>LEN(TRIM(I4))&gt;0</formula>
    </cfRule>
  </conditionalFormatting>
  <conditionalFormatting sqref="I42:N42">
    <cfRule type="notContainsBlanks" dxfId="7" priority="1002">
      <formula>LEN(TRIM(I42))&gt;0</formula>
    </cfRule>
  </conditionalFormatting>
  <conditionalFormatting sqref="I43">
    <cfRule type="expression" dxfId="3" priority="1003">
      <formula>COUNTIF(INDIRECT("Checklist!$A332"), "TRUE") = 1</formula>
    </cfRule>
    <cfRule type="expression" dxfId="4" priority="1004">
      <formula>COUNTIF(INDIRECT("Checklist!$A332"), "FALSE") = 1</formula>
    </cfRule>
    <cfRule type="notContainsBlanks" dxfId="7" priority="1005">
      <formula>LEN(TRIM(I43))&gt;0</formula>
    </cfRule>
  </conditionalFormatting>
  <conditionalFormatting sqref="I44">
    <cfRule type="expression" dxfId="3" priority="1021">
      <formula>COUNTIF(INDIRECT("Checklist!$A338"), "TRUE") = 1</formula>
    </cfRule>
    <cfRule type="expression" dxfId="4" priority="1022">
      <formula>COUNTIF(INDIRECT("Checklist!$A338"), "FALSE") = 1</formula>
    </cfRule>
    <cfRule type="notContainsBlanks" dxfId="7" priority="1023">
      <formula>LEN(TRIM(I44))&gt;0</formula>
    </cfRule>
  </conditionalFormatting>
  <conditionalFormatting sqref="I45">
    <cfRule type="expression" dxfId="3" priority="1039">
      <formula>COUNTIF(INDIRECT("Checklist!$A344"), "TRUE") = 1</formula>
    </cfRule>
    <cfRule type="expression" dxfId="4" priority="1040">
      <formula>COUNTIF(INDIRECT("Checklist!$A344"), "FALSE") = 1</formula>
    </cfRule>
    <cfRule type="notContainsBlanks" dxfId="7" priority="1041">
      <formula>LEN(TRIM(I45))&gt;0</formula>
    </cfRule>
  </conditionalFormatting>
  <conditionalFormatting sqref="I46">
    <cfRule type="expression" dxfId="3" priority="1057">
      <formula>COUNTIF(INDIRECT("Checklist!$A350"), "TRUE") = 1</formula>
    </cfRule>
    <cfRule type="expression" dxfId="4" priority="1058">
      <formula>COUNTIF(INDIRECT("Checklist!$A350"), "FALSE") = 1</formula>
    </cfRule>
    <cfRule type="notContainsBlanks" dxfId="7" priority="1059">
      <formula>LEN(TRIM(I46))&gt;0</formula>
    </cfRule>
  </conditionalFormatting>
  <conditionalFormatting sqref="I47">
    <cfRule type="expression" dxfId="3" priority="1075">
      <formula>COUNTIF(INDIRECT("Checklist!$A356"), "TRUE") = 1</formula>
    </cfRule>
    <cfRule type="expression" dxfId="4" priority="1076">
      <formula>COUNTIF(INDIRECT("Checklist!$A356"), "FALSE") = 1</formula>
    </cfRule>
    <cfRule type="notContainsBlanks" dxfId="7" priority="1077">
      <formula>LEN(TRIM(I47))&gt;0</formula>
    </cfRule>
  </conditionalFormatting>
  <conditionalFormatting sqref="I5">
    <cfRule type="expression" dxfId="3" priority="129">
      <formula>COUNTIF(INDIRECT("Checklist!$A44"), "TRUE") = 1</formula>
    </cfRule>
    <cfRule type="expression" dxfId="4" priority="130">
      <formula>COUNTIF(INDIRECT("Checklist!$A44"), "FALSE") = 1</formula>
    </cfRule>
    <cfRule type="notContainsBlanks" dxfId="7" priority="131">
      <formula>LEN(TRIM(I5))&gt;0</formula>
    </cfRule>
  </conditionalFormatting>
  <conditionalFormatting sqref="I50:N50">
    <cfRule type="notContainsBlanks" dxfId="7" priority="1184">
      <formula>LEN(TRIM(I50))&gt;0</formula>
    </cfRule>
  </conditionalFormatting>
  <conditionalFormatting sqref="I51">
    <cfRule type="expression" dxfId="3" priority="1185">
      <formula>COUNTIF(INDIRECT("Checklist!$A392"), "TRUE") = 1</formula>
    </cfRule>
    <cfRule type="expression" dxfId="4" priority="1186">
      <formula>COUNTIF(INDIRECT("Checklist!$A392"), "FALSE") = 1</formula>
    </cfRule>
    <cfRule type="notContainsBlanks" dxfId="7" priority="1187">
      <formula>LEN(TRIM(I51))&gt;0</formula>
    </cfRule>
  </conditionalFormatting>
  <conditionalFormatting sqref="I52">
    <cfRule type="expression" dxfId="3" priority="1203">
      <formula>COUNTIF(INDIRECT("Checklist!$A398"), "TRUE") = 1</formula>
    </cfRule>
    <cfRule type="expression" dxfId="4" priority="1204">
      <formula>COUNTIF(INDIRECT("Checklist!$A398"), "FALSE") = 1</formula>
    </cfRule>
    <cfRule type="notContainsBlanks" dxfId="7" priority="1205">
      <formula>LEN(TRIM(I52))&gt;0</formula>
    </cfRule>
  </conditionalFormatting>
  <conditionalFormatting sqref="I53">
    <cfRule type="expression" dxfId="3" priority="1221">
      <formula>COUNTIF(INDIRECT("Checklist!$A404"), "TRUE") = 1</formula>
    </cfRule>
    <cfRule type="expression" dxfId="4" priority="1222">
      <formula>COUNTIF(INDIRECT("Checklist!$A404"), "FALSE") = 1</formula>
    </cfRule>
    <cfRule type="notContainsBlanks" dxfId="7" priority="1223">
      <formula>LEN(TRIM(I53))&gt;0</formula>
    </cfRule>
  </conditionalFormatting>
  <conditionalFormatting sqref="I54">
    <cfRule type="expression" dxfId="3" priority="1239">
      <formula>COUNTIF(INDIRECT("Checklist!$A410"), "TRUE") = 1</formula>
    </cfRule>
    <cfRule type="expression" dxfId="4" priority="1240">
      <formula>COUNTIF(INDIRECT("Checklist!$A410"), "FALSE") = 1</formula>
    </cfRule>
    <cfRule type="notContainsBlanks" dxfId="7" priority="1241">
      <formula>LEN(TRIM(I54))&gt;0</formula>
    </cfRule>
  </conditionalFormatting>
  <conditionalFormatting sqref="I55">
    <cfRule type="expression" dxfId="3" priority="1257">
      <formula>COUNTIF(INDIRECT("Checklist!$A416"), "TRUE") = 1</formula>
    </cfRule>
    <cfRule type="expression" dxfId="4" priority="1258">
      <formula>COUNTIF(INDIRECT("Checklist!$A416"), "FALSE") = 1</formula>
    </cfRule>
    <cfRule type="notContainsBlanks" dxfId="7" priority="1259">
      <formula>LEN(TRIM(I55))&gt;0</formula>
    </cfRule>
  </conditionalFormatting>
  <conditionalFormatting sqref="I58:N58">
    <cfRule type="notContainsBlanks" dxfId="7" priority="1366">
      <formula>LEN(TRIM(I58))&gt;0</formula>
    </cfRule>
  </conditionalFormatting>
  <conditionalFormatting sqref="I59">
    <cfRule type="expression" dxfId="3" priority="1367">
      <formula>COUNTIF(INDIRECT("Checklist!$A452"), "TRUE") = 1</formula>
    </cfRule>
    <cfRule type="expression" dxfId="4" priority="1368">
      <formula>COUNTIF(INDIRECT("Checklist!$A452"), "FALSE") = 1</formula>
    </cfRule>
    <cfRule type="notContainsBlanks" dxfId="7" priority="1369">
      <formula>LEN(TRIM(I59))&gt;0</formula>
    </cfRule>
  </conditionalFormatting>
  <conditionalFormatting sqref="I6">
    <cfRule type="expression" dxfId="3" priority="147">
      <formula>COUNTIF(INDIRECT("Checklist!$A50"), "TRUE") = 1</formula>
    </cfRule>
    <cfRule type="expression" dxfId="4" priority="148">
      <formula>COUNTIF(INDIRECT("Checklist!$A50"), "FALSE") = 1</formula>
    </cfRule>
    <cfRule type="notContainsBlanks" dxfId="7" priority="149">
      <formula>LEN(TRIM(I6))&gt;0</formula>
    </cfRule>
  </conditionalFormatting>
  <conditionalFormatting sqref="I60">
    <cfRule type="expression" dxfId="3" priority="1385">
      <formula>COUNTIF(INDIRECT("Checklist!$A458"), "TRUE") = 1</formula>
    </cfRule>
    <cfRule type="expression" dxfId="4" priority="1386">
      <formula>COUNTIF(INDIRECT("Checklist!$A458"), "FALSE") = 1</formula>
    </cfRule>
    <cfRule type="notContainsBlanks" dxfId="7" priority="1387">
      <formula>LEN(TRIM(I60))&gt;0</formula>
    </cfRule>
  </conditionalFormatting>
  <conditionalFormatting sqref="I61">
    <cfRule type="expression" dxfId="3" priority="1403">
      <formula>COUNTIF(INDIRECT("Checklist!$A464"), "TRUE") = 1</formula>
    </cfRule>
    <cfRule type="expression" dxfId="4" priority="1404">
      <formula>COUNTIF(INDIRECT("Checklist!$A464"), "FALSE") = 1</formula>
    </cfRule>
    <cfRule type="notContainsBlanks" dxfId="7" priority="1405">
      <formula>LEN(TRIM(I61))&gt;0</formula>
    </cfRule>
  </conditionalFormatting>
  <conditionalFormatting sqref="I62">
    <cfRule type="expression" dxfId="3" priority="1421">
      <formula>COUNTIF(INDIRECT("Checklist!$A470"), "TRUE") = 1</formula>
    </cfRule>
    <cfRule type="expression" dxfId="4" priority="1422">
      <formula>COUNTIF(INDIRECT("Checklist!$A470"), "FALSE") = 1</formula>
    </cfRule>
    <cfRule type="notContainsBlanks" dxfId="7" priority="1423">
      <formula>LEN(TRIM(I62))&gt;0</formula>
    </cfRule>
  </conditionalFormatting>
  <conditionalFormatting sqref="I63">
    <cfRule type="expression" dxfId="3" priority="1439">
      <formula>COUNTIF(INDIRECT("Checklist!$A476"), "TRUE") = 1</formula>
    </cfRule>
    <cfRule type="expression" dxfId="4" priority="1440">
      <formula>COUNTIF(INDIRECT("Checklist!$A476"), "FALSE") = 1</formula>
    </cfRule>
    <cfRule type="notContainsBlanks" dxfId="7" priority="1441">
      <formula>LEN(TRIM(I63))&gt;0</formula>
    </cfRule>
  </conditionalFormatting>
  <conditionalFormatting sqref="I66:N66">
    <cfRule type="notContainsBlanks" dxfId="7" priority="1548">
      <formula>LEN(TRIM(I66))&gt;0</formula>
    </cfRule>
  </conditionalFormatting>
  <conditionalFormatting sqref="I67">
    <cfRule type="expression" dxfId="3" priority="1549">
      <formula>COUNTIF(INDIRECT("Checklist!$A512"), "TRUE") = 1</formula>
    </cfRule>
    <cfRule type="expression" dxfId="4" priority="1550">
      <formula>COUNTIF(INDIRECT("Checklist!$A512"), "FALSE") = 1</formula>
    </cfRule>
    <cfRule type="notContainsBlanks" dxfId="7" priority="1551">
      <formula>LEN(TRIM(I67))&gt;0</formula>
    </cfRule>
  </conditionalFormatting>
  <conditionalFormatting sqref="I68">
    <cfRule type="expression" dxfId="3" priority="1567">
      <formula>COUNTIF(INDIRECT("Checklist!$A518"), "TRUE") = 1</formula>
    </cfRule>
    <cfRule type="expression" dxfId="4" priority="1568">
      <formula>COUNTIF(INDIRECT("Checklist!$A518"), "FALSE") = 1</formula>
    </cfRule>
    <cfRule type="notContainsBlanks" dxfId="7" priority="1569">
      <formula>LEN(TRIM(I68))&gt;0</formula>
    </cfRule>
  </conditionalFormatting>
  <conditionalFormatting sqref="I69">
    <cfRule type="expression" dxfId="3" priority="1585">
      <formula>COUNTIF(INDIRECT("Checklist!$A524"), "TRUE") = 1</formula>
    </cfRule>
    <cfRule type="expression" dxfId="4" priority="1586">
      <formula>COUNTIF(INDIRECT("Checklist!$A524"), "FALSE") = 1</formula>
    </cfRule>
    <cfRule type="notContainsBlanks" dxfId="7" priority="1587">
      <formula>LEN(TRIM(I69))&gt;0</formula>
    </cfRule>
  </conditionalFormatting>
  <conditionalFormatting sqref="I7">
    <cfRule type="expression" dxfId="3" priority="165">
      <formula>COUNTIF(INDIRECT("Checklist!$A56"), "TRUE") = 1</formula>
    </cfRule>
    <cfRule type="expression" dxfId="4" priority="166">
      <formula>COUNTIF(INDIRECT("Checklist!$A56"), "FALSE") = 1</formula>
    </cfRule>
    <cfRule type="notContainsBlanks" dxfId="7" priority="167">
      <formula>LEN(TRIM(I7))&gt;0</formula>
    </cfRule>
  </conditionalFormatting>
  <conditionalFormatting sqref="I70">
    <cfRule type="expression" dxfId="3" priority="1603">
      <formula>COUNTIF(INDIRECT("Checklist!$A530"), "TRUE") = 1</formula>
    </cfRule>
    <cfRule type="expression" dxfId="4" priority="1604">
      <formula>COUNTIF(INDIRECT("Checklist!$A530"), "FALSE") = 1</formula>
    </cfRule>
    <cfRule type="notContainsBlanks" dxfId="7" priority="1605">
      <formula>LEN(TRIM(I70))&gt;0</formula>
    </cfRule>
  </conditionalFormatting>
  <conditionalFormatting sqref="I71">
    <cfRule type="expression" dxfId="3" priority="1621">
      <formula>COUNTIF(INDIRECT("Checklist!$A536"), "TRUE") = 1</formula>
    </cfRule>
    <cfRule type="expression" dxfId="4" priority="1622">
      <formula>COUNTIF(INDIRECT("Checklist!$A536"), "FALSE") = 1</formula>
    </cfRule>
    <cfRule type="notContainsBlanks" dxfId="7" priority="1623">
      <formula>LEN(TRIM(I71))&gt;0</formula>
    </cfRule>
  </conditionalFormatting>
  <conditionalFormatting sqref="I74:N74">
    <cfRule type="notContainsBlanks" dxfId="7" priority="1730">
      <formula>LEN(TRIM(I74))&gt;0</formula>
    </cfRule>
  </conditionalFormatting>
  <conditionalFormatting sqref="I75">
    <cfRule type="expression" dxfId="3" priority="1731">
      <formula>COUNTIF(INDIRECT("Checklist!$A572"), "TRUE") = 1</formula>
    </cfRule>
    <cfRule type="expression" dxfId="4" priority="1732">
      <formula>COUNTIF(INDIRECT("Checklist!$A572"), "FALSE") = 1</formula>
    </cfRule>
    <cfRule type="notContainsBlanks" dxfId="7" priority="1733">
      <formula>LEN(TRIM(I75))&gt;0</formula>
    </cfRule>
  </conditionalFormatting>
  <conditionalFormatting sqref="I76">
    <cfRule type="expression" dxfId="3" priority="1749">
      <formula>COUNTIF(INDIRECT("Checklist!$A578"), "TRUE") = 1</formula>
    </cfRule>
    <cfRule type="expression" dxfId="4" priority="1750">
      <formula>COUNTIF(INDIRECT("Checklist!$A578"), "FALSE") = 1</formula>
    </cfRule>
    <cfRule type="notContainsBlanks" dxfId="7" priority="1751">
      <formula>LEN(TRIM(I76))&gt;0</formula>
    </cfRule>
  </conditionalFormatting>
  <conditionalFormatting sqref="I77">
    <cfRule type="expression" dxfId="3" priority="1767">
      <formula>COUNTIF(INDIRECT("Checklist!$A584"), "TRUE") = 1</formula>
    </cfRule>
    <cfRule type="expression" dxfId="4" priority="1768">
      <formula>COUNTIF(INDIRECT("Checklist!$A584"), "FALSE") = 1</formula>
    </cfRule>
    <cfRule type="notContainsBlanks" dxfId="7" priority="1769">
      <formula>LEN(TRIM(I77))&gt;0</formula>
    </cfRule>
  </conditionalFormatting>
  <conditionalFormatting sqref="I78">
    <cfRule type="expression" dxfId="3" priority="1785">
      <formula>COUNTIF(INDIRECT("Checklist!$A590"), "TRUE") = 1</formula>
    </cfRule>
    <cfRule type="expression" dxfId="4" priority="1786">
      <formula>COUNTIF(INDIRECT("Checklist!$A590"), "FALSE") = 1</formula>
    </cfRule>
    <cfRule type="notContainsBlanks" dxfId="7" priority="1787">
      <formula>LEN(TRIM(I78))&gt;0</formula>
    </cfRule>
  </conditionalFormatting>
  <conditionalFormatting sqref="I79">
    <cfRule type="expression" dxfId="3" priority="1803">
      <formula>COUNTIF(INDIRECT("Checklist!$A596"), "TRUE") = 1</formula>
    </cfRule>
    <cfRule type="expression" dxfId="4" priority="1804">
      <formula>COUNTIF(INDIRECT("Checklist!$A596"), "FALSE") = 1</formula>
    </cfRule>
    <cfRule type="notContainsBlanks" dxfId="7" priority="1805">
      <formula>LEN(TRIM(I79))&gt;0</formula>
    </cfRule>
  </conditionalFormatting>
  <conditionalFormatting sqref="I82:N82">
    <cfRule type="notContainsBlanks" dxfId="7" priority="1912">
      <formula>LEN(TRIM(I82))&gt;0</formula>
    </cfRule>
  </conditionalFormatting>
  <conditionalFormatting sqref="I83">
    <cfRule type="expression" dxfId="3" priority="1913">
      <formula>COUNTIF(INDIRECT("Checklist!$A632"), "TRUE") = 1</formula>
    </cfRule>
    <cfRule type="expression" dxfId="4" priority="1914">
      <formula>COUNTIF(INDIRECT("Checklist!$A632"), "FALSE") = 1</formula>
    </cfRule>
    <cfRule type="notContainsBlanks" dxfId="7" priority="1915">
      <formula>LEN(TRIM(I83))&gt;0</formula>
    </cfRule>
  </conditionalFormatting>
  <conditionalFormatting sqref="I84">
    <cfRule type="expression" dxfId="3" priority="1931">
      <formula>COUNTIF(INDIRECT("Checklist!$A638"), "TRUE") = 1</formula>
    </cfRule>
    <cfRule type="expression" dxfId="4" priority="1932">
      <formula>COUNTIF(INDIRECT("Checklist!$A638"), "FALSE") = 1</formula>
    </cfRule>
    <cfRule type="notContainsBlanks" dxfId="7" priority="1933">
      <formula>LEN(TRIM(I84))&gt;0</formula>
    </cfRule>
  </conditionalFormatting>
  <conditionalFormatting sqref="I85">
    <cfRule type="expression" dxfId="3" priority="1949">
      <formula>COUNTIF(INDIRECT("Checklist!$A644"), "TRUE") = 1</formula>
    </cfRule>
    <cfRule type="expression" dxfId="4" priority="1950">
      <formula>COUNTIF(INDIRECT("Checklist!$A644"), "FALSE") = 1</formula>
    </cfRule>
    <cfRule type="notContainsBlanks" dxfId="7" priority="1951">
      <formula>LEN(TRIM(I85))&gt;0</formula>
    </cfRule>
  </conditionalFormatting>
  <conditionalFormatting sqref="I86">
    <cfRule type="expression" dxfId="3" priority="1967">
      <formula>COUNTIF(INDIRECT("Checklist!$A650"), "TRUE") = 1</formula>
    </cfRule>
    <cfRule type="expression" dxfId="4" priority="1968">
      <formula>COUNTIF(INDIRECT("Checklist!$A650"), "FALSE") = 1</formula>
    </cfRule>
    <cfRule type="notContainsBlanks" dxfId="7" priority="1969">
      <formula>LEN(TRIM(I86))&gt;0</formula>
    </cfRule>
  </conditionalFormatting>
  <conditionalFormatting sqref="I87">
    <cfRule type="expression" dxfId="3" priority="1985">
      <formula>COUNTIF(INDIRECT("Checklist!$A656"), "TRUE") = 1</formula>
    </cfRule>
    <cfRule type="expression" dxfId="4" priority="1986">
      <formula>COUNTIF(INDIRECT("Checklist!$A656"), "FALSE") = 1</formula>
    </cfRule>
    <cfRule type="notContainsBlanks" dxfId="7" priority="1987">
      <formula>LEN(TRIM(I87))&gt;0</formula>
    </cfRule>
  </conditionalFormatting>
  <conditionalFormatting sqref="I90:N90">
    <cfRule type="notContainsBlanks" dxfId="7" priority="2094">
      <formula>LEN(TRIM(I90))&gt;0</formula>
    </cfRule>
  </conditionalFormatting>
  <conditionalFormatting sqref="I91">
    <cfRule type="expression" dxfId="3" priority="2095">
      <formula>COUNTIF(INDIRECT("Checklist!$A692"), "TRUE") = 1</formula>
    </cfRule>
    <cfRule type="expression" dxfId="4" priority="2096">
      <formula>COUNTIF(INDIRECT("Checklist!$A692"), "FALSE") = 1</formula>
    </cfRule>
    <cfRule type="notContainsBlanks" dxfId="7" priority="2097">
      <formula>LEN(TRIM(I91))&gt;0</formula>
    </cfRule>
  </conditionalFormatting>
  <conditionalFormatting sqref="I92">
    <cfRule type="expression" dxfId="3" priority="2113">
      <formula>COUNTIF(INDIRECT("Checklist!$A698"), "TRUE") = 1</formula>
    </cfRule>
    <cfRule type="expression" dxfId="4" priority="2114">
      <formula>COUNTIF(INDIRECT("Checklist!$A698"), "FALSE") = 1</formula>
    </cfRule>
    <cfRule type="notContainsBlanks" dxfId="7" priority="2115">
      <formula>LEN(TRIM(I92))&gt;0</formula>
    </cfRule>
  </conditionalFormatting>
  <conditionalFormatting sqref="I93">
    <cfRule type="expression" dxfId="3" priority="2131">
      <formula>COUNTIF(INDIRECT("Checklist!$A704"), "TRUE") = 1</formula>
    </cfRule>
    <cfRule type="expression" dxfId="4" priority="2132">
      <formula>COUNTIF(INDIRECT("Checklist!$A704"), "FALSE") = 1</formula>
    </cfRule>
    <cfRule type="notContainsBlanks" dxfId="7" priority="2133">
      <formula>LEN(TRIM(I93))&gt;0</formula>
    </cfRule>
  </conditionalFormatting>
  <conditionalFormatting sqref="I94">
    <cfRule type="expression" dxfId="3" priority="2149">
      <formula>COUNTIF(INDIRECT("Checklist!$A710"), "TRUE") = 1</formula>
    </cfRule>
    <cfRule type="expression" dxfId="4" priority="2150">
      <formula>COUNTIF(INDIRECT("Checklist!$A710"), "FALSE") = 1</formula>
    </cfRule>
    <cfRule type="notContainsBlanks" dxfId="7" priority="2151">
      <formula>LEN(TRIM(I94))&gt;0</formula>
    </cfRule>
  </conditionalFormatting>
  <conditionalFormatting sqref="I95">
    <cfRule type="expression" dxfId="3" priority="2167">
      <formula>COUNTIF(INDIRECT("Checklist!$A716"), "TRUE") = 1</formula>
    </cfRule>
    <cfRule type="expression" dxfId="4" priority="2168">
      <formula>COUNTIF(INDIRECT("Checklist!$A716"), "FALSE") = 1</formula>
    </cfRule>
    <cfRule type="notContainsBlanks" dxfId="7" priority="2169">
      <formula>LEN(TRIM(I95))&gt;0</formula>
    </cfRule>
  </conditionalFormatting>
  <conditionalFormatting sqref="I98:N98">
    <cfRule type="notContainsBlanks" dxfId="7" priority="2276">
      <formula>LEN(TRIM(I98))&gt;0</formula>
    </cfRule>
  </conditionalFormatting>
  <conditionalFormatting sqref="I99">
    <cfRule type="expression" dxfId="3" priority="2277">
      <formula>COUNTIF(INDIRECT("Checklist!$A752"), "TRUE") = 1</formula>
    </cfRule>
    <cfRule type="expression" dxfId="4" priority="2278">
      <formula>COUNTIF(INDIRECT("Checklist!$A752"), "FALSE") = 1</formula>
    </cfRule>
    <cfRule type="notContainsBlanks" dxfId="7" priority="2279">
      <formula>LEN(TRIM(I99))&gt;0</formula>
    </cfRule>
  </conditionalFormatting>
  <conditionalFormatting sqref="J100">
    <cfRule type="expression" dxfId="3" priority="2298">
      <formula>COUNTIF(INDIRECT("Checklist!$A759"), "TRUE") = 1</formula>
    </cfRule>
    <cfRule type="expression" dxfId="4" priority="2299">
      <formula>COUNTIF(INDIRECT("Checklist!$A759"), "FALSE") = 1</formula>
    </cfRule>
    <cfRule type="notContainsBlanks" dxfId="7" priority="2300">
      <formula>LEN(TRIM(J100))&gt;0</formula>
    </cfRule>
  </conditionalFormatting>
  <conditionalFormatting sqref="J101">
    <cfRule type="expression" dxfId="3" priority="2316">
      <formula>COUNTIF(INDIRECT("Checklist!$A765"), "TRUE") = 1</formula>
    </cfRule>
    <cfRule type="expression" dxfId="4" priority="2317">
      <formula>COUNTIF(INDIRECT("Checklist!$A765"), "FALSE") = 1</formula>
    </cfRule>
    <cfRule type="notContainsBlanks" dxfId="7" priority="2318">
      <formula>LEN(TRIM(J101))&gt;0</formula>
    </cfRule>
  </conditionalFormatting>
  <conditionalFormatting sqref="J102">
    <cfRule type="expression" dxfId="3" priority="2334">
      <formula>COUNTIF(INDIRECT("Checklist!$A771"), "TRUE") = 1</formula>
    </cfRule>
    <cfRule type="expression" dxfId="4" priority="2335">
      <formula>COUNTIF(INDIRECT("Checklist!$A771"), "FALSE") = 1</formula>
    </cfRule>
    <cfRule type="notContainsBlanks" dxfId="7" priority="2336">
      <formula>LEN(TRIM(J102))&gt;0</formula>
    </cfRule>
  </conditionalFormatting>
  <conditionalFormatting sqref="J103">
    <cfRule type="expression" dxfId="3" priority="2352">
      <formula>COUNTIF(INDIRECT("Checklist!$A777"), "TRUE") = 1</formula>
    </cfRule>
    <cfRule type="expression" dxfId="4" priority="2353">
      <formula>COUNTIF(INDIRECT("Checklist!$A777"), "FALSE") = 1</formula>
    </cfRule>
    <cfRule type="notContainsBlanks" dxfId="7" priority="2354">
      <formula>LEN(TRIM(J103))&gt;0</formula>
    </cfRule>
  </conditionalFormatting>
  <conditionalFormatting sqref="J107">
    <cfRule type="expression" dxfId="3" priority="2462">
      <formula>COUNTIF(INDIRECT("Checklist!$A1220"), "TRUE") = 1</formula>
    </cfRule>
    <cfRule type="expression" dxfId="4" priority="2463">
      <formula>COUNTIF(INDIRECT("Checklist!$A1220"), "FALSE") = 1</formula>
    </cfRule>
    <cfRule type="notContainsBlanks" dxfId="7" priority="2464">
      <formula>LEN(TRIM(J107))&gt;0</formula>
    </cfRule>
  </conditionalFormatting>
  <conditionalFormatting sqref="J108">
    <cfRule type="expression" dxfId="3" priority="2480">
      <formula>COUNTIF(INDIRECT("Checklist!$A1222"), "TRUE") = 1</formula>
    </cfRule>
    <cfRule type="expression" dxfId="4" priority="2481">
      <formula>COUNTIF(INDIRECT("Checklist!$A1222"), "FALSE") = 1</formula>
    </cfRule>
    <cfRule type="notContainsBlanks" dxfId="7" priority="2482">
      <formula>LEN(TRIM(J108))&gt;0</formula>
    </cfRule>
  </conditionalFormatting>
  <conditionalFormatting sqref="J109">
    <cfRule type="expression" dxfId="3" priority="2498">
      <formula>COUNTIF(INDIRECT("Checklist!$A825"), "TRUE") = 1</formula>
    </cfRule>
    <cfRule type="expression" dxfId="4" priority="2499">
      <formula>COUNTIF(INDIRECT("Checklist!$A825"), "FALSE") = 1</formula>
    </cfRule>
    <cfRule type="notContainsBlanks" dxfId="7" priority="2500">
      <formula>LEN(TRIM(J109))&gt;0</formula>
    </cfRule>
  </conditionalFormatting>
  <conditionalFormatting sqref="J11">
    <cfRule type="expression" dxfId="3" priority="278">
      <formula>COUNTIF(INDIRECT("Checklist!$A93"), "TRUE") = 1</formula>
    </cfRule>
    <cfRule type="expression" dxfId="4" priority="279">
      <formula>COUNTIF(INDIRECT("Checklist!$A93"), "FALSE") = 1</formula>
    </cfRule>
    <cfRule type="notContainsBlanks" dxfId="7" priority="280">
      <formula>LEN(TRIM(J11))&gt;0</formula>
    </cfRule>
  </conditionalFormatting>
  <conditionalFormatting sqref="J110">
    <cfRule type="expression" dxfId="3" priority="2516">
      <formula>COUNTIF(INDIRECT("Checklist!$A831"), "TRUE") = 1</formula>
    </cfRule>
    <cfRule type="expression" dxfId="4" priority="2517">
      <formula>COUNTIF(INDIRECT("Checklist!$A831"), "FALSE") = 1</formula>
    </cfRule>
    <cfRule type="notContainsBlanks" dxfId="7" priority="2518">
      <formula>LEN(TRIM(J110))&gt;0</formula>
    </cfRule>
  </conditionalFormatting>
  <conditionalFormatting sqref="J111">
    <cfRule type="expression" dxfId="3" priority="2534">
      <formula>COUNTIF(INDIRECT("Checklist!$A837"), "TRUE") = 1</formula>
    </cfRule>
    <cfRule type="expression" dxfId="4" priority="2535">
      <formula>COUNTIF(INDIRECT("Checklist!$A837"), "FALSE") = 1</formula>
    </cfRule>
    <cfRule type="notContainsBlanks" dxfId="7" priority="2536">
      <formula>LEN(TRIM(J111))&gt;0</formula>
    </cfRule>
  </conditionalFormatting>
  <conditionalFormatting sqref="J115">
    <cfRule type="expression" dxfId="3" priority="2644">
      <formula>COUNTIF(INDIRECT("Checklist!$A873"), "TRUE") = 1</formula>
    </cfRule>
    <cfRule type="expression" dxfId="4" priority="2645">
      <formula>COUNTIF(INDIRECT("Checklist!$A873"), "FALSE") = 1</formula>
    </cfRule>
    <cfRule type="notContainsBlanks" dxfId="7" priority="2646">
      <formula>LEN(TRIM(J115))&gt;0</formula>
    </cfRule>
  </conditionalFormatting>
  <conditionalFormatting sqref="J116">
    <cfRule type="expression" dxfId="3" priority="2662">
      <formula>COUNTIF(INDIRECT("Checklist!$A879"), "TRUE") = 1</formula>
    </cfRule>
    <cfRule type="expression" dxfId="4" priority="2663">
      <formula>COUNTIF(INDIRECT("Checklist!$A879"), "FALSE") = 1</formula>
    </cfRule>
    <cfRule type="notContainsBlanks" dxfId="7" priority="2664">
      <formula>LEN(TRIM(J116))&gt;0</formula>
    </cfRule>
  </conditionalFormatting>
  <conditionalFormatting sqref="J117">
    <cfRule type="expression" dxfId="3" priority="2680">
      <formula>COUNTIF(INDIRECT("Checklist!$A1237"), "TRUE") = 1</formula>
    </cfRule>
    <cfRule type="expression" dxfId="4" priority="2681">
      <formula>COUNTIF(INDIRECT("Checklist!$A1237"), "FALSE") = 1</formula>
    </cfRule>
    <cfRule type="notContainsBlanks" dxfId="7" priority="2682">
      <formula>LEN(TRIM(J117))&gt;0</formula>
    </cfRule>
  </conditionalFormatting>
  <conditionalFormatting sqref="J118">
    <cfRule type="expression" dxfId="3" priority="2698">
      <formula>COUNTIF(INDIRECT("Checklist!$A891"), "TRUE") = 1</formula>
    </cfRule>
    <cfRule type="expression" dxfId="4" priority="2699">
      <formula>COUNTIF(INDIRECT("Checklist!$A891"), "FALSE") = 1</formula>
    </cfRule>
    <cfRule type="notContainsBlanks" dxfId="7" priority="2700">
      <formula>LEN(TRIM(J118))&gt;0</formula>
    </cfRule>
  </conditionalFormatting>
  <conditionalFormatting sqref="J119">
    <cfRule type="expression" dxfId="3" priority="2716">
      <formula>COUNTIF(INDIRECT("Checklist!$A897"), "TRUE") = 1</formula>
    </cfRule>
    <cfRule type="expression" dxfId="4" priority="2717">
      <formula>COUNTIF(INDIRECT("Checklist!$A897"), "FALSE") = 1</formula>
    </cfRule>
    <cfRule type="notContainsBlanks" dxfId="7" priority="2718">
      <formula>LEN(TRIM(J119))&gt;0</formula>
    </cfRule>
  </conditionalFormatting>
  <conditionalFormatting sqref="J12">
    <cfRule type="expression" dxfId="3" priority="296">
      <formula>COUNTIF(INDIRECT("Checklist!$A99"), "TRUE") = 1</formula>
    </cfRule>
    <cfRule type="expression" dxfId="4" priority="297">
      <formula>COUNTIF(INDIRECT("Checklist!$A99"), "FALSE") = 1</formula>
    </cfRule>
    <cfRule type="notContainsBlanks" dxfId="7" priority="298">
      <formula>LEN(TRIM(J12))&gt;0</formula>
    </cfRule>
  </conditionalFormatting>
  <conditionalFormatting sqref="J123">
    <cfRule type="expression" dxfId="3" priority="2751">
      <formula>COUNTIF(INDIRECT("Checklist!$A1207"), "TRUE") = 1</formula>
    </cfRule>
    <cfRule type="expression" dxfId="4" priority="2752">
      <formula>COUNTIF(INDIRECT("Checklist!$A1207"), "FALSE") = 1</formula>
    </cfRule>
    <cfRule type="notContainsBlanks" dxfId="7" priority="2753">
      <formula>LEN(TRIM(J123))&gt;0</formula>
    </cfRule>
  </conditionalFormatting>
  <conditionalFormatting sqref="J124">
    <cfRule type="expression" dxfId="3" priority="2769">
      <formula>COUNTIF(INDIRECT("Checklist!$A914"), "TRUE") = 1</formula>
    </cfRule>
    <cfRule type="expression" dxfId="4" priority="2770">
      <formula>COUNTIF(INDIRECT("Checklist!$A914"), "FALSE") = 1</formula>
    </cfRule>
    <cfRule type="notContainsBlanks" dxfId="7" priority="2771">
      <formula>LEN(TRIM(J124))&gt;0</formula>
    </cfRule>
  </conditionalFormatting>
  <conditionalFormatting sqref="J125">
    <cfRule type="expression" dxfId="3" priority="2787">
      <formula>COUNTIF(INDIRECT("Checklist!$A920"), "TRUE") = 1</formula>
    </cfRule>
    <cfRule type="expression" dxfId="4" priority="2788">
      <formula>COUNTIF(INDIRECT("Checklist!$A920"), "FALSE") = 1</formula>
    </cfRule>
    <cfRule type="notContainsBlanks" dxfId="7" priority="2789">
      <formula>LEN(TRIM(J125))&gt;0</formula>
    </cfRule>
  </conditionalFormatting>
  <conditionalFormatting sqref="J126">
    <cfRule type="expression" dxfId="3" priority="2805">
      <formula>COUNTIF(INDIRECT("Checklist!$A926"), "TRUE") = 1</formula>
    </cfRule>
    <cfRule type="expression" dxfId="4" priority="2806">
      <formula>COUNTIF(INDIRECT("Checklist!$A926"), "FALSE") = 1</formula>
    </cfRule>
    <cfRule type="notContainsBlanks" dxfId="7" priority="2807">
      <formula>LEN(TRIM(J126))&gt;0</formula>
    </cfRule>
  </conditionalFormatting>
  <conditionalFormatting sqref="J127">
    <cfRule type="expression" dxfId="3" priority="2823">
      <formula>COUNTIF(INDIRECT("Checklist!$A932"), "TRUE") = 1</formula>
    </cfRule>
    <cfRule type="expression" dxfId="4" priority="2824">
      <formula>COUNTIF(INDIRECT("Checklist!$A932"), "FALSE") = 1</formula>
    </cfRule>
    <cfRule type="notContainsBlanks" dxfId="7" priority="2825">
      <formula>LEN(TRIM(J127))&gt;0</formula>
    </cfRule>
  </conditionalFormatting>
  <conditionalFormatting sqref="J13">
    <cfRule type="expression" dxfId="3" priority="314">
      <formula>COUNTIF(INDIRECT("Checklist!$A105"), "TRUE") = 1</formula>
    </cfRule>
    <cfRule type="expression" dxfId="4" priority="315">
      <formula>COUNTIF(INDIRECT("Checklist!$A105"), "FALSE") = 1</formula>
    </cfRule>
    <cfRule type="notContainsBlanks" dxfId="7" priority="316">
      <formula>LEN(TRIM(J13))&gt;0</formula>
    </cfRule>
  </conditionalFormatting>
  <conditionalFormatting sqref="J131">
    <cfRule type="expression" dxfId="3" priority="2933">
      <formula>COUNTIF(INDIRECT("Checklist!$A968"), "TRUE") = 1</formula>
    </cfRule>
    <cfRule type="expression" dxfId="4" priority="2934">
      <formula>COUNTIF(INDIRECT("Checklist!$A968"), "FALSE") = 1</formula>
    </cfRule>
    <cfRule type="notContainsBlanks" dxfId="7" priority="2935">
      <formula>LEN(TRIM(J131))&gt;0</formula>
    </cfRule>
  </conditionalFormatting>
  <conditionalFormatting sqref="J132">
    <cfRule type="expression" dxfId="3" priority="2951">
      <formula>COUNTIF(INDIRECT("Checklist!$A974"), "TRUE") = 1</formula>
    </cfRule>
    <cfRule type="expression" dxfId="4" priority="2952">
      <formula>COUNTIF(INDIRECT("Checklist!$A974"), "FALSE") = 1</formula>
    </cfRule>
    <cfRule type="notContainsBlanks" dxfId="7" priority="2953">
      <formula>LEN(TRIM(J132))&gt;0</formula>
    </cfRule>
  </conditionalFormatting>
  <conditionalFormatting sqref="J133">
    <cfRule type="expression" dxfId="3" priority="2969">
      <formula>COUNTIF(INDIRECT("Checklist!$A980"), "TRUE") = 1</formula>
    </cfRule>
    <cfRule type="expression" dxfId="4" priority="2970">
      <formula>COUNTIF(INDIRECT("Checklist!$A980"), "FALSE") = 1</formula>
    </cfRule>
    <cfRule type="notContainsBlanks" dxfId="7" priority="2971">
      <formula>LEN(TRIM(J133))&gt;0</formula>
    </cfRule>
  </conditionalFormatting>
  <conditionalFormatting sqref="J134">
    <cfRule type="expression" dxfId="3" priority="2987">
      <formula>COUNTIF(INDIRECT("Checklist!$A986"), "TRUE") = 1</formula>
    </cfRule>
    <cfRule type="expression" dxfId="4" priority="2988">
      <formula>COUNTIF(INDIRECT("Checklist!$A986"), "FALSE") = 1</formula>
    </cfRule>
    <cfRule type="notContainsBlanks" dxfId="7" priority="2989">
      <formula>LEN(TRIM(J134))&gt;0</formula>
    </cfRule>
  </conditionalFormatting>
  <conditionalFormatting sqref="J135">
    <cfRule type="expression" dxfId="3" priority="3005">
      <formula>COUNTIF(INDIRECT("Checklist!$A992"), "TRUE") = 1</formula>
    </cfRule>
    <cfRule type="expression" dxfId="4" priority="3006">
      <formula>COUNTIF(INDIRECT("Checklist!$A992"), "FALSE") = 1</formula>
    </cfRule>
    <cfRule type="notContainsBlanks" dxfId="7" priority="3007">
      <formula>LEN(TRIM(J135))&gt;0</formula>
    </cfRule>
  </conditionalFormatting>
  <conditionalFormatting sqref="J139">
    <cfRule type="expression" dxfId="3" priority="3061">
      <formula>COUNTIF(INDIRECT("Checklist!$A1009"), "TRUE") = 1</formula>
    </cfRule>
    <cfRule type="expression" dxfId="4" priority="3062">
      <formula>COUNTIF(INDIRECT("Checklist!$A1009"), "FALSE") = 1</formula>
    </cfRule>
    <cfRule type="notContainsBlanks" dxfId="7" priority="3063">
      <formula>LEN(TRIM(J139))&gt;0</formula>
    </cfRule>
  </conditionalFormatting>
  <conditionalFormatting sqref="J14">
    <cfRule type="expression" dxfId="3" priority="332">
      <formula>COUNTIF(INDIRECT("Checklist!$A111"), "TRUE") = 1</formula>
    </cfRule>
    <cfRule type="expression" dxfId="4" priority="333">
      <formula>COUNTIF(INDIRECT("Checklist!$A111"), "FALSE") = 1</formula>
    </cfRule>
    <cfRule type="notContainsBlanks" dxfId="7" priority="334">
      <formula>LEN(TRIM(J14))&gt;0</formula>
    </cfRule>
  </conditionalFormatting>
  <conditionalFormatting sqref="J140">
    <cfRule type="expression" dxfId="3" priority="3079">
      <formula>COUNTIF(INDIRECT("Checklist!$A1015"), "TRUE") = 1</formula>
    </cfRule>
    <cfRule type="expression" dxfId="4" priority="3080">
      <formula>COUNTIF(INDIRECT("Checklist!$A1015"), "FALSE") = 1</formula>
    </cfRule>
    <cfRule type="notContainsBlanks" dxfId="7" priority="3081">
      <formula>LEN(TRIM(J140))&gt;0</formula>
    </cfRule>
  </conditionalFormatting>
  <conditionalFormatting sqref="J147">
    <cfRule type="expression" dxfId="3" priority="3174">
      <formula>COUNTIF(INDIRECT("Checklist!$A1044"), "TRUE") = 1</formula>
    </cfRule>
    <cfRule type="expression" dxfId="4" priority="3175">
      <formula>COUNTIF(INDIRECT("Checklist!$A1044"), "FALSE") = 1</formula>
    </cfRule>
    <cfRule type="notContainsBlanks" dxfId="7" priority="3176">
      <formula>LEN(TRIM(J147))&gt;0</formula>
    </cfRule>
  </conditionalFormatting>
  <conditionalFormatting sqref="J148">
    <cfRule type="expression" dxfId="3" priority="3192">
      <formula>COUNTIF(INDIRECT("Checklist!$A1047"), "TRUE") = 1</formula>
    </cfRule>
    <cfRule type="expression" dxfId="4" priority="3193">
      <formula>COUNTIF(INDIRECT("Checklist!$A1047"), "FALSE") = 1</formula>
    </cfRule>
    <cfRule type="notContainsBlanks" dxfId="7" priority="3194">
      <formula>LEN(TRIM(J148))&gt;0</formula>
    </cfRule>
  </conditionalFormatting>
  <conditionalFormatting sqref="J149">
    <cfRule type="expression" dxfId="3" priority="3210">
      <formula>COUNTIF(INDIRECT("Checklist!$A1049"), "TRUE") = 1</formula>
    </cfRule>
    <cfRule type="expression" dxfId="4" priority="3211">
      <formula>COUNTIF(INDIRECT("Checklist!$A1049"), "FALSE") = 1</formula>
    </cfRule>
    <cfRule type="notContainsBlanks" dxfId="7" priority="3212">
      <formula>LEN(TRIM(J149))&gt;0</formula>
    </cfRule>
  </conditionalFormatting>
  <conditionalFormatting sqref="J15">
    <cfRule type="expression" dxfId="3" priority="350">
      <formula>COUNTIF(INDIRECT("Checklist!$A117"), "TRUE") = 1</formula>
    </cfRule>
    <cfRule type="expression" dxfId="4" priority="351">
      <formula>COUNTIF(INDIRECT("Checklist!$A117"), "FALSE") = 1</formula>
    </cfRule>
    <cfRule type="notContainsBlanks" dxfId="7" priority="352">
      <formula>LEN(TRIM(J15))&gt;0</formula>
    </cfRule>
  </conditionalFormatting>
  <conditionalFormatting sqref="J150">
    <cfRule type="expression" dxfId="3" priority="3228">
      <formula>COUNTIF(INDIRECT("Checklist!$A1053"), "TRUE") = 1</formula>
    </cfRule>
    <cfRule type="expression" dxfId="4" priority="3229">
      <formula>COUNTIF(INDIRECT("Checklist!$A1053"), "FALSE") = 1</formula>
    </cfRule>
    <cfRule type="notContainsBlanks" dxfId="7" priority="3230">
      <formula>LEN(TRIM(J150))&gt;0</formula>
    </cfRule>
  </conditionalFormatting>
  <conditionalFormatting sqref="J151">
    <cfRule type="expression" dxfId="3" priority="3246">
      <formula>COUNTIF(INDIRECT("Checklist!$A1058"), "TRUE") = 1</formula>
    </cfRule>
    <cfRule type="expression" dxfId="4" priority="3247">
      <formula>COUNTIF(INDIRECT("Checklist!$A1058"), "FALSE") = 1</formula>
    </cfRule>
    <cfRule type="notContainsBlanks" dxfId="7" priority="3248">
      <formula>LEN(TRIM(J151))&gt;0</formula>
    </cfRule>
  </conditionalFormatting>
  <conditionalFormatting sqref="J155">
    <cfRule type="expression" dxfId="3" priority="3332">
      <formula>COUNTIF(INDIRECT("Checklist!$A1070"), "TRUE") = 1</formula>
    </cfRule>
    <cfRule type="expression" dxfId="4" priority="3333">
      <formula>COUNTIF(INDIRECT("Checklist!$A1070"), "FALSE") = 1</formula>
    </cfRule>
    <cfRule type="notContainsBlanks" dxfId="7" priority="3334">
      <formula>LEN(TRIM(J155))&gt;0</formula>
    </cfRule>
  </conditionalFormatting>
  <conditionalFormatting sqref="J156">
    <cfRule type="expression" dxfId="3" priority="3350">
      <formula>COUNTIF(INDIRECT("Checklist!$A1073"), "TRUE") = 1</formula>
    </cfRule>
    <cfRule type="expression" dxfId="4" priority="3351">
      <formula>COUNTIF(INDIRECT("Checklist!$A1073"), "FALSE") = 1</formula>
    </cfRule>
    <cfRule type="notContainsBlanks" dxfId="7" priority="3352">
      <formula>LEN(TRIM(J156))&gt;0</formula>
    </cfRule>
  </conditionalFormatting>
  <conditionalFormatting sqref="J157">
    <cfRule type="expression" dxfId="3" priority="3368">
      <formula>COUNTIF(INDIRECT("Checklist!$A1076"), "TRUE") = 1</formula>
    </cfRule>
    <cfRule type="expression" dxfId="4" priority="3369">
      <formula>COUNTIF(INDIRECT("Checklist!$A1076"), "FALSE") = 1</formula>
    </cfRule>
    <cfRule type="notContainsBlanks" dxfId="7" priority="3370">
      <formula>LEN(TRIM(J157))&gt;0</formula>
    </cfRule>
  </conditionalFormatting>
  <conditionalFormatting sqref="J158">
    <cfRule type="expression" dxfId="3" priority="3386">
      <formula>COUNTIF(INDIRECT("Checklist!$A1081"), "TRUE") = 1</formula>
    </cfRule>
    <cfRule type="expression" dxfId="4" priority="3387">
      <formula>COUNTIF(INDIRECT("Checklist!$A1081"), "FALSE") = 1</formula>
    </cfRule>
    <cfRule type="notContainsBlanks" dxfId="7" priority="3388">
      <formula>LEN(TRIM(J158))&gt;0</formula>
    </cfRule>
  </conditionalFormatting>
  <conditionalFormatting sqref="J163">
    <cfRule type="expression" dxfId="3" priority="3493">
      <formula>COUNTIF(INDIRECT("Checklist!$A1102"), "TRUE") = 1</formula>
    </cfRule>
    <cfRule type="expression" dxfId="4" priority="3494">
      <formula>COUNTIF(INDIRECT("Checklist!$A1102"), "FALSE") = 1</formula>
    </cfRule>
    <cfRule type="notContainsBlanks" dxfId="7" priority="3495">
      <formula>LEN(TRIM(J163))&gt;0</formula>
    </cfRule>
  </conditionalFormatting>
  <conditionalFormatting sqref="J164">
    <cfRule type="expression" dxfId="3" priority="3511">
      <formula>COUNTIF(INDIRECT("Checklist!$A1108"), "TRUE") = 1</formula>
    </cfRule>
    <cfRule type="expression" dxfId="4" priority="3512">
      <formula>COUNTIF(INDIRECT("Checklist!$A1108"), "FALSE") = 1</formula>
    </cfRule>
    <cfRule type="notContainsBlanks" dxfId="7" priority="3513">
      <formula>LEN(TRIM(J164))&gt;0</formula>
    </cfRule>
  </conditionalFormatting>
  <conditionalFormatting sqref="J165">
    <cfRule type="expression" dxfId="3" priority="3529">
      <formula>COUNTIF(INDIRECT("Checklist!$A1114"), "TRUE") = 1</formula>
    </cfRule>
    <cfRule type="expression" dxfId="4" priority="3530">
      <formula>COUNTIF(INDIRECT("Checklist!$A1114"), "FALSE") = 1</formula>
    </cfRule>
    <cfRule type="notContainsBlanks" dxfId="7" priority="3531">
      <formula>LEN(TRIM(J165))&gt;0</formula>
    </cfRule>
  </conditionalFormatting>
  <conditionalFormatting sqref="J166">
    <cfRule type="expression" dxfId="3" priority="3547">
      <formula>COUNTIF(INDIRECT("Checklist!$A1120"), "TRUE") = 1</formula>
    </cfRule>
    <cfRule type="expression" dxfId="4" priority="3548">
      <formula>COUNTIF(INDIRECT("Checklist!$A1120"), "FALSE") = 1</formula>
    </cfRule>
    <cfRule type="notContainsBlanks" dxfId="7" priority="3549">
      <formula>LEN(TRIM(J166))&gt;0</formula>
    </cfRule>
  </conditionalFormatting>
  <conditionalFormatting sqref="J171">
    <cfRule type="expression" dxfId="3" priority="3618">
      <formula>COUNTIF(INDIRECT("Checklist!$A1231"), "TRUE") = 1</formula>
    </cfRule>
    <cfRule type="expression" dxfId="4" priority="3619">
      <formula>COUNTIF(INDIRECT("Checklist!$A1231"), "FALSE") = 1</formula>
    </cfRule>
    <cfRule type="notContainsBlanks" dxfId="7" priority="3620">
      <formula>LEN(TRIM(J171))&gt;0</formula>
    </cfRule>
  </conditionalFormatting>
  <conditionalFormatting sqref="J172">
    <cfRule type="expression" dxfId="3" priority="3636">
      <formula>COUNTIF(INDIRECT("Checklist!$A1135"), "TRUE") = 1</formula>
    </cfRule>
    <cfRule type="expression" dxfId="4" priority="3637">
      <formula>COUNTIF(INDIRECT("Checklist!$A1135"), "FALSE") = 1</formula>
    </cfRule>
    <cfRule type="notContainsBlanks" dxfId="7" priority="3638">
      <formula>LEN(TRIM(J172))&gt;0</formula>
    </cfRule>
  </conditionalFormatting>
  <conditionalFormatting sqref="J173">
    <cfRule type="expression" dxfId="3" priority="3654">
      <formula>COUNTIF(INDIRECT("Checklist!$A1239"), "TRUE") = 1</formula>
    </cfRule>
    <cfRule type="expression" dxfId="4" priority="3655">
      <formula>COUNTIF(INDIRECT("Checklist!$A1239"), "FALSE") = 1</formula>
    </cfRule>
    <cfRule type="notContainsBlanks" dxfId="7" priority="3656">
      <formula>LEN(TRIM(J173))&gt;0</formula>
    </cfRule>
  </conditionalFormatting>
  <conditionalFormatting sqref="J174">
    <cfRule type="expression" dxfId="3" priority="3672">
      <formula>COUNTIF(INDIRECT("Checklist!$A1138"), "TRUE") = 1</formula>
    </cfRule>
    <cfRule type="expression" dxfId="4" priority="3673">
      <formula>COUNTIF(INDIRECT("Checklist!$A1138"), "FALSE") = 1</formula>
    </cfRule>
    <cfRule type="notContainsBlanks" dxfId="7" priority="3674">
      <formula>LEN(TRIM(J174))&gt;0</formula>
    </cfRule>
  </conditionalFormatting>
  <conditionalFormatting sqref="J175">
    <cfRule type="expression" dxfId="3" priority="3690">
      <formula>COUNTIF(INDIRECT("Checklist!$A1139"), "TRUE") = 1</formula>
    </cfRule>
    <cfRule type="expression" dxfId="4" priority="3691">
      <formula>COUNTIF(INDIRECT("Checklist!$A1139"), "FALSE") = 1</formula>
    </cfRule>
    <cfRule type="notContainsBlanks" dxfId="7" priority="3692">
      <formula>LEN(TRIM(J175))&gt;0</formula>
    </cfRule>
  </conditionalFormatting>
  <conditionalFormatting sqref="J179">
    <cfRule type="expression" dxfId="3" priority="3785">
      <formula>COUNTIF(INDIRECT("Checklist!$A1168"), "TRUE") = 1</formula>
    </cfRule>
    <cfRule type="expression" dxfId="4" priority="3786">
      <formula>COUNTIF(INDIRECT("Checklist!$A1168"), "FALSE") = 1</formula>
    </cfRule>
    <cfRule type="notContainsBlanks" dxfId="7" priority="3787">
      <formula>LEN(TRIM(J179))&gt;0</formula>
    </cfRule>
  </conditionalFormatting>
  <conditionalFormatting sqref="J180">
    <cfRule type="expression" dxfId="3" priority="3803">
      <formula>COUNTIF(INDIRECT("Checklist!$A1174"), "TRUE") = 1</formula>
    </cfRule>
    <cfRule type="expression" dxfId="4" priority="3804">
      <formula>COUNTIF(INDIRECT("Checklist!$A1174"), "FALSE") = 1</formula>
    </cfRule>
    <cfRule type="notContainsBlanks" dxfId="7" priority="3805">
      <formula>LEN(TRIM(J180))&gt;0</formula>
    </cfRule>
  </conditionalFormatting>
  <conditionalFormatting sqref="J181">
    <cfRule type="expression" dxfId="3" priority="3821">
      <formula>COUNTIF(INDIRECT("Checklist!$A1180"), "TRUE") = 1</formula>
    </cfRule>
    <cfRule type="expression" dxfId="4" priority="3822">
      <formula>COUNTIF(INDIRECT("Checklist!$A1180"), "FALSE") = 1</formula>
    </cfRule>
    <cfRule type="notContainsBlanks" dxfId="7" priority="3823">
      <formula>LEN(TRIM(J181))&gt;0</formula>
    </cfRule>
  </conditionalFormatting>
  <conditionalFormatting sqref="J182">
    <cfRule type="expression" dxfId="3" priority="3839">
      <formula>COUNTIF(INDIRECT("Checklist!$A1186"), "TRUE") = 1</formula>
    </cfRule>
    <cfRule type="expression" dxfId="4" priority="3840">
      <formula>COUNTIF(INDIRECT("Checklist!$A1186"), "FALSE") = 1</formula>
    </cfRule>
    <cfRule type="notContainsBlanks" dxfId="7" priority="3841">
      <formula>LEN(TRIM(J182))&gt;0</formula>
    </cfRule>
  </conditionalFormatting>
  <conditionalFormatting sqref="J183">
    <cfRule type="expression" dxfId="3" priority="3857">
      <formula>COUNTIF(INDIRECT("Checklist!$A1192"), "TRUE") = 1</formula>
    </cfRule>
    <cfRule type="expression" dxfId="4" priority="3858">
      <formula>COUNTIF(INDIRECT("Checklist!$A1192"), "FALSE") = 1</formula>
    </cfRule>
    <cfRule type="notContainsBlanks" dxfId="7" priority="3859">
      <formula>LEN(TRIM(J183))&gt;0</formula>
    </cfRule>
  </conditionalFormatting>
  <conditionalFormatting sqref="J187">
    <cfRule type="expression" dxfId="3" priority="3892">
      <formula>COUNTIF(INDIRECT("Checklist!$A1203"), "TRUE") = 1</formula>
    </cfRule>
    <cfRule type="expression" dxfId="4" priority="3893">
      <formula>COUNTIF(INDIRECT("Checklist!$A1203"), "FALSE") = 1</formula>
    </cfRule>
    <cfRule type="notContainsBlanks" dxfId="7" priority="3894">
      <formula>LEN(TRIM(J187))&gt;0</formula>
    </cfRule>
  </conditionalFormatting>
  <conditionalFormatting sqref="J188">
    <cfRule type="expression" dxfId="3" priority="3910">
      <formula>COUNTIF(INDIRECT("Checklist!$A1209"), "TRUE") = 1</formula>
    </cfRule>
    <cfRule type="expression" dxfId="4" priority="3911">
      <formula>COUNTIF(INDIRECT("Checklist!$A1209"), "FALSE") = 1</formula>
    </cfRule>
    <cfRule type="notContainsBlanks" dxfId="7" priority="3912">
      <formula>LEN(TRIM(J188))&gt;0</formula>
    </cfRule>
  </conditionalFormatting>
  <conditionalFormatting sqref="J189">
    <cfRule type="expression" dxfId="3" priority="3928">
      <formula>COUNTIF(INDIRECT("Checklist!$A1215"), "TRUE") = 1</formula>
    </cfRule>
    <cfRule type="expression" dxfId="4" priority="3929">
      <formula>COUNTIF(INDIRECT("Checklist!$A1215"), "FALSE") = 1</formula>
    </cfRule>
    <cfRule type="notContainsBlanks" dxfId="7" priority="3930">
      <formula>LEN(TRIM(J189))&gt;0</formula>
    </cfRule>
  </conditionalFormatting>
  <conditionalFormatting sqref="J19">
    <cfRule type="expression" dxfId="3" priority="460">
      <formula>COUNTIF(INDIRECT("Checklist!$A153"), "TRUE") = 1</formula>
    </cfRule>
    <cfRule type="expression" dxfId="4" priority="461">
      <formula>COUNTIF(INDIRECT("Checklist!$A153"), "FALSE") = 1</formula>
    </cfRule>
    <cfRule type="notContainsBlanks" dxfId="7" priority="462">
      <formula>LEN(TRIM(J19))&gt;0</formula>
    </cfRule>
  </conditionalFormatting>
  <conditionalFormatting sqref="J190">
    <cfRule type="expression" dxfId="3" priority="3946">
      <formula>COUNTIF(INDIRECT("Checklist!$A1221"), "TRUE") = 1</formula>
    </cfRule>
    <cfRule type="expression" dxfId="4" priority="3947">
      <formula>COUNTIF(INDIRECT("Checklist!$A1221"), "FALSE") = 1</formula>
    </cfRule>
    <cfRule type="notContainsBlanks" dxfId="7" priority="3948">
      <formula>LEN(TRIM(J190))&gt;0</formula>
    </cfRule>
  </conditionalFormatting>
  <conditionalFormatting sqref="J191">
    <cfRule type="expression" dxfId="3" priority="3964">
      <formula>COUNTIF(INDIRECT("Checklist!$A1227"), "TRUE") = 1</formula>
    </cfRule>
    <cfRule type="expression" dxfId="4" priority="3965">
      <formula>COUNTIF(INDIRECT("Checklist!$A1227"), "FALSE") = 1</formula>
    </cfRule>
    <cfRule type="notContainsBlanks" dxfId="7" priority="3966">
      <formula>LEN(TRIM(J191))&gt;0</formula>
    </cfRule>
  </conditionalFormatting>
  <conditionalFormatting sqref="J20">
    <cfRule type="expression" dxfId="3" priority="478">
      <formula>COUNTIF(INDIRECT("Checklist!$A159"), "TRUE") = 1</formula>
    </cfRule>
    <cfRule type="expression" dxfId="4" priority="479">
      <formula>COUNTIF(INDIRECT("Checklist!$A159"), "FALSE") = 1</formula>
    </cfRule>
    <cfRule type="notContainsBlanks" dxfId="7" priority="480">
      <formula>LEN(TRIM(J20))&gt;0</formula>
    </cfRule>
  </conditionalFormatting>
  <conditionalFormatting sqref="J203">
    <cfRule type="expression" dxfId="3" priority="4064">
      <formula>COUNTIF(INDIRECT("Checklist!$A1259"), "TRUE") = 1</formula>
    </cfRule>
    <cfRule type="expression" dxfId="4" priority="4065">
      <formula>COUNTIF(INDIRECT("Checklist!$A1259"), "FALSE") = 1</formula>
    </cfRule>
    <cfRule type="notContainsBlanks" dxfId="7" priority="4066">
      <formula>LEN(TRIM(J203))&gt;0</formula>
    </cfRule>
  </conditionalFormatting>
  <conditionalFormatting sqref="J204">
    <cfRule type="expression" dxfId="3" priority="4082">
      <formula>COUNTIF(INDIRECT("Checklist!$A1265"), "TRUE") = 1</formula>
    </cfRule>
    <cfRule type="expression" dxfId="4" priority="4083">
      <formula>COUNTIF(INDIRECT("Checklist!$A1265"), "FALSE") = 1</formula>
    </cfRule>
    <cfRule type="notContainsBlanks" dxfId="7" priority="4084">
      <formula>LEN(TRIM(J204))&gt;0</formula>
    </cfRule>
  </conditionalFormatting>
  <conditionalFormatting sqref="J205">
    <cfRule type="expression" dxfId="3" priority="4100">
      <formula>COUNTIF(INDIRECT("Checklist!$A1271"), "TRUE") = 1</formula>
    </cfRule>
    <cfRule type="expression" dxfId="4" priority="4101">
      <formula>COUNTIF(INDIRECT("Checklist!$A1271"), "FALSE") = 1</formula>
    </cfRule>
    <cfRule type="notContainsBlanks" dxfId="7" priority="4102">
      <formula>LEN(TRIM(J205))&gt;0</formula>
    </cfRule>
  </conditionalFormatting>
  <conditionalFormatting sqref="J21">
    <cfRule type="expression" dxfId="3" priority="496">
      <formula>COUNTIF(INDIRECT("Checklist!$A165"), "TRUE") = 1</formula>
    </cfRule>
    <cfRule type="expression" dxfId="4" priority="497">
      <formula>COUNTIF(INDIRECT("Checklist!$A165"), "FALSE") = 1</formula>
    </cfRule>
    <cfRule type="notContainsBlanks" dxfId="7" priority="498">
      <formula>LEN(TRIM(J21))&gt;0</formula>
    </cfRule>
  </conditionalFormatting>
  <conditionalFormatting sqref="J22">
    <cfRule type="expression" dxfId="3" priority="514">
      <formula>COUNTIF(INDIRECT("Checklist!$A171"), "TRUE") = 1</formula>
    </cfRule>
    <cfRule type="expression" dxfId="4" priority="515">
      <formula>COUNTIF(INDIRECT("Checklist!$A171"), "FALSE") = 1</formula>
    </cfRule>
    <cfRule type="notContainsBlanks" dxfId="7" priority="516">
      <formula>LEN(TRIM(J22))&gt;0</formula>
    </cfRule>
  </conditionalFormatting>
  <conditionalFormatting sqref="J23">
    <cfRule type="expression" dxfId="3" priority="532">
      <formula>COUNTIF(INDIRECT("Checklist!$A177"), "TRUE") = 1</formula>
    </cfRule>
    <cfRule type="expression" dxfId="4" priority="533">
      <formula>COUNTIF(INDIRECT("Checklist!$A177"), "FALSE") = 1</formula>
    </cfRule>
    <cfRule type="notContainsBlanks" dxfId="7" priority="534">
      <formula>LEN(TRIM(J23))&gt;0</formula>
    </cfRule>
  </conditionalFormatting>
  <conditionalFormatting sqref="J27">
    <cfRule type="expression" dxfId="3" priority="642">
      <formula>COUNTIF(INDIRECT("Checklist!$A213"), "TRUE") = 1</formula>
    </cfRule>
    <cfRule type="expression" dxfId="4" priority="643">
      <formula>COUNTIF(INDIRECT("Checklist!$A213"), "FALSE") = 1</formula>
    </cfRule>
    <cfRule type="notContainsBlanks" dxfId="7" priority="644">
      <formula>LEN(TRIM(J27))&gt;0</formula>
    </cfRule>
  </conditionalFormatting>
  <conditionalFormatting sqref="J28">
    <cfRule type="expression" dxfId="3" priority="660">
      <formula>COUNTIF(INDIRECT("Checklist!$A219"), "TRUE") = 1</formula>
    </cfRule>
    <cfRule type="expression" dxfId="4" priority="661">
      <formula>COUNTIF(INDIRECT("Checklist!$A219"), "FALSE") = 1</formula>
    </cfRule>
    <cfRule type="notContainsBlanks" dxfId="7" priority="662">
      <formula>LEN(TRIM(J28))&gt;0</formula>
    </cfRule>
  </conditionalFormatting>
  <conditionalFormatting sqref="J29">
    <cfRule type="expression" dxfId="3" priority="678">
      <formula>COUNTIF(INDIRECT("Checklist!$A225"), "TRUE") = 1</formula>
    </cfRule>
    <cfRule type="expression" dxfId="4" priority="679">
      <formula>COUNTIF(INDIRECT("Checklist!$A225"), "FALSE") = 1</formula>
    </cfRule>
    <cfRule type="notContainsBlanks" dxfId="7" priority="680">
      <formula>LEN(TRIM(J29))&gt;0</formula>
    </cfRule>
  </conditionalFormatting>
  <conditionalFormatting sqref="J3">
    <cfRule type="expression" dxfId="3" priority="96">
      <formula>COUNTIF(INDIRECT("Checklist!$A30"), "TRUE") = 1</formula>
    </cfRule>
    <cfRule type="expression" dxfId="4" priority="97">
      <formula>COUNTIF(INDIRECT("Checklist!$A30"), "FALSE") = 1</formula>
    </cfRule>
    <cfRule type="notContainsBlanks" dxfId="7" priority="98">
      <formula>LEN(TRIM(J3))&gt;0</formula>
    </cfRule>
  </conditionalFormatting>
  <conditionalFormatting sqref="J30">
    <cfRule type="expression" dxfId="3" priority="696">
      <formula>COUNTIF(INDIRECT("Checklist!$A231"), "TRUE") = 1</formula>
    </cfRule>
    <cfRule type="expression" dxfId="4" priority="697">
      <formula>COUNTIF(INDIRECT("Checklist!$A231"), "FALSE") = 1</formula>
    </cfRule>
    <cfRule type="notContainsBlanks" dxfId="7" priority="698">
      <formula>LEN(TRIM(J30))&gt;0</formula>
    </cfRule>
  </conditionalFormatting>
  <conditionalFormatting sqref="J31">
    <cfRule type="expression" dxfId="3" priority="714">
      <formula>COUNTIF(INDIRECT("Checklist!$A237"), "TRUE") = 1</formula>
    </cfRule>
    <cfRule type="expression" dxfId="4" priority="715">
      <formula>COUNTIF(INDIRECT("Checklist!$A237"), "FALSE") = 1</formula>
    </cfRule>
    <cfRule type="notContainsBlanks" dxfId="7" priority="716">
      <formula>LEN(TRIM(J31))&gt;0</formula>
    </cfRule>
  </conditionalFormatting>
  <conditionalFormatting sqref="J35">
    <cfRule type="expression" dxfId="3" priority="824">
      <formula>COUNTIF(INDIRECT("Checklist!$A273"), "TRUE") = 1</formula>
    </cfRule>
    <cfRule type="expression" dxfId="4" priority="825">
      <formula>COUNTIF(INDIRECT("Checklist!$A273"), "FALSE") = 1</formula>
    </cfRule>
    <cfRule type="notContainsBlanks" dxfId="7" priority="826">
      <formula>LEN(TRIM(J35))&gt;0</formula>
    </cfRule>
  </conditionalFormatting>
  <conditionalFormatting sqref="J36">
    <cfRule type="expression" dxfId="3" priority="842">
      <formula>COUNTIF(INDIRECT("Checklist!$A279"), "TRUE") = 1</formula>
    </cfRule>
    <cfRule type="expression" dxfId="4" priority="843">
      <formula>COUNTIF(INDIRECT("Checklist!$A279"), "FALSE") = 1</formula>
    </cfRule>
    <cfRule type="notContainsBlanks" dxfId="7" priority="844">
      <formula>LEN(TRIM(J36))&gt;0</formula>
    </cfRule>
  </conditionalFormatting>
  <conditionalFormatting sqref="J37">
    <cfRule type="expression" dxfId="3" priority="860">
      <formula>COUNTIF(INDIRECT("Checklist!$A285"), "TRUE") = 1</formula>
    </cfRule>
    <cfRule type="expression" dxfId="4" priority="861">
      <formula>COUNTIF(INDIRECT("Checklist!$A285"), "FALSE") = 1</formula>
    </cfRule>
    <cfRule type="notContainsBlanks" dxfId="7" priority="862">
      <formula>LEN(TRIM(J37))&gt;0</formula>
    </cfRule>
  </conditionalFormatting>
  <conditionalFormatting sqref="J38">
    <cfRule type="expression" dxfId="3" priority="878">
      <formula>COUNTIF(INDIRECT("Checklist!$A291"), "TRUE") = 1</formula>
    </cfRule>
    <cfRule type="expression" dxfId="4" priority="879">
      <formula>COUNTIF(INDIRECT("Checklist!$A291"), "FALSE") = 1</formula>
    </cfRule>
    <cfRule type="notContainsBlanks" dxfId="7" priority="880">
      <formula>LEN(TRIM(J38))&gt;0</formula>
    </cfRule>
  </conditionalFormatting>
  <conditionalFormatting sqref="J39">
    <cfRule type="expression" dxfId="3" priority="896">
      <formula>COUNTIF(INDIRECT("Checklist!$A297"), "TRUE") = 1</formula>
    </cfRule>
    <cfRule type="expression" dxfId="4" priority="897">
      <formula>COUNTIF(INDIRECT("Checklist!$A297"), "FALSE") = 1</formula>
    </cfRule>
    <cfRule type="notContainsBlanks" dxfId="7" priority="898">
      <formula>LEN(TRIM(J39))&gt;0</formula>
    </cfRule>
  </conditionalFormatting>
  <conditionalFormatting sqref="J4">
    <cfRule type="expression" dxfId="3" priority="114">
      <formula>COUNTIF(INDIRECT("Checklist!$A39"), "TRUE") = 1</formula>
    </cfRule>
    <cfRule type="expression" dxfId="4" priority="115">
      <formula>COUNTIF(INDIRECT("Checklist!$A39"), "FALSE") = 1</formula>
    </cfRule>
    <cfRule type="notContainsBlanks" dxfId="7" priority="116">
      <formula>LEN(TRIM(J4))&gt;0</formula>
    </cfRule>
  </conditionalFormatting>
  <conditionalFormatting sqref="J43">
    <cfRule type="expression" dxfId="3" priority="1006">
      <formula>COUNTIF(INDIRECT("Checklist!$A333"), "TRUE") = 1</formula>
    </cfRule>
    <cfRule type="expression" dxfId="4" priority="1007">
      <formula>COUNTIF(INDIRECT("Checklist!$A333"), "FALSE") = 1</formula>
    </cfRule>
    <cfRule type="notContainsBlanks" dxfId="7" priority="1008">
      <formula>LEN(TRIM(J43))&gt;0</formula>
    </cfRule>
  </conditionalFormatting>
  <conditionalFormatting sqref="J44">
    <cfRule type="expression" dxfId="3" priority="1024">
      <formula>COUNTIF(INDIRECT("Checklist!$A339"), "TRUE") = 1</formula>
    </cfRule>
    <cfRule type="expression" dxfId="4" priority="1025">
      <formula>COUNTIF(INDIRECT("Checklist!$A339"), "FALSE") = 1</formula>
    </cfRule>
    <cfRule type="notContainsBlanks" dxfId="7" priority="1026">
      <formula>LEN(TRIM(J44))&gt;0</formula>
    </cfRule>
  </conditionalFormatting>
  <conditionalFormatting sqref="J45">
    <cfRule type="expression" dxfId="3" priority="1042">
      <formula>COUNTIF(INDIRECT("Checklist!$A345"), "TRUE") = 1</formula>
    </cfRule>
    <cfRule type="expression" dxfId="4" priority="1043">
      <formula>COUNTIF(INDIRECT("Checklist!$A345"), "FALSE") = 1</formula>
    </cfRule>
    <cfRule type="notContainsBlanks" dxfId="7" priority="1044">
      <formula>LEN(TRIM(J45))&gt;0</formula>
    </cfRule>
  </conditionalFormatting>
  <conditionalFormatting sqref="J46">
    <cfRule type="expression" dxfId="3" priority="1060">
      <formula>COUNTIF(INDIRECT("Checklist!$A351"), "TRUE") = 1</formula>
    </cfRule>
    <cfRule type="expression" dxfId="4" priority="1061">
      <formula>COUNTIF(INDIRECT("Checklist!$A351"), "FALSE") = 1</formula>
    </cfRule>
    <cfRule type="notContainsBlanks" dxfId="7" priority="1062">
      <formula>LEN(TRIM(J46))&gt;0</formula>
    </cfRule>
  </conditionalFormatting>
  <conditionalFormatting sqref="J47">
    <cfRule type="expression" dxfId="3" priority="1078">
      <formula>COUNTIF(INDIRECT("Checklist!$A357"), "TRUE") = 1</formula>
    </cfRule>
    <cfRule type="expression" dxfId="4" priority="1079">
      <formula>COUNTIF(INDIRECT("Checklist!$A357"), "FALSE") = 1</formula>
    </cfRule>
    <cfRule type="notContainsBlanks" dxfId="7" priority="1080">
      <formula>LEN(TRIM(J47))&gt;0</formula>
    </cfRule>
  </conditionalFormatting>
  <conditionalFormatting sqref="J5">
    <cfRule type="expression" dxfId="3" priority="132">
      <formula>COUNTIF(INDIRECT("Checklist!$A45"), "TRUE") = 1</formula>
    </cfRule>
    <cfRule type="expression" dxfId="4" priority="133">
      <formula>COUNTIF(INDIRECT("Checklist!$A45"), "FALSE") = 1</formula>
    </cfRule>
    <cfRule type="notContainsBlanks" dxfId="7" priority="134">
      <formula>LEN(TRIM(J5))&gt;0</formula>
    </cfRule>
  </conditionalFormatting>
  <conditionalFormatting sqref="J51">
    <cfRule type="expression" dxfId="3" priority="1188">
      <formula>COUNTIF(INDIRECT("Checklist!$A393"), "TRUE") = 1</formula>
    </cfRule>
    <cfRule type="expression" dxfId="4" priority="1189">
      <formula>COUNTIF(INDIRECT("Checklist!$A393"), "FALSE") = 1</formula>
    </cfRule>
    <cfRule type="notContainsBlanks" dxfId="7" priority="1190">
      <formula>LEN(TRIM(J51))&gt;0</formula>
    </cfRule>
  </conditionalFormatting>
  <conditionalFormatting sqref="J52">
    <cfRule type="expression" dxfId="3" priority="1206">
      <formula>COUNTIF(INDIRECT("Checklist!$A399"), "TRUE") = 1</formula>
    </cfRule>
    <cfRule type="expression" dxfId="4" priority="1207">
      <formula>COUNTIF(INDIRECT("Checklist!$A399"), "FALSE") = 1</formula>
    </cfRule>
    <cfRule type="notContainsBlanks" dxfId="7" priority="1208">
      <formula>LEN(TRIM(J52))&gt;0</formula>
    </cfRule>
  </conditionalFormatting>
  <conditionalFormatting sqref="J53">
    <cfRule type="expression" dxfId="3" priority="1224">
      <formula>COUNTIF(INDIRECT("Checklist!$A405"), "TRUE") = 1</formula>
    </cfRule>
    <cfRule type="expression" dxfId="4" priority="1225">
      <formula>COUNTIF(INDIRECT("Checklist!$A405"), "FALSE") = 1</formula>
    </cfRule>
    <cfRule type="notContainsBlanks" dxfId="7" priority="1226">
      <formula>LEN(TRIM(J53))&gt;0</formula>
    </cfRule>
  </conditionalFormatting>
  <conditionalFormatting sqref="J54">
    <cfRule type="expression" dxfId="3" priority="1242">
      <formula>COUNTIF(INDIRECT("Checklist!$A411"), "TRUE") = 1</formula>
    </cfRule>
    <cfRule type="expression" dxfId="4" priority="1243">
      <formula>COUNTIF(INDIRECT("Checklist!$A411"), "FALSE") = 1</formula>
    </cfRule>
    <cfRule type="notContainsBlanks" dxfId="7" priority="1244">
      <formula>LEN(TRIM(J54))&gt;0</formula>
    </cfRule>
  </conditionalFormatting>
  <conditionalFormatting sqref="J55">
    <cfRule type="expression" dxfId="3" priority="1260">
      <formula>COUNTIF(INDIRECT("Checklist!$A417"), "TRUE") = 1</formula>
    </cfRule>
    <cfRule type="expression" dxfId="4" priority="1261">
      <formula>COUNTIF(INDIRECT("Checklist!$A417"), "FALSE") = 1</formula>
    </cfRule>
    <cfRule type="notContainsBlanks" dxfId="7" priority="1262">
      <formula>LEN(TRIM(J55))&gt;0</formula>
    </cfRule>
  </conditionalFormatting>
  <conditionalFormatting sqref="J59">
    <cfRule type="expression" dxfId="3" priority="1370">
      <formula>COUNTIF(INDIRECT("Checklist!$A453"), "TRUE") = 1</formula>
    </cfRule>
    <cfRule type="expression" dxfId="4" priority="1371">
      <formula>COUNTIF(INDIRECT("Checklist!$A453"), "FALSE") = 1</formula>
    </cfRule>
    <cfRule type="notContainsBlanks" dxfId="7" priority="1372">
      <formula>LEN(TRIM(J59))&gt;0</formula>
    </cfRule>
  </conditionalFormatting>
  <conditionalFormatting sqref="J6">
    <cfRule type="expression" dxfId="3" priority="150">
      <formula>COUNTIF(INDIRECT("Checklist!$A51"), "TRUE") = 1</formula>
    </cfRule>
    <cfRule type="expression" dxfId="4" priority="151">
      <formula>COUNTIF(INDIRECT("Checklist!$A51"), "FALSE") = 1</formula>
    </cfRule>
    <cfRule type="notContainsBlanks" dxfId="7" priority="152">
      <formula>LEN(TRIM(J6))&gt;0</formula>
    </cfRule>
  </conditionalFormatting>
  <conditionalFormatting sqref="J60">
    <cfRule type="expression" dxfId="3" priority="1388">
      <formula>COUNTIF(INDIRECT("Checklist!$A459"), "TRUE") = 1</formula>
    </cfRule>
    <cfRule type="expression" dxfId="4" priority="1389">
      <formula>COUNTIF(INDIRECT("Checklist!$A459"), "FALSE") = 1</formula>
    </cfRule>
    <cfRule type="notContainsBlanks" dxfId="7" priority="1390">
      <formula>LEN(TRIM(J60))&gt;0</formula>
    </cfRule>
  </conditionalFormatting>
  <conditionalFormatting sqref="J61">
    <cfRule type="expression" dxfId="3" priority="1406">
      <formula>COUNTIF(INDIRECT("Checklist!$A465"), "TRUE") = 1</formula>
    </cfRule>
    <cfRule type="expression" dxfId="4" priority="1407">
      <formula>COUNTIF(INDIRECT("Checklist!$A465"), "FALSE") = 1</formula>
    </cfRule>
    <cfRule type="notContainsBlanks" dxfId="7" priority="1408">
      <formula>LEN(TRIM(J61))&gt;0</formula>
    </cfRule>
  </conditionalFormatting>
  <conditionalFormatting sqref="J62">
    <cfRule type="expression" dxfId="3" priority="1424">
      <formula>COUNTIF(INDIRECT("Checklist!$A471"), "TRUE") = 1</formula>
    </cfRule>
    <cfRule type="expression" dxfId="4" priority="1425">
      <formula>COUNTIF(INDIRECT("Checklist!$A471"), "FALSE") = 1</formula>
    </cfRule>
    <cfRule type="notContainsBlanks" dxfId="7" priority="1426">
      <formula>LEN(TRIM(J62))&gt;0</formula>
    </cfRule>
  </conditionalFormatting>
  <conditionalFormatting sqref="J63">
    <cfRule type="expression" dxfId="3" priority="1442">
      <formula>COUNTIF(INDIRECT("Checklist!$A477"), "TRUE") = 1</formula>
    </cfRule>
    <cfRule type="expression" dxfId="4" priority="1443">
      <formula>COUNTIF(INDIRECT("Checklist!$A477"), "FALSE") = 1</formula>
    </cfRule>
    <cfRule type="notContainsBlanks" dxfId="7" priority="1444">
      <formula>LEN(TRIM(J63))&gt;0</formula>
    </cfRule>
  </conditionalFormatting>
  <conditionalFormatting sqref="J67">
    <cfRule type="expression" dxfId="3" priority="1552">
      <formula>COUNTIF(INDIRECT("Checklist!$A513"), "TRUE") = 1</formula>
    </cfRule>
    <cfRule type="expression" dxfId="4" priority="1553">
      <formula>COUNTIF(INDIRECT("Checklist!$A513"), "FALSE") = 1</formula>
    </cfRule>
    <cfRule type="notContainsBlanks" dxfId="7" priority="1554">
      <formula>LEN(TRIM(J67))&gt;0</formula>
    </cfRule>
  </conditionalFormatting>
  <conditionalFormatting sqref="J68">
    <cfRule type="expression" dxfId="3" priority="1570">
      <formula>COUNTIF(INDIRECT("Checklist!$A519"), "TRUE") = 1</formula>
    </cfRule>
    <cfRule type="expression" dxfId="4" priority="1571">
      <formula>COUNTIF(INDIRECT("Checklist!$A519"), "FALSE") = 1</formula>
    </cfRule>
    <cfRule type="notContainsBlanks" dxfId="7" priority="1572">
      <formula>LEN(TRIM(J68))&gt;0</formula>
    </cfRule>
  </conditionalFormatting>
  <conditionalFormatting sqref="J69">
    <cfRule type="expression" dxfId="3" priority="1588">
      <formula>COUNTIF(INDIRECT("Checklist!$A525"), "TRUE") = 1</formula>
    </cfRule>
    <cfRule type="expression" dxfId="4" priority="1589">
      <formula>COUNTIF(INDIRECT("Checklist!$A525"), "FALSE") = 1</formula>
    </cfRule>
    <cfRule type="notContainsBlanks" dxfId="7" priority="1590">
      <formula>LEN(TRIM(J69))&gt;0</formula>
    </cfRule>
  </conditionalFormatting>
  <conditionalFormatting sqref="J7">
    <cfRule type="expression" dxfId="3" priority="168">
      <formula>COUNTIF(INDIRECT("Checklist!$A57"), "TRUE") = 1</formula>
    </cfRule>
    <cfRule type="expression" dxfId="4" priority="169">
      <formula>COUNTIF(INDIRECT("Checklist!$A57"), "FALSE") = 1</formula>
    </cfRule>
    <cfRule type="notContainsBlanks" dxfId="7" priority="170">
      <formula>LEN(TRIM(J7))&gt;0</formula>
    </cfRule>
  </conditionalFormatting>
  <conditionalFormatting sqref="J70">
    <cfRule type="expression" dxfId="3" priority="1606">
      <formula>COUNTIF(INDIRECT("Checklist!$A531"), "TRUE") = 1</formula>
    </cfRule>
    <cfRule type="expression" dxfId="4" priority="1607">
      <formula>COUNTIF(INDIRECT("Checklist!$A531"), "FALSE") = 1</formula>
    </cfRule>
    <cfRule type="notContainsBlanks" dxfId="7" priority="1608">
      <formula>LEN(TRIM(J70))&gt;0</formula>
    </cfRule>
  </conditionalFormatting>
  <conditionalFormatting sqref="J71">
    <cfRule type="expression" dxfId="3" priority="1624">
      <formula>COUNTIF(INDIRECT("Checklist!$A537"), "TRUE") = 1</formula>
    </cfRule>
    <cfRule type="expression" dxfId="4" priority="1625">
      <formula>COUNTIF(INDIRECT("Checklist!$A537"), "FALSE") = 1</formula>
    </cfRule>
    <cfRule type="notContainsBlanks" dxfId="7" priority="1626">
      <formula>LEN(TRIM(J71))&gt;0</formula>
    </cfRule>
  </conditionalFormatting>
  <conditionalFormatting sqref="J75">
    <cfRule type="expression" dxfId="3" priority="1734">
      <formula>COUNTIF(INDIRECT("Checklist!$A573"), "TRUE") = 1</formula>
    </cfRule>
    <cfRule type="expression" dxfId="4" priority="1735">
      <formula>COUNTIF(INDIRECT("Checklist!$A573"), "FALSE") = 1</formula>
    </cfRule>
    <cfRule type="notContainsBlanks" dxfId="7" priority="1736">
      <formula>LEN(TRIM(J75))&gt;0</formula>
    </cfRule>
  </conditionalFormatting>
  <conditionalFormatting sqref="J76">
    <cfRule type="expression" dxfId="3" priority="1752">
      <formula>COUNTIF(INDIRECT("Checklist!$A579"), "TRUE") = 1</formula>
    </cfRule>
    <cfRule type="expression" dxfId="4" priority="1753">
      <formula>COUNTIF(INDIRECT("Checklist!$A579"), "FALSE") = 1</formula>
    </cfRule>
    <cfRule type="notContainsBlanks" dxfId="7" priority="1754">
      <formula>LEN(TRIM(J76))&gt;0</formula>
    </cfRule>
  </conditionalFormatting>
  <conditionalFormatting sqref="J77">
    <cfRule type="expression" dxfId="3" priority="1770">
      <formula>COUNTIF(INDIRECT("Checklist!$A585"), "TRUE") = 1</formula>
    </cfRule>
    <cfRule type="expression" dxfId="4" priority="1771">
      <formula>COUNTIF(INDIRECT("Checklist!$A585"), "FALSE") = 1</formula>
    </cfRule>
    <cfRule type="notContainsBlanks" dxfId="7" priority="1772">
      <formula>LEN(TRIM(J77))&gt;0</formula>
    </cfRule>
  </conditionalFormatting>
  <conditionalFormatting sqref="J78">
    <cfRule type="expression" dxfId="3" priority="1788">
      <formula>COUNTIF(INDIRECT("Checklist!$A591"), "TRUE") = 1</formula>
    </cfRule>
    <cfRule type="expression" dxfId="4" priority="1789">
      <formula>COUNTIF(INDIRECT("Checklist!$A591"), "FALSE") = 1</formula>
    </cfRule>
    <cfRule type="notContainsBlanks" dxfId="7" priority="1790">
      <formula>LEN(TRIM(J78))&gt;0</formula>
    </cfRule>
  </conditionalFormatting>
  <conditionalFormatting sqref="J79">
    <cfRule type="expression" dxfId="3" priority="1806">
      <formula>COUNTIF(INDIRECT("Checklist!$A597"), "TRUE") = 1</formula>
    </cfRule>
    <cfRule type="expression" dxfId="4" priority="1807">
      <formula>COUNTIF(INDIRECT("Checklist!$A597"), "FALSE") = 1</formula>
    </cfRule>
    <cfRule type="notContainsBlanks" dxfId="7" priority="1808">
      <formula>LEN(TRIM(J79))&gt;0</formula>
    </cfRule>
  </conditionalFormatting>
  <conditionalFormatting sqref="J83">
    <cfRule type="expression" dxfId="3" priority="1916">
      <formula>COUNTIF(INDIRECT("Checklist!$A633"), "TRUE") = 1</formula>
    </cfRule>
    <cfRule type="expression" dxfId="4" priority="1917">
      <formula>COUNTIF(INDIRECT("Checklist!$A633"), "FALSE") = 1</formula>
    </cfRule>
    <cfRule type="notContainsBlanks" dxfId="7" priority="1918">
      <formula>LEN(TRIM(J83))&gt;0</formula>
    </cfRule>
  </conditionalFormatting>
  <conditionalFormatting sqref="J84">
    <cfRule type="expression" dxfId="3" priority="1934">
      <formula>COUNTIF(INDIRECT("Checklist!$A639"), "TRUE") = 1</formula>
    </cfRule>
    <cfRule type="expression" dxfId="4" priority="1935">
      <formula>COUNTIF(INDIRECT("Checklist!$A639"), "FALSE") = 1</formula>
    </cfRule>
    <cfRule type="notContainsBlanks" dxfId="7" priority="1936">
      <formula>LEN(TRIM(J84))&gt;0</formula>
    </cfRule>
  </conditionalFormatting>
  <conditionalFormatting sqref="J85">
    <cfRule type="expression" dxfId="3" priority="1952">
      <formula>COUNTIF(INDIRECT("Checklist!$A645"), "TRUE") = 1</formula>
    </cfRule>
    <cfRule type="expression" dxfId="4" priority="1953">
      <formula>COUNTIF(INDIRECT("Checklist!$A645"), "FALSE") = 1</formula>
    </cfRule>
    <cfRule type="notContainsBlanks" dxfId="7" priority="1954">
      <formula>LEN(TRIM(J85))&gt;0</formula>
    </cfRule>
  </conditionalFormatting>
  <conditionalFormatting sqref="J86">
    <cfRule type="expression" dxfId="3" priority="1970">
      <formula>COUNTIF(INDIRECT("Checklist!$A651"), "TRUE") = 1</formula>
    </cfRule>
    <cfRule type="expression" dxfId="4" priority="1971">
      <formula>COUNTIF(INDIRECT("Checklist!$A651"), "FALSE") = 1</formula>
    </cfRule>
    <cfRule type="notContainsBlanks" dxfId="7" priority="1972">
      <formula>LEN(TRIM(J86))&gt;0</formula>
    </cfRule>
  </conditionalFormatting>
  <conditionalFormatting sqref="J87">
    <cfRule type="expression" dxfId="3" priority="1988">
      <formula>COUNTIF(INDIRECT("Checklist!$A657"), "TRUE") = 1</formula>
    </cfRule>
    <cfRule type="expression" dxfId="4" priority="1989">
      <formula>COUNTIF(INDIRECT("Checklist!$A657"), "FALSE") = 1</formula>
    </cfRule>
    <cfRule type="notContainsBlanks" dxfId="7" priority="1990">
      <formula>LEN(TRIM(J87))&gt;0</formula>
    </cfRule>
  </conditionalFormatting>
  <conditionalFormatting sqref="J91">
    <cfRule type="expression" dxfId="3" priority="2098">
      <formula>COUNTIF(INDIRECT("Checklist!$A693"), "TRUE") = 1</formula>
    </cfRule>
    <cfRule type="expression" dxfId="4" priority="2099">
      <formula>COUNTIF(INDIRECT("Checklist!$A693"), "FALSE") = 1</formula>
    </cfRule>
    <cfRule type="notContainsBlanks" dxfId="7" priority="2100">
      <formula>LEN(TRIM(J91))&gt;0</formula>
    </cfRule>
  </conditionalFormatting>
  <conditionalFormatting sqref="J92">
    <cfRule type="expression" dxfId="3" priority="2116">
      <formula>COUNTIF(INDIRECT("Checklist!$A699"), "TRUE") = 1</formula>
    </cfRule>
    <cfRule type="expression" dxfId="4" priority="2117">
      <formula>COUNTIF(INDIRECT("Checklist!$A699"), "FALSE") = 1</formula>
    </cfRule>
    <cfRule type="notContainsBlanks" dxfId="7" priority="2118">
      <formula>LEN(TRIM(J92))&gt;0</formula>
    </cfRule>
  </conditionalFormatting>
  <conditionalFormatting sqref="J93">
    <cfRule type="expression" dxfId="3" priority="2134">
      <formula>COUNTIF(INDIRECT("Checklist!$A705"), "TRUE") = 1</formula>
    </cfRule>
    <cfRule type="expression" dxfId="4" priority="2135">
      <formula>COUNTIF(INDIRECT("Checklist!$A705"), "FALSE") = 1</formula>
    </cfRule>
    <cfRule type="notContainsBlanks" dxfId="7" priority="2136">
      <formula>LEN(TRIM(J93))&gt;0</formula>
    </cfRule>
  </conditionalFormatting>
  <conditionalFormatting sqref="J94">
    <cfRule type="expression" dxfId="3" priority="2152">
      <formula>COUNTIF(INDIRECT("Checklist!$A711"), "TRUE") = 1</formula>
    </cfRule>
    <cfRule type="expression" dxfId="4" priority="2153">
      <formula>COUNTIF(INDIRECT("Checklist!$A711"), "FALSE") = 1</formula>
    </cfRule>
    <cfRule type="notContainsBlanks" dxfId="7" priority="2154">
      <formula>LEN(TRIM(J94))&gt;0</formula>
    </cfRule>
  </conditionalFormatting>
  <conditionalFormatting sqref="J95">
    <cfRule type="expression" dxfId="3" priority="2170">
      <formula>COUNTIF(INDIRECT("Checklist!$A717"), "TRUE") = 1</formula>
    </cfRule>
    <cfRule type="expression" dxfId="4" priority="2171">
      <formula>COUNTIF(INDIRECT("Checklist!$A717"), "FALSE") = 1</formula>
    </cfRule>
    <cfRule type="notContainsBlanks" dxfId="7" priority="2172">
      <formula>LEN(TRIM(J95))&gt;0</formula>
    </cfRule>
  </conditionalFormatting>
  <conditionalFormatting sqref="J99">
    <cfRule type="expression" dxfId="3" priority="2280">
      <formula>COUNTIF(INDIRECT("Checklist!$A753"), "TRUE") = 1</formula>
    </cfRule>
    <cfRule type="expression" dxfId="4" priority="2281">
      <formula>COUNTIF(INDIRECT("Checklist!$A753"), "FALSE") = 1</formula>
    </cfRule>
    <cfRule type="notContainsBlanks" dxfId="7" priority="2282">
      <formula>LEN(TRIM(J99))&gt;0</formula>
    </cfRule>
  </conditionalFormatting>
  <conditionalFormatting sqref="K100">
    <cfRule type="expression" dxfId="3" priority="2301">
      <formula>COUNTIF(INDIRECT("Checklist!$A760"), "TRUE") = 1</formula>
    </cfRule>
    <cfRule type="expression" dxfId="4" priority="2302">
      <formula>COUNTIF(INDIRECT("Checklist!$A760"), "FALSE") = 1</formula>
    </cfRule>
    <cfRule type="notContainsBlanks" dxfId="7" priority="2303">
      <formula>LEN(TRIM(K100))&gt;0</formula>
    </cfRule>
  </conditionalFormatting>
  <conditionalFormatting sqref="K101">
    <cfRule type="expression" dxfId="3" priority="2319">
      <formula>COUNTIF(INDIRECT("Checklist!$A766"), "TRUE") = 1</formula>
    </cfRule>
    <cfRule type="expression" dxfId="4" priority="2320">
      <formula>COUNTIF(INDIRECT("Checklist!$A766"), "FALSE") = 1</formula>
    </cfRule>
    <cfRule type="notContainsBlanks" dxfId="7" priority="2321">
      <formula>LEN(TRIM(K101))&gt;0</formula>
    </cfRule>
  </conditionalFormatting>
  <conditionalFormatting sqref="K102">
    <cfRule type="expression" dxfId="3" priority="2337">
      <formula>COUNTIF(INDIRECT("Checklist!$A772"), "TRUE") = 1</formula>
    </cfRule>
    <cfRule type="expression" dxfId="4" priority="2338">
      <formula>COUNTIF(INDIRECT("Checklist!$A772"), "FALSE") = 1</formula>
    </cfRule>
    <cfRule type="notContainsBlanks" dxfId="7" priority="2339">
      <formula>LEN(TRIM(K102))&gt;0</formula>
    </cfRule>
  </conditionalFormatting>
  <conditionalFormatting sqref="K103">
    <cfRule type="expression" dxfId="3" priority="2355">
      <formula>COUNTIF(INDIRECT("Checklist!$A778"), "TRUE") = 1</formula>
    </cfRule>
    <cfRule type="expression" dxfId="4" priority="2356">
      <formula>COUNTIF(INDIRECT("Checklist!$A778"), "FALSE") = 1</formula>
    </cfRule>
    <cfRule type="notContainsBlanks" dxfId="7" priority="2357">
      <formula>LEN(TRIM(K103))&gt;0</formula>
    </cfRule>
  </conditionalFormatting>
  <conditionalFormatting sqref="K107">
    <cfRule type="expression" dxfId="3" priority="2465">
      <formula>COUNTIF(INDIRECT("Checklist!$A814"), "TRUE") = 1</formula>
    </cfRule>
    <cfRule type="expression" dxfId="4" priority="2466">
      <formula>COUNTIF(INDIRECT("Checklist!$A814"), "FALSE") = 1</formula>
    </cfRule>
    <cfRule type="notContainsBlanks" dxfId="7" priority="2467">
      <formula>LEN(TRIM(K107))&gt;0</formula>
    </cfRule>
  </conditionalFormatting>
  <conditionalFormatting sqref="K108">
    <cfRule type="expression" dxfId="3" priority="2483">
      <formula>COUNTIF(INDIRECT("Checklist!$A820"), "TRUE") = 1</formula>
    </cfRule>
    <cfRule type="expression" dxfId="4" priority="2484">
      <formula>COUNTIF(INDIRECT("Checklist!$A820"), "FALSE") = 1</formula>
    </cfRule>
    <cfRule type="notContainsBlanks" dxfId="7" priority="2485">
      <formula>LEN(TRIM(K108))&gt;0</formula>
    </cfRule>
  </conditionalFormatting>
  <conditionalFormatting sqref="K109">
    <cfRule type="expression" dxfId="3" priority="2501">
      <formula>COUNTIF(INDIRECT("Checklist!$A826"), "TRUE") = 1</formula>
    </cfRule>
    <cfRule type="expression" dxfId="4" priority="2502">
      <formula>COUNTIF(INDIRECT("Checklist!$A826"), "FALSE") = 1</formula>
    </cfRule>
    <cfRule type="notContainsBlanks" dxfId="7" priority="2503">
      <formula>LEN(TRIM(K109))&gt;0</formula>
    </cfRule>
  </conditionalFormatting>
  <conditionalFormatting sqref="K11">
    <cfRule type="expression" dxfId="3" priority="281">
      <formula>COUNTIF(INDIRECT("Checklist!$A94"), "TRUE") = 1</formula>
    </cfRule>
    <cfRule type="expression" dxfId="4" priority="282">
      <formula>COUNTIF(INDIRECT("Checklist!$A94"), "FALSE") = 1</formula>
    </cfRule>
    <cfRule type="notContainsBlanks" dxfId="7" priority="283">
      <formula>LEN(TRIM(K11))&gt;0</formula>
    </cfRule>
  </conditionalFormatting>
  <conditionalFormatting sqref="K110">
    <cfRule type="expression" dxfId="3" priority="2519">
      <formula>COUNTIF(INDIRECT("Checklist!$A832"), "TRUE") = 1</formula>
    </cfRule>
    <cfRule type="expression" dxfId="4" priority="2520">
      <formula>COUNTIF(INDIRECT("Checklist!$A832"), "FALSE") = 1</formula>
    </cfRule>
    <cfRule type="notContainsBlanks" dxfId="7" priority="2521">
      <formula>LEN(TRIM(K110))&gt;0</formula>
    </cfRule>
  </conditionalFormatting>
  <conditionalFormatting sqref="K111">
    <cfRule type="expression" dxfId="3" priority="2537">
      <formula>COUNTIF(INDIRECT("Checklist!$A838"), "TRUE") = 1</formula>
    </cfRule>
    <cfRule type="expression" dxfId="4" priority="2538">
      <formula>COUNTIF(INDIRECT("Checklist!$A838"), "FALSE") = 1</formula>
    </cfRule>
    <cfRule type="notContainsBlanks" dxfId="7" priority="2539">
      <formula>LEN(TRIM(K111))&gt;0</formula>
    </cfRule>
  </conditionalFormatting>
  <conditionalFormatting sqref="K115">
    <cfRule type="expression" dxfId="3" priority="2647">
      <formula>COUNTIF(INDIRECT("Checklist!$A874"), "TRUE") = 1</formula>
    </cfRule>
    <cfRule type="expression" dxfId="4" priority="2648">
      <formula>COUNTIF(INDIRECT("Checklist!$A874"), "FALSE") = 1</formula>
    </cfRule>
    <cfRule type="notContainsBlanks" dxfId="7" priority="2649">
      <formula>LEN(TRIM(K115))&gt;0</formula>
    </cfRule>
  </conditionalFormatting>
  <conditionalFormatting sqref="K116">
    <cfRule type="expression" dxfId="3" priority="2665">
      <formula>COUNTIF(INDIRECT("Checklist!$A1236"), "TRUE") = 1</formula>
    </cfRule>
    <cfRule type="expression" dxfId="4" priority="2666">
      <formula>COUNTIF(INDIRECT("Checklist!$A1236"), "FALSE") = 1</formula>
    </cfRule>
    <cfRule type="notContainsBlanks" dxfId="7" priority="2667">
      <formula>LEN(TRIM(K116))&gt;0</formula>
    </cfRule>
  </conditionalFormatting>
  <conditionalFormatting sqref="K117">
    <cfRule type="expression" dxfId="3" priority="2683">
      <formula>COUNTIF(INDIRECT("Checklist!$A886"), "TRUE") = 1</formula>
    </cfRule>
    <cfRule type="expression" dxfId="4" priority="2684">
      <formula>COUNTIF(INDIRECT("Checklist!$A886"), "FALSE") = 1</formula>
    </cfRule>
    <cfRule type="notContainsBlanks" dxfId="7" priority="2685">
      <formula>LEN(TRIM(K117))&gt;0</formula>
    </cfRule>
  </conditionalFormatting>
  <conditionalFormatting sqref="K118">
    <cfRule type="expression" dxfId="3" priority="2701">
      <formula>COUNTIF(INDIRECT("Checklist!$A892"), "TRUE") = 1</formula>
    </cfRule>
    <cfRule type="expression" dxfId="4" priority="2702">
      <formula>COUNTIF(INDIRECT("Checklist!$A892"), "FALSE") = 1</formula>
    </cfRule>
    <cfRule type="notContainsBlanks" dxfId="7" priority="2703">
      <formula>LEN(TRIM(K118))&gt;0</formula>
    </cfRule>
  </conditionalFormatting>
  <conditionalFormatting sqref="K119">
    <cfRule type="expression" dxfId="3" priority="2719">
      <formula>COUNTIF(INDIRECT("Checklist!$A898"), "TRUE") = 1</formula>
    </cfRule>
    <cfRule type="expression" dxfId="4" priority="2720">
      <formula>COUNTIF(INDIRECT("Checklist!$A898"), "FALSE") = 1</formula>
    </cfRule>
    <cfRule type="notContainsBlanks" dxfId="7" priority="2721">
      <formula>LEN(TRIM(K119))&gt;0</formula>
    </cfRule>
  </conditionalFormatting>
  <conditionalFormatting sqref="K12">
    <cfRule type="expression" dxfId="3" priority="299">
      <formula>COUNTIF(INDIRECT("Checklist!$A1213"), "TRUE") = 1</formula>
    </cfRule>
    <cfRule type="expression" dxfId="4" priority="300">
      <formula>COUNTIF(INDIRECT("Checklist!$A1213"), "FALSE") = 1</formula>
    </cfRule>
    <cfRule type="notContainsBlanks" dxfId="7" priority="301">
      <formula>LEN(TRIM(K12))&gt;0</formula>
    </cfRule>
  </conditionalFormatting>
  <conditionalFormatting sqref="K123">
    <cfRule type="expression" dxfId="3" priority="2754">
      <formula>COUNTIF(INDIRECT("Checklist!$A909"), "TRUE") = 1</formula>
    </cfRule>
    <cfRule type="expression" dxfId="4" priority="2755">
      <formula>COUNTIF(INDIRECT("Checklist!$A909"), "FALSE") = 1</formula>
    </cfRule>
    <cfRule type="notContainsBlanks" dxfId="7" priority="2756">
      <formula>LEN(TRIM(K123))&gt;0</formula>
    </cfRule>
  </conditionalFormatting>
  <conditionalFormatting sqref="K124">
    <cfRule type="expression" dxfId="3" priority="2772">
      <formula>COUNTIF(INDIRECT("Checklist!$A915"), "TRUE") = 1</formula>
    </cfRule>
    <cfRule type="expression" dxfId="4" priority="2773">
      <formula>COUNTIF(INDIRECT("Checklist!$A915"), "FALSE") = 1</formula>
    </cfRule>
    <cfRule type="notContainsBlanks" dxfId="7" priority="2774">
      <formula>LEN(TRIM(K124))&gt;0</formula>
    </cfRule>
  </conditionalFormatting>
  <conditionalFormatting sqref="K125">
    <cfRule type="expression" dxfId="3" priority="2790">
      <formula>COUNTIF(INDIRECT("Checklist!$A921"), "TRUE") = 1</formula>
    </cfRule>
    <cfRule type="expression" dxfId="4" priority="2791">
      <formula>COUNTIF(INDIRECT("Checklist!$A921"), "FALSE") = 1</formula>
    </cfRule>
    <cfRule type="notContainsBlanks" dxfId="7" priority="2792">
      <formula>LEN(TRIM(K125))&gt;0</formula>
    </cfRule>
  </conditionalFormatting>
  <conditionalFormatting sqref="K126">
    <cfRule type="expression" dxfId="3" priority="2808">
      <formula>COUNTIF(INDIRECT("Checklist!$A927"), "TRUE") = 1</formula>
    </cfRule>
    <cfRule type="expression" dxfId="4" priority="2809">
      <formula>COUNTIF(INDIRECT("Checklist!$A927"), "FALSE") = 1</formula>
    </cfRule>
    <cfRule type="notContainsBlanks" dxfId="7" priority="2810">
      <formula>LEN(TRIM(K126))&gt;0</formula>
    </cfRule>
  </conditionalFormatting>
  <conditionalFormatting sqref="K127">
    <cfRule type="expression" dxfId="3" priority="2826">
      <formula>COUNTIF(INDIRECT("Checklist!$A933"), "TRUE") = 1</formula>
    </cfRule>
    <cfRule type="expression" dxfId="4" priority="2827">
      <formula>COUNTIF(INDIRECT("Checklist!$A933"), "FALSE") = 1</formula>
    </cfRule>
    <cfRule type="notContainsBlanks" dxfId="7" priority="2828">
      <formula>LEN(TRIM(K127))&gt;0</formula>
    </cfRule>
  </conditionalFormatting>
  <conditionalFormatting sqref="K13">
    <cfRule type="expression" dxfId="3" priority="317">
      <formula>COUNTIF(INDIRECT("Checklist!$A106"), "TRUE") = 1</formula>
    </cfRule>
    <cfRule type="expression" dxfId="4" priority="318">
      <formula>COUNTIF(INDIRECT("Checklist!$A106"), "FALSE") = 1</formula>
    </cfRule>
    <cfRule type="notContainsBlanks" dxfId="7" priority="319">
      <formula>LEN(TRIM(K13))&gt;0</formula>
    </cfRule>
  </conditionalFormatting>
  <conditionalFormatting sqref="K131">
    <cfRule type="expression" dxfId="3" priority="2936">
      <formula>COUNTIF(INDIRECT("Checklist!$A969"), "TRUE") = 1</formula>
    </cfRule>
    <cfRule type="expression" dxfId="4" priority="2937">
      <formula>COUNTIF(INDIRECT("Checklist!$A969"), "FALSE") = 1</formula>
    </cfRule>
    <cfRule type="notContainsBlanks" dxfId="7" priority="2938">
      <formula>LEN(TRIM(K131))&gt;0</formula>
    </cfRule>
  </conditionalFormatting>
  <conditionalFormatting sqref="K132">
    <cfRule type="expression" dxfId="3" priority="2954">
      <formula>COUNTIF(INDIRECT("Checklist!$A975"), "TRUE") = 1</formula>
    </cfRule>
    <cfRule type="expression" dxfId="4" priority="2955">
      <formula>COUNTIF(INDIRECT("Checklist!$A975"), "FALSE") = 1</formula>
    </cfRule>
    <cfRule type="notContainsBlanks" dxfId="7" priority="2956">
      <formula>LEN(TRIM(K132))&gt;0</formula>
    </cfRule>
  </conditionalFormatting>
  <conditionalFormatting sqref="K133">
    <cfRule type="expression" dxfId="3" priority="2972">
      <formula>COUNTIF(INDIRECT("Checklist!$A981"), "TRUE") = 1</formula>
    </cfRule>
    <cfRule type="expression" dxfId="4" priority="2973">
      <formula>COUNTIF(INDIRECT("Checklist!$A981"), "FALSE") = 1</formula>
    </cfRule>
    <cfRule type="notContainsBlanks" dxfId="7" priority="2974">
      <formula>LEN(TRIM(K133))&gt;0</formula>
    </cfRule>
  </conditionalFormatting>
  <conditionalFormatting sqref="K134">
    <cfRule type="expression" dxfId="3" priority="2990">
      <formula>COUNTIF(INDIRECT("Checklist!$A987"), "TRUE") = 1</formula>
    </cfRule>
    <cfRule type="expression" dxfId="4" priority="2991">
      <formula>COUNTIF(INDIRECT("Checklist!$A987"), "FALSE") = 1</formula>
    </cfRule>
    <cfRule type="notContainsBlanks" dxfId="7" priority="2992">
      <formula>LEN(TRIM(K134))&gt;0</formula>
    </cfRule>
  </conditionalFormatting>
  <conditionalFormatting sqref="K135">
    <cfRule type="expression" dxfId="3" priority="3008">
      <formula>COUNTIF(INDIRECT("Checklist!$A993"), "TRUE") = 1</formula>
    </cfRule>
    <cfRule type="expression" dxfId="4" priority="3009">
      <formula>COUNTIF(INDIRECT("Checklist!$A993"), "FALSE") = 1</formula>
    </cfRule>
    <cfRule type="notContainsBlanks" dxfId="7" priority="3010">
      <formula>LEN(TRIM(K135))&gt;0</formula>
    </cfRule>
  </conditionalFormatting>
  <conditionalFormatting sqref="K139">
    <cfRule type="expression" dxfId="3" priority="3064">
      <formula>COUNTIF(INDIRECT("Checklist!$A1010"), "TRUE") = 1</formula>
    </cfRule>
    <cfRule type="expression" dxfId="4" priority="3065">
      <formula>COUNTIF(INDIRECT("Checklist!$A1010"), "FALSE") = 1</formula>
    </cfRule>
    <cfRule type="notContainsBlanks" dxfId="7" priority="3066">
      <formula>LEN(TRIM(K139))&gt;0</formula>
    </cfRule>
  </conditionalFormatting>
  <conditionalFormatting sqref="K14">
    <cfRule type="expression" dxfId="3" priority="335">
      <formula>COUNTIF(INDIRECT("Checklist!$A112"), "TRUE") = 1</formula>
    </cfRule>
    <cfRule type="expression" dxfId="4" priority="336">
      <formula>COUNTIF(INDIRECT("Checklist!$A112"), "FALSE") = 1</formula>
    </cfRule>
    <cfRule type="notContainsBlanks" dxfId="7" priority="337">
      <formula>LEN(TRIM(K14))&gt;0</formula>
    </cfRule>
  </conditionalFormatting>
  <conditionalFormatting sqref="K140">
    <cfRule type="expression" dxfId="3" priority="3082">
      <formula>COUNTIF(INDIRECT("Checklist!$A1016"), "TRUE") = 1</formula>
    </cfRule>
    <cfRule type="expression" dxfId="4" priority="3083">
      <formula>COUNTIF(INDIRECT("Checklist!$A1016"), "FALSE") = 1</formula>
    </cfRule>
    <cfRule type="notContainsBlanks" dxfId="7" priority="3084">
      <formula>LEN(TRIM(K140))&gt;0</formula>
    </cfRule>
  </conditionalFormatting>
  <conditionalFormatting sqref="K147">
    <cfRule type="expression" dxfId="3" priority="3177">
      <formula>COUNTIF(INDIRECT("Checklist!$A1045"), "TRUE") = 1</formula>
    </cfRule>
    <cfRule type="expression" dxfId="4" priority="3178">
      <formula>COUNTIF(INDIRECT("Checklist!$A1045"), "FALSE") = 1</formula>
    </cfRule>
    <cfRule type="notContainsBlanks" dxfId="7" priority="3179">
      <formula>LEN(TRIM(K147))&gt;0</formula>
    </cfRule>
  </conditionalFormatting>
  <conditionalFormatting sqref="K148">
    <cfRule type="expression" dxfId="3" priority="3195">
      <formula>COUNTIF(INDIRECT("Checklist!$A1048"), "TRUE") = 1</formula>
    </cfRule>
    <cfRule type="expression" dxfId="4" priority="3196">
      <formula>COUNTIF(INDIRECT("Checklist!$A1048"), "FALSE") = 1</formula>
    </cfRule>
    <cfRule type="notContainsBlanks" dxfId="7" priority="3197">
      <formula>LEN(TRIM(K148))&gt;0</formula>
    </cfRule>
  </conditionalFormatting>
  <conditionalFormatting sqref="K149">
    <cfRule type="expression" dxfId="3" priority="3213">
      <formula>COUNTIF(INDIRECT("Checklist!$A1050"), "TRUE") = 1</formula>
    </cfRule>
    <cfRule type="expression" dxfId="4" priority="3214">
      <formula>COUNTIF(INDIRECT("Checklist!$A1050"), "FALSE") = 1</formula>
    </cfRule>
    <cfRule type="notContainsBlanks" dxfId="7" priority="3215">
      <formula>LEN(TRIM(K149))&gt;0</formula>
    </cfRule>
  </conditionalFormatting>
  <conditionalFormatting sqref="K15">
    <cfRule type="expression" dxfId="3" priority="353">
      <formula>COUNTIF(INDIRECT("Checklist!$A118"), "TRUE") = 1</formula>
    </cfRule>
    <cfRule type="expression" dxfId="4" priority="354">
      <formula>COUNTIF(INDIRECT("Checklist!$A118"), "FALSE") = 1</formula>
    </cfRule>
    <cfRule type="notContainsBlanks" dxfId="7" priority="355">
      <formula>LEN(TRIM(K15))&gt;0</formula>
    </cfRule>
  </conditionalFormatting>
  <conditionalFormatting sqref="K150">
    <cfRule type="expression" dxfId="3" priority="3231">
      <formula>COUNTIF(INDIRECT("Checklist!$A1054"), "TRUE") = 1</formula>
    </cfRule>
    <cfRule type="expression" dxfId="4" priority="3232">
      <formula>COUNTIF(INDIRECT("Checklist!$A1054"), "FALSE") = 1</formula>
    </cfRule>
    <cfRule type="notContainsBlanks" dxfId="7" priority="3233">
      <formula>LEN(TRIM(K150))&gt;0</formula>
    </cfRule>
  </conditionalFormatting>
  <conditionalFormatting sqref="K155">
    <cfRule type="expression" dxfId="3" priority="3335">
      <formula>COUNTIF(INDIRECT("Checklist!$A1071"), "TRUE") = 1</formula>
    </cfRule>
    <cfRule type="expression" dxfId="4" priority="3336">
      <formula>COUNTIF(INDIRECT("Checklist!$A1071"), "FALSE") = 1</formula>
    </cfRule>
    <cfRule type="notContainsBlanks" dxfId="7" priority="3337">
      <formula>LEN(TRIM(K155))&gt;0</formula>
    </cfRule>
  </conditionalFormatting>
  <conditionalFormatting sqref="K156">
    <cfRule type="expression" dxfId="3" priority="3353">
      <formula>COUNTIF(INDIRECT("Checklist!$A1074"), "TRUE") = 1</formula>
    </cfRule>
    <cfRule type="expression" dxfId="4" priority="3354">
      <formula>COUNTIF(INDIRECT("Checklist!$A1074"), "FALSE") = 1</formula>
    </cfRule>
    <cfRule type="notContainsBlanks" dxfId="7" priority="3355">
      <formula>LEN(TRIM(K156))&gt;0</formula>
    </cfRule>
  </conditionalFormatting>
  <conditionalFormatting sqref="K157">
    <cfRule type="expression" dxfId="3" priority="3371">
      <formula>COUNTIF(INDIRECT("Checklist!$A1077"), "TRUE") = 1</formula>
    </cfRule>
    <cfRule type="expression" dxfId="4" priority="3372">
      <formula>COUNTIF(INDIRECT("Checklist!$A1077"), "FALSE") = 1</formula>
    </cfRule>
    <cfRule type="notContainsBlanks" dxfId="7" priority="3373">
      <formula>LEN(TRIM(K157))&gt;0</formula>
    </cfRule>
  </conditionalFormatting>
  <conditionalFormatting sqref="K158">
    <cfRule type="expression" dxfId="3" priority="3389">
      <formula>COUNTIF(INDIRECT("Checklist!$A1082"), "TRUE") = 1</formula>
    </cfRule>
    <cfRule type="expression" dxfId="4" priority="3390">
      <formula>COUNTIF(INDIRECT("Checklist!$A1082"), "FALSE") = 1</formula>
    </cfRule>
    <cfRule type="notContainsBlanks" dxfId="7" priority="3391">
      <formula>LEN(TRIM(K158))&gt;0</formula>
    </cfRule>
  </conditionalFormatting>
  <conditionalFormatting sqref="K163">
    <cfRule type="expression" dxfId="3" priority="3496">
      <formula>COUNTIF(INDIRECT("Checklist!$A1103"), "TRUE") = 1</formula>
    </cfRule>
    <cfRule type="expression" dxfId="4" priority="3497">
      <formula>COUNTIF(INDIRECT("Checklist!$A1103"), "FALSE") = 1</formula>
    </cfRule>
    <cfRule type="notContainsBlanks" dxfId="7" priority="3498">
      <formula>LEN(TRIM(K163))&gt;0</formula>
    </cfRule>
  </conditionalFormatting>
  <conditionalFormatting sqref="K164">
    <cfRule type="expression" dxfId="3" priority="3514">
      <formula>COUNTIF(INDIRECT("Checklist!$A1109"), "TRUE") = 1</formula>
    </cfRule>
    <cfRule type="expression" dxfId="4" priority="3515">
      <formula>COUNTIF(INDIRECT("Checklist!$A1109"), "FALSE") = 1</formula>
    </cfRule>
    <cfRule type="notContainsBlanks" dxfId="7" priority="3516">
      <formula>LEN(TRIM(K164))&gt;0</formula>
    </cfRule>
  </conditionalFormatting>
  <conditionalFormatting sqref="K165">
    <cfRule type="expression" dxfId="3" priority="3532">
      <formula>COUNTIF(INDIRECT("Checklist!$A1115"), "TRUE") = 1</formula>
    </cfRule>
    <cfRule type="expression" dxfId="4" priority="3533">
      <formula>COUNTIF(INDIRECT("Checklist!$A1115"), "FALSE") = 1</formula>
    </cfRule>
    <cfRule type="notContainsBlanks" dxfId="7" priority="3534">
      <formula>LEN(TRIM(K165))&gt;0</formula>
    </cfRule>
  </conditionalFormatting>
  <conditionalFormatting sqref="K171">
    <cfRule type="expression" dxfId="3" priority="3621">
      <formula>COUNTIF(INDIRECT("Checklist!$None"), "TRUE") = 1</formula>
    </cfRule>
    <cfRule type="expression" dxfId="4" priority="3622">
      <formula>COUNTIF(INDIRECT("Checklist!$None"), "FALSE") = 1</formula>
    </cfRule>
    <cfRule type="notContainsBlanks" dxfId="7" priority="3623">
      <formula>LEN(TRIM(K171))&gt;0</formula>
    </cfRule>
  </conditionalFormatting>
  <conditionalFormatting sqref="K172">
    <cfRule type="expression" dxfId="3" priority="3639">
      <formula>COUNTIF(INDIRECT("Checklist!$A856"), "TRUE") = 1</formula>
    </cfRule>
    <cfRule type="expression" dxfId="4" priority="3640">
      <formula>COUNTIF(INDIRECT("Checklist!$A856"), "FALSE") = 1</formula>
    </cfRule>
    <cfRule type="notContainsBlanks" dxfId="7" priority="3641">
      <formula>LEN(TRIM(K172))&gt;0</formula>
    </cfRule>
  </conditionalFormatting>
  <conditionalFormatting sqref="K173">
    <cfRule type="expression" dxfId="3" priority="3657">
      <formula>COUNTIF(INDIRECT("Checklist!$None"), "TRUE") = 1</formula>
    </cfRule>
    <cfRule type="expression" dxfId="4" priority="3658">
      <formula>COUNTIF(INDIRECT("Checklist!$None"), "FALSE") = 1</formula>
    </cfRule>
    <cfRule type="notContainsBlanks" dxfId="7" priority="3659">
      <formula>LEN(TRIM(K173))&gt;0</formula>
    </cfRule>
  </conditionalFormatting>
  <conditionalFormatting sqref="K174">
    <cfRule type="expression" dxfId="3" priority="3675">
      <formula>COUNTIF(INDIRECT("Checklist!$None"), "TRUE") = 1</formula>
    </cfRule>
    <cfRule type="expression" dxfId="4" priority="3676">
      <formula>COUNTIF(INDIRECT("Checklist!$None"), "FALSE") = 1</formula>
    </cfRule>
    <cfRule type="notContainsBlanks" dxfId="7" priority="3677">
      <formula>LEN(TRIM(K174))&gt;0</formula>
    </cfRule>
  </conditionalFormatting>
  <conditionalFormatting sqref="K175">
    <cfRule type="expression" dxfId="3" priority="3693">
      <formula>COUNTIF(INDIRECT("Checklist!$None"), "TRUE") = 1</formula>
    </cfRule>
    <cfRule type="expression" dxfId="4" priority="3694">
      <formula>COUNTIF(INDIRECT("Checklist!$None"), "FALSE") = 1</formula>
    </cfRule>
    <cfRule type="notContainsBlanks" dxfId="7" priority="3695">
      <formula>LEN(TRIM(K175))&gt;0</formula>
    </cfRule>
  </conditionalFormatting>
  <conditionalFormatting sqref="K179">
    <cfRule type="expression" dxfId="3" priority="3788">
      <formula>COUNTIF(INDIRECT("Checklist!$A1169"), "TRUE") = 1</formula>
    </cfRule>
    <cfRule type="expression" dxfId="4" priority="3789">
      <formula>COUNTIF(INDIRECT("Checklist!$A1169"), "FALSE") = 1</formula>
    </cfRule>
    <cfRule type="notContainsBlanks" dxfId="7" priority="3790">
      <formula>LEN(TRIM(K179))&gt;0</formula>
    </cfRule>
  </conditionalFormatting>
  <conditionalFormatting sqref="K180">
    <cfRule type="expression" dxfId="3" priority="3806">
      <formula>COUNTIF(INDIRECT("Checklist!$A1175"), "TRUE") = 1</formula>
    </cfRule>
    <cfRule type="expression" dxfId="4" priority="3807">
      <formula>COUNTIF(INDIRECT("Checklist!$A1175"), "FALSE") = 1</formula>
    </cfRule>
    <cfRule type="notContainsBlanks" dxfId="7" priority="3808">
      <formula>LEN(TRIM(K180))&gt;0</formula>
    </cfRule>
  </conditionalFormatting>
  <conditionalFormatting sqref="K181">
    <cfRule type="expression" dxfId="3" priority="3824">
      <formula>COUNTIF(INDIRECT("Checklist!$A1181"), "TRUE") = 1</formula>
    </cfRule>
    <cfRule type="expression" dxfId="4" priority="3825">
      <formula>COUNTIF(INDIRECT("Checklist!$A1181"), "FALSE") = 1</formula>
    </cfRule>
    <cfRule type="notContainsBlanks" dxfId="7" priority="3826">
      <formula>LEN(TRIM(K181))&gt;0</formula>
    </cfRule>
  </conditionalFormatting>
  <conditionalFormatting sqref="K182">
    <cfRule type="expression" dxfId="3" priority="3842">
      <formula>COUNTIF(INDIRECT("Checklist!$A1187"), "TRUE") = 1</formula>
    </cfRule>
    <cfRule type="expression" dxfId="4" priority="3843">
      <formula>COUNTIF(INDIRECT("Checklist!$A1187"), "FALSE") = 1</formula>
    </cfRule>
    <cfRule type="notContainsBlanks" dxfId="7" priority="3844">
      <formula>LEN(TRIM(K182))&gt;0</formula>
    </cfRule>
  </conditionalFormatting>
  <conditionalFormatting sqref="K183">
    <cfRule type="expression" dxfId="3" priority="3860">
      <formula>COUNTIF(INDIRECT("Checklist!$A1193"), "TRUE") = 1</formula>
    </cfRule>
    <cfRule type="expression" dxfId="4" priority="3861">
      <formula>COUNTIF(INDIRECT("Checklist!$A1193"), "FALSE") = 1</formula>
    </cfRule>
    <cfRule type="notContainsBlanks" dxfId="7" priority="3862">
      <formula>LEN(TRIM(K183))&gt;0</formula>
    </cfRule>
  </conditionalFormatting>
  <conditionalFormatting sqref="K187">
    <cfRule type="expression" dxfId="3" priority="3895">
      <formula>COUNTIF(INDIRECT("Checklist!$A1204"), "TRUE") = 1</formula>
    </cfRule>
    <cfRule type="expression" dxfId="4" priority="3896">
      <formula>COUNTIF(INDIRECT("Checklist!$A1204"), "FALSE") = 1</formula>
    </cfRule>
    <cfRule type="notContainsBlanks" dxfId="7" priority="3897">
      <formula>LEN(TRIM(K187))&gt;0</formula>
    </cfRule>
  </conditionalFormatting>
  <conditionalFormatting sqref="K188">
    <cfRule type="expression" dxfId="3" priority="3913">
      <formula>COUNTIF(INDIRECT("Checklist!$A1210"), "TRUE") = 1</formula>
    </cfRule>
    <cfRule type="expression" dxfId="4" priority="3914">
      <formula>COUNTIF(INDIRECT("Checklist!$A1210"), "FALSE") = 1</formula>
    </cfRule>
    <cfRule type="notContainsBlanks" dxfId="7" priority="3915">
      <formula>LEN(TRIM(K188))&gt;0</formula>
    </cfRule>
  </conditionalFormatting>
  <conditionalFormatting sqref="K189">
    <cfRule type="expression" dxfId="3" priority="3931">
      <formula>COUNTIF(INDIRECT("Checklist!$A1216"), "TRUE") = 1</formula>
    </cfRule>
    <cfRule type="expression" dxfId="4" priority="3932">
      <formula>COUNTIF(INDIRECT("Checklist!$A1216"), "FALSE") = 1</formula>
    </cfRule>
    <cfRule type="notContainsBlanks" dxfId="7" priority="3933">
      <formula>LEN(TRIM(K189))&gt;0</formula>
    </cfRule>
  </conditionalFormatting>
  <conditionalFormatting sqref="K19">
    <cfRule type="expression" dxfId="3" priority="463">
      <formula>COUNTIF(INDIRECT("Checklist!$A154"), "TRUE") = 1</formula>
    </cfRule>
    <cfRule type="expression" dxfId="4" priority="464">
      <formula>COUNTIF(INDIRECT("Checklist!$A154"), "FALSE") = 1</formula>
    </cfRule>
    <cfRule type="notContainsBlanks" dxfId="7" priority="465">
      <formula>LEN(TRIM(K19))&gt;0</formula>
    </cfRule>
  </conditionalFormatting>
  <conditionalFormatting sqref="K190">
    <cfRule type="expression" dxfId="3" priority="3949">
      <formula>COUNTIF(INDIRECT("Checklist!$A1222"), "TRUE") = 1</formula>
    </cfRule>
    <cfRule type="expression" dxfId="4" priority="3950">
      <formula>COUNTIF(INDIRECT("Checklist!$A1222"), "FALSE") = 1</formula>
    </cfRule>
    <cfRule type="notContainsBlanks" dxfId="7" priority="3951">
      <formula>LEN(TRIM(K190))&gt;0</formula>
    </cfRule>
  </conditionalFormatting>
  <conditionalFormatting sqref="K191">
    <cfRule type="expression" dxfId="3" priority="3967">
      <formula>COUNTIF(INDIRECT("Checklist!$A1228"), "TRUE") = 1</formula>
    </cfRule>
    <cfRule type="expression" dxfId="4" priority="3968">
      <formula>COUNTIF(INDIRECT("Checklist!$A1228"), "FALSE") = 1</formula>
    </cfRule>
    <cfRule type="notContainsBlanks" dxfId="7" priority="3969">
      <formula>LEN(TRIM(K191))&gt;0</formula>
    </cfRule>
  </conditionalFormatting>
  <conditionalFormatting sqref="K20">
    <cfRule type="expression" dxfId="3" priority="481">
      <formula>COUNTIF(INDIRECT("Checklist!$A160"), "TRUE") = 1</formula>
    </cfRule>
    <cfRule type="expression" dxfId="4" priority="482">
      <formula>COUNTIF(INDIRECT("Checklist!$A160"), "FALSE") = 1</formula>
    </cfRule>
    <cfRule type="notContainsBlanks" dxfId="7" priority="483">
      <formula>LEN(TRIM(K20))&gt;0</formula>
    </cfRule>
  </conditionalFormatting>
  <conditionalFormatting sqref="K203">
    <cfRule type="expression" dxfId="3" priority="4067">
      <formula>COUNTIF(INDIRECT("Checklist!$A1260"), "TRUE") = 1</formula>
    </cfRule>
    <cfRule type="expression" dxfId="4" priority="4068">
      <formula>COUNTIF(INDIRECT("Checklist!$A1260"), "FALSE") = 1</formula>
    </cfRule>
    <cfRule type="notContainsBlanks" dxfId="7" priority="4069">
      <formula>LEN(TRIM(K203))&gt;0</formula>
    </cfRule>
  </conditionalFormatting>
  <conditionalFormatting sqref="K204">
    <cfRule type="expression" dxfId="3" priority="4085">
      <formula>COUNTIF(INDIRECT("Checklist!$A1266"), "TRUE") = 1</formula>
    </cfRule>
    <cfRule type="expression" dxfId="4" priority="4086">
      <formula>COUNTIF(INDIRECT("Checklist!$A1266"), "FALSE") = 1</formula>
    </cfRule>
    <cfRule type="notContainsBlanks" dxfId="7" priority="4087">
      <formula>LEN(TRIM(K204))&gt;0</formula>
    </cfRule>
  </conditionalFormatting>
  <conditionalFormatting sqref="K205">
    <cfRule type="expression" dxfId="3" priority="4103">
      <formula>COUNTIF(INDIRECT("Checklist!$A1272"), "TRUE") = 1</formula>
    </cfRule>
    <cfRule type="expression" dxfId="4" priority="4104">
      <formula>COUNTIF(INDIRECT("Checklist!$A1272"), "FALSE") = 1</formula>
    </cfRule>
    <cfRule type="notContainsBlanks" dxfId="7" priority="4105">
      <formula>LEN(TRIM(K205))&gt;0</formula>
    </cfRule>
  </conditionalFormatting>
  <conditionalFormatting sqref="K21">
    <cfRule type="expression" dxfId="3" priority="499">
      <formula>COUNTIF(INDIRECT("Checklist!$A166"), "TRUE") = 1</formula>
    </cfRule>
    <cfRule type="expression" dxfId="4" priority="500">
      <formula>COUNTIF(INDIRECT("Checklist!$A166"), "FALSE") = 1</formula>
    </cfRule>
    <cfRule type="notContainsBlanks" dxfId="7" priority="501">
      <formula>LEN(TRIM(K21))&gt;0</formula>
    </cfRule>
  </conditionalFormatting>
  <conditionalFormatting sqref="K22">
    <cfRule type="expression" dxfId="3" priority="517">
      <formula>COUNTIF(INDIRECT("Checklist!$A172"), "TRUE") = 1</formula>
    </cfRule>
    <cfRule type="expression" dxfId="4" priority="518">
      <formula>COUNTIF(INDIRECT("Checklist!$A172"), "FALSE") = 1</formula>
    </cfRule>
    <cfRule type="notContainsBlanks" dxfId="7" priority="519">
      <formula>LEN(TRIM(K22))&gt;0</formula>
    </cfRule>
  </conditionalFormatting>
  <conditionalFormatting sqref="K23">
    <cfRule type="expression" dxfId="3" priority="535">
      <formula>COUNTIF(INDIRECT("Checklist!$A178"), "TRUE") = 1</formula>
    </cfRule>
    <cfRule type="expression" dxfId="4" priority="536">
      <formula>COUNTIF(INDIRECT("Checklist!$A178"), "FALSE") = 1</formula>
    </cfRule>
    <cfRule type="notContainsBlanks" dxfId="7" priority="537">
      <formula>LEN(TRIM(K23))&gt;0</formula>
    </cfRule>
  </conditionalFormatting>
  <conditionalFormatting sqref="K27">
    <cfRule type="expression" dxfId="3" priority="645">
      <formula>COUNTIF(INDIRECT("Checklist!$A214"), "TRUE") = 1</formula>
    </cfRule>
    <cfRule type="expression" dxfId="4" priority="646">
      <formula>COUNTIF(INDIRECT("Checklist!$A214"), "FALSE") = 1</formula>
    </cfRule>
    <cfRule type="notContainsBlanks" dxfId="7" priority="647">
      <formula>LEN(TRIM(K27))&gt;0</formula>
    </cfRule>
  </conditionalFormatting>
  <conditionalFormatting sqref="K28">
    <cfRule type="expression" dxfId="3" priority="663">
      <formula>COUNTIF(INDIRECT("Checklist!$A220"), "TRUE") = 1</formula>
    </cfRule>
    <cfRule type="expression" dxfId="4" priority="664">
      <formula>COUNTIF(INDIRECT("Checklist!$A220"), "FALSE") = 1</formula>
    </cfRule>
    <cfRule type="notContainsBlanks" dxfId="7" priority="665">
      <formula>LEN(TRIM(K28))&gt;0</formula>
    </cfRule>
  </conditionalFormatting>
  <conditionalFormatting sqref="K29">
    <cfRule type="expression" dxfId="3" priority="681">
      <formula>COUNTIF(INDIRECT("Checklist!$A226"), "TRUE") = 1</formula>
    </cfRule>
    <cfRule type="expression" dxfId="4" priority="682">
      <formula>COUNTIF(INDIRECT("Checklist!$A226"), "FALSE") = 1</formula>
    </cfRule>
    <cfRule type="notContainsBlanks" dxfId="7" priority="683">
      <formula>LEN(TRIM(K29))&gt;0</formula>
    </cfRule>
  </conditionalFormatting>
  <conditionalFormatting sqref="K3">
    <cfRule type="expression" dxfId="3" priority="99">
      <formula>COUNTIF(INDIRECT("Checklist!$A34"), "TRUE") = 1</formula>
    </cfRule>
    <cfRule type="expression" dxfId="4" priority="100">
      <formula>COUNTIF(INDIRECT("Checklist!$A34"), "FALSE") = 1</formula>
    </cfRule>
    <cfRule type="notContainsBlanks" dxfId="7" priority="101">
      <formula>LEN(TRIM(K3))&gt;0</formula>
    </cfRule>
  </conditionalFormatting>
  <conditionalFormatting sqref="K30">
    <cfRule type="expression" dxfId="3" priority="699">
      <formula>COUNTIF(INDIRECT("Checklist!$A232"), "TRUE") = 1</formula>
    </cfRule>
    <cfRule type="expression" dxfId="4" priority="700">
      <formula>COUNTIF(INDIRECT("Checklist!$A232"), "FALSE") = 1</formula>
    </cfRule>
    <cfRule type="notContainsBlanks" dxfId="7" priority="701">
      <formula>LEN(TRIM(K30))&gt;0</formula>
    </cfRule>
  </conditionalFormatting>
  <conditionalFormatting sqref="K31">
    <cfRule type="expression" dxfId="3" priority="717">
      <formula>COUNTIF(INDIRECT("Checklist!$A238"), "TRUE") = 1</formula>
    </cfRule>
    <cfRule type="expression" dxfId="4" priority="718">
      <formula>COUNTIF(INDIRECT("Checklist!$A238"), "FALSE") = 1</formula>
    </cfRule>
    <cfRule type="notContainsBlanks" dxfId="7" priority="719">
      <formula>LEN(TRIM(K31))&gt;0</formula>
    </cfRule>
  </conditionalFormatting>
  <conditionalFormatting sqref="K35">
    <cfRule type="expression" dxfId="3" priority="827">
      <formula>COUNTIF(INDIRECT("Checklist!$A274"), "TRUE") = 1</formula>
    </cfRule>
    <cfRule type="expression" dxfId="4" priority="828">
      <formula>COUNTIF(INDIRECT("Checklist!$A274"), "FALSE") = 1</formula>
    </cfRule>
    <cfRule type="notContainsBlanks" dxfId="7" priority="829">
      <formula>LEN(TRIM(K35))&gt;0</formula>
    </cfRule>
  </conditionalFormatting>
  <conditionalFormatting sqref="K36">
    <cfRule type="expression" dxfId="3" priority="845">
      <formula>COUNTIF(INDIRECT("Checklist!$A280"), "TRUE") = 1</formula>
    </cfRule>
    <cfRule type="expression" dxfId="4" priority="846">
      <formula>COUNTIF(INDIRECT("Checklist!$A280"), "FALSE") = 1</formula>
    </cfRule>
    <cfRule type="notContainsBlanks" dxfId="7" priority="847">
      <formula>LEN(TRIM(K36))&gt;0</formula>
    </cfRule>
  </conditionalFormatting>
  <conditionalFormatting sqref="K37">
    <cfRule type="expression" dxfId="3" priority="863">
      <formula>COUNTIF(INDIRECT("Checklist!$A286"), "TRUE") = 1</formula>
    </cfRule>
    <cfRule type="expression" dxfId="4" priority="864">
      <formula>COUNTIF(INDIRECT("Checklist!$A286"), "FALSE") = 1</formula>
    </cfRule>
    <cfRule type="notContainsBlanks" dxfId="7" priority="865">
      <formula>LEN(TRIM(K37))&gt;0</formula>
    </cfRule>
  </conditionalFormatting>
  <conditionalFormatting sqref="K38">
    <cfRule type="expression" dxfId="3" priority="881">
      <formula>COUNTIF(INDIRECT("Checklist!$A292"), "TRUE") = 1</formula>
    </cfRule>
    <cfRule type="expression" dxfId="4" priority="882">
      <formula>COUNTIF(INDIRECT("Checklist!$A292"), "FALSE") = 1</formula>
    </cfRule>
    <cfRule type="notContainsBlanks" dxfId="7" priority="883">
      <formula>LEN(TRIM(K38))&gt;0</formula>
    </cfRule>
  </conditionalFormatting>
  <conditionalFormatting sqref="K39">
    <cfRule type="expression" dxfId="3" priority="899">
      <formula>COUNTIF(INDIRECT("Checklist!$A298"), "TRUE") = 1</formula>
    </cfRule>
    <cfRule type="expression" dxfId="4" priority="900">
      <formula>COUNTIF(INDIRECT("Checklist!$A298"), "FALSE") = 1</formula>
    </cfRule>
    <cfRule type="notContainsBlanks" dxfId="7" priority="901">
      <formula>LEN(TRIM(K39))&gt;0</formula>
    </cfRule>
  </conditionalFormatting>
  <conditionalFormatting sqref="K4">
    <cfRule type="expression" dxfId="3" priority="117">
      <formula>COUNTIF(INDIRECT("Checklist!$A40"), "TRUE") = 1</formula>
    </cfRule>
    <cfRule type="expression" dxfId="4" priority="118">
      <formula>COUNTIF(INDIRECT("Checklist!$A40"), "FALSE") = 1</formula>
    </cfRule>
    <cfRule type="notContainsBlanks" dxfId="7" priority="119">
      <formula>LEN(TRIM(K4))&gt;0</formula>
    </cfRule>
  </conditionalFormatting>
  <conditionalFormatting sqref="K43">
    <cfRule type="expression" dxfId="3" priority="1009">
      <formula>COUNTIF(INDIRECT("Checklist!$A334"), "TRUE") = 1</formula>
    </cfRule>
    <cfRule type="expression" dxfId="4" priority="1010">
      <formula>COUNTIF(INDIRECT("Checklist!$A334"), "FALSE") = 1</formula>
    </cfRule>
    <cfRule type="notContainsBlanks" dxfId="7" priority="1011">
      <formula>LEN(TRIM(K43))&gt;0</formula>
    </cfRule>
  </conditionalFormatting>
  <conditionalFormatting sqref="K44">
    <cfRule type="expression" dxfId="3" priority="1027">
      <formula>COUNTIF(INDIRECT("Checklist!$A340"), "TRUE") = 1</formula>
    </cfRule>
    <cfRule type="expression" dxfId="4" priority="1028">
      <formula>COUNTIF(INDIRECT("Checklist!$A340"), "FALSE") = 1</formula>
    </cfRule>
    <cfRule type="notContainsBlanks" dxfId="7" priority="1029">
      <formula>LEN(TRIM(K44))&gt;0</formula>
    </cfRule>
  </conditionalFormatting>
  <conditionalFormatting sqref="K45">
    <cfRule type="expression" dxfId="3" priority="1045">
      <formula>COUNTIF(INDIRECT("Checklist!$A346"), "TRUE") = 1</formula>
    </cfRule>
    <cfRule type="expression" dxfId="4" priority="1046">
      <formula>COUNTIF(INDIRECT("Checklist!$A346"), "FALSE") = 1</formula>
    </cfRule>
    <cfRule type="notContainsBlanks" dxfId="7" priority="1047">
      <formula>LEN(TRIM(K45))&gt;0</formula>
    </cfRule>
  </conditionalFormatting>
  <conditionalFormatting sqref="K46">
    <cfRule type="expression" dxfId="3" priority="1063">
      <formula>COUNTIF(INDIRECT("Checklist!$A352"), "TRUE") = 1</formula>
    </cfRule>
    <cfRule type="expression" dxfId="4" priority="1064">
      <formula>COUNTIF(INDIRECT("Checklist!$A352"), "FALSE") = 1</formula>
    </cfRule>
    <cfRule type="notContainsBlanks" dxfId="7" priority="1065">
      <formula>LEN(TRIM(K46))&gt;0</formula>
    </cfRule>
  </conditionalFormatting>
  <conditionalFormatting sqref="K47">
    <cfRule type="expression" dxfId="3" priority="1081">
      <formula>COUNTIF(INDIRECT("Checklist!$A358"), "TRUE") = 1</formula>
    </cfRule>
    <cfRule type="expression" dxfId="4" priority="1082">
      <formula>COUNTIF(INDIRECT("Checklist!$A358"), "FALSE") = 1</formula>
    </cfRule>
    <cfRule type="notContainsBlanks" dxfId="7" priority="1083">
      <formula>LEN(TRIM(K47))&gt;0</formula>
    </cfRule>
  </conditionalFormatting>
  <conditionalFormatting sqref="K5">
    <cfRule type="expression" dxfId="3" priority="135">
      <formula>COUNTIF(INDIRECT("Checklist!$A46"), "TRUE") = 1</formula>
    </cfRule>
    <cfRule type="expression" dxfId="4" priority="136">
      <formula>COUNTIF(INDIRECT("Checklist!$A46"), "FALSE") = 1</formula>
    </cfRule>
    <cfRule type="notContainsBlanks" dxfId="7" priority="137">
      <formula>LEN(TRIM(K5))&gt;0</formula>
    </cfRule>
  </conditionalFormatting>
  <conditionalFormatting sqref="K51">
    <cfRule type="expression" dxfId="3" priority="1191">
      <formula>COUNTIF(INDIRECT("Checklist!$A394"), "TRUE") = 1</formula>
    </cfRule>
    <cfRule type="expression" dxfId="4" priority="1192">
      <formula>COUNTIF(INDIRECT("Checklist!$A394"), "FALSE") = 1</formula>
    </cfRule>
    <cfRule type="notContainsBlanks" dxfId="7" priority="1193">
      <formula>LEN(TRIM(K51))&gt;0</formula>
    </cfRule>
  </conditionalFormatting>
  <conditionalFormatting sqref="K52">
    <cfRule type="expression" dxfId="3" priority="1209">
      <formula>COUNTIF(INDIRECT("Checklist!$A400"), "TRUE") = 1</formula>
    </cfRule>
    <cfRule type="expression" dxfId="4" priority="1210">
      <formula>COUNTIF(INDIRECT("Checklist!$A400"), "FALSE") = 1</formula>
    </cfRule>
    <cfRule type="notContainsBlanks" dxfId="7" priority="1211">
      <formula>LEN(TRIM(K52))&gt;0</formula>
    </cfRule>
  </conditionalFormatting>
  <conditionalFormatting sqref="K53">
    <cfRule type="expression" dxfId="3" priority="1227">
      <formula>COUNTIF(INDIRECT("Checklist!$A406"), "TRUE") = 1</formula>
    </cfRule>
    <cfRule type="expression" dxfId="4" priority="1228">
      <formula>COUNTIF(INDIRECT("Checklist!$A406"), "FALSE") = 1</formula>
    </cfRule>
    <cfRule type="notContainsBlanks" dxfId="7" priority="1229">
      <formula>LEN(TRIM(K53))&gt;0</formula>
    </cfRule>
  </conditionalFormatting>
  <conditionalFormatting sqref="K54">
    <cfRule type="expression" dxfId="3" priority="1245">
      <formula>COUNTIF(INDIRECT("Checklist!$A412"), "TRUE") = 1</formula>
    </cfRule>
    <cfRule type="expression" dxfId="4" priority="1246">
      <formula>COUNTIF(INDIRECT("Checklist!$A412"), "FALSE") = 1</formula>
    </cfRule>
    <cfRule type="notContainsBlanks" dxfId="7" priority="1247">
      <formula>LEN(TRIM(K54))&gt;0</formula>
    </cfRule>
  </conditionalFormatting>
  <conditionalFormatting sqref="K55">
    <cfRule type="expression" dxfId="3" priority="1263">
      <formula>COUNTIF(INDIRECT("Checklist!$A418"), "TRUE") = 1</formula>
    </cfRule>
    <cfRule type="expression" dxfId="4" priority="1264">
      <formula>COUNTIF(INDIRECT("Checklist!$A418"), "FALSE") = 1</formula>
    </cfRule>
    <cfRule type="notContainsBlanks" dxfId="7" priority="1265">
      <formula>LEN(TRIM(K55))&gt;0</formula>
    </cfRule>
  </conditionalFormatting>
  <conditionalFormatting sqref="K59">
    <cfRule type="expression" dxfId="3" priority="1373">
      <formula>COUNTIF(INDIRECT("Checklist!$A454"), "TRUE") = 1</formula>
    </cfRule>
    <cfRule type="expression" dxfId="4" priority="1374">
      <formula>COUNTIF(INDIRECT("Checklist!$A454"), "FALSE") = 1</formula>
    </cfRule>
    <cfRule type="notContainsBlanks" dxfId="7" priority="1375">
      <formula>LEN(TRIM(K59))&gt;0</formula>
    </cfRule>
  </conditionalFormatting>
  <conditionalFormatting sqref="K6">
    <cfRule type="expression" dxfId="3" priority="153">
      <formula>COUNTIF(INDIRECT("Checklist!$A52"), "TRUE") = 1</formula>
    </cfRule>
    <cfRule type="expression" dxfId="4" priority="154">
      <formula>COUNTIF(INDIRECT("Checklist!$A52"), "FALSE") = 1</formula>
    </cfRule>
    <cfRule type="notContainsBlanks" dxfId="7" priority="155">
      <formula>LEN(TRIM(K6))&gt;0</formula>
    </cfRule>
  </conditionalFormatting>
  <conditionalFormatting sqref="K60">
    <cfRule type="expression" dxfId="3" priority="1391">
      <formula>COUNTIF(INDIRECT("Checklist!$A460"), "TRUE") = 1</formula>
    </cfRule>
    <cfRule type="expression" dxfId="4" priority="1392">
      <formula>COUNTIF(INDIRECT("Checklist!$A460"), "FALSE") = 1</formula>
    </cfRule>
    <cfRule type="notContainsBlanks" dxfId="7" priority="1393">
      <formula>LEN(TRIM(K60))&gt;0</formula>
    </cfRule>
  </conditionalFormatting>
  <conditionalFormatting sqref="K61">
    <cfRule type="expression" dxfId="3" priority="1409">
      <formula>COUNTIF(INDIRECT("Checklist!$A466"), "TRUE") = 1</formula>
    </cfRule>
    <cfRule type="expression" dxfId="4" priority="1410">
      <formula>COUNTIF(INDIRECT("Checklist!$A466"), "FALSE") = 1</formula>
    </cfRule>
    <cfRule type="notContainsBlanks" dxfId="7" priority="1411">
      <formula>LEN(TRIM(K61))&gt;0</formula>
    </cfRule>
  </conditionalFormatting>
  <conditionalFormatting sqref="K62">
    <cfRule type="expression" dxfId="3" priority="1427">
      <formula>COUNTIF(INDIRECT("Checklist!$A472"), "TRUE") = 1</formula>
    </cfRule>
    <cfRule type="expression" dxfId="4" priority="1428">
      <formula>COUNTIF(INDIRECT("Checklist!$A472"), "FALSE") = 1</formula>
    </cfRule>
    <cfRule type="notContainsBlanks" dxfId="7" priority="1429">
      <formula>LEN(TRIM(K62))&gt;0</formula>
    </cfRule>
  </conditionalFormatting>
  <conditionalFormatting sqref="K63">
    <cfRule type="expression" dxfId="3" priority="1445">
      <formula>COUNTIF(INDIRECT("Checklist!$A478"), "TRUE") = 1</formula>
    </cfRule>
    <cfRule type="expression" dxfId="4" priority="1446">
      <formula>COUNTIF(INDIRECT("Checklist!$A478"), "FALSE") = 1</formula>
    </cfRule>
    <cfRule type="notContainsBlanks" dxfId="7" priority="1447">
      <formula>LEN(TRIM(K63))&gt;0</formula>
    </cfRule>
  </conditionalFormatting>
  <conditionalFormatting sqref="K67">
    <cfRule type="expression" dxfId="3" priority="1555">
      <formula>COUNTIF(INDIRECT("Checklist!$A514"), "TRUE") = 1</formula>
    </cfRule>
    <cfRule type="expression" dxfId="4" priority="1556">
      <formula>COUNTIF(INDIRECT("Checklist!$A514"), "FALSE") = 1</formula>
    </cfRule>
    <cfRule type="notContainsBlanks" dxfId="7" priority="1557">
      <formula>LEN(TRIM(K67))&gt;0</formula>
    </cfRule>
  </conditionalFormatting>
  <conditionalFormatting sqref="K68">
    <cfRule type="expression" dxfId="3" priority="1573">
      <formula>COUNTIF(INDIRECT("Checklist!$A520"), "TRUE") = 1</formula>
    </cfRule>
    <cfRule type="expression" dxfId="4" priority="1574">
      <formula>COUNTIF(INDIRECT("Checklist!$A520"), "FALSE") = 1</formula>
    </cfRule>
    <cfRule type="notContainsBlanks" dxfId="7" priority="1575">
      <formula>LEN(TRIM(K68))&gt;0</formula>
    </cfRule>
  </conditionalFormatting>
  <conditionalFormatting sqref="K69">
    <cfRule type="expression" dxfId="3" priority="1591">
      <formula>COUNTIF(INDIRECT("Checklist!$A526"), "TRUE") = 1</formula>
    </cfRule>
    <cfRule type="expression" dxfId="4" priority="1592">
      <formula>COUNTIF(INDIRECT("Checklist!$A526"), "FALSE") = 1</formula>
    </cfRule>
    <cfRule type="notContainsBlanks" dxfId="7" priority="1593">
      <formula>LEN(TRIM(K69))&gt;0</formula>
    </cfRule>
  </conditionalFormatting>
  <conditionalFormatting sqref="K7">
    <cfRule type="expression" dxfId="3" priority="171">
      <formula>COUNTIF(INDIRECT("Checklist!$A58"), "TRUE") = 1</formula>
    </cfRule>
    <cfRule type="expression" dxfId="4" priority="172">
      <formula>COUNTIF(INDIRECT("Checklist!$A58"), "FALSE") = 1</formula>
    </cfRule>
    <cfRule type="notContainsBlanks" dxfId="7" priority="173">
      <formula>LEN(TRIM(K7))&gt;0</formula>
    </cfRule>
  </conditionalFormatting>
  <conditionalFormatting sqref="K70">
    <cfRule type="expression" dxfId="3" priority="1609">
      <formula>COUNTIF(INDIRECT("Checklist!$A532"), "TRUE") = 1</formula>
    </cfRule>
    <cfRule type="expression" dxfId="4" priority="1610">
      <formula>COUNTIF(INDIRECT("Checklist!$A532"), "FALSE") = 1</formula>
    </cfRule>
    <cfRule type="notContainsBlanks" dxfId="7" priority="1611">
      <formula>LEN(TRIM(K70))&gt;0</formula>
    </cfRule>
  </conditionalFormatting>
  <conditionalFormatting sqref="K71">
    <cfRule type="expression" dxfId="3" priority="1627">
      <formula>COUNTIF(INDIRECT("Checklist!$A538"), "TRUE") = 1</formula>
    </cfRule>
    <cfRule type="expression" dxfId="4" priority="1628">
      <formula>COUNTIF(INDIRECT("Checklist!$A538"), "FALSE") = 1</formula>
    </cfRule>
    <cfRule type="notContainsBlanks" dxfId="7" priority="1629">
      <formula>LEN(TRIM(K71))&gt;0</formula>
    </cfRule>
  </conditionalFormatting>
  <conditionalFormatting sqref="K75">
    <cfRule type="expression" dxfId="3" priority="1737">
      <formula>COUNTIF(INDIRECT("Checklist!$A574"), "TRUE") = 1</formula>
    </cfRule>
    <cfRule type="expression" dxfId="4" priority="1738">
      <formula>COUNTIF(INDIRECT("Checklist!$A574"), "FALSE") = 1</formula>
    </cfRule>
    <cfRule type="notContainsBlanks" dxfId="7" priority="1739">
      <formula>LEN(TRIM(K75))&gt;0</formula>
    </cfRule>
  </conditionalFormatting>
  <conditionalFormatting sqref="K76">
    <cfRule type="expression" dxfId="3" priority="1755">
      <formula>COUNTIF(INDIRECT("Checklist!$A580"), "TRUE") = 1</formula>
    </cfRule>
    <cfRule type="expression" dxfId="4" priority="1756">
      <formula>COUNTIF(INDIRECT("Checklist!$A580"), "FALSE") = 1</formula>
    </cfRule>
    <cfRule type="notContainsBlanks" dxfId="7" priority="1757">
      <formula>LEN(TRIM(K76))&gt;0</formula>
    </cfRule>
  </conditionalFormatting>
  <conditionalFormatting sqref="K77">
    <cfRule type="expression" dxfId="3" priority="1773">
      <formula>COUNTIF(INDIRECT("Checklist!$A586"), "TRUE") = 1</formula>
    </cfRule>
    <cfRule type="expression" dxfId="4" priority="1774">
      <formula>COUNTIF(INDIRECT("Checklist!$A586"), "FALSE") = 1</formula>
    </cfRule>
    <cfRule type="notContainsBlanks" dxfId="7" priority="1775">
      <formula>LEN(TRIM(K77))&gt;0</formula>
    </cfRule>
  </conditionalFormatting>
  <conditionalFormatting sqref="K78">
    <cfRule type="expression" dxfId="3" priority="1791">
      <formula>COUNTIF(INDIRECT("Checklist!$A592"), "TRUE") = 1</formula>
    </cfRule>
    <cfRule type="expression" dxfId="4" priority="1792">
      <formula>COUNTIF(INDIRECT("Checklist!$A592"), "FALSE") = 1</formula>
    </cfRule>
    <cfRule type="notContainsBlanks" dxfId="7" priority="1793">
      <formula>LEN(TRIM(K78))&gt;0</formula>
    </cfRule>
  </conditionalFormatting>
  <conditionalFormatting sqref="K79">
    <cfRule type="expression" dxfId="3" priority="1809">
      <formula>COUNTIF(INDIRECT("Checklist!$A598"), "TRUE") = 1</formula>
    </cfRule>
    <cfRule type="expression" dxfId="4" priority="1810">
      <formula>COUNTIF(INDIRECT("Checklist!$A598"), "FALSE") = 1</formula>
    </cfRule>
    <cfRule type="notContainsBlanks" dxfId="7" priority="1811">
      <formula>LEN(TRIM(K79))&gt;0</formula>
    </cfRule>
  </conditionalFormatting>
  <conditionalFormatting sqref="K83">
    <cfRule type="expression" dxfId="3" priority="1919">
      <formula>COUNTIF(INDIRECT("Checklist!$A634"), "TRUE") = 1</formula>
    </cfRule>
    <cfRule type="expression" dxfId="4" priority="1920">
      <formula>COUNTIF(INDIRECT("Checklist!$A634"), "FALSE") = 1</formula>
    </cfRule>
    <cfRule type="notContainsBlanks" dxfId="7" priority="1921">
      <formula>LEN(TRIM(K83))&gt;0</formula>
    </cfRule>
  </conditionalFormatting>
  <conditionalFormatting sqref="K84">
    <cfRule type="expression" dxfId="3" priority="1937">
      <formula>COUNTIF(INDIRECT("Checklist!$A640"), "TRUE") = 1</formula>
    </cfRule>
    <cfRule type="expression" dxfId="4" priority="1938">
      <formula>COUNTIF(INDIRECT("Checklist!$A640"), "FALSE") = 1</formula>
    </cfRule>
    <cfRule type="notContainsBlanks" dxfId="7" priority="1939">
      <formula>LEN(TRIM(K84))&gt;0</formula>
    </cfRule>
  </conditionalFormatting>
  <conditionalFormatting sqref="K85">
    <cfRule type="expression" dxfId="3" priority="1955">
      <formula>COUNTIF(INDIRECT("Checklist!$A646"), "TRUE") = 1</formula>
    </cfRule>
    <cfRule type="expression" dxfId="4" priority="1956">
      <formula>COUNTIF(INDIRECT("Checklist!$A646"), "FALSE") = 1</formula>
    </cfRule>
    <cfRule type="notContainsBlanks" dxfId="7" priority="1957">
      <formula>LEN(TRIM(K85))&gt;0</formula>
    </cfRule>
  </conditionalFormatting>
  <conditionalFormatting sqref="K86">
    <cfRule type="expression" dxfId="3" priority="1973">
      <formula>COUNTIF(INDIRECT("Checklist!$A652"), "TRUE") = 1</formula>
    </cfRule>
    <cfRule type="expression" dxfId="4" priority="1974">
      <formula>COUNTIF(INDIRECT("Checklist!$A652"), "FALSE") = 1</formula>
    </cfRule>
    <cfRule type="notContainsBlanks" dxfId="7" priority="1975">
      <formula>LEN(TRIM(K86))&gt;0</formula>
    </cfRule>
  </conditionalFormatting>
  <conditionalFormatting sqref="K87">
    <cfRule type="expression" dxfId="3" priority="1991">
      <formula>COUNTIF(INDIRECT("Checklist!$A658"), "TRUE") = 1</formula>
    </cfRule>
    <cfRule type="expression" dxfId="4" priority="1992">
      <formula>COUNTIF(INDIRECT("Checklist!$A658"), "FALSE") = 1</formula>
    </cfRule>
    <cfRule type="notContainsBlanks" dxfId="7" priority="1993">
      <formula>LEN(TRIM(K87))&gt;0</formula>
    </cfRule>
  </conditionalFormatting>
  <conditionalFormatting sqref="K91">
    <cfRule type="expression" dxfId="3" priority="2101">
      <formula>COUNTIF(INDIRECT("Checklist!$A694"), "TRUE") = 1</formula>
    </cfRule>
    <cfRule type="expression" dxfId="4" priority="2102">
      <formula>COUNTIF(INDIRECT("Checklist!$A694"), "FALSE") = 1</formula>
    </cfRule>
    <cfRule type="notContainsBlanks" dxfId="7" priority="2103">
      <formula>LEN(TRIM(K91))&gt;0</formula>
    </cfRule>
  </conditionalFormatting>
  <conditionalFormatting sqref="K92">
    <cfRule type="expression" dxfId="3" priority="2119">
      <formula>COUNTIF(INDIRECT("Checklist!$A700"), "TRUE") = 1</formula>
    </cfRule>
    <cfRule type="expression" dxfId="4" priority="2120">
      <formula>COUNTIF(INDIRECT("Checklist!$A700"), "FALSE") = 1</formula>
    </cfRule>
    <cfRule type="notContainsBlanks" dxfId="7" priority="2121">
      <formula>LEN(TRIM(K92))&gt;0</formula>
    </cfRule>
  </conditionalFormatting>
  <conditionalFormatting sqref="K93">
    <cfRule type="expression" dxfId="3" priority="2137">
      <formula>COUNTIF(INDIRECT("Checklist!$A706"), "TRUE") = 1</formula>
    </cfRule>
    <cfRule type="expression" dxfId="4" priority="2138">
      <formula>COUNTIF(INDIRECT("Checklist!$A706"), "FALSE") = 1</formula>
    </cfRule>
    <cfRule type="notContainsBlanks" dxfId="7" priority="2139">
      <formula>LEN(TRIM(K93))&gt;0</formula>
    </cfRule>
  </conditionalFormatting>
  <conditionalFormatting sqref="K94">
    <cfRule type="expression" dxfId="3" priority="2155">
      <formula>COUNTIF(INDIRECT("Checklist!$A712"), "TRUE") = 1</formula>
    </cfRule>
    <cfRule type="expression" dxfId="4" priority="2156">
      <formula>COUNTIF(INDIRECT("Checklist!$A712"), "FALSE") = 1</formula>
    </cfRule>
    <cfRule type="notContainsBlanks" dxfId="7" priority="2157">
      <formula>LEN(TRIM(K94))&gt;0</formula>
    </cfRule>
  </conditionalFormatting>
  <conditionalFormatting sqref="K95">
    <cfRule type="expression" dxfId="3" priority="2173">
      <formula>COUNTIF(INDIRECT("Checklist!$A718"), "TRUE") = 1</formula>
    </cfRule>
    <cfRule type="expression" dxfId="4" priority="2174">
      <formula>COUNTIF(INDIRECT("Checklist!$A718"), "FALSE") = 1</formula>
    </cfRule>
    <cfRule type="notContainsBlanks" dxfId="7" priority="2175">
      <formula>LEN(TRIM(K95))&gt;0</formula>
    </cfRule>
  </conditionalFormatting>
  <conditionalFormatting sqref="K99">
    <cfRule type="expression" dxfId="3" priority="2283">
      <formula>COUNTIF(INDIRECT("Checklist!$A754"), "TRUE") = 1</formula>
    </cfRule>
    <cfRule type="expression" dxfId="4" priority="2284">
      <formula>COUNTIF(INDIRECT("Checklist!$A754"), "FALSE") = 1</formula>
    </cfRule>
    <cfRule type="notContainsBlanks" dxfId="7" priority="2285">
      <formula>LEN(TRIM(K99))&gt;0</formula>
    </cfRule>
  </conditionalFormatting>
  <conditionalFormatting sqref="L100">
    <cfRule type="expression" dxfId="3" priority="2304">
      <formula>COUNTIF(INDIRECT("Checklist!$A761"), "TRUE") = 1</formula>
    </cfRule>
    <cfRule type="expression" dxfId="4" priority="2305">
      <formula>COUNTIF(INDIRECT("Checklist!$A761"), "FALSE") = 1</formula>
    </cfRule>
    <cfRule type="notContainsBlanks" dxfId="7" priority="2306">
      <formula>LEN(TRIM(L100))&gt;0</formula>
    </cfRule>
  </conditionalFormatting>
  <conditionalFormatting sqref="L101">
    <cfRule type="expression" dxfId="3" priority="2322">
      <formula>COUNTIF(INDIRECT("Checklist!$A767"), "TRUE") = 1</formula>
    </cfRule>
    <cfRule type="expression" dxfId="4" priority="2323">
      <formula>COUNTIF(INDIRECT("Checklist!$A767"), "FALSE") = 1</formula>
    </cfRule>
    <cfRule type="notContainsBlanks" dxfId="7" priority="2324">
      <formula>LEN(TRIM(L101))&gt;0</formula>
    </cfRule>
  </conditionalFormatting>
  <conditionalFormatting sqref="L102">
    <cfRule type="expression" dxfId="3" priority="2340">
      <formula>COUNTIF(INDIRECT("Checklist!$A773"), "TRUE") = 1</formula>
    </cfRule>
    <cfRule type="expression" dxfId="4" priority="2341">
      <formula>COUNTIF(INDIRECT("Checklist!$A773"), "FALSE") = 1</formula>
    </cfRule>
    <cfRule type="notContainsBlanks" dxfId="7" priority="2342">
      <formula>LEN(TRIM(L102))&gt;0</formula>
    </cfRule>
  </conditionalFormatting>
  <conditionalFormatting sqref="L103">
    <cfRule type="expression" dxfId="3" priority="2358">
      <formula>COUNTIF(INDIRECT("Checklist!$A779"), "TRUE") = 1</formula>
    </cfRule>
    <cfRule type="expression" dxfId="4" priority="2359">
      <formula>COUNTIF(INDIRECT("Checklist!$A779"), "FALSE") = 1</formula>
    </cfRule>
    <cfRule type="notContainsBlanks" dxfId="7" priority="2360">
      <formula>LEN(TRIM(L103))&gt;0</formula>
    </cfRule>
  </conditionalFormatting>
  <conditionalFormatting sqref="L107">
    <cfRule type="expression" dxfId="3" priority="2468">
      <formula>COUNTIF(INDIRECT("Checklist!$A815"), "TRUE") = 1</formula>
    </cfRule>
    <cfRule type="expression" dxfId="4" priority="2469">
      <formula>COUNTIF(INDIRECT("Checklist!$A815"), "FALSE") = 1</formula>
    </cfRule>
    <cfRule type="notContainsBlanks" dxfId="7" priority="2470">
      <formula>LEN(TRIM(L107))&gt;0</formula>
    </cfRule>
  </conditionalFormatting>
  <conditionalFormatting sqref="L108">
    <cfRule type="expression" dxfId="3" priority="2486">
      <formula>COUNTIF(INDIRECT("Checklist!$A821"), "TRUE") = 1</formula>
    </cfRule>
    <cfRule type="expression" dxfId="4" priority="2487">
      <formula>COUNTIF(INDIRECT("Checklist!$A821"), "FALSE") = 1</formula>
    </cfRule>
    <cfRule type="notContainsBlanks" dxfId="7" priority="2488">
      <formula>LEN(TRIM(L108))&gt;0</formula>
    </cfRule>
  </conditionalFormatting>
  <conditionalFormatting sqref="L109">
    <cfRule type="expression" dxfId="3" priority="2504">
      <formula>COUNTIF(INDIRECT("Checklist!$A1224"), "TRUE") = 1</formula>
    </cfRule>
    <cfRule type="expression" dxfId="4" priority="2505">
      <formula>COUNTIF(INDIRECT("Checklist!$A1224"), "FALSE") = 1</formula>
    </cfRule>
    <cfRule type="notContainsBlanks" dxfId="7" priority="2506">
      <formula>LEN(TRIM(L109))&gt;0</formula>
    </cfRule>
  </conditionalFormatting>
  <conditionalFormatting sqref="L11">
    <cfRule type="expression" dxfId="3" priority="284">
      <formula>COUNTIF(INDIRECT("Checklist!$A1212"), "TRUE") = 1</formula>
    </cfRule>
    <cfRule type="expression" dxfId="4" priority="285">
      <formula>COUNTIF(INDIRECT("Checklist!$A1212"), "FALSE") = 1</formula>
    </cfRule>
    <cfRule type="notContainsBlanks" dxfId="7" priority="286">
      <formula>LEN(TRIM(L11))&gt;0</formula>
    </cfRule>
  </conditionalFormatting>
  <conditionalFormatting sqref="L110">
    <cfRule type="expression" dxfId="3" priority="2522">
      <formula>COUNTIF(INDIRECT("Checklist!$A833"), "TRUE") = 1</formula>
    </cfRule>
    <cfRule type="expression" dxfId="4" priority="2523">
      <formula>COUNTIF(INDIRECT("Checklist!$A833"), "FALSE") = 1</formula>
    </cfRule>
    <cfRule type="notContainsBlanks" dxfId="7" priority="2524">
      <formula>LEN(TRIM(L110))&gt;0</formula>
    </cfRule>
  </conditionalFormatting>
  <conditionalFormatting sqref="L111">
    <cfRule type="expression" dxfId="3" priority="2540">
      <formula>COUNTIF(INDIRECT("Checklist!$A839"), "TRUE") = 1</formula>
    </cfRule>
    <cfRule type="expression" dxfId="4" priority="2541">
      <formula>COUNTIF(INDIRECT("Checklist!$A839"), "FALSE") = 1</formula>
    </cfRule>
    <cfRule type="notContainsBlanks" dxfId="7" priority="2542">
      <formula>LEN(TRIM(L111))&gt;0</formula>
    </cfRule>
  </conditionalFormatting>
  <conditionalFormatting sqref="L115">
    <cfRule type="expression" dxfId="3" priority="2650">
      <formula>COUNTIF(INDIRECT("Checklist!$A875"), "TRUE") = 1</formula>
    </cfRule>
    <cfRule type="expression" dxfId="4" priority="2651">
      <formula>COUNTIF(INDIRECT("Checklist!$A875"), "FALSE") = 1</formula>
    </cfRule>
    <cfRule type="notContainsBlanks" dxfId="7" priority="2652">
      <formula>LEN(TRIM(L115))&gt;0</formula>
    </cfRule>
  </conditionalFormatting>
  <conditionalFormatting sqref="L116">
    <cfRule type="expression" dxfId="3" priority="2668">
      <formula>COUNTIF(INDIRECT("Checklist!$A881"), "TRUE") = 1</formula>
    </cfRule>
    <cfRule type="expression" dxfId="4" priority="2669">
      <formula>COUNTIF(INDIRECT("Checklist!$A881"), "FALSE") = 1</formula>
    </cfRule>
    <cfRule type="notContainsBlanks" dxfId="7" priority="2670">
      <formula>LEN(TRIM(L116))&gt;0</formula>
    </cfRule>
  </conditionalFormatting>
  <conditionalFormatting sqref="L117">
    <cfRule type="expression" dxfId="3" priority="2686">
      <formula>COUNTIF(INDIRECT("Checklist!$A887"), "TRUE") = 1</formula>
    </cfRule>
    <cfRule type="expression" dxfId="4" priority="2687">
      <formula>COUNTIF(INDIRECT("Checklist!$A887"), "FALSE") = 1</formula>
    </cfRule>
    <cfRule type="notContainsBlanks" dxfId="7" priority="2688">
      <formula>LEN(TRIM(L117))&gt;0</formula>
    </cfRule>
  </conditionalFormatting>
  <conditionalFormatting sqref="L118">
    <cfRule type="expression" dxfId="3" priority="2704">
      <formula>COUNTIF(INDIRECT("Checklist!$A1238"), "TRUE") = 1</formula>
    </cfRule>
    <cfRule type="expression" dxfId="4" priority="2705">
      <formula>COUNTIF(INDIRECT("Checklist!$A1238"), "FALSE") = 1</formula>
    </cfRule>
    <cfRule type="notContainsBlanks" dxfId="7" priority="2706">
      <formula>LEN(TRIM(L118))&gt;0</formula>
    </cfRule>
  </conditionalFormatting>
  <conditionalFormatting sqref="L119">
    <cfRule type="expression" dxfId="3" priority="2722">
      <formula>COUNTIF(INDIRECT("Checklist!$A899"), "TRUE") = 1</formula>
    </cfRule>
    <cfRule type="expression" dxfId="4" priority="2723">
      <formula>COUNTIF(INDIRECT("Checklist!$A899"), "FALSE") = 1</formula>
    </cfRule>
    <cfRule type="notContainsBlanks" dxfId="7" priority="2724">
      <formula>LEN(TRIM(L119))&gt;0</formula>
    </cfRule>
  </conditionalFormatting>
  <conditionalFormatting sqref="L12">
    <cfRule type="expression" dxfId="3" priority="302">
      <formula>COUNTIF(INDIRECT("Checklist!$A101"), "TRUE") = 1</formula>
    </cfRule>
    <cfRule type="expression" dxfId="4" priority="303">
      <formula>COUNTIF(INDIRECT("Checklist!$A101"), "FALSE") = 1</formula>
    </cfRule>
    <cfRule type="notContainsBlanks" dxfId="7" priority="304">
      <formula>LEN(TRIM(L12))&gt;0</formula>
    </cfRule>
  </conditionalFormatting>
  <conditionalFormatting sqref="L123">
    <cfRule type="expression" dxfId="3" priority="2757">
      <formula>COUNTIF(INDIRECT("Checklist!$A910"), "TRUE") = 1</formula>
    </cfRule>
    <cfRule type="expression" dxfId="4" priority="2758">
      <formula>COUNTIF(INDIRECT("Checklist!$A910"), "FALSE") = 1</formula>
    </cfRule>
    <cfRule type="notContainsBlanks" dxfId="7" priority="2759">
      <formula>LEN(TRIM(L123))&gt;0</formula>
    </cfRule>
  </conditionalFormatting>
  <conditionalFormatting sqref="L124">
    <cfRule type="expression" dxfId="3" priority="2775">
      <formula>COUNTIF(INDIRECT("Checklist!$A916"), "TRUE") = 1</formula>
    </cfRule>
    <cfRule type="expression" dxfId="4" priority="2776">
      <formula>COUNTIF(INDIRECT("Checklist!$A916"), "FALSE") = 1</formula>
    </cfRule>
    <cfRule type="notContainsBlanks" dxfId="7" priority="2777">
      <formula>LEN(TRIM(L124))&gt;0</formula>
    </cfRule>
  </conditionalFormatting>
  <conditionalFormatting sqref="L125">
    <cfRule type="expression" dxfId="3" priority="2793">
      <formula>COUNTIF(INDIRECT("Checklist!$A922"), "TRUE") = 1</formula>
    </cfRule>
    <cfRule type="expression" dxfId="4" priority="2794">
      <formula>COUNTIF(INDIRECT("Checklist!$A922"), "FALSE") = 1</formula>
    </cfRule>
    <cfRule type="notContainsBlanks" dxfId="7" priority="2795">
      <formula>LEN(TRIM(L125))&gt;0</formula>
    </cfRule>
  </conditionalFormatting>
  <conditionalFormatting sqref="L126">
    <cfRule type="expression" dxfId="3" priority="2811">
      <formula>COUNTIF(INDIRECT("Checklist!$A928"), "TRUE") = 1</formula>
    </cfRule>
    <cfRule type="expression" dxfId="4" priority="2812">
      <formula>COUNTIF(INDIRECT("Checklist!$A928"), "FALSE") = 1</formula>
    </cfRule>
    <cfRule type="notContainsBlanks" dxfId="7" priority="2813">
      <formula>LEN(TRIM(L126))&gt;0</formula>
    </cfRule>
  </conditionalFormatting>
  <conditionalFormatting sqref="L127">
    <cfRule type="expression" dxfId="3" priority="2829">
      <formula>COUNTIF(INDIRECT("Checklist!$A934"), "TRUE") = 1</formula>
    </cfRule>
    <cfRule type="expression" dxfId="4" priority="2830">
      <formula>COUNTIF(INDIRECT("Checklist!$A934"), "FALSE") = 1</formula>
    </cfRule>
    <cfRule type="notContainsBlanks" dxfId="7" priority="2831">
      <formula>LEN(TRIM(L127))&gt;0</formula>
    </cfRule>
  </conditionalFormatting>
  <conditionalFormatting sqref="L13">
    <cfRule type="expression" dxfId="3" priority="320">
      <formula>COUNTIF(INDIRECT("Checklist!$A107"), "TRUE") = 1</formula>
    </cfRule>
    <cfRule type="expression" dxfId="4" priority="321">
      <formula>COUNTIF(INDIRECT("Checklist!$A107"), "FALSE") = 1</formula>
    </cfRule>
    <cfRule type="notContainsBlanks" dxfId="7" priority="322">
      <formula>LEN(TRIM(L13))&gt;0</formula>
    </cfRule>
  </conditionalFormatting>
  <conditionalFormatting sqref="L131">
    <cfRule type="expression" dxfId="3" priority="2939">
      <formula>COUNTIF(INDIRECT("Checklist!$A970"), "TRUE") = 1</formula>
    </cfRule>
    <cfRule type="expression" dxfId="4" priority="2940">
      <formula>COUNTIF(INDIRECT("Checklist!$A970"), "FALSE") = 1</formula>
    </cfRule>
    <cfRule type="notContainsBlanks" dxfId="7" priority="2941">
      <formula>LEN(TRIM(L131))&gt;0</formula>
    </cfRule>
  </conditionalFormatting>
  <conditionalFormatting sqref="L132">
    <cfRule type="expression" dxfId="3" priority="2957">
      <formula>COUNTIF(INDIRECT("Checklist!$A976"), "TRUE") = 1</formula>
    </cfRule>
    <cfRule type="expression" dxfId="4" priority="2958">
      <formula>COUNTIF(INDIRECT("Checklist!$A976"), "FALSE") = 1</formula>
    </cfRule>
    <cfRule type="notContainsBlanks" dxfId="7" priority="2959">
      <formula>LEN(TRIM(L132))&gt;0</formula>
    </cfRule>
  </conditionalFormatting>
  <conditionalFormatting sqref="L133">
    <cfRule type="expression" dxfId="3" priority="2975">
      <formula>COUNTIF(INDIRECT("Checklist!$A982"), "TRUE") = 1</formula>
    </cfRule>
    <cfRule type="expression" dxfId="4" priority="2976">
      <formula>COUNTIF(INDIRECT("Checklist!$A982"), "FALSE") = 1</formula>
    </cfRule>
    <cfRule type="notContainsBlanks" dxfId="7" priority="2977">
      <formula>LEN(TRIM(L133))&gt;0</formula>
    </cfRule>
  </conditionalFormatting>
  <conditionalFormatting sqref="L134">
    <cfRule type="expression" dxfId="3" priority="2993">
      <formula>COUNTIF(INDIRECT("Checklist!$A988"), "TRUE") = 1</formula>
    </cfRule>
    <cfRule type="expression" dxfId="4" priority="2994">
      <formula>COUNTIF(INDIRECT("Checklist!$A988"), "FALSE") = 1</formula>
    </cfRule>
    <cfRule type="notContainsBlanks" dxfId="7" priority="2995">
      <formula>LEN(TRIM(L134))&gt;0</formula>
    </cfRule>
  </conditionalFormatting>
  <conditionalFormatting sqref="L135">
    <cfRule type="expression" dxfId="3" priority="3011">
      <formula>COUNTIF(INDIRECT("Checklist!$A994"), "TRUE") = 1</formula>
    </cfRule>
    <cfRule type="expression" dxfId="4" priority="3012">
      <formula>COUNTIF(INDIRECT("Checklist!$A994"), "FALSE") = 1</formula>
    </cfRule>
    <cfRule type="notContainsBlanks" dxfId="7" priority="3013">
      <formula>LEN(TRIM(L135))&gt;0</formula>
    </cfRule>
  </conditionalFormatting>
  <conditionalFormatting sqref="L139">
    <cfRule type="expression" dxfId="3" priority="3067">
      <formula>COUNTIF(INDIRECT("Checklist!$A1011"), "TRUE") = 1</formula>
    </cfRule>
    <cfRule type="expression" dxfId="4" priority="3068">
      <formula>COUNTIF(INDIRECT("Checklist!$A1011"), "FALSE") = 1</formula>
    </cfRule>
    <cfRule type="notContainsBlanks" dxfId="7" priority="3069">
      <formula>LEN(TRIM(L139))&gt;0</formula>
    </cfRule>
  </conditionalFormatting>
  <conditionalFormatting sqref="L14">
    <cfRule type="expression" dxfId="3" priority="338">
      <formula>COUNTIF(INDIRECT("Checklist!$A113"), "TRUE") = 1</formula>
    </cfRule>
    <cfRule type="expression" dxfId="4" priority="339">
      <formula>COUNTIF(INDIRECT("Checklist!$A113"), "FALSE") = 1</formula>
    </cfRule>
    <cfRule type="notContainsBlanks" dxfId="7" priority="340">
      <formula>LEN(TRIM(L14))&gt;0</formula>
    </cfRule>
  </conditionalFormatting>
  <conditionalFormatting sqref="L147">
    <cfRule type="expression" dxfId="3" priority="3180">
      <formula>COUNTIF(INDIRECT("Checklist!$A1046"), "TRUE") = 1</formula>
    </cfRule>
    <cfRule type="expression" dxfId="4" priority="3181">
      <formula>COUNTIF(INDIRECT("Checklist!$A1046"), "FALSE") = 1</formula>
    </cfRule>
    <cfRule type="notContainsBlanks" dxfId="7" priority="3182">
      <formula>LEN(TRIM(L147))&gt;0</formula>
    </cfRule>
  </conditionalFormatting>
  <conditionalFormatting sqref="L148">
    <cfRule type="expression" dxfId="3" priority="3198">
      <formula>COUNTIF(INDIRECT("Checklist!$A423"), "TRUE") = 1</formula>
    </cfRule>
    <cfRule type="expression" dxfId="4" priority="3199">
      <formula>COUNTIF(INDIRECT("Checklist!$A423"), "FALSE") = 1</formula>
    </cfRule>
    <cfRule type="notContainsBlanks" dxfId="7" priority="3200">
      <formula>LEN(TRIM(L148))&gt;0</formula>
    </cfRule>
  </conditionalFormatting>
  <conditionalFormatting sqref="L149">
    <cfRule type="expression" dxfId="3" priority="3216">
      <formula>COUNTIF(INDIRECT("Checklist!$A1051"), "TRUE") = 1</formula>
    </cfRule>
    <cfRule type="expression" dxfId="4" priority="3217">
      <formula>COUNTIF(INDIRECT("Checklist!$A1051"), "FALSE") = 1</formula>
    </cfRule>
    <cfRule type="notContainsBlanks" dxfId="7" priority="3218">
      <formula>LEN(TRIM(L149))&gt;0</formula>
    </cfRule>
  </conditionalFormatting>
  <conditionalFormatting sqref="L15">
    <cfRule type="expression" dxfId="3" priority="356">
      <formula>COUNTIF(INDIRECT("Checklist!$A119"), "TRUE") = 1</formula>
    </cfRule>
    <cfRule type="expression" dxfId="4" priority="357">
      <formula>COUNTIF(INDIRECT("Checklist!$A119"), "FALSE") = 1</formula>
    </cfRule>
    <cfRule type="notContainsBlanks" dxfId="7" priority="358">
      <formula>LEN(TRIM(L15))&gt;0</formula>
    </cfRule>
  </conditionalFormatting>
  <conditionalFormatting sqref="L150">
    <cfRule type="expression" dxfId="3" priority="3234">
      <formula>COUNTIF(INDIRECT("Checklist!$A1055"), "TRUE") = 1</formula>
    </cfRule>
    <cfRule type="expression" dxfId="4" priority="3235">
      <formula>COUNTIF(INDIRECT("Checklist!$A1055"), "FALSE") = 1</formula>
    </cfRule>
    <cfRule type="notContainsBlanks" dxfId="7" priority="3236">
      <formula>LEN(TRIM(L150))&gt;0</formula>
    </cfRule>
  </conditionalFormatting>
  <conditionalFormatting sqref="L155">
    <cfRule type="expression" dxfId="3" priority="3338">
      <formula>COUNTIF(INDIRECT("Checklist!$A1072"), "TRUE") = 1</formula>
    </cfRule>
    <cfRule type="expression" dxfId="4" priority="3339">
      <formula>COUNTIF(INDIRECT("Checklist!$A1072"), "FALSE") = 1</formula>
    </cfRule>
    <cfRule type="notContainsBlanks" dxfId="7" priority="3340">
      <formula>LEN(TRIM(L155))&gt;0</formula>
    </cfRule>
  </conditionalFormatting>
  <conditionalFormatting sqref="L156">
    <cfRule type="expression" dxfId="3" priority="3356">
      <formula>COUNTIF(INDIRECT("Checklist!$A1075"), "TRUE") = 1</formula>
    </cfRule>
    <cfRule type="expression" dxfId="4" priority="3357">
      <formula>COUNTIF(INDIRECT("Checklist!$A1075"), "FALSE") = 1</formula>
    </cfRule>
    <cfRule type="notContainsBlanks" dxfId="7" priority="3358">
      <formula>LEN(TRIM(L156))&gt;0</formula>
    </cfRule>
  </conditionalFormatting>
  <conditionalFormatting sqref="L157">
    <cfRule type="expression" dxfId="3" priority="3374">
      <formula>COUNTIF(INDIRECT("Checklist!$A1078"), "TRUE") = 1</formula>
    </cfRule>
    <cfRule type="expression" dxfId="4" priority="3375">
      <formula>COUNTIF(INDIRECT("Checklist!$A1078"), "FALSE") = 1</formula>
    </cfRule>
    <cfRule type="notContainsBlanks" dxfId="7" priority="3376">
      <formula>LEN(TRIM(L157))&gt;0</formula>
    </cfRule>
  </conditionalFormatting>
  <conditionalFormatting sqref="L158">
    <cfRule type="expression" dxfId="3" priority="3392">
      <formula>COUNTIF(INDIRECT("Checklist!$A1083"), "TRUE") = 1</formula>
    </cfRule>
    <cfRule type="expression" dxfId="4" priority="3393">
      <formula>COUNTIF(INDIRECT("Checklist!$A1083"), "FALSE") = 1</formula>
    </cfRule>
    <cfRule type="notContainsBlanks" dxfId="7" priority="3394">
      <formula>LEN(TRIM(L158))&gt;0</formula>
    </cfRule>
  </conditionalFormatting>
  <conditionalFormatting sqref="L163">
    <cfRule type="expression" dxfId="3" priority="3499">
      <formula>COUNTIF(INDIRECT("Checklist!$A1104"), "TRUE") = 1</formula>
    </cfRule>
    <cfRule type="expression" dxfId="4" priority="3500">
      <formula>COUNTIF(INDIRECT("Checklist!$A1104"), "FALSE") = 1</formula>
    </cfRule>
    <cfRule type="notContainsBlanks" dxfId="7" priority="3501">
      <formula>LEN(TRIM(L163))&gt;0</formula>
    </cfRule>
  </conditionalFormatting>
  <conditionalFormatting sqref="L164">
    <cfRule type="expression" dxfId="3" priority="3517">
      <formula>COUNTIF(INDIRECT("Checklist!$A1110"), "TRUE") = 1</formula>
    </cfRule>
    <cfRule type="expression" dxfId="4" priority="3518">
      <formula>COUNTIF(INDIRECT("Checklist!$A1110"), "FALSE") = 1</formula>
    </cfRule>
    <cfRule type="notContainsBlanks" dxfId="7" priority="3519">
      <formula>LEN(TRIM(L164))&gt;0</formula>
    </cfRule>
  </conditionalFormatting>
  <conditionalFormatting sqref="L165">
    <cfRule type="expression" dxfId="3" priority="3535">
      <formula>COUNTIF(INDIRECT("Checklist!$A1116"), "TRUE") = 1</formula>
    </cfRule>
    <cfRule type="expression" dxfId="4" priority="3536">
      <formula>COUNTIF(INDIRECT("Checklist!$A1116"), "FALSE") = 1</formula>
    </cfRule>
    <cfRule type="notContainsBlanks" dxfId="7" priority="3537">
      <formula>LEN(TRIM(L165))&gt;0</formula>
    </cfRule>
  </conditionalFormatting>
  <conditionalFormatting sqref="L171">
    <cfRule type="expression" dxfId="3" priority="3624">
      <formula>COUNTIF(INDIRECT("Checklist!$None"), "TRUE") = 1</formula>
    </cfRule>
    <cfRule type="expression" dxfId="4" priority="3625">
      <formula>COUNTIF(INDIRECT("Checklist!$None"), "FALSE") = 1</formula>
    </cfRule>
    <cfRule type="notContainsBlanks" dxfId="7" priority="3626">
      <formula>LEN(TRIM(L171))&gt;0</formula>
    </cfRule>
  </conditionalFormatting>
  <conditionalFormatting sqref="L172">
    <cfRule type="expression" dxfId="3" priority="3642">
      <formula>COUNTIF(INDIRECT("Checklist!$A1136"), "TRUE") = 1</formula>
    </cfRule>
    <cfRule type="expression" dxfId="4" priority="3643">
      <formula>COUNTIF(INDIRECT("Checklist!$A1136"), "FALSE") = 1</formula>
    </cfRule>
    <cfRule type="notContainsBlanks" dxfId="7" priority="3644">
      <formula>LEN(TRIM(L172))&gt;0</formula>
    </cfRule>
  </conditionalFormatting>
  <conditionalFormatting sqref="L173">
    <cfRule type="expression" dxfId="3" priority="3660">
      <formula>COUNTIF(INDIRECT("Checklist!$None"), "TRUE") = 1</formula>
    </cfRule>
    <cfRule type="expression" dxfId="4" priority="3661">
      <formula>COUNTIF(INDIRECT("Checklist!$None"), "FALSE") = 1</formula>
    </cfRule>
    <cfRule type="notContainsBlanks" dxfId="7" priority="3662">
      <formula>LEN(TRIM(L173))&gt;0</formula>
    </cfRule>
  </conditionalFormatting>
  <conditionalFormatting sqref="L174">
    <cfRule type="expression" dxfId="3" priority="3678">
      <formula>COUNTIF(INDIRECT("Checklist!$None"), "TRUE") = 1</formula>
    </cfRule>
    <cfRule type="expression" dxfId="4" priority="3679">
      <formula>COUNTIF(INDIRECT("Checklist!$None"), "FALSE") = 1</formula>
    </cfRule>
    <cfRule type="notContainsBlanks" dxfId="7" priority="3680">
      <formula>LEN(TRIM(L174))&gt;0</formula>
    </cfRule>
  </conditionalFormatting>
  <conditionalFormatting sqref="L179">
    <cfRule type="expression" dxfId="3" priority="3791">
      <formula>COUNTIF(INDIRECT("Checklist!$A1170"), "TRUE") = 1</formula>
    </cfRule>
    <cfRule type="expression" dxfId="4" priority="3792">
      <formula>COUNTIF(INDIRECT("Checklist!$A1170"), "FALSE") = 1</formula>
    </cfRule>
    <cfRule type="notContainsBlanks" dxfId="7" priority="3793">
      <formula>LEN(TRIM(L179))&gt;0</formula>
    </cfRule>
  </conditionalFormatting>
  <conditionalFormatting sqref="L180">
    <cfRule type="expression" dxfId="3" priority="3809">
      <formula>COUNTIF(INDIRECT("Checklist!$A1176"), "TRUE") = 1</formula>
    </cfRule>
    <cfRule type="expression" dxfId="4" priority="3810">
      <formula>COUNTIF(INDIRECT("Checklist!$A1176"), "FALSE") = 1</formula>
    </cfRule>
    <cfRule type="notContainsBlanks" dxfId="7" priority="3811">
      <formula>LEN(TRIM(L180))&gt;0</formula>
    </cfRule>
  </conditionalFormatting>
  <conditionalFormatting sqref="L181">
    <cfRule type="expression" dxfId="3" priority="3827">
      <formula>COUNTIF(INDIRECT("Checklist!$A1182"), "TRUE") = 1</formula>
    </cfRule>
    <cfRule type="expression" dxfId="4" priority="3828">
      <formula>COUNTIF(INDIRECT("Checklist!$A1182"), "FALSE") = 1</formula>
    </cfRule>
    <cfRule type="notContainsBlanks" dxfId="7" priority="3829">
      <formula>LEN(TRIM(L181))&gt;0</formula>
    </cfRule>
  </conditionalFormatting>
  <conditionalFormatting sqref="L182">
    <cfRule type="expression" dxfId="3" priority="3845">
      <formula>COUNTIF(INDIRECT("Checklist!$A1188"), "TRUE") = 1</formula>
    </cfRule>
    <cfRule type="expression" dxfId="4" priority="3846">
      <formula>COUNTIF(INDIRECT("Checklist!$A1188"), "FALSE") = 1</formula>
    </cfRule>
    <cfRule type="notContainsBlanks" dxfId="7" priority="3847">
      <formula>LEN(TRIM(L182))&gt;0</formula>
    </cfRule>
  </conditionalFormatting>
  <conditionalFormatting sqref="L183">
    <cfRule type="expression" dxfId="3" priority="3863">
      <formula>COUNTIF(INDIRECT("Checklist!$A1194"), "TRUE") = 1</formula>
    </cfRule>
    <cfRule type="expression" dxfId="4" priority="3864">
      <formula>COUNTIF(INDIRECT("Checklist!$A1194"), "FALSE") = 1</formula>
    </cfRule>
    <cfRule type="notContainsBlanks" dxfId="7" priority="3865">
      <formula>LEN(TRIM(L183))&gt;0</formula>
    </cfRule>
  </conditionalFormatting>
  <conditionalFormatting sqref="L187">
    <cfRule type="expression" dxfId="3" priority="3898">
      <formula>COUNTIF(INDIRECT("Checklist!$A1205"), "TRUE") = 1</formula>
    </cfRule>
    <cfRule type="expression" dxfId="4" priority="3899">
      <formula>COUNTIF(INDIRECT("Checklist!$A1205"), "FALSE") = 1</formula>
    </cfRule>
    <cfRule type="notContainsBlanks" dxfId="7" priority="3900">
      <formula>LEN(TRIM(L187))&gt;0</formula>
    </cfRule>
  </conditionalFormatting>
  <conditionalFormatting sqref="L188">
    <cfRule type="expression" dxfId="3" priority="3916">
      <formula>COUNTIF(INDIRECT("Checklist!$A1211"), "TRUE") = 1</formula>
    </cfRule>
    <cfRule type="expression" dxfId="4" priority="3917">
      <formula>COUNTIF(INDIRECT("Checklist!$A1211"), "FALSE") = 1</formula>
    </cfRule>
    <cfRule type="notContainsBlanks" dxfId="7" priority="3918">
      <formula>LEN(TRIM(L188))&gt;0</formula>
    </cfRule>
  </conditionalFormatting>
  <conditionalFormatting sqref="L189">
    <cfRule type="expression" dxfId="3" priority="3934">
      <formula>COUNTIF(INDIRECT("Checklist!$A1217"), "TRUE") = 1</formula>
    </cfRule>
    <cfRule type="expression" dxfId="4" priority="3935">
      <formula>COUNTIF(INDIRECT("Checklist!$A1217"), "FALSE") = 1</formula>
    </cfRule>
    <cfRule type="notContainsBlanks" dxfId="7" priority="3936">
      <formula>LEN(TRIM(L189))&gt;0</formula>
    </cfRule>
  </conditionalFormatting>
  <conditionalFormatting sqref="L19">
    <cfRule type="expression" dxfId="3" priority="466">
      <formula>COUNTIF(INDIRECT("Checklist!$A155"), "TRUE") = 1</formula>
    </cfRule>
    <cfRule type="expression" dxfId="4" priority="467">
      <formula>COUNTIF(INDIRECT("Checklist!$A155"), "FALSE") = 1</formula>
    </cfRule>
    <cfRule type="notContainsBlanks" dxfId="7" priority="468">
      <formula>LEN(TRIM(L19))&gt;0</formula>
    </cfRule>
  </conditionalFormatting>
  <conditionalFormatting sqref="L190">
    <cfRule type="expression" dxfId="3" priority="3952">
      <formula>COUNTIF(INDIRECT("Checklist!$A1223"), "TRUE") = 1</formula>
    </cfRule>
    <cfRule type="expression" dxfId="4" priority="3953">
      <formula>COUNTIF(INDIRECT("Checklist!$A1223"), "FALSE") = 1</formula>
    </cfRule>
    <cfRule type="notContainsBlanks" dxfId="7" priority="3954">
      <formula>LEN(TRIM(L190))&gt;0</formula>
    </cfRule>
  </conditionalFormatting>
  <conditionalFormatting sqref="L191">
    <cfRule type="expression" dxfId="3" priority="3970">
      <formula>COUNTIF(INDIRECT("Checklist!$A1229"), "TRUE") = 1</formula>
    </cfRule>
    <cfRule type="expression" dxfId="4" priority="3971">
      <formula>COUNTIF(INDIRECT("Checklist!$A1229"), "FALSE") = 1</formula>
    </cfRule>
    <cfRule type="notContainsBlanks" dxfId="7" priority="3972">
      <formula>LEN(TRIM(L191))&gt;0</formula>
    </cfRule>
  </conditionalFormatting>
  <conditionalFormatting sqref="L20">
    <cfRule type="expression" dxfId="3" priority="484">
      <formula>COUNTIF(INDIRECT("Checklist!$A161"), "TRUE") = 1</formula>
    </cfRule>
    <cfRule type="expression" dxfId="4" priority="485">
      <formula>COUNTIF(INDIRECT("Checklist!$A161"), "FALSE") = 1</formula>
    </cfRule>
    <cfRule type="notContainsBlanks" dxfId="7" priority="486">
      <formula>LEN(TRIM(L20))&gt;0</formula>
    </cfRule>
  </conditionalFormatting>
  <conditionalFormatting sqref="L203">
    <cfRule type="expression" dxfId="3" priority="4070">
      <formula>COUNTIF(INDIRECT("Checklist!$A1261"), "TRUE") = 1</formula>
    </cfRule>
    <cfRule type="expression" dxfId="4" priority="4071">
      <formula>COUNTIF(INDIRECT("Checklist!$A1261"), "FALSE") = 1</formula>
    </cfRule>
    <cfRule type="notContainsBlanks" dxfId="7" priority="4072">
      <formula>LEN(TRIM(L203))&gt;0</formula>
    </cfRule>
  </conditionalFormatting>
  <conditionalFormatting sqref="L204">
    <cfRule type="expression" dxfId="3" priority="4088">
      <formula>COUNTIF(INDIRECT("Checklist!$A1267"), "TRUE") = 1</formula>
    </cfRule>
    <cfRule type="expression" dxfId="4" priority="4089">
      <formula>COUNTIF(INDIRECT("Checklist!$A1267"), "FALSE") = 1</formula>
    </cfRule>
    <cfRule type="notContainsBlanks" dxfId="7" priority="4090">
      <formula>LEN(TRIM(L204))&gt;0</formula>
    </cfRule>
  </conditionalFormatting>
  <conditionalFormatting sqref="L205">
    <cfRule type="expression" dxfId="3" priority="4106">
      <formula>COUNTIF(INDIRECT("Checklist!$A1273"), "TRUE") = 1</formula>
    </cfRule>
    <cfRule type="expression" dxfId="4" priority="4107">
      <formula>COUNTIF(INDIRECT("Checklist!$A1273"), "FALSE") = 1</formula>
    </cfRule>
    <cfRule type="notContainsBlanks" dxfId="7" priority="4108">
      <formula>LEN(TRIM(L205))&gt;0</formula>
    </cfRule>
  </conditionalFormatting>
  <conditionalFormatting sqref="L21">
    <cfRule type="expression" dxfId="3" priority="502">
      <formula>COUNTIF(INDIRECT("Checklist!$A167"), "TRUE") = 1</formula>
    </cfRule>
    <cfRule type="expression" dxfId="4" priority="503">
      <formula>COUNTIF(INDIRECT("Checklist!$A167"), "FALSE") = 1</formula>
    </cfRule>
    <cfRule type="notContainsBlanks" dxfId="7" priority="504">
      <formula>LEN(TRIM(L21))&gt;0</formula>
    </cfRule>
  </conditionalFormatting>
  <conditionalFormatting sqref="L22">
    <cfRule type="expression" dxfId="3" priority="520">
      <formula>COUNTIF(INDIRECT("Checklist!$A173"), "TRUE") = 1</formula>
    </cfRule>
    <cfRule type="expression" dxfId="4" priority="521">
      <formula>COUNTIF(INDIRECT("Checklist!$A173"), "FALSE") = 1</formula>
    </cfRule>
    <cfRule type="notContainsBlanks" dxfId="7" priority="522">
      <formula>LEN(TRIM(L22))&gt;0</formula>
    </cfRule>
  </conditionalFormatting>
  <conditionalFormatting sqref="L23">
    <cfRule type="expression" dxfId="3" priority="538">
      <formula>COUNTIF(INDIRECT("Checklist!$A179"), "TRUE") = 1</formula>
    </cfRule>
    <cfRule type="expression" dxfId="4" priority="539">
      <formula>COUNTIF(INDIRECT("Checklist!$A179"), "FALSE") = 1</formula>
    </cfRule>
    <cfRule type="notContainsBlanks" dxfId="7" priority="540">
      <formula>LEN(TRIM(L23))&gt;0</formula>
    </cfRule>
  </conditionalFormatting>
  <conditionalFormatting sqref="L27">
    <cfRule type="expression" dxfId="3" priority="648">
      <formula>COUNTIF(INDIRECT("Checklist!$A215"), "TRUE") = 1</formula>
    </cfRule>
    <cfRule type="expression" dxfId="4" priority="649">
      <formula>COUNTIF(INDIRECT("Checklist!$A215"), "FALSE") = 1</formula>
    </cfRule>
    <cfRule type="notContainsBlanks" dxfId="7" priority="650">
      <formula>LEN(TRIM(L27))&gt;0</formula>
    </cfRule>
  </conditionalFormatting>
  <conditionalFormatting sqref="L28">
    <cfRule type="expression" dxfId="3" priority="666">
      <formula>COUNTIF(INDIRECT("Checklist!$A221"), "TRUE") = 1</formula>
    </cfRule>
    <cfRule type="expression" dxfId="4" priority="667">
      <formula>COUNTIF(INDIRECT("Checklist!$A221"), "FALSE") = 1</formula>
    </cfRule>
    <cfRule type="notContainsBlanks" dxfId="7" priority="668">
      <formula>LEN(TRIM(L28))&gt;0</formula>
    </cfRule>
  </conditionalFormatting>
  <conditionalFormatting sqref="L29">
    <cfRule type="expression" dxfId="3" priority="684">
      <formula>COUNTIF(INDIRECT("Checklist!$A227"), "TRUE") = 1</formula>
    </cfRule>
    <cfRule type="expression" dxfId="4" priority="685">
      <formula>COUNTIF(INDIRECT("Checklist!$A227"), "FALSE") = 1</formula>
    </cfRule>
    <cfRule type="notContainsBlanks" dxfId="7" priority="686">
      <formula>LEN(TRIM(L29))&gt;0</formula>
    </cfRule>
  </conditionalFormatting>
  <conditionalFormatting sqref="L3">
    <cfRule type="expression" dxfId="3" priority="102">
      <formula>COUNTIF(INDIRECT("Checklist!$A35"), "TRUE") = 1</formula>
    </cfRule>
    <cfRule type="expression" dxfId="4" priority="103">
      <formula>COUNTIF(INDIRECT("Checklist!$A35"), "FALSE") = 1</formula>
    </cfRule>
    <cfRule type="notContainsBlanks" dxfId="7" priority="104">
      <formula>LEN(TRIM(L3))&gt;0</formula>
    </cfRule>
  </conditionalFormatting>
  <conditionalFormatting sqref="L30">
    <cfRule type="expression" dxfId="3" priority="702">
      <formula>COUNTIF(INDIRECT("Checklist!$A233"), "TRUE") = 1</formula>
    </cfRule>
    <cfRule type="expression" dxfId="4" priority="703">
      <formula>COUNTIF(INDIRECT("Checklist!$A233"), "FALSE") = 1</formula>
    </cfRule>
    <cfRule type="notContainsBlanks" dxfId="7" priority="704">
      <formula>LEN(TRIM(L30))&gt;0</formula>
    </cfRule>
  </conditionalFormatting>
  <conditionalFormatting sqref="L31">
    <cfRule type="expression" dxfId="3" priority="720">
      <formula>COUNTIF(INDIRECT("Checklist!$A239"), "TRUE") = 1</formula>
    </cfRule>
    <cfRule type="expression" dxfId="4" priority="721">
      <formula>COUNTIF(INDIRECT("Checklist!$A239"), "FALSE") = 1</formula>
    </cfRule>
    <cfRule type="notContainsBlanks" dxfId="7" priority="722">
      <formula>LEN(TRIM(L31))&gt;0</formula>
    </cfRule>
  </conditionalFormatting>
  <conditionalFormatting sqref="L35">
    <cfRule type="expression" dxfId="3" priority="830">
      <formula>COUNTIF(INDIRECT("Checklist!$A275"), "TRUE") = 1</formula>
    </cfRule>
    <cfRule type="expression" dxfId="4" priority="831">
      <formula>COUNTIF(INDIRECT("Checklist!$A275"), "FALSE") = 1</formula>
    </cfRule>
    <cfRule type="notContainsBlanks" dxfId="7" priority="832">
      <formula>LEN(TRIM(L35))&gt;0</formula>
    </cfRule>
  </conditionalFormatting>
  <conditionalFormatting sqref="L36">
    <cfRule type="expression" dxfId="3" priority="848">
      <formula>COUNTIF(INDIRECT("Checklist!$A281"), "TRUE") = 1</formula>
    </cfRule>
    <cfRule type="expression" dxfId="4" priority="849">
      <formula>COUNTIF(INDIRECT("Checklist!$A281"), "FALSE") = 1</formula>
    </cfRule>
    <cfRule type="notContainsBlanks" dxfId="7" priority="850">
      <formula>LEN(TRIM(L36))&gt;0</formula>
    </cfRule>
  </conditionalFormatting>
  <conditionalFormatting sqref="L37">
    <cfRule type="expression" dxfId="3" priority="866">
      <formula>COUNTIF(INDIRECT("Checklist!$A287"), "TRUE") = 1</formula>
    </cfRule>
    <cfRule type="expression" dxfId="4" priority="867">
      <formula>COUNTIF(INDIRECT("Checklist!$A287"), "FALSE") = 1</formula>
    </cfRule>
    <cfRule type="notContainsBlanks" dxfId="7" priority="868">
      <formula>LEN(TRIM(L37))&gt;0</formula>
    </cfRule>
  </conditionalFormatting>
  <conditionalFormatting sqref="L38">
    <cfRule type="expression" dxfId="3" priority="884">
      <formula>COUNTIF(INDIRECT("Checklist!$A293"), "TRUE") = 1</formula>
    </cfRule>
    <cfRule type="expression" dxfId="4" priority="885">
      <formula>COUNTIF(INDIRECT("Checklist!$A293"), "FALSE") = 1</formula>
    </cfRule>
    <cfRule type="notContainsBlanks" dxfId="7" priority="886">
      <formula>LEN(TRIM(L38))&gt;0</formula>
    </cfRule>
  </conditionalFormatting>
  <conditionalFormatting sqref="L39">
    <cfRule type="expression" dxfId="3" priority="902">
      <formula>COUNTIF(INDIRECT("Checklist!$A299"), "TRUE") = 1</formula>
    </cfRule>
    <cfRule type="expression" dxfId="4" priority="903">
      <formula>COUNTIF(INDIRECT("Checklist!$A299"), "FALSE") = 1</formula>
    </cfRule>
    <cfRule type="notContainsBlanks" dxfId="7" priority="904">
      <formula>LEN(TRIM(L39))&gt;0</formula>
    </cfRule>
  </conditionalFormatting>
  <conditionalFormatting sqref="L4">
    <cfRule type="expression" dxfId="3" priority="120">
      <formula>COUNTIF(INDIRECT("Checklist!$A41"), "TRUE") = 1</formula>
    </cfRule>
    <cfRule type="expression" dxfId="4" priority="121">
      <formula>COUNTIF(INDIRECT("Checklist!$A41"), "FALSE") = 1</formula>
    </cfRule>
    <cfRule type="notContainsBlanks" dxfId="7" priority="122">
      <formula>LEN(TRIM(L4))&gt;0</formula>
    </cfRule>
  </conditionalFormatting>
  <conditionalFormatting sqref="L43">
    <cfRule type="expression" dxfId="3" priority="1012">
      <formula>COUNTIF(INDIRECT("Checklist!$A335"), "TRUE") = 1</formula>
    </cfRule>
    <cfRule type="expression" dxfId="4" priority="1013">
      <formula>COUNTIF(INDIRECT("Checklist!$A335"), "FALSE") = 1</formula>
    </cfRule>
    <cfRule type="notContainsBlanks" dxfId="7" priority="1014">
      <formula>LEN(TRIM(L43))&gt;0</formula>
    </cfRule>
  </conditionalFormatting>
  <conditionalFormatting sqref="L44">
    <cfRule type="expression" dxfId="3" priority="1030">
      <formula>COUNTIF(INDIRECT("Checklist!$A341"), "TRUE") = 1</formula>
    </cfRule>
    <cfRule type="expression" dxfId="4" priority="1031">
      <formula>COUNTIF(INDIRECT("Checklist!$A341"), "FALSE") = 1</formula>
    </cfRule>
    <cfRule type="notContainsBlanks" dxfId="7" priority="1032">
      <formula>LEN(TRIM(L44))&gt;0</formula>
    </cfRule>
  </conditionalFormatting>
  <conditionalFormatting sqref="L45">
    <cfRule type="expression" dxfId="3" priority="1048">
      <formula>COUNTIF(INDIRECT("Checklist!$A347"), "TRUE") = 1</formula>
    </cfRule>
    <cfRule type="expression" dxfId="4" priority="1049">
      <formula>COUNTIF(INDIRECT("Checklist!$A347"), "FALSE") = 1</formula>
    </cfRule>
    <cfRule type="notContainsBlanks" dxfId="7" priority="1050">
      <formula>LEN(TRIM(L45))&gt;0</formula>
    </cfRule>
  </conditionalFormatting>
  <conditionalFormatting sqref="L46">
    <cfRule type="expression" dxfId="3" priority="1066">
      <formula>COUNTIF(INDIRECT("Checklist!$A353"), "TRUE") = 1</formula>
    </cfRule>
    <cfRule type="expression" dxfId="4" priority="1067">
      <formula>COUNTIF(INDIRECT("Checklist!$A353"), "FALSE") = 1</formula>
    </cfRule>
    <cfRule type="notContainsBlanks" dxfId="7" priority="1068">
      <formula>LEN(TRIM(L46))&gt;0</formula>
    </cfRule>
  </conditionalFormatting>
  <conditionalFormatting sqref="L47">
    <cfRule type="expression" dxfId="3" priority="1084">
      <formula>COUNTIF(INDIRECT("Checklist!$A359"), "TRUE") = 1</formula>
    </cfRule>
    <cfRule type="expression" dxfId="4" priority="1085">
      <formula>COUNTIF(INDIRECT("Checklist!$A359"), "FALSE") = 1</formula>
    </cfRule>
    <cfRule type="notContainsBlanks" dxfId="7" priority="1086">
      <formula>LEN(TRIM(L47))&gt;0</formula>
    </cfRule>
  </conditionalFormatting>
  <conditionalFormatting sqref="L5">
    <cfRule type="expression" dxfId="3" priority="138">
      <formula>COUNTIF(INDIRECT("Checklist!$A47"), "TRUE") = 1</formula>
    </cfRule>
    <cfRule type="expression" dxfId="4" priority="139">
      <formula>COUNTIF(INDIRECT("Checklist!$A47"), "FALSE") = 1</formula>
    </cfRule>
    <cfRule type="notContainsBlanks" dxfId="7" priority="140">
      <formula>LEN(TRIM(L5))&gt;0</formula>
    </cfRule>
  </conditionalFormatting>
  <conditionalFormatting sqref="L51">
    <cfRule type="expression" dxfId="3" priority="1194">
      <formula>COUNTIF(INDIRECT("Checklist!$A395"), "TRUE") = 1</formula>
    </cfRule>
    <cfRule type="expression" dxfId="4" priority="1195">
      <formula>COUNTIF(INDIRECT("Checklist!$A395"), "FALSE") = 1</formula>
    </cfRule>
    <cfRule type="notContainsBlanks" dxfId="7" priority="1196">
      <formula>LEN(TRIM(L51))&gt;0</formula>
    </cfRule>
  </conditionalFormatting>
  <conditionalFormatting sqref="L52">
    <cfRule type="expression" dxfId="3" priority="1212">
      <formula>COUNTIF(INDIRECT("Checklist!$A401"), "TRUE") = 1</formula>
    </cfRule>
    <cfRule type="expression" dxfId="4" priority="1213">
      <formula>COUNTIF(INDIRECT("Checklist!$A401"), "FALSE") = 1</formula>
    </cfRule>
    <cfRule type="notContainsBlanks" dxfId="7" priority="1214">
      <formula>LEN(TRIM(L52))&gt;0</formula>
    </cfRule>
  </conditionalFormatting>
  <conditionalFormatting sqref="L53">
    <cfRule type="expression" dxfId="3" priority="1230">
      <formula>COUNTIF(INDIRECT("Checklist!$A407"), "TRUE") = 1</formula>
    </cfRule>
    <cfRule type="expression" dxfId="4" priority="1231">
      <formula>COUNTIF(INDIRECT("Checklist!$A407"), "FALSE") = 1</formula>
    </cfRule>
    <cfRule type="notContainsBlanks" dxfId="7" priority="1232">
      <formula>LEN(TRIM(L53))&gt;0</formula>
    </cfRule>
  </conditionalFormatting>
  <conditionalFormatting sqref="L54">
    <cfRule type="expression" dxfId="3" priority="1248">
      <formula>COUNTIF(INDIRECT("Checklist!$A413"), "TRUE") = 1</formula>
    </cfRule>
    <cfRule type="expression" dxfId="4" priority="1249">
      <formula>COUNTIF(INDIRECT("Checklist!$A413"), "FALSE") = 1</formula>
    </cfRule>
    <cfRule type="notContainsBlanks" dxfId="7" priority="1250">
      <formula>LEN(TRIM(L54))&gt;0</formula>
    </cfRule>
  </conditionalFormatting>
  <conditionalFormatting sqref="L55">
    <cfRule type="expression" dxfId="3" priority="1266">
      <formula>COUNTIF(INDIRECT("Checklist!$A419"), "TRUE") = 1</formula>
    </cfRule>
    <cfRule type="expression" dxfId="4" priority="1267">
      <formula>COUNTIF(INDIRECT("Checklist!$A419"), "FALSE") = 1</formula>
    </cfRule>
    <cfRule type="notContainsBlanks" dxfId="7" priority="1268">
      <formula>LEN(TRIM(L55))&gt;0</formula>
    </cfRule>
  </conditionalFormatting>
  <conditionalFormatting sqref="L59">
    <cfRule type="expression" dxfId="3" priority="1376">
      <formula>COUNTIF(INDIRECT("Checklist!$A455"), "TRUE") = 1</formula>
    </cfRule>
    <cfRule type="expression" dxfId="4" priority="1377">
      <formula>COUNTIF(INDIRECT("Checklist!$A455"), "FALSE") = 1</formula>
    </cfRule>
    <cfRule type="notContainsBlanks" dxfId="7" priority="1378">
      <formula>LEN(TRIM(L59))&gt;0</formula>
    </cfRule>
  </conditionalFormatting>
  <conditionalFormatting sqref="L6">
    <cfRule type="expression" dxfId="3" priority="156">
      <formula>COUNTIF(INDIRECT("Checklist!$A1210"), "TRUE") = 1</formula>
    </cfRule>
    <cfRule type="expression" dxfId="4" priority="157">
      <formula>COUNTIF(INDIRECT("Checklist!$A1210"), "FALSE") = 1</formula>
    </cfRule>
    <cfRule type="notContainsBlanks" dxfId="7" priority="158">
      <formula>LEN(TRIM(L6))&gt;0</formula>
    </cfRule>
  </conditionalFormatting>
  <conditionalFormatting sqref="L60">
    <cfRule type="expression" dxfId="3" priority="1394">
      <formula>COUNTIF(INDIRECT("Checklist!$A461"), "TRUE") = 1</formula>
    </cfRule>
    <cfRule type="expression" dxfId="4" priority="1395">
      <formula>COUNTIF(INDIRECT("Checklist!$A461"), "FALSE") = 1</formula>
    </cfRule>
    <cfRule type="notContainsBlanks" dxfId="7" priority="1396">
      <formula>LEN(TRIM(L60))&gt;0</formula>
    </cfRule>
  </conditionalFormatting>
  <conditionalFormatting sqref="L61">
    <cfRule type="expression" dxfId="3" priority="1412">
      <formula>COUNTIF(INDIRECT("Checklist!$A467"), "TRUE") = 1</formula>
    </cfRule>
    <cfRule type="expression" dxfId="4" priority="1413">
      <formula>COUNTIF(INDIRECT("Checklist!$A467"), "FALSE") = 1</formula>
    </cfRule>
    <cfRule type="notContainsBlanks" dxfId="7" priority="1414">
      <formula>LEN(TRIM(L61))&gt;0</formula>
    </cfRule>
  </conditionalFormatting>
  <conditionalFormatting sqref="L62">
    <cfRule type="expression" dxfId="3" priority="1430">
      <formula>COUNTIF(INDIRECT("Checklist!$A473"), "TRUE") = 1</formula>
    </cfRule>
    <cfRule type="expression" dxfId="4" priority="1431">
      <formula>COUNTIF(INDIRECT("Checklist!$A473"), "FALSE") = 1</formula>
    </cfRule>
    <cfRule type="notContainsBlanks" dxfId="7" priority="1432">
      <formula>LEN(TRIM(L62))&gt;0</formula>
    </cfRule>
  </conditionalFormatting>
  <conditionalFormatting sqref="L63">
    <cfRule type="expression" dxfId="3" priority="1448">
      <formula>COUNTIF(INDIRECT("Checklist!$A479"), "TRUE") = 1</formula>
    </cfRule>
    <cfRule type="expression" dxfId="4" priority="1449">
      <formula>COUNTIF(INDIRECT("Checklist!$A479"), "FALSE") = 1</formula>
    </cfRule>
    <cfRule type="notContainsBlanks" dxfId="7" priority="1450">
      <formula>LEN(TRIM(L63))&gt;0</formula>
    </cfRule>
  </conditionalFormatting>
  <conditionalFormatting sqref="L67">
    <cfRule type="expression" dxfId="3" priority="1558">
      <formula>COUNTIF(INDIRECT("Checklist!$A515"), "TRUE") = 1</formula>
    </cfRule>
    <cfRule type="expression" dxfId="4" priority="1559">
      <formula>COUNTIF(INDIRECT("Checklist!$A515"), "FALSE") = 1</formula>
    </cfRule>
    <cfRule type="notContainsBlanks" dxfId="7" priority="1560">
      <formula>LEN(TRIM(L67))&gt;0</formula>
    </cfRule>
  </conditionalFormatting>
  <conditionalFormatting sqref="L68">
    <cfRule type="expression" dxfId="3" priority="1576">
      <formula>COUNTIF(INDIRECT("Checklist!$A521"), "TRUE") = 1</formula>
    </cfRule>
    <cfRule type="expression" dxfId="4" priority="1577">
      <formula>COUNTIF(INDIRECT("Checklist!$A521"), "FALSE") = 1</formula>
    </cfRule>
    <cfRule type="notContainsBlanks" dxfId="7" priority="1578">
      <formula>LEN(TRIM(L68))&gt;0</formula>
    </cfRule>
  </conditionalFormatting>
  <conditionalFormatting sqref="L69">
    <cfRule type="expression" dxfId="3" priority="1594">
      <formula>COUNTIF(INDIRECT("Checklist!$A527"), "TRUE") = 1</formula>
    </cfRule>
    <cfRule type="expression" dxfId="4" priority="1595">
      <formula>COUNTIF(INDIRECT("Checklist!$A527"), "FALSE") = 1</formula>
    </cfRule>
    <cfRule type="notContainsBlanks" dxfId="7" priority="1596">
      <formula>LEN(TRIM(L69))&gt;0</formula>
    </cfRule>
  </conditionalFormatting>
  <conditionalFormatting sqref="L7">
    <cfRule type="expression" dxfId="3" priority="174">
      <formula>COUNTIF(INDIRECT("Checklist!$A59"), "TRUE") = 1</formula>
    </cfRule>
    <cfRule type="expression" dxfId="4" priority="175">
      <formula>COUNTIF(INDIRECT("Checklist!$A59"), "FALSE") = 1</formula>
    </cfRule>
    <cfRule type="notContainsBlanks" dxfId="7" priority="176">
      <formula>LEN(TRIM(L7))&gt;0</formula>
    </cfRule>
  </conditionalFormatting>
  <conditionalFormatting sqref="L70">
    <cfRule type="expression" dxfId="3" priority="1612">
      <formula>COUNTIF(INDIRECT("Checklist!$A533"), "TRUE") = 1</formula>
    </cfRule>
    <cfRule type="expression" dxfId="4" priority="1613">
      <formula>COUNTIF(INDIRECT("Checklist!$A533"), "FALSE") = 1</formula>
    </cfRule>
    <cfRule type="notContainsBlanks" dxfId="7" priority="1614">
      <formula>LEN(TRIM(L70))&gt;0</formula>
    </cfRule>
  </conditionalFormatting>
  <conditionalFormatting sqref="L71">
    <cfRule type="expression" dxfId="3" priority="1630">
      <formula>COUNTIF(INDIRECT("Checklist!$A539"), "TRUE") = 1</formula>
    </cfRule>
    <cfRule type="expression" dxfId="4" priority="1631">
      <formula>COUNTIF(INDIRECT("Checklist!$A539"), "FALSE") = 1</formula>
    </cfRule>
    <cfRule type="notContainsBlanks" dxfId="7" priority="1632">
      <formula>LEN(TRIM(L71))&gt;0</formula>
    </cfRule>
  </conditionalFormatting>
  <conditionalFormatting sqref="L75">
    <cfRule type="expression" dxfId="3" priority="1740">
      <formula>COUNTIF(INDIRECT("Checklist!$A575"), "TRUE") = 1</formula>
    </cfRule>
    <cfRule type="expression" dxfId="4" priority="1741">
      <formula>COUNTIF(INDIRECT("Checklist!$A575"), "FALSE") = 1</formula>
    </cfRule>
    <cfRule type="notContainsBlanks" dxfId="7" priority="1742">
      <formula>LEN(TRIM(L75))&gt;0</formula>
    </cfRule>
  </conditionalFormatting>
  <conditionalFormatting sqref="L76">
    <cfRule type="expression" dxfId="3" priority="1758">
      <formula>COUNTIF(INDIRECT("Checklist!$A581"), "TRUE") = 1</formula>
    </cfRule>
    <cfRule type="expression" dxfId="4" priority="1759">
      <formula>COUNTIF(INDIRECT("Checklist!$A581"), "FALSE") = 1</formula>
    </cfRule>
    <cfRule type="notContainsBlanks" dxfId="7" priority="1760">
      <formula>LEN(TRIM(L76))&gt;0</formula>
    </cfRule>
  </conditionalFormatting>
  <conditionalFormatting sqref="L77">
    <cfRule type="expression" dxfId="3" priority="1776">
      <formula>COUNTIF(INDIRECT("Checklist!$A587"), "TRUE") = 1</formula>
    </cfRule>
    <cfRule type="expression" dxfId="4" priority="1777">
      <formula>COUNTIF(INDIRECT("Checklist!$A587"), "FALSE") = 1</formula>
    </cfRule>
    <cfRule type="notContainsBlanks" dxfId="7" priority="1778">
      <formula>LEN(TRIM(L77))&gt;0</formula>
    </cfRule>
  </conditionalFormatting>
  <conditionalFormatting sqref="L78">
    <cfRule type="expression" dxfId="3" priority="1794">
      <formula>COUNTIF(INDIRECT("Checklist!$A593"), "TRUE") = 1</formula>
    </cfRule>
    <cfRule type="expression" dxfId="4" priority="1795">
      <formula>COUNTIF(INDIRECT("Checklist!$A593"), "FALSE") = 1</formula>
    </cfRule>
    <cfRule type="notContainsBlanks" dxfId="7" priority="1796">
      <formula>LEN(TRIM(L78))&gt;0</formula>
    </cfRule>
  </conditionalFormatting>
  <conditionalFormatting sqref="L79">
    <cfRule type="expression" dxfId="3" priority="1812">
      <formula>COUNTIF(INDIRECT("Checklist!$A599"), "TRUE") = 1</formula>
    </cfRule>
    <cfRule type="expression" dxfId="4" priority="1813">
      <formula>COUNTIF(INDIRECT("Checklist!$A599"), "FALSE") = 1</formula>
    </cfRule>
    <cfRule type="notContainsBlanks" dxfId="7" priority="1814">
      <formula>LEN(TRIM(L79))&gt;0</formula>
    </cfRule>
  </conditionalFormatting>
  <conditionalFormatting sqref="L83">
    <cfRule type="expression" dxfId="3" priority="1922">
      <formula>COUNTIF(INDIRECT("Checklist!$A635"), "TRUE") = 1</formula>
    </cfRule>
    <cfRule type="expression" dxfId="4" priority="1923">
      <formula>COUNTIF(INDIRECT("Checklist!$A635"), "FALSE") = 1</formula>
    </cfRule>
    <cfRule type="notContainsBlanks" dxfId="7" priority="1924">
      <formula>LEN(TRIM(L83))&gt;0</formula>
    </cfRule>
  </conditionalFormatting>
  <conditionalFormatting sqref="L84">
    <cfRule type="expression" dxfId="3" priority="1940">
      <formula>COUNTIF(INDIRECT("Checklist!$A641"), "TRUE") = 1</formula>
    </cfRule>
    <cfRule type="expression" dxfId="4" priority="1941">
      <formula>COUNTIF(INDIRECT("Checklist!$A641"), "FALSE") = 1</formula>
    </cfRule>
    <cfRule type="notContainsBlanks" dxfId="7" priority="1942">
      <formula>LEN(TRIM(L84))&gt;0</formula>
    </cfRule>
  </conditionalFormatting>
  <conditionalFormatting sqref="L85">
    <cfRule type="expression" dxfId="3" priority="1958">
      <formula>COUNTIF(INDIRECT("Checklist!$A647"), "TRUE") = 1</formula>
    </cfRule>
    <cfRule type="expression" dxfId="4" priority="1959">
      <formula>COUNTIF(INDIRECT("Checklist!$A647"), "FALSE") = 1</formula>
    </cfRule>
    <cfRule type="notContainsBlanks" dxfId="7" priority="1960">
      <formula>LEN(TRIM(L85))&gt;0</formula>
    </cfRule>
  </conditionalFormatting>
  <conditionalFormatting sqref="L86">
    <cfRule type="expression" dxfId="3" priority="1976">
      <formula>COUNTIF(INDIRECT("Checklist!$A653"), "TRUE") = 1</formula>
    </cfRule>
    <cfRule type="expression" dxfId="4" priority="1977">
      <formula>COUNTIF(INDIRECT("Checklist!$A653"), "FALSE") = 1</formula>
    </cfRule>
    <cfRule type="notContainsBlanks" dxfId="7" priority="1978">
      <formula>LEN(TRIM(L86))&gt;0</formula>
    </cfRule>
  </conditionalFormatting>
  <conditionalFormatting sqref="L87">
    <cfRule type="expression" dxfId="3" priority="1994">
      <formula>COUNTIF(INDIRECT("Checklist!$A659"), "TRUE") = 1</formula>
    </cfRule>
    <cfRule type="expression" dxfId="4" priority="1995">
      <formula>COUNTIF(INDIRECT("Checklist!$A659"), "FALSE") = 1</formula>
    </cfRule>
    <cfRule type="notContainsBlanks" dxfId="7" priority="1996">
      <formula>LEN(TRIM(L87))&gt;0</formula>
    </cfRule>
  </conditionalFormatting>
  <conditionalFormatting sqref="L91">
    <cfRule type="expression" dxfId="3" priority="2104">
      <formula>COUNTIF(INDIRECT("Checklist!$A695"), "TRUE") = 1</formula>
    </cfRule>
    <cfRule type="expression" dxfId="4" priority="2105">
      <formula>COUNTIF(INDIRECT("Checklist!$A695"), "FALSE") = 1</formula>
    </cfRule>
    <cfRule type="notContainsBlanks" dxfId="7" priority="2106">
      <formula>LEN(TRIM(L91))&gt;0</formula>
    </cfRule>
  </conditionalFormatting>
  <conditionalFormatting sqref="L92">
    <cfRule type="expression" dxfId="3" priority="2122">
      <formula>COUNTIF(INDIRECT("Checklist!$A701"), "TRUE") = 1</formula>
    </cfRule>
    <cfRule type="expression" dxfId="4" priority="2123">
      <formula>COUNTIF(INDIRECT("Checklist!$A701"), "FALSE") = 1</formula>
    </cfRule>
    <cfRule type="notContainsBlanks" dxfId="7" priority="2124">
      <formula>LEN(TRIM(L92))&gt;0</formula>
    </cfRule>
  </conditionalFormatting>
  <conditionalFormatting sqref="L93">
    <cfRule type="expression" dxfId="3" priority="2140">
      <formula>COUNTIF(INDIRECT("Checklist!$A707"), "TRUE") = 1</formula>
    </cfRule>
    <cfRule type="expression" dxfId="4" priority="2141">
      <formula>COUNTIF(INDIRECT("Checklist!$A707"), "FALSE") = 1</formula>
    </cfRule>
    <cfRule type="notContainsBlanks" dxfId="7" priority="2142">
      <formula>LEN(TRIM(L93))&gt;0</formula>
    </cfRule>
  </conditionalFormatting>
  <conditionalFormatting sqref="L94">
    <cfRule type="expression" dxfId="3" priority="2158">
      <formula>COUNTIF(INDIRECT("Checklist!$A713"), "TRUE") = 1</formula>
    </cfRule>
    <cfRule type="expression" dxfId="4" priority="2159">
      <formula>COUNTIF(INDIRECT("Checklist!$A713"), "FALSE") = 1</formula>
    </cfRule>
    <cfRule type="notContainsBlanks" dxfId="7" priority="2160">
      <formula>LEN(TRIM(L94))&gt;0</formula>
    </cfRule>
  </conditionalFormatting>
  <conditionalFormatting sqref="L95">
    <cfRule type="expression" dxfId="3" priority="2176">
      <formula>COUNTIF(INDIRECT("Checklist!$A719"), "TRUE") = 1</formula>
    </cfRule>
    <cfRule type="expression" dxfId="4" priority="2177">
      <formula>COUNTIF(INDIRECT("Checklist!$A719"), "FALSE") = 1</formula>
    </cfRule>
    <cfRule type="notContainsBlanks" dxfId="7" priority="2178">
      <formula>LEN(TRIM(L95))&gt;0</formula>
    </cfRule>
  </conditionalFormatting>
  <conditionalFormatting sqref="L99">
    <cfRule type="expression" dxfId="3" priority="2286">
      <formula>COUNTIF(INDIRECT("Checklist!$A755"), "TRUE") = 1</formula>
    </cfRule>
    <cfRule type="expression" dxfId="4" priority="2287">
      <formula>COUNTIF(INDIRECT("Checklist!$A755"), "FALSE") = 1</formula>
    </cfRule>
    <cfRule type="notContainsBlanks" dxfId="7" priority="2288">
      <formula>LEN(TRIM(L99))&gt;0</formula>
    </cfRule>
  </conditionalFormatting>
  <conditionalFormatting sqref="M100">
    <cfRule type="expression" dxfId="3" priority="2307">
      <formula>COUNTIF(INDIRECT("Checklist!$A762"), "TRUE") = 1</formula>
    </cfRule>
    <cfRule type="expression" dxfId="4" priority="2308">
      <formula>COUNTIF(INDIRECT("Checklist!$A762"), "FALSE") = 1</formula>
    </cfRule>
    <cfRule type="notContainsBlanks" dxfId="7" priority="2309">
      <formula>LEN(TRIM(M100))&gt;0</formula>
    </cfRule>
  </conditionalFormatting>
  <conditionalFormatting sqref="M101">
    <cfRule type="expression" dxfId="3" priority="2325">
      <formula>COUNTIF(INDIRECT("Checklist!$A768"), "TRUE") = 1</formula>
    </cfRule>
    <cfRule type="expression" dxfId="4" priority="2326">
      <formula>COUNTIF(INDIRECT("Checklist!$A768"), "FALSE") = 1</formula>
    </cfRule>
    <cfRule type="notContainsBlanks" dxfId="7" priority="2327">
      <formula>LEN(TRIM(M101))&gt;0</formula>
    </cfRule>
  </conditionalFormatting>
  <conditionalFormatting sqref="M102">
    <cfRule type="expression" dxfId="3" priority="2343">
      <formula>COUNTIF(INDIRECT("Checklist!$A774"), "TRUE") = 1</formula>
    </cfRule>
    <cfRule type="expression" dxfId="4" priority="2344">
      <formula>COUNTIF(INDIRECT("Checklist!$A774"), "FALSE") = 1</formula>
    </cfRule>
    <cfRule type="notContainsBlanks" dxfId="7" priority="2345">
      <formula>LEN(TRIM(M102))&gt;0</formula>
    </cfRule>
  </conditionalFormatting>
  <conditionalFormatting sqref="M103">
    <cfRule type="expression" dxfId="3" priority="2361">
      <formula>COUNTIF(INDIRECT("Checklist!$A780"), "TRUE") = 1</formula>
    </cfRule>
    <cfRule type="expression" dxfId="4" priority="2362">
      <formula>COUNTIF(INDIRECT("Checklist!$A780"), "FALSE") = 1</formula>
    </cfRule>
    <cfRule type="notContainsBlanks" dxfId="7" priority="2363">
      <formula>LEN(TRIM(M103))&gt;0</formula>
    </cfRule>
  </conditionalFormatting>
  <conditionalFormatting sqref="M107">
    <cfRule type="expression" dxfId="3" priority="2471">
      <formula>COUNTIF(INDIRECT("Checklist!$A1221"), "TRUE") = 1</formula>
    </cfRule>
    <cfRule type="expression" dxfId="4" priority="2472">
      <formula>COUNTIF(INDIRECT("Checklist!$A1221"), "FALSE") = 1</formula>
    </cfRule>
    <cfRule type="notContainsBlanks" dxfId="7" priority="2473">
      <formula>LEN(TRIM(M107))&gt;0</formula>
    </cfRule>
  </conditionalFormatting>
  <conditionalFormatting sqref="M108">
    <cfRule type="expression" dxfId="3" priority="2489">
      <formula>COUNTIF(INDIRECT("Checklist!$A822"), "TRUE") = 1</formula>
    </cfRule>
    <cfRule type="expression" dxfId="4" priority="2490">
      <formula>COUNTIF(INDIRECT("Checklist!$A822"), "FALSE") = 1</formula>
    </cfRule>
    <cfRule type="notContainsBlanks" dxfId="7" priority="2491">
      <formula>LEN(TRIM(M108))&gt;0</formula>
    </cfRule>
  </conditionalFormatting>
  <conditionalFormatting sqref="M109">
    <cfRule type="expression" dxfId="3" priority="2507">
      <formula>COUNTIF(INDIRECT("Checklist!$A828"), "TRUE") = 1</formula>
    </cfRule>
    <cfRule type="expression" dxfId="4" priority="2508">
      <formula>COUNTIF(INDIRECT("Checklist!$A828"), "FALSE") = 1</formula>
    </cfRule>
    <cfRule type="notContainsBlanks" dxfId="7" priority="2509">
      <formula>LEN(TRIM(M109))&gt;0</formula>
    </cfRule>
  </conditionalFormatting>
  <conditionalFormatting sqref="M11">
    <cfRule type="expression" dxfId="3" priority="287">
      <formula>COUNTIF(INDIRECT("Checklist!$A96"), "TRUE") = 1</formula>
    </cfRule>
    <cfRule type="expression" dxfId="4" priority="288">
      <formula>COUNTIF(INDIRECT("Checklist!$A96"), "FALSE") = 1</formula>
    </cfRule>
    <cfRule type="notContainsBlanks" dxfId="7" priority="289">
      <formula>LEN(TRIM(M11))&gt;0</formula>
    </cfRule>
  </conditionalFormatting>
  <conditionalFormatting sqref="M110">
    <cfRule type="expression" dxfId="3" priority="2525">
      <formula>COUNTIF(INDIRECT("Checklist!$A834"), "TRUE") = 1</formula>
    </cfRule>
    <cfRule type="expression" dxfId="4" priority="2526">
      <formula>COUNTIF(INDIRECT("Checklist!$A834"), "FALSE") = 1</formula>
    </cfRule>
    <cfRule type="notContainsBlanks" dxfId="7" priority="2527">
      <formula>LEN(TRIM(M110))&gt;0</formula>
    </cfRule>
  </conditionalFormatting>
  <conditionalFormatting sqref="M111">
    <cfRule type="expression" dxfId="3" priority="2543">
      <formula>COUNTIF(INDIRECT("Checklist!$A1226"), "TRUE") = 1</formula>
    </cfRule>
    <cfRule type="expression" dxfId="4" priority="2544">
      <formula>COUNTIF(INDIRECT("Checklist!$A1226"), "FALSE") = 1</formula>
    </cfRule>
    <cfRule type="notContainsBlanks" dxfId="7" priority="2545">
      <formula>LEN(TRIM(M111))&gt;0</formula>
    </cfRule>
  </conditionalFormatting>
  <conditionalFormatting sqref="M115">
    <cfRule type="expression" dxfId="3" priority="2653">
      <formula>COUNTIF(INDIRECT("Checklist!$A876"), "TRUE") = 1</formula>
    </cfRule>
    <cfRule type="expression" dxfId="4" priority="2654">
      <formula>COUNTIF(INDIRECT("Checklist!$A876"), "FALSE") = 1</formula>
    </cfRule>
    <cfRule type="notContainsBlanks" dxfId="7" priority="2655">
      <formula>LEN(TRIM(M115))&gt;0</formula>
    </cfRule>
  </conditionalFormatting>
  <conditionalFormatting sqref="M116">
    <cfRule type="expression" dxfId="3" priority="2671">
      <formula>COUNTIF(INDIRECT("Checklist!$A882"), "TRUE") = 1</formula>
    </cfRule>
    <cfRule type="expression" dxfId="4" priority="2672">
      <formula>COUNTIF(INDIRECT("Checklist!$A882"), "FALSE") = 1</formula>
    </cfRule>
    <cfRule type="notContainsBlanks" dxfId="7" priority="2673">
      <formula>LEN(TRIM(M116))&gt;0</formula>
    </cfRule>
  </conditionalFormatting>
  <conditionalFormatting sqref="M117">
    <cfRule type="expression" dxfId="3" priority="2689">
      <formula>COUNTIF(INDIRECT("Checklist!$A888"), "TRUE") = 1</formula>
    </cfRule>
    <cfRule type="expression" dxfId="4" priority="2690">
      <formula>COUNTIF(INDIRECT("Checklist!$A888"), "FALSE") = 1</formula>
    </cfRule>
    <cfRule type="notContainsBlanks" dxfId="7" priority="2691">
      <formula>LEN(TRIM(M117))&gt;0</formula>
    </cfRule>
  </conditionalFormatting>
  <conditionalFormatting sqref="M118">
    <cfRule type="expression" dxfId="3" priority="2707">
      <formula>COUNTIF(INDIRECT("Checklist!$A894"), "TRUE") = 1</formula>
    </cfRule>
    <cfRule type="expression" dxfId="4" priority="2708">
      <formula>COUNTIF(INDIRECT("Checklist!$A894"), "FALSE") = 1</formula>
    </cfRule>
    <cfRule type="notContainsBlanks" dxfId="7" priority="2709">
      <formula>LEN(TRIM(M118))&gt;0</formula>
    </cfRule>
  </conditionalFormatting>
  <conditionalFormatting sqref="M119">
    <cfRule type="expression" dxfId="3" priority="2725">
      <formula>COUNTIF(INDIRECT("Checklist!$A900"), "TRUE") = 1</formula>
    </cfRule>
    <cfRule type="expression" dxfId="4" priority="2726">
      <formula>COUNTIF(INDIRECT("Checklist!$A900"), "FALSE") = 1</formula>
    </cfRule>
    <cfRule type="notContainsBlanks" dxfId="7" priority="2727">
      <formula>LEN(TRIM(M119))&gt;0</formula>
    </cfRule>
  </conditionalFormatting>
  <conditionalFormatting sqref="M12">
    <cfRule type="expression" dxfId="3" priority="305">
      <formula>COUNTIF(INDIRECT("Checklist!$A102"), "TRUE") = 1</formula>
    </cfRule>
    <cfRule type="expression" dxfId="4" priority="306">
      <formula>COUNTIF(INDIRECT("Checklist!$A102"), "FALSE") = 1</formula>
    </cfRule>
    <cfRule type="notContainsBlanks" dxfId="7" priority="307">
      <formula>LEN(TRIM(M12))&gt;0</formula>
    </cfRule>
  </conditionalFormatting>
  <conditionalFormatting sqref="M123">
    <cfRule type="expression" dxfId="3" priority="2760">
      <formula>COUNTIF(INDIRECT("Checklist!$A1209"), "TRUE") = 1</formula>
    </cfRule>
    <cfRule type="expression" dxfId="4" priority="2761">
      <formula>COUNTIF(INDIRECT("Checklist!$A1209"), "FALSE") = 1</formula>
    </cfRule>
    <cfRule type="notContainsBlanks" dxfId="7" priority="2762">
      <formula>LEN(TRIM(M123))&gt;0</formula>
    </cfRule>
  </conditionalFormatting>
  <conditionalFormatting sqref="M124">
    <cfRule type="expression" dxfId="3" priority="2778">
      <formula>COUNTIF(INDIRECT("Checklist!$A917"), "TRUE") = 1</formula>
    </cfRule>
    <cfRule type="expression" dxfId="4" priority="2779">
      <formula>COUNTIF(INDIRECT("Checklist!$A917"), "FALSE") = 1</formula>
    </cfRule>
    <cfRule type="notContainsBlanks" dxfId="7" priority="2780">
      <formula>LEN(TRIM(M124))&gt;0</formula>
    </cfRule>
  </conditionalFormatting>
  <conditionalFormatting sqref="M125">
    <cfRule type="expression" dxfId="3" priority="2796">
      <formula>COUNTIF(INDIRECT("Checklist!$A923"), "TRUE") = 1</formula>
    </cfRule>
    <cfRule type="expression" dxfId="4" priority="2797">
      <formula>COUNTIF(INDIRECT("Checklist!$A923"), "FALSE") = 1</formula>
    </cfRule>
    <cfRule type="notContainsBlanks" dxfId="7" priority="2798">
      <formula>LEN(TRIM(M125))&gt;0</formula>
    </cfRule>
  </conditionalFormatting>
  <conditionalFormatting sqref="M126">
    <cfRule type="expression" dxfId="3" priority="2814">
      <formula>COUNTIF(INDIRECT("Checklist!$A1216"), "TRUE") = 1</formula>
    </cfRule>
    <cfRule type="expression" dxfId="4" priority="2815">
      <formula>COUNTIF(INDIRECT("Checklist!$A1216"), "FALSE") = 1</formula>
    </cfRule>
    <cfRule type="notContainsBlanks" dxfId="7" priority="2816">
      <formula>LEN(TRIM(M126))&gt;0</formula>
    </cfRule>
  </conditionalFormatting>
  <conditionalFormatting sqref="M127">
    <cfRule type="expression" dxfId="3" priority="2832">
      <formula>COUNTIF(INDIRECT("Checklist!$A935"), "TRUE") = 1</formula>
    </cfRule>
    <cfRule type="expression" dxfId="4" priority="2833">
      <formula>COUNTIF(INDIRECT("Checklist!$A935"), "FALSE") = 1</formula>
    </cfRule>
    <cfRule type="notContainsBlanks" dxfId="7" priority="2834">
      <formula>LEN(TRIM(M127))&gt;0</formula>
    </cfRule>
  </conditionalFormatting>
  <conditionalFormatting sqref="M13">
    <cfRule type="expression" dxfId="3" priority="323">
      <formula>COUNTIF(INDIRECT("Checklist!$A108"), "TRUE") = 1</formula>
    </cfRule>
    <cfRule type="expression" dxfId="4" priority="324">
      <formula>COUNTIF(INDIRECT("Checklist!$A108"), "FALSE") = 1</formula>
    </cfRule>
    <cfRule type="notContainsBlanks" dxfId="7" priority="325">
      <formula>LEN(TRIM(M13))&gt;0</formula>
    </cfRule>
  </conditionalFormatting>
  <conditionalFormatting sqref="M131">
    <cfRule type="expression" dxfId="3" priority="2942">
      <formula>COUNTIF(INDIRECT("Checklist!$A971"), "TRUE") = 1</formula>
    </cfRule>
    <cfRule type="expression" dxfId="4" priority="2943">
      <formula>COUNTIF(INDIRECT("Checklist!$A971"), "FALSE") = 1</formula>
    </cfRule>
    <cfRule type="notContainsBlanks" dxfId="7" priority="2944">
      <formula>LEN(TRIM(M131))&gt;0</formula>
    </cfRule>
  </conditionalFormatting>
  <conditionalFormatting sqref="M132">
    <cfRule type="expression" dxfId="3" priority="2960">
      <formula>COUNTIF(INDIRECT("Checklist!$A977"), "TRUE") = 1</formula>
    </cfRule>
    <cfRule type="expression" dxfId="4" priority="2961">
      <formula>COUNTIF(INDIRECT("Checklist!$A977"), "FALSE") = 1</formula>
    </cfRule>
    <cfRule type="notContainsBlanks" dxfId="7" priority="2962">
      <formula>LEN(TRIM(M132))&gt;0</formula>
    </cfRule>
  </conditionalFormatting>
  <conditionalFormatting sqref="M133">
    <cfRule type="expression" dxfId="3" priority="2978">
      <formula>COUNTIF(INDIRECT("Checklist!$A983"), "TRUE") = 1</formula>
    </cfRule>
    <cfRule type="expression" dxfId="4" priority="2979">
      <formula>COUNTIF(INDIRECT("Checklist!$A983"), "FALSE") = 1</formula>
    </cfRule>
    <cfRule type="notContainsBlanks" dxfId="7" priority="2980">
      <formula>LEN(TRIM(M133))&gt;0</formula>
    </cfRule>
  </conditionalFormatting>
  <conditionalFormatting sqref="M134">
    <cfRule type="expression" dxfId="3" priority="2996">
      <formula>COUNTIF(INDIRECT("Checklist!$A989"), "TRUE") = 1</formula>
    </cfRule>
    <cfRule type="expression" dxfId="4" priority="2997">
      <formula>COUNTIF(INDIRECT("Checklist!$A989"), "FALSE") = 1</formula>
    </cfRule>
    <cfRule type="notContainsBlanks" dxfId="7" priority="2998">
      <formula>LEN(TRIM(M134))&gt;0</formula>
    </cfRule>
  </conditionalFormatting>
  <conditionalFormatting sqref="M135">
    <cfRule type="expression" dxfId="3" priority="3014">
      <formula>COUNTIF(INDIRECT("Checklist!$A995"), "TRUE") = 1</formula>
    </cfRule>
    <cfRule type="expression" dxfId="4" priority="3015">
      <formula>COUNTIF(INDIRECT("Checklist!$A995"), "FALSE") = 1</formula>
    </cfRule>
    <cfRule type="notContainsBlanks" dxfId="7" priority="3016">
      <formula>LEN(TRIM(M135))&gt;0</formula>
    </cfRule>
  </conditionalFormatting>
  <conditionalFormatting sqref="M139">
    <cfRule type="expression" dxfId="3" priority="3070">
      <formula>COUNTIF(INDIRECT("Checklist!$A1012"), "TRUE") = 1</formula>
    </cfRule>
    <cfRule type="expression" dxfId="4" priority="3071">
      <formula>COUNTIF(INDIRECT("Checklist!$A1012"), "FALSE") = 1</formula>
    </cfRule>
    <cfRule type="notContainsBlanks" dxfId="7" priority="3072">
      <formula>LEN(TRIM(M139))&gt;0</formula>
    </cfRule>
  </conditionalFormatting>
  <conditionalFormatting sqref="M14">
    <cfRule type="expression" dxfId="3" priority="341">
      <formula>COUNTIF(INDIRECT("Checklist!$A114"), "TRUE") = 1</formula>
    </cfRule>
    <cfRule type="expression" dxfId="4" priority="342">
      <formula>COUNTIF(INDIRECT("Checklist!$A114"), "FALSE") = 1</formula>
    </cfRule>
    <cfRule type="notContainsBlanks" dxfId="7" priority="343">
      <formula>LEN(TRIM(M14))&gt;0</formula>
    </cfRule>
  </conditionalFormatting>
  <conditionalFormatting sqref="M147">
    <cfRule type="expression" dxfId="3" priority="3183">
      <formula>COUNTIF(INDIRECT("Checklist!$None"), "TRUE") = 1</formula>
    </cfRule>
    <cfRule type="expression" dxfId="4" priority="3184">
      <formula>COUNTIF(INDIRECT("Checklist!$None"), "FALSE") = 1</formula>
    </cfRule>
    <cfRule type="notContainsBlanks" dxfId="7" priority="3185">
      <formula>LEN(TRIM(M147))&gt;0</formula>
    </cfRule>
  </conditionalFormatting>
  <conditionalFormatting sqref="M148">
    <cfRule type="expression" dxfId="3" priority="3201">
      <formula>COUNTIF(INDIRECT("Checklist!$A424"), "TRUE") = 1</formula>
    </cfRule>
    <cfRule type="expression" dxfId="4" priority="3202">
      <formula>COUNTIF(INDIRECT("Checklist!$A424"), "FALSE") = 1</formula>
    </cfRule>
    <cfRule type="notContainsBlanks" dxfId="7" priority="3203">
      <formula>LEN(TRIM(M148))&gt;0</formula>
    </cfRule>
  </conditionalFormatting>
  <conditionalFormatting sqref="M149">
    <cfRule type="expression" dxfId="3" priority="3219">
      <formula>COUNTIF(INDIRECT("Checklist!$A1052"), "TRUE") = 1</formula>
    </cfRule>
    <cfRule type="expression" dxfId="4" priority="3220">
      <formula>COUNTIF(INDIRECT("Checklist!$A1052"), "FALSE") = 1</formula>
    </cfRule>
    <cfRule type="notContainsBlanks" dxfId="7" priority="3221">
      <formula>LEN(TRIM(M149))&gt;0</formula>
    </cfRule>
  </conditionalFormatting>
  <conditionalFormatting sqref="M15">
    <cfRule type="expression" dxfId="3" priority="359">
      <formula>COUNTIF(INDIRECT("Checklist!$A120"), "TRUE") = 1</formula>
    </cfRule>
    <cfRule type="expression" dxfId="4" priority="360">
      <formula>COUNTIF(INDIRECT("Checklist!$A120"), "FALSE") = 1</formula>
    </cfRule>
    <cfRule type="notContainsBlanks" dxfId="7" priority="361">
      <formula>LEN(TRIM(M15))&gt;0</formula>
    </cfRule>
  </conditionalFormatting>
  <conditionalFormatting sqref="M150">
    <cfRule type="expression" dxfId="3" priority="3237">
      <formula>COUNTIF(INDIRECT("Checklist!$A1056"), "TRUE") = 1</formula>
    </cfRule>
    <cfRule type="expression" dxfId="4" priority="3238">
      <formula>COUNTIF(INDIRECT("Checklist!$A1056"), "FALSE") = 1</formula>
    </cfRule>
    <cfRule type="notContainsBlanks" dxfId="7" priority="3239">
      <formula>LEN(TRIM(M150))&gt;0</formula>
    </cfRule>
  </conditionalFormatting>
  <conditionalFormatting sqref="M155">
    <cfRule type="expression" dxfId="3" priority="3341">
      <formula>COUNTIF(INDIRECT("Checklist!$None"), "TRUE") = 1</formula>
    </cfRule>
    <cfRule type="expression" dxfId="4" priority="3342">
      <formula>COUNTIF(INDIRECT("Checklist!$None"), "FALSE") = 1</formula>
    </cfRule>
    <cfRule type="notContainsBlanks" dxfId="7" priority="3343">
      <formula>LEN(TRIM(M155))&gt;0</formula>
    </cfRule>
  </conditionalFormatting>
  <conditionalFormatting sqref="M156">
    <cfRule type="expression" dxfId="3" priority="3359">
      <formula>COUNTIF(INDIRECT("Checklist!$None"), "TRUE") = 1</formula>
    </cfRule>
    <cfRule type="expression" dxfId="4" priority="3360">
      <formula>COUNTIF(INDIRECT("Checklist!$None"), "FALSE") = 1</formula>
    </cfRule>
    <cfRule type="notContainsBlanks" dxfId="7" priority="3361">
      <formula>LEN(TRIM(M156))&gt;0</formula>
    </cfRule>
  </conditionalFormatting>
  <conditionalFormatting sqref="M157">
    <cfRule type="expression" dxfId="3" priority="3377">
      <formula>COUNTIF(INDIRECT("Checklist!$A1079"), "TRUE") = 1</formula>
    </cfRule>
    <cfRule type="expression" dxfId="4" priority="3378">
      <formula>COUNTIF(INDIRECT("Checklist!$A1079"), "FALSE") = 1</formula>
    </cfRule>
    <cfRule type="notContainsBlanks" dxfId="7" priority="3379">
      <formula>LEN(TRIM(M157))&gt;0</formula>
    </cfRule>
  </conditionalFormatting>
  <conditionalFormatting sqref="M158">
    <cfRule type="expression" dxfId="3" priority="3395">
      <formula>COUNTIF(INDIRECT("Checklist!$A1084"), "TRUE") = 1</formula>
    </cfRule>
    <cfRule type="expression" dxfId="4" priority="3396">
      <formula>COUNTIF(INDIRECT("Checklist!$A1084"), "FALSE") = 1</formula>
    </cfRule>
    <cfRule type="notContainsBlanks" dxfId="7" priority="3397">
      <formula>LEN(TRIM(M158))&gt;0</formula>
    </cfRule>
  </conditionalFormatting>
  <conditionalFormatting sqref="M163">
    <cfRule type="expression" dxfId="3" priority="3502">
      <formula>COUNTIF(INDIRECT("Checklist!$A1105"), "TRUE") = 1</formula>
    </cfRule>
    <cfRule type="expression" dxfId="4" priority="3503">
      <formula>COUNTIF(INDIRECT("Checklist!$A1105"), "FALSE") = 1</formula>
    </cfRule>
    <cfRule type="notContainsBlanks" dxfId="7" priority="3504">
      <formula>LEN(TRIM(M163))&gt;0</formula>
    </cfRule>
  </conditionalFormatting>
  <conditionalFormatting sqref="M164">
    <cfRule type="expression" dxfId="3" priority="3520">
      <formula>COUNTIF(INDIRECT("Checklist!$A1111"), "TRUE") = 1</formula>
    </cfRule>
    <cfRule type="expression" dxfId="4" priority="3521">
      <formula>COUNTIF(INDIRECT("Checklist!$A1111"), "FALSE") = 1</formula>
    </cfRule>
    <cfRule type="notContainsBlanks" dxfId="7" priority="3522">
      <formula>LEN(TRIM(M164))&gt;0</formula>
    </cfRule>
  </conditionalFormatting>
  <conditionalFormatting sqref="M165">
    <cfRule type="expression" dxfId="3" priority="3538">
      <formula>COUNTIF(INDIRECT("Checklist!$A1117"), "TRUE") = 1</formula>
    </cfRule>
    <cfRule type="expression" dxfId="4" priority="3539">
      <formula>COUNTIF(INDIRECT("Checklist!$A1117"), "FALSE") = 1</formula>
    </cfRule>
    <cfRule type="notContainsBlanks" dxfId="7" priority="3540">
      <formula>LEN(TRIM(M165))&gt;0</formula>
    </cfRule>
  </conditionalFormatting>
  <conditionalFormatting sqref="M171">
    <cfRule type="expression" dxfId="3" priority="3627">
      <formula>COUNTIF(INDIRECT("Checklist!$None"), "TRUE") = 1</formula>
    </cfRule>
    <cfRule type="expression" dxfId="4" priority="3628">
      <formula>COUNTIF(INDIRECT("Checklist!$None"), "FALSE") = 1</formula>
    </cfRule>
    <cfRule type="notContainsBlanks" dxfId="7" priority="3629">
      <formula>LEN(TRIM(M171))&gt;0</formula>
    </cfRule>
  </conditionalFormatting>
  <conditionalFormatting sqref="M172">
    <cfRule type="expression" dxfId="3" priority="3645">
      <formula>COUNTIF(INDIRECT("Checklist!$None"), "TRUE") = 1</formula>
    </cfRule>
    <cfRule type="expression" dxfId="4" priority="3646">
      <formula>COUNTIF(INDIRECT("Checklist!$None"), "FALSE") = 1</formula>
    </cfRule>
    <cfRule type="notContainsBlanks" dxfId="7" priority="3647">
      <formula>LEN(TRIM(M172))&gt;0</formula>
    </cfRule>
  </conditionalFormatting>
  <conditionalFormatting sqref="M173">
    <cfRule type="expression" dxfId="3" priority="3663">
      <formula>COUNTIF(INDIRECT("Checklist!$None"), "TRUE") = 1</formula>
    </cfRule>
    <cfRule type="expression" dxfId="4" priority="3664">
      <formula>COUNTIF(INDIRECT("Checklist!$None"), "FALSE") = 1</formula>
    </cfRule>
    <cfRule type="notContainsBlanks" dxfId="7" priority="3665">
      <formula>LEN(TRIM(M173))&gt;0</formula>
    </cfRule>
  </conditionalFormatting>
  <conditionalFormatting sqref="M174">
    <cfRule type="expression" dxfId="3" priority="3681">
      <formula>COUNTIF(INDIRECT("Checklist!$None"), "TRUE") = 1</formula>
    </cfRule>
    <cfRule type="expression" dxfId="4" priority="3682">
      <formula>COUNTIF(INDIRECT("Checklist!$None"), "FALSE") = 1</formula>
    </cfRule>
    <cfRule type="notContainsBlanks" dxfId="7" priority="3683">
      <formula>LEN(TRIM(M174))&gt;0</formula>
    </cfRule>
  </conditionalFormatting>
  <conditionalFormatting sqref="M179">
    <cfRule type="expression" dxfId="3" priority="3794">
      <formula>COUNTIF(INDIRECT("Checklist!$A1171"), "TRUE") = 1</formula>
    </cfRule>
    <cfRule type="expression" dxfId="4" priority="3795">
      <formula>COUNTIF(INDIRECT("Checklist!$A1171"), "FALSE") = 1</formula>
    </cfRule>
    <cfRule type="notContainsBlanks" dxfId="7" priority="3796">
      <formula>LEN(TRIM(M179))&gt;0</formula>
    </cfRule>
  </conditionalFormatting>
  <conditionalFormatting sqref="M180">
    <cfRule type="expression" dxfId="3" priority="3812">
      <formula>COUNTIF(INDIRECT("Checklist!$A1177"), "TRUE") = 1</formula>
    </cfRule>
    <cfRule type="expression" dxfId="4" priority="3813">
      <formula>COUNTIF(INDIRECT("Checklist!$A1177"), "FALSE") = 1</formula>
    </cfRule>
    <cfRule type="notContainsBlanks" dxfId="7" priority="3814">
      <formula>LEN(TRIM(M180))&gt;0</formula>
    </cfRule>
  </conditionalFormatting>
  <conditionalFormatting sqref="M181">
    <cfRule type="expression" dxfId="3" priority="3830">
      <formula>COUNTIF(INDIRECT("Checklist!$A1183"), "TRUE") = 1</formula>
    </cfRule>
    <cfRule type="expression" dxfId="4" priority="3831">
      <formula>COUNTIF(INDIRECT("Checklist!$A1183"), "FALSE") = 1</formula>
    </cfRule>
    <cfRule type="notContainsBlanks" dxfId="7" priority="3832">
      <formula>LEN(TRIM(M181))&gt;0</formula>
    </cfRule>
  </conditionalFormatting>
  <conditionalFormatting sqref="M182">
    <cfRule type="expression" dxfId="3" priority="3848">
      <formula>COUNTIF(INDIRECT("Checklist!$A1189"), "TRUE") = 1</formula>
    </cfRule>
    <cfRule type="expression" dxfId="4" priority="3849">
      <formula>COUNTIF(INDIRECT("Checklist!$A1189"), "FALSE") = 1</formula>
    </cfRule>
    <cfRule type="notContainsBlanks" dxfId="7" priority="3850">
      <formula>LEN(TRIM(M182))&gt;0</formula>
    </cfRule>
  </conditionalFormatting>
  <conditionalFormatting sqref="M187">
    <cfRule type="expression" dxfId="3" priority="3901">
      <formula>COUNTIF(INDIRECT("Checklist!$A1206"), "TRUE") = 1</formula>
    </cfRule>
    <cfRule type="expression" dxfId="4" priority="3902">
      <formula>COUNTIF(INDIRECT("Checklist!$A1206"), "FALSE") = 1</formula>
    </cfRule>
    <cfRule type="notContainsBlanks" dxfId="7" priority="3903">
      <formula>LEN(TRIM(M187))&gt;0</formula>
    </cfRule>
  </conditionalFormatting>
  <conditionalFormatting sqref="M188">
    <cfRule type="expression" dxfId="3" priority="3919">
      <formula>COUNTIF(INDIRECT("Checklist!$A1212"), "TRUE") = 1</formula>
    </cfRule>
    <cfRule type="expression" dxfId="4" priority="3920">
      <formula>COUNTIF(INDIRECT("Checklist!$A1212"), "FALSE") = 1</formula>
    </cfRule>
    <cfRule type="notContainsBlanks" dxfId="7" priority="3921">
      <formula>LEN(TRIM(M188))&gt;0</formula>
    </cfRule>
  </conditionalFormatting>
  <conditionalFormatting sqref="M189">
    <cfRule type="expression" dxfId="3" priority="3937">
      <formula>COUNTIF(INDIRECT("Checklist!$A1218"), "TRUE") = 1</formula>
    </cfRule>
    <cfRule type="expression" dxfId="4" priority="3938">
      <formula>COUNTIF(INDIRECT("Checklist!$A1218"), "FALSE") = 1</formula>
    </cfRule>
    <cfRule type="notContainsBlanks" dxfId="7" priority="3939">
      <formula>LEN(TRIM(M189))&gt;0</formula>
    </cfRule>
  </conditionalFormatting>
  <conditionalFormatting sqref="M19">
    <cfRule type="expression" dxfId="3" priority="469">
      <formula>COUNTIF(INDIRECT("Checklist!$A156"), "TRUE") = 1</formula>
    </cfRule>
    <cfRule type="expression" dxfId="4" priority="470">
      <formula>COUNTIF(INDIRECT("Checklist!$A156"), "FALSE") = 1</formula>
    </cfRule>
    <cfRule type="notContainsBlanks" dxfId="7" priority="471">
      <formula>LEN(TRIM(M19))&gt;0</formula>
    </cfRule>
  </conditionalFormatting>
  <conditionalFormatting sqref="M190">
    <cfRule type="expression" dxfId="3" priority="3955">
      <formula>COUNTIF(INDIRECT("Checklist!$A1224"), "TRUE") = 1</formula>
    </cfRule>
    <cfRule type="expression" dxfId="4" priority="3956">
      <formula>COUNTIF(INDIRECT("Checklist!$A1224"), "FALSE") = 1</formula>
    </cfRule>
    <cfRule type="notContainsBlanks" dxfId="7" priority="3957">
      <formula>LEN(TRIM(M190))&gt;0</formula>
    </cfRule>
  </conditionalFormatting>
  <conditionalFormatting sqref="M191">
    <cfRule type="expression" dxfId="3" priority="3973">
      <formula>COUNTIF(INDIRECT("Checklist!$A1230"), "TRUE") = 1</formula>
    </cfRule>
    <cfRule type="expression" dxfId="4" priority="3974">
      <formula>COUNTIF(INDIRECT("Checklist!$A1230"), "FALSE") = 1</formula>
    </cfRule>
    <cfRule type="notContainsBlanks" dxfId="7" priority="3975">
      <formula>LEN(TRIM(M191))&gt;0</formula>
    </cfRule>
  </conditionalFormatting>
  <conditionalFormatting sqref="M20">
    <cfRule type="expression" dxfId="3" priority="487">
      <formula>COUNTIF(INDIRECT("Checklist!$A162"), "TRUE") = 1</formula>
    </cfRule>
    <cfRule type="expression" dxfId="4" priority="488">
      <formula>COUNTIF(INDIRECT("Checklist!$A162"), "FALSE") = 1</formula>
    </cfRule>
    <cfRule type="notContainsBlanks" dxfId="7" priority="489">
      <formula>LEN(TRIM(M20))&gt;0</formula>
    </cfRule>
  </conditionalFormatting>
  <conditionalFormatting sqref="M203">
    <cfRule type="expression" dxfId="3" priority="4073">
      <formula>COUNTIF(INDIRECT("Checklist!$A1262"), "TRUE") = 1</formula>
    </cfRule>
    <cfRule type="expression" dxfId="4" priority="4074">
      <formula>COUNTIF(INDIRECT("Checklist!$A1262"), "FALSE") = 1</formula>
    </cfRule>
    <cfRule type="notContainsBlanks" dxfId="7" priority="4075">
      <formula>LEN(TRIM(M203))&gt;0</formula>
    </cfRule>
  </conditionalFormatting>
  <conditionalFormatting sqref="M204">
    <cfRule type="expression" dxfId="3" priority="4091">
      <formula>COUNTIF(INDIRECT("Checklist!$A1268"), "TRUE") = 1</formula>
    </cfRule>
    <cfRule type="expression" dxfId="4" priority="4092">
      <formula>COUNTIF(INDIRECT("Checklist!$A1268"), "FALSE") = 1</formula>
    </cfRule>
    <cfRule type="notContainsBlanks" dxfId="7" priority="4093">
      <formula>LEN(TRIM(M204))&gt;0</formula>
    </cfRule>
  </conditionalFormatting>
  <conditionalFormatting sqref="M205">
    <cfRule type="expression" dxfId="3" priority="4109">
      <formula>COUNTIF(INDIRECT("Checklist!$A1274"), "TRUE") = 1</formula>
    </cfRule>
    <cfRule type="expression" dxfId="4" priority="4110">
      <formula>COUNTIF(INDIRECT("Checklist!$A1274"), "FALSE") = 1</formula>
    </cfRule>
    <cfRule type="notContainsBlanks" dxfId="7" priority="4111">
      <formula>LEN(TRIM(M205))&gt;0</formula>
    </cfRule>
  </conditionalFormatting>
  <conditionalFormatting sqref="M21">
    <cfRule type="expression" dxfId="3" priority="505">
      <formula>COUNTIF(INDIRECT("Checklist!$A168"), "TRUE") = 1</formula>
    </cfRule>
    <cfRule type="expression" dxfId="4" priority="506">
      <formula>COUNTIF(INDIRECT("Checklist!$A168"), "FALSE") = 1</formula>
    </cfRule>
    <cfRule type="notContainsBlanks" dxfId="7" priority="507">
      <formula>LEN(TRIM(M21))&gt;0</formula>
    </cfRule>
  </conditionalFormatting>
  <conditionalFormatting sqref="M22">
    <cfRule type="expression" dxfId="3" priority="523">
      <formula>COUNTIF(INDIRECT("Checklist!$A174"), "TRUE") = 1</formula>
    </cfRule>
    <cfRule type="expression" dxfId="4" priority="524">
      <formula>COUNTIF(INDIRECT("Checklist!$A174"), "FALSE") = 1</formula>
    </cfRule>
    <cfRule type="notContainsBlanks" dxfId="7" priority="525">
      <formula>LEN(TRIM(M22))&gt;0</formula>
    </cfRule>
  </conditionalFormatting>
  <conditionalFormatting sqref="M23">
    <cfRule type="expression" dxfId="3" priority="541">
      <formula>COUNTIF(INDIRECT("Checklist!$A180"), "TRUE") = 1</formula>
    </cfRule>
    <cfRule type="expression" dxfId="4" priority="542">
      <formula>COUNTIF(INDIRECT("Checklist!$A180"), "FALSE") = 1</formula>
    </cfRule>
    <cfRule type="notContainsBlanks" dxfId="7" priority="543">
      <formula>LEN(TRIM(M23))&gt;0</formula>
    </cfRule>
  </conditionalFormatting>
  <conditionalFormatting sqref="M27">
    <cfRule type="expression" dxfId="3" priority="651">
      <formula>COUNTIF(INDIRECT("Checklist!$A216"), "TRUE") = 1</formula>
    </cfRule>
    <cfRule type="expression" dxfId="4" priority="652">
      <formula>COUNTIF(INDIRECT("Checklist!$A216"), "FALSE") = 1</formula>
    </cfRule>
    <cfRule type="notContainsBlanks" dxfId="7" priority="653">
      <formula>LEN(TRIM(M27))&gt;0</formula>
    </cfRule>
  </conditionalFormatting>
  <conditionalFormatting sqref="M28">
    <cfRule type="expression" dxfId="3" priority="669">
      <formula>COUNTIF(INDIRECT("Checklist!$A222"), "TRUE") = 1</formula>
    </cfRule>
    <cfRule type="expression" dxfId="4" priority="670">
      <formula>COUNTIF(INDIRECT("Checklist!$A222"), "FALSE") = 1</formula>
    </cfRule>
    <cfRule type="notContainsBlanks" dxfId="7" priority="671">
      <formula>LEN(TRIM(M28))&gt;0</formula>
    </cfRule>
  </conditionalFormatting>
  <conditionalFormatting sqref="M29">
    <cfRule type="expression" dxfId="3" priority="687">
      <formula>COUNTIF(INDIRECT("Checklist!$A228"), "TRUE") = 1</formula>
    </cfRule>
    <cfRule type="expression" dxfId="4" priority="688">
      <formula>COUNTIF(INDIRECT("Checklist!$A228"), "FALSE") = 1</formula>
    </cfRule>
    <cfRule type="notContainsBlanks" dxfId="7" priority="689">
      <formula>LEN(TRIM(M29))&gt;0</formula>
    </cfRule>
  </conditionalFormatting>
  <conditionalFormatting sqref="M3">
    <cfRule type="expression" dxfId="3" priority="105">
      <formula>COUNTIF(INDIRECT("Checklist!$A36"), "TRUE") = 1</formula>
    </cfRule>
    <cfRule type="expression" dxfId="4" priority="106">
      <formula>COUNTIF(INDIRECT("Checklist!$A36"), "FALSE") = 1</formula>
    </cfRule>
    <cfRule type="notContainsBlanks" dxfId="7" priority="107">
      <formula>LEN(TRIM(M3))&gt;0</formula>
    </cfRule>
  </conditionalFormatting>
  <conditionalFormatting sqref="M30">
    <cfRule type="expression" dxfId="3" priority="705">
      <formula>COUNTIF(INDIRECT("Checklist!$A234"), "TRUE") = 1</formula>
    </cfRule>
    <cfRule type="expression" dxfId="4" priority="706">
      <formula>COUNTIF(INDIRECT("Checklist!$A234"), "FALSE") = 1</formula>
    </cfRule>
    <cfRule type="notContainsBlanks" dxfId="7" priority="707">
      <formula>LEN(TRIM(M30))&gt;0</formula>
    </cfRule>
  </conditionalFormatting>
  <conditionalFormatting sqref="M31">
    <cfRule type="expression" dxfId="3" priority="723">
      <formula>COUNTIF(INDIRECT("Checklist!$A240"), "TRUE") = 1</formula>
    </cfRule>
    <cfRule type="expression" dxfId="4" priority="724">
      <formula>COUNTIF(INDIRECT("Checklist!$A240"), "FALSE") = 1</formula>
    </cfRule>
    <cfRule type="notContainsBlanks" dxfId="7" priority="725">
      <formula>LEN(TRIM(M31))&gt;0</formula>
    </cfRule>
  </conditionalFormatting>
  <conditionalFormatting sqref="M35">
    <cfRule type="expression" dxfId="3" priority="833">
      <formula>COUNTIF(INDIRECT("Checklist!$A276"), "TRUE") = 1</formula>
    </cfRule>
    <cfRule type="expression" dxfId="4" priority="834">
      <formula>COUNTIF(INDIRECT("Checklist!$A276"), "FALSE") = 1</formula>
    </cfRule>
    <cfRule type="notContainsBlanks" dxfId="7" priority="835">
      <formula>LEN(TRIM(M35))&gt;0</formula>
    </cfRule>
  </conditionalFormatting>
  <conditionalFormatting sqref="M36">
    <cfRule type="expression" dxfId="3" priority="851">
      <formula>COUNTIF(INDIRECT("Checklist!$A282"), "TRUE") = 1</formula>
    </cfRule>
    <cfRule type="expression" dxfId="4" priority="852">
      <formula>COUNTIF(INDIRECT("Checklist!$A282"), "FALSE") = 1</formula>
    </cfRule>
    <cfRule type="notContainsBlanks" dxfId="7" priority="853">
      <formula>LEN(TRIM(M36))&gt;0</formula>
    </cfRule>
  </conditionalFormatting>
  <conditionalFormatting sqref="M37">
    <cfRule type="expression" dxfId="3" priority="869">
      <formula>COUNTIF(INDIRECT("Checklist!$A288"), "TRUE") = 1</formula>
    </cfRule>
    <cfRule type="expression" dxfId="4" priority="870">
      <formula>COUNTIF(INDIRECT("Checklist!$A288"), "FALSE") = 1</formula>
    </cfRule>
    <cfRule type="notContainsBlanks" dxfId="7" priority="871">
      <formula>LEN(TRIM(M37))&gt;0</formula>
    </cfRule>
  </conditionalFormatting>
  <conditionalFormatting sqref="M38">
    <cfRule type="expression" dxfId="3" priority="887">
      <formula>COUNTIF(INDIRECT("Checklist!$A294"), "TRUE") = 1</formula>
    </cfRule>
    <cfRule type="expression" dxfId="4" priority="888">
      <formula>COUNTIF(INDIRECT("Checklist!$A294"), "FALSE") = 1</formula>
    </cfRule>
    <cfRule type="notContainsBlanks" dxfId="7" priority="889">
      <formula>LEN(TRIM(M38))&gt;0</formula>
    </cfRule>
  </conditionalFormatting>
  <conditionalFormatting sqref="M39">
    <cfRule type="expression" dxfId="3" priority="905">
      <formula>COUNTIF(INDIRECT("Checklist!$A300"), "TRUE") = 1</formula>
    </cfRule>
    <cfRule type="expression" dxfId="4" priority="906">
      <formula>COUNTIF(INDIRECT("Checklist!$A300"), "FALSE") = 1</formula>
    </cfRule>
    <cfRule type="notContainsBlanks" dxfId="7" priority="907">
      <formula>LEN(TRIM(M39))&gt;0</formula>
    </cfRule>
  </conditionalFormatting>
  <conditionalFormatting sqref="M4">
    <cfRule type="expression" dxfId="3" priority="123">
      <formula>COUNTIF(INDIRECT("Checklist!$A42"), "TRUE") = 1</formula>
    </cfRule>
    <cfRule type="expression" dxfId="4" priority="124">
      <formula>COUNTIF(INDIRECT("Checklist!$A42"), "FALSE") = 1</formula>
    </cfRule>
    <cfRule type="notContainsBlanks" dxfId="7" priority="125">
      <formula>LEN(TRIM(M4))&gt;0</formula>
    </cfRule>
  </conditionalFormatting>
  <conditionalFormatting sqref="M43">
    <cfRule type="expression" dxfId="3" priority="1015">
      <formula>COUNTIF(INDIRECT("Checklist!$A336"), "TRUE") = 1</formula>
    </cfRule>
    <cfRule type="expression" dxfId="4" priority="1016">
      <formula>COUNTIF(INDIRECT("Checklist!$A336"), "FALSE") = 1</formula>
    </cfRule>
    <cfRule type="notContainsBlanks" dxfId="7" priority="1017">
      <formula>LEN(TRIM(M43))&gt;0</formula>
    </cfRule>
  </conditionalFormatting>
  <conditionalFormatting sqref="M44">
    <cfRule type="expression" dxfId="3" priority="1033">
      <formula>COUNTIF(INDIRECT("Checklist!$A342"), "TRUE") = 1</formula>
    </cfRule>
    <cfRule type="expression" dxfId="4" priority="1034">
      <formula>COUNTIF(INDIRECT("Checklist!$A342"), "FALSE") = 1</formula>
    </cfRule>
    <cfRule type="notContainsBlanks" dxfId="7" priority="1035">
      <formula>LEN(TRIM(M44))&gt;0</formula>
    </cfRule>
  </conditionalFormatting>
  <conditionalFormatting sqref="M45">
    <cfRule type="expression" dxfId="3" priority="1051">
      <formula>COUNTIF(INDIRECT("Checklist!$A348"), "TRUE") = 1</formula>
    </cfRule>
    <cfRule type="expression" dxfId="4" priority="1052">
      <formula>COUNTIF(INDIRECT("Checklist!$A348"), "FALSE") = 1</formula>
    </cfRule>
    <cfRule type="notContainsBlanks" dxfId="7" priority="1053">
      <formula>LEN(TRIM(M45))&gt;0</formula>
    </cfRule>
  </conditionalFormatting>
  <conditionalFormatting sqref="M46">
    <cfRule type="expression" dxfId="3" priority="1069">
      <formula>COUNTIF(INDIRECT("Checklist!$A354"), "TRUE") = 1</formula>
    </cfRule>
    <cfRule type="expression" dxfId="4" priority="1070">
      <formula>COUNTIF(INDIRECT("Checklist!$A354"), "FALSE") = 1</formula>
    </cfRule>
    <cfRule type="notContainsBlanks" dxfId="7" priority="1071">
      <formula>LEN(TRIM(M46))&gt;0</formula>
    </cfRule>
  </conditionalFormatting>
  <conditionalFormatting sqref="M47">
    <cfRule type="expression" dxfId="3" priority="1087">
      <formula>COUNTIF(INDIRECT("Checklist!$A360"), "TRUE") = 1</formula>
    </cfRule>
    <cfRule type="expression" dxfId="4" priority="1088">
      <formula>COUNTIF(INDIRECT("Checklist!$A360"), "FALSE") = 1</formula>
    </cfRule>
    <cfRule type="notContainsBlanks" dxfId="7" priority="1089">
      <formula>LEN(TRIM(M47))&gt;0</formula>
    </cfRule>
  </conditionalFormatting>
  <conditionalFormatting sqref="M5">
    <cfRule type="expression" dxfId="3" priority="141">
      <formula>COUNTIF(INDIRECT("Checklist!$A48"), "TRUE") = 1</formula>
    </cfRule>
    <cfRule type="expression" dxfId="4" priority="142">
      <formula>COUNTIF(INDIRECT("Checklist!$A48"), "FALSE") = 1</formula>
    </cfRule>
    <cfRule type="notContainsBlanks" dxfId="7" priority="143">
      <formula>LEN(TRIM(M5))&gt;0</formula>
    </cfRule>
  </conditionalFormatting>
  <conditionalFormatting sqref="M51">
    <cfRule type="expression" dxfId="3" priority="1197">
      <formula>COUNTIF(INDIRECT("Checklist!$A396"), "TRUE") = 1</formula>
    </cfRule>
    <cfRule type="expression" dxfId="4" priority="1198">
      <formula>COUNTIF(INDIRECT("Checklist!$A396"), "FALSE") = 1</formula>
    </cfRule>
    <cfRule type="notContainsBlanks" dxfId="7" priority="1199">
      <formula>LEN(TRIM(M51))&gt;0</formula>
    </cfRule>
  </conditionalFormatting>
  <conditionalFormatting sqref="M52">
    <cfRule type="expression" dxfId="3" priority="1215">
      <formula>COUNTIF(INDIRECT("Checklist!$A402"), "TRUE") = 1</formula>
    </cfRule>
    <cfRule type="expression" dxfId="4" priority="1216">
      <formula>COUNTIF(INDIRECT("Checklist!$A402"), "FALSE") = 1</formula>
    </cfRule>
    <cfRule type="notContainsBlanks" dxfId="7" priority="1217">
      <formula>LEN(TRIM(M52))&gt;0</formula>
    </cfRule>
  </conditionalFormatting>
  <conditionalFormatting sqref="M53">
    <cfRule type="expression" dxfId="3" priority="1233">
      <formula>COUNTIF(INDIRECT("Checklist!$A408"), "TRUE") = 1</formula>
    </cfRule>
    <cfRule type="expression" dxfId="4" priority="1234">
      <formula>COUNTIF(INDIRECT("Checklist!$A408"), "FALSE") = 1</formula>
    </cfRule>
    <cfRule type="notContainsBlanks" dxfId="7" priority="1235">
      <formula>LEN(TRIM(M53))&gt;0</formula>
    </cfRule>
  </conditionalFormatting>
  <conditionalFormatting sqref="M54">
    <cfRule type="expression" dxfId="3" priority="1251">
      <formula>COUNTIF(INDIRECT("Checklist!$A414"), "TRUE") = 1</formula>
    </cfRule>
    <cfRule type="expression" dxfId="4" priority="1252">
      <formula>COUNTIF(INDIRECT("Checklist!$A414"), "FALSE") = 1</formula>
    </cfRule>
    <cfRule type="notContainsBlanks" dxfId="7" priority="1253">
      <formula>LEN(TRIM(M54))&gt;0</formula>
    </cfRule>
  </conditionalFormatting>
  <conditionalFormatting sqref="M55">
    <cfRule type="expression" dxfId="3" priority="1269">
      <formula>COUNTIF(INDIRECT("Checklist!$A420"), "TRUE") = 1</formula>
    </cfRule>
    <cfRule type="expression" dxfId="4" priority="1270">
      <formula>COUNTIF(INDIRECT("Checklist!$A420"), "FALSE") = 1</formula>
    </cfRule>
    <cfRule type="notContainsBlanks" dxfId="7" priority="1271">
      <formula>LEN(TRIM(M55))&gt;0</formula>
    </cfRule>
  </conditionalFormatting>
  <conditionalFormatting sqref="M59">
    <cfRule type="expression" dxfId="3" priority="1379">
      <formula>COUNTIF(INDIRECT("Checklist!$A456"), "TRUE") = 1</formula>
    </cfRule>
    <cfRule type="expression" dxfId="4" priority="1380">
      <formula>COUNTIF(INDIRECT("Checklist!$A456"), "FALSE") = 1</formula>
    </cfRule>
    <cfRule type="notContainsBlanks" dxfId="7" priority="1381">
      <formula>LEN(TRIM(M59))&gt;0</formula>
    </cfRule>
  </conditionalFormatting>
  <conditionalFormatting sqref="M6">
    <cfRule type="expression" dxfId="3" priority="159">
      <formula>COUNTIF(INDIRECT("Checklist!$A54"), "TRUE") = 1</formula>
    </cfRule>
    <cfRule type="expression" dxfId="4" priority="160">
      <formula>COUNTIF(INDIRECT("Checklist!$A54"), "FALSE") = 1</formula>
    </cfRule>
    <cfRule type="notContainsBlanks" dxfId="7" priority="161">
      <formula>LEN(TRIM(M6))&gt;0</formula>
    </cfRule>
  </conditionalFormatting>
  <conditionalFormatting sqref="M60">
    <cfRule type="expression" dxfId="3" priority="1397">
      <formula>COUNTIF(INDIRECT("Checklist!$A462"), "TRUE") = 1</formula>
    </cfRule>
    <cfRule type="expression" dxfId="4" priority="1398">
      <formula>COUNTIF(INDIRECT("Checklist!$A462"), "FALSE") = 1</formula>
    </cfRule>
    <cfRule type="notContainsBlanks" dxfId="7" priority="1399">
      <formula>LEN(TRIM(M60))&gt;0</formula>
    </cfRule>
  </conditionalFormatting>
  <conditionalFormatting sqref="M61">
    <cfRule type="expression" dxfId="3" priority="1415">
      <formula>COUNTIF(INDIRECT("Checklist!$A468"), "TRUE") = 1</formula>
    </cfRule>
    <cfRule type="expression" dxfId="4" priority="1416">
      <formula>COUNTIF(INDIRECT("Checklist!$A468"), "FALSE") = 1</formula>
    </cfRule>
    <cfRule type="notContainsBlanks" dxfId="7" priority="1417">
      <formula>LEN(TRIM(M61))&gt;0</formula>
    </cfRule>
  </conditionalFormatting>
  <conditionalFormatting sqref="M62">
    <cfRule type="expression" dxfId="3" priority="1433">
      <formula>COUNTIF(INDIRECT("Checklist!$A474"), "TRUE") = 1</formula>
    </cfRule>
    <cfRule type="expression" dxfId="4" priority="1434">
      <formula>COUNTIF(INDIRECT("Checklist!$A474"), "FALSE") = 1</formula>
    </cfRule>
    <cfRule type="notContainsBlanks" dxfId="7" priority="1435">
      <formula>LEN(TRIM(M62))&gt;0</formula>
    </cfRule>
  </conditionalFormatting>
  <conditionalFormatting sqref="M63">
    <cfRule type="expression" dxfId="3" priority="1451">
      <formula>COUNTIF(INDIRECT("Checklist!$A480"), "TRUE") = 1</formula>
    </cfRule>
    <cfRule type="expression" dxfId="4" priority="1452">
      <formula>COUNTIF(INDIRECT("Checklist!$A480"), "FALSE") = 1</formula>
    </cfRule>
    <cfRule type="notContainsBlanks" dxfId="7" priority="1453">
      <formula>LEN(TRIM(M63))&gt;0</formula>
    </cfRule>
  </conditionalFormatting>
  <conditionalFormatting sqref="M67">
    <cfRule type="expression" dxfId="3" priority="1561">
      <formula>COUNTIF(INDIRECT("Checklist!$A516"), "TRUE") = 1</formula>
    </cfRule>
    <cfRule type="expression" dxfId="4" priority="1562">
      <formula>COUNTIF(INDIRECT("Checklist!$A516"), "FALSE") = 1</formula>
    </cfRule>
    <cfRule type="notContainsBlanks" dxfId="7" priority="1563">
      <formula>LEN(TRIM(M67))&gt;0</formula>
    </cfRule>
  </conditionalFormatting>
  <conditionalFormatting sqref="M68">
    <cfRule type="expression" dxfId="3" priority="1579">
      <formula>COUNTIF(INDIRECT("Checklist!$A522"), "TRUE") = 1</formula>
    </cfRule>
    <cfRule type="expression" dxfId="4" priority="1580">
      <formula>COUNTIF(INDIRECT("Checklist!$A522"), "FALSE") = 1</formula>
    </cfRule>
    <cfRule type="notContainsBlanks" dxfId="7" priority="1581">
      <formula>LEN(TRIM(M68))&gt;0</formula>
    </cfRule>
  </conditionalFormatting>
  <conditionalFormatting sqref="M69">
    <cfRule type="expression" dxfId="3" priority="1597">
      <formula>COUNTIF(INDIRECT("Checklist!$A528"), "TRUE") = 1</formula>
    </cfRule>
    <cfRule type="expression" dxfId="4" priority="1598">
      <formula>COUNTIF(INDIRECT("Checklist!$A528"), "FALSE") = 1</formula>
    </cfRule>
    <cfRule type="notContainsBlanks" dxfId="7" priority="1599">
      <formula>LEN(TRIM(M69))&gt;0</formula>
    </cfRule>
  </conditionalFormatting>
  <conditionalFormatting sqref="M7">
    <cfRule type="expression" dxfId="3" priority="177">
      <formula>COUNTIF(INDIRECT("Checklist!$A60"), "TRUE") = 1</formula>
    </cfRule>
    <cfRule type="expression" dxfId="4" priority="178">
      <formula>COUNTIF(INDIRECT("Checklist!$A60"), "FALSE") = 1</formula>
    </cfRule>
    <cfRule type="notContainsBlanks" dxfId="7" priority="179">
      <formula>LEN(TRIM(M7))&gt;0</formula>
    </cfRule>
  </conditionalFormatting>
  <conditionalFormatting sqref="M70">
    <cfRule type="expression" dxfId="3" priority="1615">
      <formula>COUNTIF(INDIRECT("Checklist!$A534"), "TRUE") = 1</formula>
    </cfRule>
    <cfRule type="expression" dxfId="4" priority="1616">
      <formula>COUNTIF(INDIRECT("Checklist!$A534"), "FALSE") = 1</formula>
    </cfRule>
    <cfRule type="notContainsBlanks" dxfId="7" priority="1617">
      <formula>LEN(TRIM(M70))&gt;0</formula>
    </cfRule>
  </conditionalFormatting>
  <conditionalFormatting sqref="M71">
    <cfRule type="expression" dxfId="3" priority="1633">
      <formula>COUNTIF(INDIRECT("Checklist!$A540"), "TRUE") = 1</formula>
    </cfRule>
    <cfRule type="expression" dxfId="4" priority="1634">
      <formula>COUNTIF(INDIRECT("Checklist!$A540"), "FALSE") = 1</formula>
    </cfRule>
    <cfRule type="notContainsBlanks" dxfId="7" priority="1635">
      <formula>LEN(TRIM(M71))&gt;0</formula>
    </cfRule>
  </conditionalFormatting>
  <conditionalFormatting sqref="M75">
    <cfRule type="expression" dxfId="3" priority="1743">
      <formula>COUNTIF(INDIRECT("Checklist!$A576"), "TRUE") = 1</formula>
    </cfRule>
    <cfRule type="expression" dxfId="4" priority="1744">
      <formula>COUNTIF(INDIRECT("Checklist!$A576"), "FALSE") = 1</formula>
    </cfRule>
    <cfRule type="notContainsBlanks" dxfId="7" priority="1745">
      <formula>LEN(TRIM(M75))&gt;0</formula>
    </cfRule>
  </conditionalFormatting>
  <conditionalFormatting sqref="M76">
    <cfRule type="expression" dxfId="3" priority="1761">
      <formula>COUNTIF(INDIRECT("Checklist!$A582"), "TRUE") = 1</formula>
    </cfRule>
    <cfRule type="expression" dxfId="4" priority="1762">
      <formula>COUNTIF(INDIRECT("Checklist!$A582"), "FALSE") = 1</formula>
    </cfRule>
    <cfRule type="notContainsBlanks" dxfId="7" priority="1763">
      <formula>LEN(TRIM(M76))&gt;0</formula>
    </cfRule>
  </conditionalFormatting>
  <conditionalFormatting sqref="M77">
    <cfRule type="expression" dxfId="3" priority="1779">
      <formula>COUNTIF(INDIRECT("Checklist!$A588"), "TRUE") = 1</formula>
    </cfRule>
    <cfRule type="expression" dxfId="4" priority="1780">
      <formula>COUNTIF(INDIRECT("Checklist!$A588"), "FALSE") = 1</formula>
    </cfRule>
    <cfRule type="notContainsBlanks" dxfId="7" priority="1781">
      <formula>LEN(TRIM(M77))&gt;0</formula>
    </cfRule>
  </conditionalFormatting>
  <conditionalFormatting sqref="M78">
    <cfRule type="expression" dxfId="3" priority="1797">
      <formula>COUNTIF(INDIRECT("Checklist!$A594"), "TRUE") = 1</formula>
    </cfRule>
    <cfRule type="expression" dxfId="4" priority="1798">
      <formula>COUNTIF(INDIRECT("Checklist!$A594"), "FALSE") = 1</formula>
    </cfRule>
    <cfRule type="notContainsBlanks" dxfId="7" priority="1799">
      <formula>LEN(TRIM(M78))&gt;0</formula>
    </cfRule>
  </conditionalFormatting>
  <conditionalFormatting sqref="M79">
    <cfRule type="expression" dxfId="3" priority="1815">
      <formula>COUNTIF(INDIRECT("Checklist!$A600"), "TRUE") = 1</formula>
    </cfRule>
    <cfRule type="expression" dxfId="4" priority="1816">
      <formula>COUNTIF(INDIRECT("Checklist!$A600"), "FALSE") = 1</formula>
    </cfRule>
    <cfRule type="notContainsBlanks" dxfId="7" priority="1817">
      <formula>LEN(TRIM(M79))&gt;0</formula>
    </cfRule>
  </conditionalFormatting>
  <conditionalFormatting sqref="M83">
    <cfRule type="expression" dxfId="3" priority="1925">
      <formula>COUNTIF(INDIRECT("Checklist!$A636"), "TRUE") = 1</formula>
    </cfRule>
    <cfRule type="expression" dxfId="4" priority="1926">
      <formula>COUNTIF(INDIRECT("Checklist!$A636"), "FALSE") = 1</formula>
    </cfRule>
    <cfRule type="notContainsBlanks" dxfId="7" priority="1927">
      <formula>LEN(TRIM(M83))&gt;0</formula>
    </cfRule>
  </conditionalFormatting>
  <conditionalFormatting sqref="M84">
    <cfRule type="expression" dxfId="3" priority="1943">
      <formula>COUNTIF(INDIRECT("Checklist!$A642"), "TRUE") = 1</formula>
    </cfRule>
    <cfRule type="expression" dxfId="4" priority="1944">
      <formula>COUNTIF(INDIRECT("Checklist!$A642"), "FALSE") = 1</formula>
    </cfRule>
    <cfRule type="notContainsBlanks" dxfId="7" priority="1945">
      <formula>LEN(TRIM(M84))&gt;0</formula>
    </cfRule>
  </conditionalFormatting>
  <conditionalFormatting sqref="M85">
    <cfRule type="expression" dxfId="3" priority="1961">
      <formula>COUNTIF(INDIRECT("Checklist!$A648"), "TRUE") = 1</formula>
    </cfRule>
    <cfRule type="expression" dxfId="4" priority="1962">
      <formula>COUNTIF(INDIRECT("Checklist!$A648"), "FALSE") = 1</formula>
    </cfRule>
    <cfRule type="notContainsBlanks" dxfId="7" priority="1963">
      <formula>LEN(TRIM(M85))&gt;0</formula>
    </cfRule>
  </conditionalFormatting>
  <conditionalFormatting sqref="M86">
    <cfRule type="expression" dxfId="3" priority="1979">
      <formula>COUNTIF(INDIRECT("Checklist!$A654"), "TRUE") = 1</formula>
    </cfRule>
    <cfRule type="expression" dxfId="4" priority="1980">
      <formula>COUNTIF(INDIRECT("Checklist!$A654"), "FALSE") = 1</formula>
    </cfRule>
    <cfRule type="notContainsBlanks" dxfId="7" priority="1981">
      <formula>LEN(TRIM(M86))&gt;0</formula>
    </cfRule>
  </conditionalFormatting>
  <conditionalFormatting sqref="M87">
    <cfRule type="expression" dxfId="3" priority="1997">
      <formula>COUNTIF(INDIRECT("Checklist!$A660"), "TRUE") = 1</formula>
    </cfRule>
    <cfRule type="expression" dxfId="4" priority="1998">
      <formula>COUNTIF(INDIRECT("Checklist!$A660"), "FALSE") = 1</formula>
    </cfRule>
    <cfRule type="notContainsBlanks" dxfId="7" priority="1999">
      <formula>LEN(TRIM(M87))&gt;0</formula>
    </cfRule>
  </conditionalFormatting>
  <conditionalFormatting sqref="M91">
    <cfRule type="expression" dxfId="3" priority="2107">
      <formula>COUNTIF(INDIRECT("Checklist!$A696"), "TRUE") = 1</formula>
    </cfRule>
    <cfRule type="expression" dxfId="4" priority="2108">
      <formula>COUNTIF(INDIRECT("Checklist!$A696"), "FALSE") = 1</formula>
    </cfRule>
    <cfRule type="notContainsBlanks" dxfId="7" priority="2109">
      <formula>LEN(TRIM(M91))&gt;0</formula>
    </cfRule>
  </conditionalFormatting>
  <conditionalFormatting sqref="M92">
    <cfRule type="expression" dxfId="3" priority="2125">
      <formula>COUNTIF(INDIRECT("Checklist!$A702"), "TRUE") = 1</formula>
    </cfRule>
    <cfRule type="expression" dxfId="4" priority="2126">
      <formula>COUNTIF(INDIRECT("Checklist!$A702"), "FALSE") = 1</formula>
    </cfRule>
    <cfRule type="notContainsBlanks" dxfId="7" priority="2127">
      <formula>LEN(TRIM(M92))&gt;0</formula>
    </cfRule>
  </conditionalFormatting>
  <conditionalFormatting sqref="M93">
    <cfRule type="expression" dxfId="3" priority="2143">
      <formula>COUNTIF(INDIRECT("Checklist!$A708"), "TRUE") = 1</formula>
    </cfRule>
    <cfRule type="expression" dxfId="4" priority="2144">
      <formula>COUNTIF(INDIRECT("Checklist!$A708"), "FALSE") = 1</formula>
    </cfRule>
    <cfRule type="notContainsBlanks" dxfId="7" priority="2145">
      <formula>LEN(TRIM(M93))&gt;0</formula>
    </cfRule>
  </conditionalFormatting>
  <conditionalFormatting sqref="M94">
    <cfRule type="expression" dxfId="3" priority="2161">
      <formula>COUNTIF(INDIRECT("Checklist!$A714"), "TRUE") = 1</formula>
    </cfRule>
    <cfRule type="expression" dxfId="4" priority="2162">
      <formula>COUNTIF(INDIRECT("Checklist!$A714"), "FALSE") = 1</formula>
    </cfRule>
    <cfRule type="notContainsBlanks" dxfId="7" priority="2163">
      <formula>LEN(TRIM(M94))&gt;0</formula>
    </cfRule>
  </conditionalFormatting>
  <conditionalFormatting sqref="M95">
    <cfRule type="expression" dxfId="3" priority="2179">
      <formula>COUNTIF(INDIRECT("Checklist!$A720"), "TRUE") = 1</formula>
    </cfRule>
    <cfRule type="expression" dxfId="4" priority="2180">
      <formula>COUNTIF(INDIRECT("Checklist!$A720"), "FALSE") = 1</formula>
    </cfRule>
    <cfRule type="notContainsBlanks" dxfId="7" priority="2181">
      <formula>LEN(TRIM(M95))&gt;0</formula>
    </cfRule>
  </conditionalFormatting>
  <conditionalFormatting sqref="M99">
    <cfRule type="expression" dxfId="3" priority="2289">
      <formula>COUNTIF(INDIRECT("Checklist!$A756"), "TRUE") = 1</formula>
    </cfRule>
    <cfRule type="expression" dxfId="4" priority="2290">
      <formula>COUNTIF(INDIRECT("Checklist!$A756"), "FALSE") = 1</formula>
    </cfRule>
    <cfRule type="notContainsBlanks" dxfId="7" priority="2291">
      <formula>LEN(TRIM(M99))&gt;0</formula>
    </cfRule>
  </conditionalFormatting>
  <conditionalFormatting sqref="N100">
    <cfRule type="expression" dxfId="3" priority="2310">
      <formula>COUNTIF(INDIRECT("Checklist!$A763"), "TRUE") = 1</formula>
    </cfRule>
    <cfRule type="expression" dxfId="4" priority="2311">
      <formula>COUNTIF(INDIRECT("Checklist!$A763"), "FALSE") = 1</formula>
    </cfRule>
    <cfRule type="notContainsBlanks" dxfId="7" priority="2312">
      <formula>LEN(TRIM(N100))&gt;0</formula>
    </cfRule>
  </conditionalFormatting>
  <conditionalFormatting sqref="N101">
    <cfRule type="expression" dxfId="3" priority="2328">
      <formula>COUNTIF(INDIRECT("Checklist!$A769"), "TRUE") = 1</formula>
    </cfRule>
    <cfRule type="expression" dxfId="4" priority="2329">
      <formula>COUNTIF(INDIRECT("Checklist!$A769"), "FALSE") = 1</formula>
    </cfRule>
    <cfRule type="notContainsBlanks" dxfId="7" priority="2330">
      <formula>LEN(TRIM(N101))&gt;0</formula>
    </cfRule>
  </conditionalFormatting>
  <conditionalFormatting sqref="N102">
    <cfRule type="expression" dxfId="3" priority="2346">
      <formula>COUNTIF(INDIRECT("Checklist!$A775"), "TRUE") = 1</formula>
    </cfRule>
    <cfRule type="expression" dxfId="4" priority="2347">
      <formula>COUNTIF(INDIRECT("Checklist!$A775"), "FALSE") = 1</formula>
    </cfRule>
    <cfRule type="notContainsBlanks" dxfId="7" priority="2348">
      <formula>LEN(TRIM(N102))&gt;0</formula>
    </cfRule>
  </conditionalFormatting>
  <conditionalFormatting sqref="N103">
    <cfRule type="expression" dxfId="3" priority="2364">
      <formula>COUNTIF(INDIRECT("Checklist!$A781"), "TRUE") = 1</formula>
    </cfRule>
    <cfRule type="expression" dxfId="4" priority="2365">
      <formula>COUNTIF(INDIRECT("Checklist!$A781"), "FALSE") = 1</formula>
    </cfRule>
    <cfRule type="notContainsBlanks" dxfId="7" priority="2366">
      <formula>LEN(TRIM(N103))&gt;0</formula>
    </cfRule>
  </conditionalFormatting>
  <conditionalFormatting sqref="N107">
    <cfRule type="expression" dxfId="3" priority="2474">
      <formula>COUNTIF(INDIRECT("Checklist!$A817"), "TRUE") = 1</formula>
    </cfRule>
    <cfRule type="expression" dxfId="4" priority="2475">
      <formula>COUNTIF(INDIRECT("Checklist!$A817"), "FALSE") = 1</formula>
    </cfRule>
    <cfRule type="notContainsBlanks" dxfId="7" priority="2476">
      <formula>LEN(TRIM(N107))&gt;0</formula>
    </cfRule>
  </conditionalFormatting>
  <conditionalFormatting sqref="N108">
    <cfRule type="expression" dxfId="3" priority="2492">
      <formula>COUNTIF(INDIRECT("Checklist!$A823"), "TRUE") = 1</formula>
    </cfRule>
    <cfRule type="expression" dxfId="4" priority="2493">
      <formula>COUNTIF(INDIRECT("Checklist!$A823"), "FALSE") = 1</formula>
    </cfRule>
    <cfRule type="notContainsBlanks" dxfId="7" priority="2494">
      <formula>LEN(TRIM(N108))&gt;0</formula>
    </cfRule>
  </conditionalFormatting>
  <conditionalFormatting sqref="N109">
    <cfRule type="expression" dxfId="3" priority="2510">
      <formula>COUNTIF(INDIRECT("Checklist!$A829"), "TRUE") = 1</formula>
    </cfRule>
    <cfRule type="expression" dxfId="4" priority="2511">
      <formula>COUNTIF(INDIRECT("Checklist!$A829"), "FALSE") = 1</formula>
    </cfRule>
    <cfRule type="notContainsBlanks" dxfId="7" priority="2512">
      <formula>LEN(TRIM(N109))&gt;0</formula>
    </cfRule>
  </conditionalFormatting>
  <conditionalFormatting sqref="N11">
    <cfRule type="expression" dxfId="3" priority="290">
      <formula>COUNTIF(INDIRECT("Checklist!$A97"), "TRUE") = 1</formula>
    </cfRule>
    <cfRule type="expression" dxfId="4" priority="291">
      <formula>COUNTIF(INDIRECT("Checklist!$A97"), "FALSE") = 1</formula>
    </cfRule>
    <cfRule type="notContainsBlanks" dxfId="7" priority="292">
      <formula>LEN(TRIM(N11))&gt;0</formula>
    </cfRule>
  </conditionalFormatting>
  <conditionalFormatting sqref="N110">
    <cfRule type="expression" dxfId="3" priority="2528">
      <formula>COUNTIF(INDIRECT("Checklist!$A1225"), "TRUE") = 1</formula>
    </cfRule>
    <cfRule type="expression" dxfId="4" priority="2529">
      <formula>COUNTIF(INDIRECT("Checklist!$A1225"), "FALSE") = 1</formula>
    </cfRule>
    <cfRule type="notContainsBlanks" dxfId="7" priority="2530">
      <formula>LEN(TRIM(N110))&gt;0</formula>
    </cfRule>
  </conditionalFormatting>
  <conditionalFormatting sqref="N111">
    <cfRule type="expression" dxfId="3" priority="2546">
      <formula>COUNTIF(INDIRECT("Checklist!$A841"), "TRUE") = 1</formula>
    </cfRule>
    <cfRule type="expression" dxfId="4" priority="2547">
      <formula>COUNTIF(INDIRECT("Checklist!$A841"), "FALSE") = 1</formula>
    </cfRule>
    <cfRule type="notContainsBlanks" dxfId="7" priority="2548">
      <formula>LEN(TRIM(N111))&gt;0</formula>
    </cfRule>
  </conditionalFormatting>
  <conditionalFormatting sqref="N115">
    <cfRule type="expression" dxfId="3" priority="2656">
      <formula>COUNTIF(INDIRECT("Checklist!$A877"), "TRUE") = 1</formula>
    </cfRule>
    <cfRule type="expression" dxfId="4" priority="2657">
      <formula>COUNTIF(INDIRECT("Checklist!$A877"), "FALSE") = 1</formula>
    </cfRule>
    <cfRule type="notContainsBlanks" dxfId="7" priority="2658">
      <formula>LEN(TRIM(N115))&gt;0</formula>
    </cfRule>
  </conditionalFormatting>
  <conditionalFormatting sqref="N116">
    <cfRule type="expression" dxfId="3" priority="2674">
      <formula>COUNTIF(INDIRECT("Checklist!$A883"), "TRUE") = 1</formula>
    </cfRule>
    <cfRule type="expression" dxfId="4" priority="2675">
      <formula>COUNTIF(INDIRECT("Checklist!$A883"), "FALSE") = 1</formula>
    </cfRule>
    <cfRule type="notContainsBlanks" dxfId="7" priority="2676">
      <formula>LEN(TRIM(N116))&gt;0</formula>
    </cfRule>
  </conditionalFormatting>
  <conditionalFormatting sqref="N117">
    <cfRule type="expression" dxfId="3" priority="2692">
      <formula>COUNTIF(INDIRECT("Checklist!$A889"), "TRUE") = 1</formula>
    </cfRule>
    <cfRule type="expression" dxfId="4" priority="2693">
      <formula>COUNTIF(INDIRECT("Checklist!$A889"), "FALSE") = 1</formula>
    </cfRule>
    <cfRule type="notContainsBlanks" dxfId="7" priority="2694">
      <formula>LEN(TRIM(N117))&gt;0</formula>
    </cfRule>
  </conditionalFormatting>
  <conditionalFormatting sqref="N118">
    <cfRule type="expression" dxfId="3" priority="2710">
      <formula>COUNTIF(INDIRECT("Checklist!$A895"), "TRUE") = 1</formula>
    </cfRule>
    <cfRule type="expression" dxfId="4" priority="2711">
      <formula>COUNTIF(INDIRECT("Checklist!$A895"), "FALSE") = 1</formula>
    </cfRule>
    <cfRule type="notContainsBlanks" dxfId="7" priority="2712">
      <formula>LEN(TRIM(N118))&gt;0</formula>
    </cfRule>
  </conditionalFormatting>
  <conditionalFormatting sqref="N119">
    <cfRule type="expression" dxfId="3" priority="2728">
      <formula>COUNTIF(INDIRECT("Checklist!$A901"), "TRUE") = 1</formula>
    </cfRule>
    <cfRule type="expression" dxfId="4" priority="2729">
      <formula>COUNTIF(INDIRECT("Checklist!$A901"), "FALSE") = 1</formula>
    </cfRule>
    <cfRule type="notContainsBlanks" dxfId="7" priority="2730">
      <formula>LEN(TRIM(N119))&gt;0</formula>
    </cfRule>
  </conditionalFormatting>
  <conditionalFormatting sqref="N12">
    <cfRule type="expression" dxfId="3" priority="308">
      <formula>COUNTIF(INDIRECT("Checklist!$A103"), "TRUE") = 1</formula>
    </cfRule>
    <cfRule type="expression" dxfId="4" priority="309">
      <formula>COUNTIF(INDIRECT("Checklist!$A103"), "FALSE") = 1</formula>
    </cfRule>
    <cfRule type="notContainsBlanks" dxfId="7" priority="310">
      <formula>LEN(TRIM(N12))&gt;0</formula>
    </cfRule>
  </conditionalFormatting>
  <conditionalFormatting sqref="N123">
    <cfRule type="expression" dxfId="3" priority="2763">
      <formula>COUNTIF(INDIRECT("Checklist!$A912"), "TRUE") = 1</formula>
    </cfRule>
    <cfRule type="expression" dxfId="4" priority="2764">
      <formula>COUNTIF(INDIRECT("Checklist!$A912"), "FALSE") = 1</formula>
    </cfRule>
    <cfRule type="notContainsBlanks" dxfId="7" priority="2765">
      <formula>LEN(TRIM(N123))&gt;0</formula>
    </cfRule>
  </conditionalFormatting>
  <conditionalFormatting sqref="N124">
    <cfRule type="expression" dxfId="3" priority="2781">
      <formula>COUNTIF(INDIRECT("Checklist!$A918"), "TRUE") = 1</formula>
    </cfRule>
    <cfRule type="expression" dxfId="4" priority="2782">
      <formula>COUNTIF(INDIRECT("Checklist!$A918"), "FALSE") = 1</formula>
    </cfRule>
    <cfRule type="notContainsBlanks" dxfId="7" priority="2783">
      <formula>LEN(TRIM(N124))&gt;0</formula>
    </cfRule>
  </conditionalFormatting>
  <conditionalFormatting sqref="N125">
    <cfRule type="expression" dxfId="3" priority="2799">
      <formula>COUNTIF(INDIRECT("Checklist!$A924"), "TRUE") = 1</formula>
    </cfRule>
    <cfRule type="expression" dxfId="4" priority="2800">
      <formula>COUNTIF(INDIRECT("Checklist!$A924"), "FALSE") = 1</formula>
    </cfRule>
    <cfRule type="notContainsBlanks" dxfId="7" priority="2801">
      <formula>LEN(TRIM(N125))&gt;0</formula>
    </cfRule>
  </conditionalFormatting>
  <conditionalFormatting sqref="N126">
    <cfRule type="expression" dxfId="3" priority="2817">
      <formula>COUNTIF(INDIRECT("Checklist!$A930"), "TRUE") = 1</formula>
    </cfRule>
    <cfRule type="expression" dxfId="4" priority="2818">
      <formula>COUNTIF(INDIRECT("Checklist!$A930"), "FALSE") = 1</formula>
    </cfRule>
    <cfRule type="notContainsBlanks" dxfId="7" priority="2819">
      <formula>LEN(TRIM(N126))&gt;0</formula>
    </cfRule>
  </conditionalFormatting>
  <conditionalFormatting sqref="N127">
    <cfRule type="expression" dxfId="3" priority="2835">
      <formula>COUNTIF(INDIRECT("Checklist!$A936"), "TRUE") = 1</formula>
    </cfRule>
    <cfRule type="expression" dxfId="4" priority="2836">
      <formula>COUNTIF(INDIRECT("Checklist!$A936"), "FALSE") = 1</formula>
    </cfRule>
    <cfRule type="notContainsBlanks" dxfId="7" priority="2837">
      <formula>LEN(TRIM(N127))&gt;0</formula>
    </cfRule>
  </conditionalFormatting>
  <conditionalFormatting sqref="N13">
    <cfRule type="expression" dxfId="3" priority="326">
      <formula>COUNTIF(INDIRECT("Checklist!$A109"), "TRUE") = 1</formula>
    </cfRule>
    <cfRule type="expression" dxfId="4" priority="327">
      <formula>COUNTIF(INDIRECT("Checklist!$A109"), "FALSE") = 1</formula>
    </cfRule>
    <cfRule type="notContainsBlanks" dxfId="7" priority="328">
      <formula>LEN(TRIM(N13))&gt;0</formula>
    </cfRule>
  </conditionalFormatting>
  <conditionalFormatting sqref="N131">
    <cfRule type="expression" dxfId="3" priority="2945">
      <formula>COUNTIF(INDIRECT("Checklist!$A972"), "TRUE") = 1</formula>
    </cfRule>
    <cfRule type="expression" dxfId="4" priority="2946">
      <formula>COUNTIF(INDIRECT("Checklist!$A972"), "FALSE") = 1</formula>
    </cfRule>
    <cfRule type="notContainsBlanks" dxfId="7" priority="2947">
      <formula>LEN(TRIM(N131))&gt;0</formula>
    </cfRule>
  </conditionalFormatting>
  <conditionalFormatting sqref="N132">
    <cfRule type="expression" dxfId="3" priority="2963">
      <formula>COUNTIF(INDIRECT("Checklist!$A978"), "TRUE") = 1</formula>
    </cfRule>
    <cfRule type="expression" dxfId="4" priority="2964">
      <formula>COUNTIF(INDIRECT("Checklist!$A978"), "FALSE") = 1</formula>
    </cfRule>
    <cfRule type="notContainsBlanks" dxfId="7" priority="2965">
      <formula>LEN(TRIM(N132))&gt;0</formula>
    </cfRule>
  </conditionalFormatting>
  <conditionalFormatting sqref="N133">
    <cfRule type="expression" dxfId="3" priority="2981">
      <formula>COUNTIF(INDIRECT("Checklist!$A984"), "TRUE") = 1</formula>
    </cfRule>
    <cfRule type="expression" dxfId="4" priority="2982">
      <formula>COUNTIF(INDIRECT("Checklist!$A984"), "FALSE") = 1</formula>
    </cfRule>
    <cfRule type="notContainsBlanks" dxfId="7" priority="2983">
      <formula>LEN(TRIM(N133))&gt;0</formula>
    </cfRule>
  </conditionalFormatting>
  <conditionalFormatting sqref="N134">
    <cfRule type="expression" dxfId="3" priority="2999">
      <formula>COUNTIF(INDIRECT("Checklist!$A990"), "TRUE") = 1</formula>
    </cfRule>
    <cfRule type="expression" dxfId="4" priority="3000">
      <formula>COUNTIF(INDIRECT("Checklist!$A990"), "FALSE") = 1</formula>
    </cfRule>
    <cfRule type="notContainsBlanks" dxfId="7" priority="3001">
      <formula>LEN(TRIM(N134))&gt;0</formula>
    </cfRule>
  </conditionalFormatting>
  <conditionalFormatting sqref="N135">
    <cfRule type="expression" dxfId="3" priority="3017">
      <formula>COUNTIF(INDIRECT("Checklist!$A996"), "TRUE") = 1</formula>
    </cfRule>
    <cfRule type="expression" dxfId="4" priority="3018">
      <formula>COUNTIF(INDIRECT("Checklist!$A996"), "FALSE") = 1</formula>
    </cfRule>
    <cfRule type="notContainsBlanks" dxfId="7" priority="3019">
      <formula>LEN(TRIM(N135))&gt;0</formula>
    </cfRule>
  </conditionalFormatting>
  <conditionalFormatting sqref="N139">
    <cfRule type="expression" dxfId="3" priority="3073">
      <formula>COUNTIF(INDIRECT("Checklist!$A1013"), "TRUE") = 1</formula>
    </cfRule>
    <cfRule type="expression" dxfId="4" priority="3074">
      <formula>COUNTIF(INDIRECT("Checklist!$A1013"), "FALSE") = 1</formula>
    </cfRule>
    <cfRule type="notContainsBlanks" dxfId="7" priority="3075">
      <formula>LEN(TRIM(N139))&gt;0</formula>
    </cfRule>
  </conditionalFormatting>
  <conditionalFormatting sqref="N14">
    <cfRule type="expression" dxfId="3" priority="344">
      <formula>COUNTIF(INDIRECT("Checklist!$A115"), "TRUE") = 1</formula>
    </cfRule>
    <cfRule type="expression" dxfId="4" priority="345">
      <formula>COUNTIF(INDIRECT("Checklist!$A115"), "FALSE") = 1</formula>
    </cfRule>
    <cfRule type="notContainsBlanks" dxfId="7" priority="346">
      <formula>LEN(TRIM(N14))&gt;0</formula>
    </cfRule>
  </conditionalFormatting>
  <conditionalFormatting sqref="N147">
    <cfRule type="expression" dxfId="3" priority="3186">
      <formula>COUNTIF(INDIRECT("Checklist!$None"), "TRUE") = 1</formula>
    </cfRule>
    <cfRule type="expression" dxfId="4" priority="3187">
      <formula>COUNTIF(INDIRECT("Checklist!$None"), "FALSE") = 1</formula>
    </cfRule>
    <cfRule type="notContainsBlanks" dxfId="7" priority="3188">
      <formula>LEN(TRIM(N147))&gt;0</formula>
    </cfRule>
  </conditionalFormatting>
  <conditionalFormatting sqref="N148">
    <cfRule type="expression" dxfId="3" priority="3204">
      <formula>COUNTIF(INDIRECT("Checklist!$None"), "TRUE") = 1</formula>
    </cfRule>
    <cfRule type="expression" dxfId="4" priority="3205">
      <formula>COUNTIF(INDIRECT("Checklist!$None"), "FALSE") = 1</formula>
    </cfRule>
    <cfRule type="notContainsBlanks" dxfId="7" priority="3206">
      <formula>LEN(TRIM(N148))&gt;0</formula>
    </cfRule>
  </conditionalFormatting>
  <conditionalFormatting sqref="N149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  <cfRule type="notContainsBlanks" dxfId="7" priority="3224">
      <formula>LEN(TRIM(N149))&gt;0</formula>
    </cfRule>
  </conditionalFormatting>
  <conditionalFormatting sqref="N15">
    <cfRule type="expression" dxfId="3" priority="362">
      <formula>COUNTIF(INDIRECT("Checklist!$A121"), "TRUE") = 1</formula>
    </cfRule>
    <cfRule type="expression" dxfId="4" priority="363">
      <formula>COUNTIF(INDIRECT("Checklist!$A121"), "FALSE") = 1</formula>
    </cfRule>
    <cfRule type="notContainsBlanks" dxfId="7" priority="364">
      <formula>LEN(TRIM(N15))&gt;0</formula>
    </cfRule>
  </conditionalFormatting>
  <conditionalFormatting sqref="N150">
    <cfRule type="expression" dxfId="3" priority="3240">
      <formula>COUNTIF(INDIRECT("Checklist!$A1057"), "TRUE") = 1</formula>
    </cfRule>
    <cfRule type="expression" dxfId="4" priority="3241">
      <formula>COUNTIF(INDIRECT("Checklist!$A1057"), "FALSE") = 1</formula>
    </cfRule>
    <cfRule type="notContainsBlanks" dxfId="7" priority="3242">
      <formula>LEN(TRIM(N150))&gt;0</formula>
    </cfRule>
  </conditionalFormatting>
  <conditionalFormatting sqref="N155">
    <cfRule type="expression" dxfId="3" priority="3344">
      <formula>COUNTIF(INDIRECT("Checklist!$None"), "TRUE") = 1</formula>
    </cfRule>
    <cfRule type="expression" dxfId="4" priority="3345">
      <formula>COUNTIF(INDIRECT("Checklist!$None"), "FALSE") = 1</formula>
    </cfRule>
    <cfRule type="notContainsBlanks" dxfId="7" priority="3346">
      <formula>LEN(TRIM(N155))&gt;0</formula>
    </cfRule>
  </conditionalFormatting>
  <conditionalFormatting sqref="N156">
    <cfRule type="expression" dxfId="3" priority="3362">
      <formula>COUNTIF(INDIRECT("Checklist!$None"), "TRUE") = 1</formula>
    </cfRule>
    <cfRule type="expression" dxfId="4" priority="3363">
      <formula>COUNTIF(INDIRECT("Checklist!$None"), "FALSE") = 1</formula>
    </cfRule>
    <cfRule type="notContainsBlanks" dxfId="7" priority="3364">
      <formula>LEN(TRIM(N156))&gt;0</formula>
    </cfRule>
  </conditionalFormatting>
  <conditionalFormatting sqref="N157">
    <cfRule type="expression" dxfId="3" priority="3380">
      <formula>COUNTIF(INDIRECT("Checklist!$None"), "TRUE") = 1</formula>
    </cfRule>
    <cfRule type="expression" dxfId="4" priority="3381">
      <formula>COUNTIF(INDIRECT("Checklist!$None"), "FALSE") = 1</formula>
    </cfRule>
    <cfRule type="notContainsBlanks" dxfId="7" priority="3382">
      <formula>LEN(TRIM(N157))&gt;0</formula>
    </cfRule>
  </conditionalFormatting>
  <conditionalFormatting sqref="N163">
    <cfRule type="expression" dxfId="3" priority="3505">
      <formula>COUNTIF(INDIRECT("Checklist!$A1106"), "TRUE") = 1</formula>
    </cfRule>
    <cfRule type="expression" dxfId="4" priority="3506">
      <formula>COUNTIF(INDIRECT("Checklist!$A1106"), "FALSE") = 1</formula>
    </cfRule>
    <cfRule type="notContainsBlanks" dxfId="7" priority="3507">
      <formula>LEN(TRIM(N163))&gt;0</formula>
    </cfRule>
  </conditionalFormatting>
  <conditionalFormatting sqref="N164">
    <cfRule type="expression" dxfId="3" priority="3523">
      <formula>COUNTIF(INDIRECT("Checklist!$A1112"), "TRUE") = 1</formula>
    </cfRule>
    <cfRule type="expression" dxfId="4" priority="3524">
      <formula>COUNTIF(INDIRECT("Checklist!$A1112"), "FALSE") = 1</formula>
    </cfRule>
    <cfRule type="notContainsBlanks" dxfId="7" priority="3525">
      <formula>LEN(TRIM(N164))&gt;0</formula>
    </cfRule>
  </conditionalFormatting>
  <conditionalFormatting sqref="N165">
    <cfRule type="expression" dxfId="3" priority="3541">
      <formula>COUNTIF(INDIRECT("Checklist!$A1118"), "TRUE") = 1</formula>
    </cfRule>
    <cfRule type="expression" dxfId="4" priority="3542">
      <formula>COUNTIF(INDIRECT("Checklist!$A1118"), "FALSE") = 1</formula>
    </cfRule>
    <cfRule type="notContainsBlanks" dxfId="7" priority="3543">
      <formula>LEN(TRIM(N165))&gt;0</formula>
    </cfRule>
  </conditionalFormatting>
  <conditionalFormatting sqref="N171">
    <cfRule type="expression" dxfId="3" priority="3630">
      <formula>COUNTIF(INDIRECT("Checklist!$None"), "TRUE") = 1</formula>
    </cfRule>
    <cfRule type="expression" dxfId="4" priority="3631">
      <formula>COUNTIF(INDIRECT("Checklist!$None"), "FALSE") = 1</formula>
    </cfRule>
    <cfRule type="notContainsBlanks" dxfId="7" priority="3632">
      <formula>LEN(TRIM(N171))&gt;0</formula>
    </cfRule>
  </conditionalFormatting>
  <conditionalFormatting sqref="N172">
    <cfRule type="expression" dxfId="3" priority="3648">
      <formula>COUNTIF(INDIRECT("Checklist!$None"), "TRUE") = 1</formula>
    </cfRule>
    <cfRule type="expression" dxfId="4" priority="3649">
      <formula>COUNTIF(INDIRECT("Checklist!$None"), "FALSE") = 1</formula>
    </cfRule>
    <cfRule type="notContainsBlanks" dxfId="7" priority="3650">
      <formula>LEN(TRIM(N172))&gt;0</formula>
    </cfRule>
  </conditionalFormatting>
  <conditionalFormatting sqref="N173">
    <cfRule type="expression" dxfId="3" priority="3666">
      <formula>COUNTIF(INDIRECT("Checklist!$None"), "TRUE") = 1</formula>
    </cfRule>
    <cfRule type="expression" dxfId="4" priority="3667">
      <formula>COUNTIF(INDIRECT("Checklist!$None"), "FALSE") = 1</formula>
    </cfRule>
    <cfRule type="notContainsBlanks" dxfId="7" priority="3668">
      <formula>LEN(TRIM(N173))&gt;0</formula>
    </cfRule>
  </conditionalFormatting>
  <conditionalFormatting sqref="N174">
    <cfRule type="expression" dxfId="3" priority="3684">
      <formula>COUNTIF(INDIRECT("Checklist!$None"), "TRUE") = 1</formula>
    </cfRule>
    <cfRule type="expression" dxfId="4" priority="3685">
      <formula>COUNTIF(INDIRECT("Checklist!$None"), "FALSE") = 1</formula>
    </cfRule>
    <cfRule type="notContainsBlanks" dxfId="7" priority="3686">
      <formula>LEN(TRIM(N174))&gt;0</formula>
    </cfRule>
  </conditionalFormatting>
  <conditionalFormatting sqref="N179">
    <cfRule type="expression" dxfId="3" priority="3797">
      <formula>COUNTIF(INDIRECT("Checklist!$A1172"), "TRUE") = 1</formula>
    </cfRule>
    <cfRule type="expression" dxfId="4" priority="3798">
      <formula>COUNTIF(INDIRECT("Checklist!$A1172"), "FALSE") = 1</formula>
    </cfRule>
    <cfRule type="notContainsBlanks" dxfId="7" priority="3799">
      <formula>LEN(TRIM(N179))&gt;0</formula>
    </cfRule>
  </conditionalFormatting>
  <conditionalFormatting sqref="N180">
    <cfRule type="expression" dxfId="3" priority="3815">
      <formula>COUNTIF(INDIRECT("Checklist!$A1178"), "TRUE") = 1</formula>
    </cfRule>
    <cfRule type="expression" dxfId="4" priority="3816">
      <formula>COUNTIF(INDIRECT("Checklist!$A1178"), "FALSE") = 1</formula>
    </cfRule>
    <cfRule type="notContainsBlanks" dxfId="7" priority="3817">
      <formula>LEN(TRIM(N180))&gt;0</formula>
    </cfRule>
  </conditionalFormatting>
  <conditionalFormatting sqref="N181">
    <cfRule type="expression" dxfId="3" priority="3833">
      <formula>COUNTIF(INDIRECT("Checklist!$A1184"), "TRUE") = 1</formula>
    </cfRule>
    <cfRule type="expression" dxfId="4" priority="3834">
      <formula>COUNTIF(INDIRECT("Checklist!$A1184"), "FALSE") = 1</formula>
    </cfRule>
    <cfRule type="notContainsBlanks" dxfId="7" priority="3835">
      <formula>LEN(TRIM(N181))&gt;0</formula>
    </cfRule>
  </conditionalFormatting>
  <conditionalFormatting sqref="N182">
    <cfRule type="expression" dxfId="3" priority="3851">
      <formula>COUNTIF(INDIRECT("Checklist!$A1190"), "TRUE") = 1</formula>
    </cfRule>
    <cfRule type="expression" dxfId="4" priority="3852">
      <formula>COUNTIF(INDIRECT("Checklist!$A1190"), "FALSE") = 1</formula>
    </cfRule>
    <cfRule type="notContainsBlanks" dxfId="7" priority="3853">
      <formula>LEN(TRIM(N182))&gt;0</formula>
    </cfRule>
  </conditionalFormatting>
  <conditionalFormatting sqref="N187">
    <cfRule type="expression" dxfId="3" priority="3904">
      <formula>COUNTIF(INDIRECT("Checklist!$A1207"), "TRUE") = 1</formula>
    </cfRule>
    <cfRule type="expression" dxfId="4" priority="3905">
      <formula>COUNTIF(INDIRECT("Checklist!$A1207"), "FALSE") = 1</formula>
    </cfRule>
    <cfRule type="notContainsBlanks" dxfId="7" priority="3906">
      <formula>LEN(TRIM(N187))&gt;0</formula>
    </cfRule>
  </conditionalFormatting>
  <conditionalFormatting sqref="N188">
    <cfRule type="expression" dxfId="3" priority="3922">
      <formula>COUNTIF(INDIRECT("Checklist!$A1213"), "TRUE") = 1</formula>
    </cfRule>
    <cfRule type="expression" dxfId="4" priority="3923">
      <formula>COUNTIF(INDIRECT("Checklist!$A1213"), "FALSE") = 1</formula>
    </cfRule>
    <cfRule type="notContainsBlanks" dxfId="7" priority="3924">
      <formula>LEN(TRIM(N188))&gt;0</formula>
    </cfRule>
  </conditionalFormatting>
  <conditionalFormatting sqref="N189">
    <cfRule type="expression" dxfId="3" priority="3940">
      <formula>COUNTIF(INDIRECT("Checklist!$A1219"), "TRUE") = 1</formula>
    </cfRule>
    <cfRule type="expression" dxfId="4" priority="3941">
      <formula>COUNTIF(INDIRECT("Checklist!$A1219"), "FALSE") = 1</formula>
    </cfRule>
    <cfRule type="notContainsBlanks" dxfId="7" priority="3942">
      <formula>LEN(TRIM(N189))&gt;0</formula>
    </cfRule>
  </conditionalFormatting>
  <conditionalFormatting sqref="N19">
    <cfRule type="expression" dxfId="3" priority="472">
      <formula>COUNTIF(INDIRECT("Checklist!$A157"), "TRUE") = 1</formula>
    </cfRule>
    <cfRule type="expression" dxfId="4" priority="473">
      <formula>COUNTIF(INDIRECT("Checklist!$A157"), "FALSE") = 1</formula>
    </cfRule>
    <cfRule type="notContainsBlanks" dxfId="7" priority="474">
      <formula>LEN(TRIM(N19))&gt;0</formula>
    </cfRule>
  </conditionalFormatting>
  <conditionalFormatting sqref="N190">
    <cfRule type="expression" dxfId="3" priority="3958">
      <formula>COUNTIF(INDIRECT("Checklist!$A1225"), "TRUE") = 1</formula>
    </cfRule>
    <cfRule type="expression" dxfId="4" priority="3959">
      <formula>COUNTIF(INDIRECT("Checklist!$A1225"), "FALSE") = 1</formula>
    </cfRule>
    <cfRule type="notContainsBlanks" dxfId="7" priority="3960">
      <formula>LEN(TRIM(N190))&gt;0</formula>
    </cfRule>
  </conditionalFormatting>
  <conditionalFormatting sqref="N191">
    <cfRule type="expression" dxfId="3" priority="3976">
      <formula>COUNTIF(INDIRECT("Checklist!$A1231"), "TRUE") = 1</formula>
    </cfRule>
    <cfRule type="expression" dxfId="4" priority="3977">
      <formula>COUNTIF(INDIRECT("Checklist!$A1231"), "FALSE") = 1</formula>
    </cfRule>
    <cfRule type="notContainsBlanks" dxfId="7" priority="3978">
      <formula>LEN(TRIM(N191))&gt;0</formula>
    </cfRule>
  </conditionalFormatting>
  <conditionalFormatting sqref="N20">
    <cfRule type="expression" dxfId="3" priority="490">
      <formula>COUNTIF(INDIRECT("Checklist!$A163"), "TRUE") = 1</formula>
    </cfRule>
    <cfRule type="expression" dxfId="4" priority="491">
      <formula>COUNTIF(INDIRECT("Checklist!$A163"), "FALSE") = 1</formula>
    </cfRule>
    <cfRule type="notContainsBlanks" dxfId="7" priority="492">
      <formula>LEN(TRIM(N20))&gt;0</formula>
    </cfRule>
  </conditionalFormatting>
  <conditionalFormatting sqref="N203">
    <cfRule type="expression" dxfId="3" priority="4076">
      <formula>COUNTIF(INDIRECT("Checklist!$A1263"), "TRUE") = 1</formula>
    </cfRule>
    <cfRule type="expression" dxfId="4" priority="4077">
      <formula>COUNTIF(INDIRECT("Checklist!$A1263"), "FALSE") = 1</formula>
    </cfRule>
    <cfRule type="notContainsBlanks" dxfId="7" priority="4078">
      <formula>LEN(TRIM(N203))&gt;0</formula>
    </cfRule>
  </conditionalFormatting>
  <conditionalFormatting sqref="N204">
    <cfRule type="expression" dxfId="3" priority="4094">
      <formula>COUNTIF(INDIRECT("Checklist!$A1269"), "TRUE") = 1</formula>
    </cfRule>
    <cfRule type="expression" dxfId="4" priority="4095">
      <formula>COUNTIF(INDIRECT("Checklist!$A1269"), "FALSE") = 1</formula>
    </cfRule>
    <cfRule type="notContainsBlanks" dxfId="7" priority="4096">
      <formula>LEN(TRIM(N204))&gt;0</formula>
    </cfRule>
  </conditionalFormatting>
  <conditionalFormatting sqref="N205">
    <cfRule type="expression" dxfId="3" priority="4112">
      <formula>COUNTIF(INDIRECT("Checklist!$A1275"), "TRUE") = 1</formula>
    </cfRule>
    <cfRule type="expression" dxfId="4" priority="4113">
      <formula>COUNTIF(INDIRECT("Checklist!$A1275"), "FALSE") = 1</formula>
    </cfRule>
    <cfRule type="notContainsBlanks" dxfId="7" priority="4114">
      <formula>LEN(TRIM(N205))&gt;0</formula>
    </cfRule>
  </conditionalFormatting>
  <conditionalFormatting sqref="N21">
    <cfRule type="expression" dxfId="3" priority="508">
      <formula>COUNTIF(INDIRECT("Checklist!$A169"), "TRUE") = 1</formula>
    </cfRule>
    <cfRule type="expression" dxfId="4" priority="509">
      <formula>COUNTIF(INDIRECT("Checklist!$A169"), "FALSE") = 1</formula>
    </cfRule>
    <cfRule type="notContainsBlanks" dxfId="7" priority="510">
      <formula>LEN(TRIM(N21))&gt;0</formula>
    </cfRule>
  </conditionalFormatting>
  <conditionalFormatting sqref="N22">
    <cfRule type="expression" dxfId="3" priority="526">
      <formula>COUNTIF(INDIRECT("Checklist!$A175"), "TRUE") = 1</formula>
    </cfRule>
    <cfRule type="expression" dxfId="4" priority="527">
      <formula>COUNTIF(INDIRECT("Checklist!$A175"), "FALSE") = 1</formula>
    </cfRule>
    <cfRule type="notContainsBlanks" dxfId="7" priority="528">
      <formula>LEN(TRIM(N22))&gt;0</formula>
    </cfRule>
  </conditionalFormatting>
  <conditionalFormatting sqref="N23">
    <cfRule type="expression" dxfId="3" priority="544">
      <formula>COUNTIF(INDIRECT("Checklist!$A181"), "TRUE") = 1</formula>
    </cfRule>
    <cfRule type="expression" dxfId="4" priority="545">
      <formula>COUNTIF(INDIRECT("Checklist!$A181"), "FALSE") = 1</formula>
    </cfRule>
    <cfRule type="notContainsBlanks" dxfId="7" priority="546">
      <formula>LEN(TRIM(N23))&gt;0</formula>
    </cfRule>
  </conditionalFormatting>
  <conditionalFormatting sqref="N27">
    <cfRule type="expression" dxfId="3" priority="654">
      <formula>COUNTIF(INDIRECT("Checklist!$A217"), "TRUE") = 1</formula>
    </cfRule>
    <cfRule type="expression" dxfId="4" priority="655">
      <formula>COUNTIF(INDIRECT("Checklist!$A217"), "FALSE") = 1</formula>
    </cfRule>
    <cfRule type="notContainsBlanks" dxfId="7" priority="656">
      <formula>LEN(TRIM(N27))&gt;0</formula>
    </cfRule>
  </conditionalFormatting>
  <conditionalFormatting sqref="N28">
    <cfRule type="expression" dxfId="3" priority="672">
      <formula>COUNTIF(INDIRECT("Checklist!$A223"), "TRUE") = 1</formula>
    </cfRule>
    <cfRule type="expression" dxfId="4" priority="673">
      <formula>COUNTIF(INDIRECT("Checklist!$A223"), "FALSE") = 1</formula>
    </cfRule>
    <cfRule type="notContainsBlanks" dxfId="7" priority="674">
      <formula>LEN(TRIM(N28))&gt;0</formula>
    </cfRule>
  </conditionalFormatting>
  <conditionalFormatting sqref="N29">
    <cfRule type="expression" dxfId="3" priority="690">
      <formula>COUNTIF(INDIRECT("Checklist!$A229"), "TRUE") = 1</formula>
    </cfRule>
    <cfRule type="expression" dxfId="4" priority="691">
      <formula>COUNTIF(INDIRECT("Checklist!$A229"), "FALSE") = 1</formula>
    </cfRule>
    <cfRule type="notContainsBlanks" dxfId="7" priority="692">
      <formula>LEN(TRIM(N29))&gt;0</formula>
    </cfRule>
  </conditionalFormatting>
  <conditionalFormatting sqref="N3">
    <cfRule type="expression" dxfId="3" priority="108">
      <formula>COUNTIF(INDIRECT("Checklist!$A37"), "TRUE") = 1</formula>
    </cfRule>
    <cfRule type="expression" dxfId="4" priority="109">
      <formula>COUNTIF(INDIRECT("Checklist!$A37"), "FALSE") = 1</formula>
    </cfRule>
    <cfRule type="notContainsBlanks" dxfId="7" priority="110">
      <formula>LEN(TRIM(N3))&gt;0</formula>
    </cfRule>
  </conditionalFormatting>
  <conditionalFormatting sqref="N30">
    <cfRule type="expression" dxfId="3" priority="708">
      <formula>COUNTIF(INDIRECT("Checklist!$A235"), "TRUE") = 1</formula>
    </cfRule>
    <cfRule type="expression" dxfId="4" priority="709">
      <formula>COUNTIF(INDIRECT("Checklist!$A235"), "FALSE") = 1</formula>
    </cfRule>
    <cfRule type="notContainsBlanks" dxfId="7" priority="710">
      <formula>LEN(TRIM(N30))&gt;0</formula>
    </cfRule>
  </conditionalFormatting>
  <conditionalFormatting sqref="N31">
    <cfRule type="expression" dxfId="3" priority="726">
      <formula>COUNTIF(INDIRECT("Checklist!$A241"), "TRUE") = 1</formula>
    </cfRule>
    <cfRule type="expression" dxfId="4" priority="727">
      <formula>COUNTIF(INDIRECT("Checklist!$A241"), "FALSE") = 1</formula>
    </cfRule>
    <cfRule type="notContainsBlanks" dxfId="7" priority="728">
      <formula>LEN(TRIM(N31))&gt;0</formula>
    </cfRule>
  </conditionalFormatting>
  <conditionalFormatting sqref="N35">
    <cfRule type="expression" dxfId="3" priority="836">
      <formula>COUNTIF(INDIRECT("Checklist!$A277"), "TRUE") = 1</formula>
    </cfRule>
    <cfRule type="expression" dxfId="4" priority="837">
      <formula>COUNTIF(INDIRECT("Checklist!$A277"), "FALSE") = 1</formula>
    </cfRule>
    <cfRule type="notContainsBlanks" dxfId="7" priority="838">
      <formula>LEN(TRIM(N35))&gt;0</formula>
    </cfRule>
  </conditionalFormatting>
  <conditionalFormatting sqref="N36">
    <cfRule type="expression" dxfId="3" priority="854">
      <formula>COUNTIF(INDIRECT("Checklist!$A283"), "TRUE") = 1</formula>
    </cfRule>
    <cfRule type="expression" dxfId="4" priority="855">
      <formula>COUNTIF(INDIRECT("Checklist!$A283"), "FALSE") = 1</formula>
    </cfRule>
    <cfRule type="notContainsBlanks" dxfId="7" priority="856">
      <formula>LEN(TRIM(N36))&gt;0</formula>
    </cfRule>
  </conditionalFormatting>
  <conditionalFormatting sqref="N37">
    <cfRule type="expression" dxfId="3" priority="872">
      <formula>COUNTIF(INDIRECT("Checklist!$A289"), "TRUE") = 1</formula>
    </cfRule>
    <cfRule type="expression" dxfId="4" priority="873">
      <formula>COUNTIF(INDIRECT("Checklist!$A289"), "FALSE") = 1</formula>
    </cfRule>
    <cfRule type="notContainsBlanks" dxfId="7" priority="874">
      <formula>LEN(TRIM(N37))&gt;0</formula>
    </cfRule>
  </conditionalFormatting>
  <conditionalFormatting sqref="N38">
    <cfRule type="expression" dxfId="3" priority="890">
      <formula>COUNTIF(INDIRECT("Checklist!$A295"), "TRUE") = 1</formula>
    </cfRule>
    <cfRule type="expression" dxfId="4" priority="891">
      <formula>COUNTIF(INDIRECT("Checklist!$A295"), "FALSE") = 1</formula>
    </cfRule>
    <cfRule type="notContainsBlanks" dxfId="7" priority="892">
      <formula>LEN(TRIM(N38))&gt;0</formula>
    </cfRule>
  </conditionalFormatting>
  <conditionalFormatting sqref="N39">
    <cfRule type="expression" dxfId="3" priority="908">
      <formula>COUNTIF(INDIRECT("Checklist!$A301"), "TRUE") = 1</formula>
    </cfRule>
    <cfRule type="expression" dxfId="4" priority="909">
      <formula>COUNTIF(INDIRECT("Checklist!$A301"), "FALSE") = 1</formula>
    </cfRule>
    <cfRule type="notContainsBlanks" dxfId="7" priority="910">
      <formula>LEN(TRIM(N39))&gt;0</formula>
    </cfRule>
  </conditionalFormatting>
  <conditionalFormatting sqref="N4">
    <cfRule type="expression" dxfId="3" priority="126">
      <formula>COUNTIF(INDIRECT("Checklist!$A43"), "TRUE") = 1</formula>
    </cfRule>
    <cfRule type="expression" dxfId="4" priority="127">
      <formula>COUNTIF(INDIRECT("Checklist!$A43"), "FALSE") = 1</formula>
    </cfRule>
    <cfRule type="notContainsBlanks" dxfId="7" priority="128">
      <formula>LEN(TRIM(N4))&gt;0</formula>
    </cfRule>
  </conditionalFormatting>
  <conditionalFormatting sqref="N43">
    <cfRule type="expression" dxfId="3" priority="1018">
      <formula>COUNTIF(INDIRECT("Checklist!$A337"), "TRUE") = 1</formula>
    </cfRule>
    <cfRule type="expression" dxfId="4" priority="1019">
      <formula>COUNTIF(INDIRECT("Checklist!$A337"), "FALSE") = 1</formula>
    </cfRule>
    <cfRule type="notContainsBlanks" dxfId="7" priority="1020">
      <formula>LEN(TRIM(N43))&gt;0</formula>
    </cfRule>
  </conditionalFormatting>
  <conditionalFormatting sqref="N44">
    <cfRule type="expression" dxfId="3" priority="1036">
      <formula>COUNTIF(INDIRECT("Checklist!$A343"), "TRUE") = 1</formula>
    </cfRule>
    <cfRule type="expression" dxfId="4" priority="1037">
      <formula>COUNTIF(INDIRECT("Checklist!$A343"), "FALSE") = 1</formula>
    </cfRule>
    <cfRule type="notContainsBlanks" dxfId="7" priority="1038">
      <formula>LEN(TRIM(N44))&gt;0</formula>
    </cfRule>
  </conditionalFormatting>
  <conditionalFormatting sqref="N45">
    <cfRule type="expression" dxfId="3" priority="1054">
      <formula>COUNTIF(INDIRECT("Checklist!$A349"), "TRUE") = 1</formula>
    </cfRule>
    <cfRule type="expression" dxfId="4" priority="1055">
      <formula>COUNTIF(INDIRECT("Checklist!$A349"), "FALSE") = 1</formula>
    </cfRule>
    <cfRule type="notContainsBlanks" dxfId="7" priority="1056">
      <formula>LEN(TRIM(N45))&gt;0</formula>
    </cfRule>
  </conditionalFormatting>
  <conditionalFormatting sqref="N46">
    <cfRule type="expression" dxfId="3" priority="1072">
      <formula>COUNTIF(INDIRECT("Checklist!$A355"), "TRUE") = 1</formula>
    </cfRule>
    <cfRule type="expression" dxfId="4" priority="1073">
      <formula>COUNTIF(INDIRECT("Checklist!$A355"), "FALSE") = 1</formula>
    </cfRule>
    <cfRule type="notContainsBlanks" dxfId="7" priority="1074">
      <formula>LEN(TRIM(N46))&gt;0</formula>
    </cfRule>
  </conditionalFormatting>
  <conditionalFormatting sqref="N47">
    <cfRule type="expression" dxfId="3" priority="1090">
      <formula>COUNTIF(INDIRECT("Checklist!$A361"), "TRUE") = 1</formula>
    </cfRule>
    <cfRule type="expression" dxfId="4" priority="1091">
      <formula>COUNTIF(INDIRECT("Checklist!$A361"), "FALSE") = 1</formula>
    </cfRule>
    <cfRule type="notContainsBlanks" dxfId="7" priority="1092">
      <formula>LEN(TRIM(N47))&gt;0</formula>
    </cfRule>
  </conditionalFormatting>
  <conditionalFormatting sqref="N5">
    <cfRule type="expression" dxfId="3" priority="144">
      <formula>COUNTIF(INDIRECT("Checklist!$A49"), "TRUE") = 1</formula>
    </cfRule>
    <cfRule type="expression" dxfId="4" priority="145">
      <formula>COUNTIF(INDIRECT("Checklist!$A49"), "FALSE") = 1</formula>
    </cfRule>
    <cfRule type="notContainsBlanks" dxfId="7" priority="146">
      <formula>LEN(TRIM(N5))&gt;0</formula>
    </cfRule>
  </conditionalFormatting>
  <conditionalFormatting sqref="N51">
    <cfRule type="expression" dxfId="3" priority="1200">
      <formula>COUNTIF(INDIRECT("Checklist!$A397"), "TRUE") = 1</formula>
    </cfRule>
    <cfRule type="expression" dxfId="4" priority="1201">
      <formula>COUNTIF(INDIRECT("Checklist!$A397"), "FALSE") = 1</formula>
    </cfRule>
    <cfRule type="notContainsBlanks" dxfId="7" priority="1202">
      <formula>LEN(TRIM(N51))&gt;0</formula>
    </cfRule>
  </conditionalFormatting>
  <conditionalFormatting sqref="N52">
    <cfRule type="expression" dxfId="3" priority="1218">
      <formula>COUNTIF(INDIRECT("Checklist!$A403"), "TRUE") = 1</formula>
    </cfRule>
    <cfRule type="expression" dxfId="4" priority="1219">
      <formula>COUNTIF(INDIRECT("Checklist!$A403"), "FALSE") = 1</formula>
    </cfRule>
    <cfRule type="notContainsBlanks" dxfId="7" priority="1220">
      <formula>LEN(TRIM(N52))&gt;0</formula>
    </cfRule>
  </conditionalFormatting>
  <conditionalFormatting sqref="N53">
    <cfRule type="expression" dxfId="3" priority="1236">
      <formula>COUNTIF(INDIRECT("Checklist!$A409"), "TRUE") = 1</formula>
    </cfRule>
    <cfRule type="expression" dxfId="4" priority="1237">
      <formula>COUNTIF(INDIRECT("Checklist!$A409"), "FALSE") = 1</formula>
    </cfRule>
    <cfRule type="notContainsBlanks" dxfId="7" priority="1238">
      <formula>LEN(TRIM(N53))&gt;0</formula>
    </cfRule>
  </conditionalFormatting>
  <conditionalFormatting sqref="N54">
    <cfRule type="expression" dxfId="3" priority="1254">
      <formula>COUNTIF(INDIRECT("Checklist!$A415"), "TRUE") = 1</formula>
    </cfRule>
    <cfRule type="expression" dxfId="4" priority="1255">
      <formula>COUNTIF(INDIRECT("Checklist!$A415"), "FALSE") = 1</formula>
    </cfRule>
    <cfRule type="notContainsBlanks" dxfId="7" priority="1256">
      <formula>LEN(TRIM(N54))&gt;0</formula>
    </cfRule>
  </conditionalFormatting>
  <conditionalFormatting sqref="N55">
    <cfRule type="expression" dxfId="3" priority="1272">
      <formula>COUNTIF(INDIRECT("Checklist!$A421"), "TRUE") = 1</formula>
    </cfRule>
    <cfRule type="expression" dxfId="4" priority="1273">
      <formula>COUNTIF(INDIRECT("Checklist!$A421"), "FALSE") = 1</formula>
    </cfRule>
    <cfRule type="notContainsBlanks" dxfId="7" priority="1274">
      <formula>LEN(TRIM(N55))&gt;0</formula>
    </cfRule>
  </conditionalFormatting>
  <conditionalFormatting sqref="N59">
    <cfRule type="expression" dxfId="3" priority="1382">
      <formula>COUNTIF(INDIRECT("Checklist!$A457"), "TRUE") = 1</formula>
    </cfRule>
    <cfRule type="expression" dxfId="4" priority="1383">
      <formula>COUNTIF(INDIRECT("Checklist!$A457"), "FALSE") = 1</formula>
    </cfRule>
    <cfRule type="notContainsBlanks" dxfId="7" priority="1384">
      <formula>LEN(TRIM(N59))&gt;0</formula>
    </cfRule>
  </conditionalFormatting>
  <conditionalFormatting sqref="N6">
    <cfRule type="expression" dxfId="3" priority="162">
      <formula>COUNTIF(INDIRECT("Checklist!$A55"), "TRUE") = 1</formula>
    </cfRule>
    <cfRule type="expression" dxfId="4" priority="163">
      <formula>COUNTIF(INDIRECT("Checklist!$A55"), "FALSE") = 1</formula>
    </cfRule>
    <cfRule type="notContainsBlanks" dxfId="7" priority="164">
      <formula>LEN(TRIM(N6))&gt;0</formula>
    </cfRule>
  </conditionalFormatting>
  <conditionalFormatting sqref="N60">
    <cfRule type="expression" dxfId="3" priority="1400">
      <formula>COUNTIF(INDIRECT("Checklist!$A463"), "TRUE") = 1</formula>
    </cfRule>
    <cfRule type="expression" dxfId="4" priority="1401">
      <formula>COUNTIF(INDIRECT("Checklist!$A463"), "FALSE") = 1</formula>
    </cfRule>
    <cfRule type="notContainsBlanks" dxfId="7" priority="1402">
      <formula>LEN(TRIM(N60))&gt;0</formula>
    </cfRule>
  </conditionalFormatting>
  <conditionalFormatting sqref="N61">
    <cfRule type="expression" dxfId="3" priority="1418">
      <formula>COUNTIF(INDIRECT("Checklist!$A469"), "TRUE") = 1</formula>
    </cfRule>
    <cfRule type="expression" dxfId="4" priority="1419">
      <formula>COUNTIF(INDIRECT("Checklist!$A469"), "FALSE") = 1</formula>
    </cfRule>
    <cfRule type="notContainsBlanks" dxfId="7" priority="1420">
      <formula>LEN(TRIM(N61))&gt;0</formula>
    </cfRule>
  </conditionalFormatting>
  <conditionalFormatting sqref="N62">
    <cfRule type="expression" dxfId="3" priority="1436">
      <formula>COUNTIF(INDIRECT("Checklist!$None"), "TRUE") = 1</formula>
    </cfRule>
    <cfRule type="expression" dxfId="4" priority="1437">
      <formula>COUNTIF(INDIRECT("Checklist!$None"), "FALSE") = 1</formula>
    </cfRule>
    <cfRule type="notContainsBlanks" dxfId="7" priority="1438">
      <formula>LEN(TRIM(N62))&gt;0</formula>
    </cfRule>
  </conditionalFormatting>
  <conditionalFormatting sqref="N63">
    <cfRule type="expression" dxfId="3" priority="1454">
      <formula>COUNTIF(INDIRECT("Checklist!$A481"), "TRUE") = 1</formula>
    </cfRule>
    <cfRule type="expression" dxfId="4" priority="1455">
      <formula>COUNTIF(INDIRECT("Checklist!$A481"), "FALSE") = 1</formula>
    </cfRule>
    <cfRule type="notContainsBlanks" dxfId="7" priority="1456">
      <formula>LEN(TRIM(N63))&gt;0</formula>
    </cfRule>
  </conditionalFormatting>
  <conditionalFormatting sqref="N67">
    <cfRule type="expression" dxfId="3" priority="1564">
      <formula>COUNTIF(INDIRECT("Checklist!$A517"), "TRUE") = 1</formula>
    </cfRule>
    <cfRule type="expression" dxfId="4" priority="1565">
      <formula>COUNTIF(INDIRECT("Checklist!$A517"), "FALSE") = 1</formula>
    </cfRule>
    <cfRule type="notContainsBlanks" dxfId="7" priority="1566">
      <formula>LEN(TRIM(N67))&gt;0</formula>
    </cfRule>
  </conditionalFormatting>
  <conditionalFormatting sqref="N68">
    <cfRule type="expression" dxfId="3" priority="1582">
      <formula>COUNTIF(INDIRECT("Checklist!$A523"), "TRUE") = 1</formula>
    </cfRule>
    <cfRule type="expression" dxfId="4" priority="1583">
      <formula>COUNTIF(INDIRECT("Checklist!$A523"), "FALSE") = 1</formula>
    </cfRule>
    <cfRule type="notContainsBlanks" dxfId="7" priority="1584">
      <formula>LEN(TRIM(N68))&gt;0</formula>
    </cfRule>
  </conditionalFormatting>
  <conditionalFormatting sqref="N69">
    <cfRule type="expression" dxfId="3" priority="1600">
      <formula>COUNTIF(INDIRECT("Checklist!$A529"), "TRUE") = 1</formula>
    </cfRule>
    <cfRule type="expression" dxfId="4" priority="1601">
      <formula>COUNTIF(INDIRECT("Checklist!$A529"), "FALSE") = 1</formula>
    </cfRule>
    <cfRule type="notContainsBlanks" dxfId="7" priority="1602">
      <formula>LEN(TRIM(N69))&gt;0</formula>
    </cfRule>
  </conditionalFormatting>
  <conditionalFormatting sqref="N7">
    <cfRule type="expression" dxfId="3" priority="180">
      <formula>COUNTIF(INDIRECT("Checklist!$A61"), "TRUE") = 1</formula>
    </cfRule>
    <cfRule type="expression" dxfId="4" priority="181">
      <formula>COUNTIF(INDIRECT("Checklist!$A61"), "FALSE") = 1</formula>
    </cfRule>
    <cfRule type="notContainsBlanks" dxfId="7" priority="182">
      <formula>LEN(TRIM(N7))&gt;0</formula>
    </cfRule>
  </conditionalFormatting>
  <conditionalFormatting sqref="N70">
    <cfRule type="expression" dxfId="3" priority="1618">
      <formula>COUNTIF(INDIRECT("Checklist!$A535"), "TRUE") = 1</formula>
    </cfRule>
    <cfRule type="expression" dxfId="4" priority="1619">
      <formula>COUNTIF(INDIRECT("Checklist!$A535"), "FALSE") = 1</formula>
    </cfRule>
    <cfRule type="notContainsBlanks" dxfId="7" priority="1620">
      <formula>LEN(TRIM(N70))&gt;0</formula>
    </cfRule>
  </conditionalFormatting>
  <conditionalFormatting sqref="N71">
    <cfRule type="expression" dxfId="3" priority="1636">
      <formula>COUNTIF(INDIRECT("Checklist!$A541"), "TRUE") = 1</formula>
    </cfRule>
    <cfRule type="expression" dxfId="4" priority="1637">
      <formula>COUNTIF(INDIRECT("Checklist!$A541"), "FALSE") = 1</formula>
    </cfRule>
    <cfRule type="notContainsBlanks" dxfId="7" priority="1638">
      <formula>LEN(TRIM(N71))&gt;0</formula>
    </cfRule>
  </conditionalFormatting>
  <conditionalFormatting sqref="N75">
    <cfRule type="expression" dxfId="3" priority="1746">
      <formula>COUNTIF(INDIRECT("Checklist!$A577"), "TRUE") = 1</formula>
    </cfRule>
    <cfRule type="expression" dxfId="4" priority="1747">
      <formula>COUNTIF(INDIRECT("Checklist!$A577"), "FALSE") = 1</formula>
    </cfRule>
    <cfRule type="notContainsBlanks" dxfId="7" priority="1748">
      <formula>LEN(TRIM(N75))&gt;0</formula>
    </cfRule>
  </conditionalFormatting>
  <conditionalFormatting sqref="N76">
    <cfRule type="expression" dxfId="3" priority="1764">
      <formula>COUNTIF(INDIRECT("Checklist!$A583"), "TRUE") = 1</formula>
    </cfRule>
    <cfRule type="expression" dxfId="4" priority="1765">
      <formula>COUNTIF(INDIRECT("Checklist!$A583"), "FALSE") = 1</formula>
    </cfRule>
    <cfRule type="notContainsBlanks" dxfId="7" priority="1766">
      <formula>LEN(TRIM(N76))&gt;0</formula>
    </cfRule>
  </conditionalFormatting>
  <conditionalFormatting sqref="N77">
    <cfRule type="expression" dxfId="3" priority="1782">
      <formula>COUNTIF(INDIRECT("Checklist!$A589"), "TRUE") = 1</formula>
    </cfRule>
    <cfRule type="expression" dxfId="4" priority="1783">
      <formula>COUNTIF(INDIRECT("Checklist!$A589"), "FALSE") = 1</formula>
    </cfRule>
    <cfRule type="notContainsBlanks" dxfId="7" priority="1784">
      <formula>LEN(TRIM(N77))&gt;0</formula>
    </cfRule>
  </conditionalFormatting>
  <conditionalFormatting sqref="N78">
    <cfRule type="expression" dxfId="3" priority="1800">
      <formula>COUNTIF(INDIRECT("Checklist!$A595"), "TRUE") = 1</formula>
    </cfRule>
    <cfRule type="expression" dxfId="4" priority="1801">
      <formula>COUNTIF(INDIRECT("Checklist!$A595"), "FALSE") = 1</formula>
    </cfRule>
    <cfRule type="notContainsBlanks" dxfId="7" priority="1802">
      <formula>LEN(TRIM(N78))&gt;0</formula>
    </cfRule>
  </conditionalFormatting>
  <conditionalFormatting sqref="N79">
    <cfRule type="expression" dxfId="3" priority="1818">
      <formula>COUNTIF(INDIRECT("Checklist!$A601"), "TRUE") = 1</formula>
    </cfRule>
    <cfRule type="expression" dxfId="4" priority="1819">
      <formula>COUNTIF(INDIRECT("Checklist!$A601"), "FALSE") = 1</formula>
    </cfRule>
    <cfRule type="notContainsBlanks" dxfId="7" priority="1820">
      <formula>LEN(TRIM(N79))&gt;0</formula>
    </cfRule>
  </conditionalFormatting>
  <conditionalFormatting sqref="N83">
    <cfRule type="expression" dxfId="3" priority="1928">
      <formula>COUNTIF(INDIRECT("Checklist!$A637"), "TRUE") = 1</formula>
    </cfRule>
    <cfRule type="expression" dxfId="4" priority="1929">
      <formula>COUNTIF(INDIRECT("Checklist!$A637"), "FALSE") = 1</formula>
    </cfRule>
    <cfRule type="notContainsBlanks" dxfId="7" priority="1930">
      <formula>LEN(TRIM(N83))&gt;0</formula>
    </cfRule>
  </conditionalFormatting>
  <conditionalFormatting sqref="N84">
    <cfRule type="expression" dxfId="3" priority="1946">
      <formula>COUNTIF(INDIRECT("Checklist!$A643"), "TRUE") = 1</formula>
    </cfRule>
    <cfRule type="expression" dxfId="4" priority="1947">
      <formula>COUNTIF(INDIRECT("Checklist!$A643"), "FALSE") = 1</formula>
    </cfRule>
    <cfRule type="notContainsBlanks" dxfId="7" priority="1948">
      <formula>LEN(TRIM(N84))&gt;0</formula>
    </cfRule>
  </conditionalFormatting>
  <conditionalFormatting sqref="N85">
    <cfRule type="expression" dxfId="3" priority="1964">
      <formula>COUNTIF(INDIRECT("Checklist!$A649"), "TRUE") = 1</formula>
    </cfRule>
    <cfRule type="expression" dxfId="4" priority="1965">
      <formula>COUNTIF(INDIRECT("Checklist!$A649"), "FALSE") = 1</formula>
    </cfRule>
    <cfRule type="notContainsBlanks" dxfId="7" priority="1966">
      <formula>LEN(TRIM(N85))&gt;0</formula>
    </cfRule>
  </conditionalFormatting>
  <conditionalFormatting sqref="N86">
    <cfRule type="expression" dxfId="3" priority="1982">
      <formula>COUNTIF(INDIRECT("Checklist!$A655"), "TRUE") = 1</formula>
    </cfRule>
    <cfRule type="expression" dxfId="4" priority="1983">
      <formula>COUNTIF(INDIRECT("Checklist!$A655"), "FALSE") = 1</formula>
    </cfRule>
    <cfRule type="notContainsBlanks" dxfId="7" priority="1984">
      <formula>LEN(TRIM(N86))&gt;0</formula>
    </cfRule>
  </conditionalFormatting>
  <conditionalFormatting sqref="N87">
    <cfRule type="expression" dxfId="3" priority="2000">
      <formula>COUNTIF(INDIRECT("Checklist!$A661"), "TRUE") = 1</formula>
    </cfRule>
    <cfRule type="expression" dxfId="4" priority="2001">
      <formula>COUNTIF(INDIRECT("Checklist!$A661"), "FALSE") = 1</formula>
    </cfRule>
    <cfRule type="notContainsBlanks" dxfId="7" priority="2002">
      <formula>LEN(TRIM(N87))&gt;0</formula>
    </cfRule>
  </conditionalFormatting>
  <conditionalFormatting sqref="N91">
    <cfRule type="expression" dxfId="3" priority="2110">
      <formula>COUNTIF(INDIRECT("Checklist!$A697"), "TRUE") = 1</formula>
    </cfRule>
    <cfRule type="expression" dxfId="4" priority="2111">
      <formula>COUNTIF(INDIRECT("Checklist!$A697"), "FALSE") = 1</formula>
    </cfRule>
    <cfRule type="notContainsBlanks" dxfId="7" priority="2112">
      <formula>LEN(TRIM(N91))&gt;0</formula>
    </cfRule>
  </conditionalFormatting>
  <conditionalFormatting sqref="N92">
    <cfRule type="expression" dxfId="3" priority="2128">
      <formula>COUNTIF(INDIRECT("Checklist!$A703"), "TRUE") = 1</formula>
    </cfRule>
    <cfRule type="expression" dxfId="4" priority="2129">
      <formula>COUNTIF(INDIRECT("Checklist!$A703"), "FALSE") = 1</formula>
    </cfRule>
    <cfRule type="notContainsBlanks" dxfId="7" priority="2130">
      <formula>LEN(TRIM(N92))&gt;0</formula>
    </cfRule>
  </conditionalFormatting>
  <conditionalFormatting sqref="N93">
    <cfRule type="expression" dxfId="3" priority="2146">
      <formula>COUNTIF(INDIRECT("Checklist!$A709"), "TRUE") = 1</formula>
    </cfRule>
    <cfRule type="expression" dxfId="4" priority="2147">
      <formula>COUNTIF(INDIRECT("Checklist!$A709"), "FALSE") = 1</formula>
    </cfRule>
    <cfRule type="notContainsBlanks" dxfId="7" priority="2148">
      <formula>LEN(TRIM(N93))&gt;0</formula>
    </cfRule>
  </conditionalFormatting>
  <conditionalFormatting sqref="N94">
    <cfRule type="expression" dxfId="3" priority="2164">
      <formula>COUNTIF(INDIRECT("Checklist!$A715"), "TRUE") = 1</formula>
    </cfRule>
    <cfRule type="expression" dxfId="4" priority="2165">
      <formula>COUNTIF(INDIRECT("Checklist!$A715"), "FALSE") = 1</formula>
    </cfRule>
    <cfRule type="notContainsBlanks" dxfId="7" priority="2166">
      <formula>LEN(TRIM(N94))&gt;0</formula>
    </cfRule>
  </conditionalFormatting>
  <conditionalFormatting sqref="N95">
    <cfRule type="expression" dxfId="3" priority="2182">
      <formula>COUNTIF(INDIRECT("Checklist!$A721"), "TRUE") = 1</formula>
    </cfRule>
    <cfRule type="expression" dxfId="4" priority="2183">
      <formula>COUNTIF(INDIRECT("Checklist!$A721"), "FALSE") = 1</formula>
    </cfRule>
    <cfRule type="notContainsBlanks" dxfId="7" priority="2184">
      <formula>LEN(TRIM(N95))&gt;0</formula>
    </cfRule>
  </conditionalFormatting>
  <conditionalFormatting sqref="N99">
    <cfRule type="expression" dxfId="3" priority="2292">
      <formula>COUNTIF(INDIRECT("Checklist!$A757"), "TRUE") = 1</formula>
    </cfRule>
    <cfRule type="expression" dxfId="4" priority="2293">
      <formula>COUNTIF(INDIRECT("Checklist!$A757"), "FALSE") = 1</formula>
    </cfRule>
    <cfRule type="notContainsBlanks" dxfId="7" priority="2294">
      <formula>LEN(TRIM(N99))&gt;0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2023-03-14T02:05:15Z</dcterms:created>
  <dcterms:modified xsi:type="dcterms:W3CDTF">2023-03-14T02:05:15Z</dcterms:modified>
</cp:coreProperties>
</file>