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<sst xmlns="http://schemas.openxmlformats.org/spreadsheetml/2006/main" count="4938" uniqueCount="1495">
  <si>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</si>
  <si>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</si>
  <si>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</si>
  <si>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</si>
  <si>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</si>
  <si>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</si>
  <si>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</si>
  <si>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</si>
  <si>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</si>
  <si>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</si>
  <si>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</si>
  <si>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</si>
  <si>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(IoA)</t>
  </si>
  <si>
    <t>Pokemon Sword/Shield DLC (Crown Tundra)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</si>
  <si>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</si>
  <si>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</si>
  <si>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</si>
  <si>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</si>
  <si>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</si>
  <si>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</si>
  <si>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</si>
  <si>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</si>
  <si>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</si>
  <si>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</si>
  <si>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</si>
  <si>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</si>
  <si>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</si>
  <si>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Pokemon Legends: Arceus</t>
  </si>
  <si>
    <t>Pokemon Scarlet</t>
  </si>
  <si>
    <t>Pokemon Violet</t>
  </si>
  <si>
    <t>Pokemon Scarlet/Violet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</si>
  <si>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</si>
  <si>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</si>
  <si>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</si>
  <si>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</si>
  <si>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</si>
  <si>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</si>
  <si>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</si>
  <si>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</si>
  <si>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</si>
  <si>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</si>
  <si>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</si>
  <si>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</si>
  <si>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</si>
  <si>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</si>
  <si>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</si>
  <si>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</si>
  <si>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</si>
  <si>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</si>
  <si>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</si>
  <si>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</si>
  <si>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</si>
  <si>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</si>
  <si>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</si>
  <si>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</si>
  <si>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</si>
  <si>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</si>
  <si>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</si>
  <si>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</si>
  <si>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</si>
  <si>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(♀)</t>
  </si>
  <si>
    <t>Nidorina</t>
  </si>
  <si>
    <t>Nidoqueen</t>
  </si>
  <si>
    <t>Nidoran (♂)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</si>
  <si>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</si>
  <si>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</si>
  <si>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</si>
  <si>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</si>
  <si>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</si>
  <si>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</si>
  <si>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</si>
  <si>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</si>
  <si>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</si>
  <si>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</si>
  <si>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</si>
  <si>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</si>
  <si>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</si>
  <si>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</si>
  <si>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</si>
  <si>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</si>
  <si>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</si>
  <si>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</si>
  <si>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</si>
  <si>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</si>
  <si>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</si>
  <si>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</si>
  <si>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</si>
  <si>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</si>
  <si>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</si>
  <si>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</si>
  <si>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</si>
  <si>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</si>
  <si>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</si>
  <si>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</si>
  <si>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</si>
  <si>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</si>
  <si>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</si>
  <si>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</si>
  <si>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</si>
  <si>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</si>
  <si>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</si>
  <si>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</si>
  <si>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</si>
  <si>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</si>
  <si>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</si>
  <si>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</si>
  <si>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</si>
  <si>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</si>
  <si>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</si>
  <si>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</si>
  <si>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</si>
  <si>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</si>
  <si>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</si>
  <si>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</si>
  <si>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</si>
  <si>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</si>
  <si>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</si>
  <si>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</si>
  <si>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</si>
  <si>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</si>
  <si>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</si>
  <si>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</si>
  <si>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</si>
  <si>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</si>
  <si>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</si>
  <si>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</si>
  <si>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</si>
  <si>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</si>
  <si>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</si>
  <si>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</si>
  <si>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</si>
  <si>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</si>
  <si>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</si>
  <si>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</si>
  <si>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</si>
  <si>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</si>
  <si>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</si>
  <si>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</si>
  <si>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</si>
  <si>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</si>
  <si>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</si>
  <si>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</si>
  <si>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</si>
  <si>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</si>
  <si>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</si>
  <si>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</si>
  <si>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</si>
  <si>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</si>
  <si>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</si>
  <si>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</si>
  <si>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</si>
  <si>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</si>
  <si>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</si>
  <si>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</si>
  <si>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</si>
  <si>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</si>
  <si>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</si>
  <si>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</si>
  <si>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</si>
  <si>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</si>
  <si>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</si>
  <si>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</si>
  <si>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</si>
  <si>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</si>
  <si>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</si>
  <si>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</si>
  <si>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</si>
  <si>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</si>
  <si>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</si>
  <si>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</si>
  <si>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</si>
  <si>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</si>
  <si>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</si>
  <si>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</si>
  <si>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</si>
  <si>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</si>
  <si>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</si>
  <si>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</si>
  <si>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</si>
  <si>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</si>
  <si>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</si>
  <si>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</si>
  <si>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</si>
  <si>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</si>
  <si>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</si>
  <si>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</si>
  <si>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</si>
  <si>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</si>
  <si>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</si>
  <si>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</si>
  <si>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</si>
  <si>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</si>
  <si>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</si>
  <si>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</si>
  <si>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</si>
  <si>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</si>
  <si>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</si>
  <si>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</si>
  <si>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</si>
  <si>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</si>
  <si>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</si>
  <si>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</si>
  <si>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</si>
  <si>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</si>
  <si>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</si>
  <si>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</si>
  <si>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</si>
  <si>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</si>
  <si>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</si>
  <si>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</si>
  <si>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</si>
  <si>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</si>
  <si>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</si>
  <si>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</si>
  <si>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</si>
  <si>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</si>
  <si>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</si>
  <si>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</si>
  <si>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</si>
  <si>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</si>
  <si>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</si>
  <si>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</si>
  <si>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</si>
  <si>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</si>
  <si>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</si>
  <si>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</si>
  <si>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</si>
  <si>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</si>
  <si>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</si>
  <si>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</si>
  <si>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</si>
  <si>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</si>
  <si>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</si>
  <si>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</si>
  <si>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</si>
  <si>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</si>
  <si>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</si>
  <si>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</si>
  <si>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</si>
  <si>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</si>
  <si>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</si>
  <si>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</si>
  <si>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</si>
  <si>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</si>
  <si>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</si>
  <si>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</si>
  <si>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</si>
  <si>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</si>
  <si>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</si>
  <si>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</si>
  <si>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</si>
  <si>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</si>
  <si>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</si>
  <si>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</si>
  <si>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</si>
  <si>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</si>
  <si>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</si>
  <si>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</si>
  <si>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</si>
  <si>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</si>
  <si>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</si>
  <si>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</si>
  <si>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</si>
  <si>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</si>
  <si>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</si>
  <si>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</si>
  <si>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</si>
  <si>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</si>
  <si>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</si>
  <si>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</si>
  <si>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</si>
  <si>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</si>
  <si>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</si>
  <si>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</si>
  <si>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</si>
  <si>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</si>
  <si>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</si>
  <si>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</si>
  <si>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</si>
  <si>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</si>
  <si>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</si>
  <si>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</si>
  <si>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</si>
  <si>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</si>
  <si>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</si>
  <si>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</si>
  <si>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</si>
  <si>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</si>
  <si>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</si>
  <si>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</si>
  <si>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</si>
  <si>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</si>
  <si>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</si>
  <si>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</si>
  <si>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</si>
  <si>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</si>
  <si>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</si>
  <si>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</si>
  <si>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</si>
  <si>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</si>
  <si>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</si>
  <si>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</si>
  <si>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</si>
  <si>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</si>
  <si>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</si>
  <si>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</si>
  <si>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</si>
  <si>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</si>
  <si>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</si>
  <si>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</si>
  <si>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</si>
  <si>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</si>
  <si>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</si>
  <si>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</si>
  <si>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</si>
  <si>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</si>
  <si>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</si>
  <si>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</si>
  <si>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</si>
  <si>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</si>
  <si>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</si>
  <si>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</si>
  <si>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</si>
  <si>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</si>
  <si>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</si>
  <si>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</si>
  <si>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</si>
  <si>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</si>
  <si>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</si>
  <si>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</si>
  <si>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</si>
  <si>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</si>
  <si>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</si>
  <si>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</si>
  <si>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</si>
  <si>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</si>
  <si>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</si>
  <si>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</si>
  <si>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</si>
  <si>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</si>
  <si>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</si>
  <si>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</si>
  <si>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</si>
  <si>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</si>
  <si>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</si>
  <si>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</si>
  <si>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</si>
  <si>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</si>
  <si>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</si>
  <si>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</si>
  <si>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</si>
  <si>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</si>
  <si>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</si>
  <si>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</si>
  <si>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</si>
  <si>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</si>
  <si>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</si>
  <si>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</si>
  <si>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</si>
  <si>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</si>
  <si>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</si>
  <si>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</si>
  <si>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</si>
  <si>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</si>
  <si>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</si>
  <si>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</si>
  <si>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</si>
  <si>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</si>
  <si>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</si>
  <si>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</si>
  <si>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</si>
  <si>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</si>
  <si>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</si>
  <si>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</si>
  <si>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</si>
  <si>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</si>
  <si>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</si>
  <si>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</si>
  <si>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</si>
  <si>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</si>
  <si>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</si>
  <si>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</si>
  <si>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</si>
  <si>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</si>
  <si>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</si>
  <si>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</si>
  <si>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</si>
  <si>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</si>
  <si>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</si>
  <si>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</si>
  <si>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</si>
  <si>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</si>
  <si>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</si>
  <si>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</si>
  <si>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</si>
  <si>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</si>
  <si>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</si>
  <si>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</si>
  <si>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</si>
  <si>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</si>
  <si>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</si>
  <si>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</si>
  <si>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</si>
  <si>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</si>
  <si>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</si>
  <si>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</si>
  <si>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</si>
  <si>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</si>
  <si>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</si>
  <si>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</si>
  <si>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</si>
  <si>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</si>
  <si>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</si>
  <si>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</si>
  <si>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</si>
  <si>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</si>
  <si>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</si>
  <si>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</si>
  <si>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</si>
  <si>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</si>
  <si>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</si>
  <si>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</si>
  <si>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</si>
  <si>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</si>
  <si>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</si>
  <si>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</si>
  <si>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</si>
  <si>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</si>
  <si>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</si>
  <si>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</si>
  <si>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</si>
  <si>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</si>
  <si>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</si>
  <si>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</si>
  <si>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</si>
  <si>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</si>
  <si>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</si>
  <si>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</si>
  <si>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</si>
  <si>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</si>
  <si>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</si>
  <si>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</si>
  <si>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</si>
  <si>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</si>
  <si>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</si>
  <si>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</si>
  <si>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</si>
  <si>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</si>
  <si>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</si>
  <si>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</si>
  <si>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</si>
  <si>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</si>
  <si>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</si>
  <si>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</si>
  <si>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</si>
  <si>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</si>
  <si>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</si>
  <si>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</si>
  <si>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</si>
  <si>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</si>
  <si>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</si>
  <si>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</si>
  <si>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</si>
  <si>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</si>
  <si>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</si>
  <si>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</si>
  <si>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</si>
  <si>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</si>
  <si>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</si>
  <si>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</si>
  <si>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</si>
  <si>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</si>
  <si>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</si>
  <si>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</si>
  <si>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</si>
  <si>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</si>
  <si>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</si>
  <si>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</si>
  <si>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</si>
  <si>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</si>
  <si>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</si>
  <si>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</si>
  <si>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</si>
  <si>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</si>
  <si>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</si>
  <si>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</si>
  <si>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</si>
  <si>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</si>
  <si>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</si>
  <si>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</si>
  <si>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</si>
  <si>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</si>
  <si>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</si>
  <si>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</si>
  <si>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</si>
  <si>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</si>
  <si>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</si>
  <si>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</si>
  <si>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</si>
  <si>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</si>
  <si>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</si>
  <si>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</si>
  <si>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</si>
  <si>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</si>
  <si>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</si>
  <si>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</si>
  <si>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</si>
  <si>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</si>
  <si>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</si>
  <si>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</si>
  <si>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</si>
  <si>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</si>
  <si>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</si>
  <si>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</si>
  <si>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</si>
  <si>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</si>
  <si>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</si>
  <si>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</si>
  <si>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</si>
  <si>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</si>
  <si>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</si>
  <si>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</si>
  <si>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</si>
  <si>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</si>
  <si>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</si>
  <si>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</si>
  <si>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</si>
  <si>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</si>
  <si>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</si>
  <si>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</si>
  <si>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</si>
  <si>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</si>
  <si>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</si>
  <si>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</si>
  <si>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</si>
  <si>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</si>
  <si>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</si>
  <si>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</si>
  <si>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</si>
  <si>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</si>
  <si>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</si>
  <si>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</si>
  <si>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</si>
  <si>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</si>
  <si>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</si>
  <si>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</si>
  <si>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</si>
  <si>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</si>
  <si>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</si>
  <si>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</si>
  <si>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</si>
  <si>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</si>
  <si>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</si>
  <si>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</si>
  <si>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</si>
  <si>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</si>
  <si>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</si>
  <si>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</si>
  <si>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</si>
  <si>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</si>
  <si>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</si>
  <si>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</si>
  <si>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</si>
  <si>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</si>
  <si>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</si>
  <si>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</si>
  <si>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</si>
  <si>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</si>
  <si>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</si>
  <si>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</si>
  <si>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</si>
  <si>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</si>
  <si>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</si>
  <si>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</si>
  <si>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</si>
  <si>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</si>
  <si>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</si>
  <si>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</si>
  <si>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</si>
  <si>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</si>
  <si>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</si>
  <si>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</si>
  <si>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</si>
  <si>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</si>
  <si>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</si>
  <si>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</si>
  <si>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</si>
  <si>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</si>
  <si>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</si>
  <si>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</si>
  <si>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</si>
  <si>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</si>
  <si>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</si>
  <si>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</si>
  <si>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</si>
  <si>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</si>
  <si>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</si>
  <si>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</si>
  <si>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</si>
  <si>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</si>
  <si>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</si>
  <si>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</si>
  <si>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</si>
  <si>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</si>
  <si>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</si>
  <si>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</si>
  <si>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</si>
  <si>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</si>
  <si>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</si>
  <si>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</si>
  <si>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</si>
  <si>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</si>
  <si>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</si>
  <si>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</si>
  <si>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</si>
  <si>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</si>
  <si>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</si>
  <si>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</si>
  <si>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</si>
  <si>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</si>
  <si>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</si>
  <si>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</si>
  <si>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</si>
  <si>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</si>
  <si>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</si>
  <si>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</si>
  <si>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</si>
  <si>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</si>
  <si>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</si>
  <si>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</si>
  <si>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</si>
  <si>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</si>
  <si>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</si>
  <si>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</si>
  <si>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</si>
  <si>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</si>
  <si>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</si>
  <si>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</si>
  <si>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</si>
  <si>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</si>
  <si>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</si>
  <si>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</si>
  <si>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</si>
  <si>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</si>
  <si>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</si>
  <si>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</si>
  <si>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</si>
  <si>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</si>
  <si>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</si>
  <si>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</si>
  <si>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</si>
  <si>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</si>
  <si>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</si>
  <si>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</si>
  <si>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</si>
  <si>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</si>
  <si>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</si>
  <si>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</si>
  <si>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</si>
  <si>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</si>
  <si>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</si>
  <si>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</si>
  <si>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</si>
  <si>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</si>
  <si>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</si>
  <si>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</si>
  <si>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</si>
  <si>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</si>
  <si>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</si>
  <si>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</si>
  <si>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</si>
  <si>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</si>
  <si>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</si>
  <si>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</si>
  <si>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</si>
  <si>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</si>
  <si>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</si>
  <si>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</si>
  <si>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</si>
  <si>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</si>
  <si>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</si>
  <si>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</si>
  <si>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</si>
  <si>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</si>
  <si>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</si>
  <si>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</si>
  <si>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</si>
  <si>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</si>
  <si>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</si>
  <si>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</si>
  <si>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</si>
  <si>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</si>
  <si>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</si>
  <si>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</si>
  <si>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</si>
  <si>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</si>
  <si>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</si>
  <si>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</si>
  <si>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</si>
  <si>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</si>
  <si>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</si>
  <si>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</si>
  <si>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</si>
  <si>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</si>
  <si>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</si>
  <si>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</si>
  <si>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</si>
  <si>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</si>
  <si>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</si>
  <si>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</si>
  <si>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</si>
  <si>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</si>
  <si>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</si>
  <si>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</si>
  <si>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</si>
  <si>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</si>
  <si>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</si>
  <si>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</si>
  <si>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</si>
  <si>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</si>
  <si>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</si>
  <si>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</si>
  <si>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</si>
  <si>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</si>
  <si>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</si>
  <si>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</si>
  <si>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</si>
  <si>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</si>
  <si>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</si>
  <si>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</si>
  <si>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</si>
  <si>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</si>
  <si>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</si>
  <si>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</si>
  <si>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</si>
  <si>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</si>
  <si>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</si>
  <si>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</si>
  <si>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</si>
  <si>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</si>
  <si>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</si>
  <si>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</si>
  <si>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</si>
  <si>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</si>
  <si>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</si>
  <si>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</si>
  <si>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</si>
  <si>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</si>
  <si>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</si>
  <si>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</si>
  <si>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</si>
  <si>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</si>
  <si>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</si>
  <si>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</si>
  <si>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</si>
  <si>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</si>
  <si>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</si>
  <si>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</si>
  <si>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</si>
  <si>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</si>
  <si>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</si>
  <si>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</si>
  <si>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</si>
  <si>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</si>
  <si>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</si>
  <si>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</si>
  <si>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</si>
  <si>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</si>
  <si>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</si>
  <si>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</si>
  <si>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</si>
  <si>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</si>
  <si>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</si>
  <si>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</si>
  <si>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</si>
  <si>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</si>
  <si>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</si>
  <si>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</si>
  <si>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</si>
  <si>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</si>
  <si>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</si>
  <si>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</si>
  <si>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</si>
  <si>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</si>
  <si>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</si>
  <si>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</si>
  <si>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</si>
  <si>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</si>
  <si>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</si>
  <si>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</si>
  <si>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</si>
  <si>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</si>
  <si>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</si>
  <si>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</si>
  <si>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</si>
  <si>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</si>
  <si>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</si>
  <si>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</si>
  <si>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</si>
  <si>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</si>
  <si>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</si>
  <si>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</si>
  <si>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</si>
  <si>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</si>
  <si>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</si>
  <si>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</si>
  <si>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</si>
  <si>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</si>
  <si>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</si>
  <si>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</si>
  <si>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</si>
  <si>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</si>
  <si>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</si>
  <si>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</si>
  <si>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</si>
  <si>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</si>
  <si>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</si>
  <si>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</si>
  <si>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</si>
  <si>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</si>
  <si>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</si>
  <si>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</si>
  <si>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</si>
  <si>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</si>
  <si>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</si>
  <si>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</si>
  <si>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</si>
  <si>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</si>
  <si>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</si>
  <si>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</si>
  <si>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</si>
  <si>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</si>
  <si>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</si>
  <si>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</si>
  <si>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</si>
  <si>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</si>
  <si>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</si>
  <si>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</si>
  <si>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</si>
  <si>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</si>
  <si>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</si>
  <si>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</si>
  <si>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</si>
  <si>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</si>
  <si>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</si>
  <si>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</si>
  <si>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</si>
  <si>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</si>
  <si>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</si>
  <si>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</si>
  <si>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</si>
  <si>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</si>
  <si>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</si>
  <si>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</si>
  <si>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</si>
  <si>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</si>
  <si>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</si>
  <si>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</si>
  <si>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</si>
  <si>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</si>
  <si>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</si>
  <si>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</si>
  <si>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</si>
  <si>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</si>
  <si>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</si>
  <si>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</si>
  <si>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</si>
  <si>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</si>
  <si>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</si>
  <si>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</si>
  <si>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</si>
  <si>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</si>
  <si>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</si>
  <si>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</si>
  <si>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</si>
  <si>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</si>
  <si>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</si>
  <si>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</si>
  <si>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</si>
  <si>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</si>
  <si>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</si>
  <si>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</si>
  <si>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</si>
  <si>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</si>
  <si>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</si>
  <si>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</si>
  <si>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</si>
  <si>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</si>
  <si>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</si>
  <si>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</si>
  <si>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</si>
  <si>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</si>
  <si>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</si>
  <si>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</si>
  <si>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</si>
  <si>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</si>
  <si>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</si>
  <si>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</si>
  <si>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</si>
  <si>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</si>
  <si>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</si>
  <si>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</si>
  <si>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</si>
  <si>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</si>
  <si>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</si>
  <si>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</si>
  <si>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</si>
  <si>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</si>
  <si>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</si>
  <si>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</si>
  <si>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</si>
  <si>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</si>
  <si>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</si>
  <si>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</si>
  <si>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</si>
  <si>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</si>
  <si>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</si>
  <si>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</si>
  <si>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</si>
  <si>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</si>
  <si>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</si>
  <si>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</si>
  <si>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</si>
  <si>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</si>
  <si>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</si>
  <si>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</si>
  <si>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</si>
  <si>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</si>
  <si>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</si>
  <si>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</si>
  <si>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</si>
  <si>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</si>
  <si>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</si>
  <si>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</si>
  <si>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</si>
  <si>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</si>
  <si>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</si>
  <si>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</si>
  <si>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</si>
  <si>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</si>
  <si>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</si>
  <si>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</si>
  <si>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</si>
  <si>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</si>
  <si>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</si>
  <si>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</si>
  <si>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</si>
  <si>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</si>
  <si>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</si>
  <si>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</si>
  <si>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</si>
  <si>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</si>
  <si>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</si>
  <si>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</si>
  <si>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</si>
  <si>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</si>
  <si>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</si>
  <si>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</si>
  <si>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</si>
  <si>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</si>
  <si>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</si>
  <si>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</si>
  <si>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</si>
  <si>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</si>
  <si>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</si>
  <si>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</si>
  <si>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</si>
  <si>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</si>
  <si>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</si>
  <si>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</si>
  <si>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</si>
  <si>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</si>
  <si>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</si>
  <si>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</si>
  <si>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</si>
  <si>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</si>
  <si>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</si>
  <si>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</si>
  <si>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</si>
  <si>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</si>
  <si>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</si>
  <si>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</si>
  <si>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</si>
  <si>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</si>
  <si>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</si>
  <si>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</si>
  <si>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</si>
  <si>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</si>
  <si>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</si>
  <si>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</si>
  <si>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</si>
  <si>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</si>
  <si>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</si>
  <si>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</si>
  <si>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</si>
  <si>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</si>
  <si>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</si>
  <si>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</si>
  <si>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</si>
  <si>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</si>
  <si>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</si>
  <si>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</si>
  <si>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</si>
  <si>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</si>
  <si>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</si>
  <si>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</si>
  <si>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</si>
  <si>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</si>
  <si>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</si>
  <si>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</si>
  <si>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</si>
  <si>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</si>
  <si>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</si>
  <si>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</si>
  <si>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</si>
  <si>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</si>
  <si>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</si>
  <si>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</si>
  <si>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</si>
  <si>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</si>
  <si>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</si>
  <si>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</si>
  <si>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</si>
  <si>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</si>
  <si>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</si>
  <si>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</si>
  <si>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</si>
  <si>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</si>
  <si>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</si>
  <si>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</si>
  <si>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</si>
  <si>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</si>
  <si>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</si>
  <si>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</si>
  <si>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</si>
  <si>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</si>
  <si>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</si>
  <si>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</si>
  <si>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</si>
  <si>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</si>
  <si>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</si>
  <si>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</si>
  <si>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</si>
  <si>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</si>
  <si>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</si>
  <si>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Venusaur (♀)</t>
  </si>
  <si>
    <t>Butterfree (♀)</t>
  </si>
  <si>
    <t>Rattata (♀)</t>
  </si>
  <si>
    <t>Raticate (♀)</t>
  </si>
  <si>
    <t>Pikachu (♀)</t>
  </si>
  <si>
    <t>Raichu (♀)</t>
  </si>
  <si>
    <t>Zubat (♀)</t>
  </si>
  <si>
    <t>Golbat (♀)</t>
  </si>
  <si>
    <t>Gloom (♀)</t>
  </si>
  <si>
    <t>Vileplume (♀)</t>
  </si>
  <si>
    <t>Kadabra (♀)</t>
  </si>
  <si>
    <t>Alakazam (♀)</t>
  </si>
  <si>
    <t>Doduo (♀)</t>
  </si>
  <si>
    <t>Dodrio (♀)</t>
  </si>
  <si>
    <t>Hypno (♀)</t>
  </si>
  <si>
    <t>Rhyhorn (♀)</t>
  </si>
  <si>
    <t>Rhydon (♀)</t>
  </si>
  <si>
    <t>Goldeen (♀)</t>
  </si>
  <si>
    <t>Seaking (♀)</t>
  </si>
  <si>
    <t>Scyther (♀)</t>
  </si>
  <si>
    <t>Magikarp (♀)</t>
  </si>
  <si>
    <t>Gyarados (♀)</t>
  </si>
  <si>
    <t>Eevee (♀)</t>
  </si>
  <si>
    <t>Meganium (♀)</t>
  </si>
  <si>
    <t>Ledyba (♀)</t>
  </si>
  <si>
    <t>Ledian (♀)</t>
  </si>
  <si>
    <t>Xatu (♀)</t>
  </si>
  <si>
    <t>Sudowoodo (♀)</t>
  </si>
  <si>
    <t>Politoed (♀)</t>
  </si>
  <si>
    <t>Aipom (♀)</t>
  </si>
  <si>
    <t>Wooper (♀)</t>
  </si>
  <si>
    <t>Quagsire (♀)</t>
  </si>
  <si>
    <t>Murkrow (♀)</t>
  </si>
  <si>
    <t>Wobbuffet (♀)</t>
  </si>
  <si>
    <t>Girafarig (♀)</t>
  </si>
  <si>
    <t>Gligar (♀)</t>
  </si>
  <si>
    <t>Steelix (♀)</t>
  </si>
  <si>
    <t>Scizor (♀)</t>
  </si>
  <si>
    <t>Heracross (♀)</t>
  </si>
  <si>
    <t>Sneasel (♀)</t>
  </si>
  <si>
    <t>Sneasel-Hisui (♀)</t>
  </si>
  <si>
    <t>Ursaring (♀)</t>
  </si>
  <si>
    <t>Piloswine (♀)</t>
  </si>
  <si>
    <t>Octillery (♀)</t>
  </si>
  <si>
    <t>Houndoom (♀)</t>
  </si>
  <si>
    <t>Donphan (♀)</t>
  </si>
  <si>
    <t>Torchic (♀)</t>
  </si>
  <si>
    <t>Combusken (♀)</t>
  </si>
  <si>
    <t>Blaziken (♀)</t>
  </si>
  <si>
    <t>Beautifly (♀)</t>
  </si>
  <si>
    <t>Dustox (♀)</t>
  </si>
  <si>
    <t>Ludicolo (♀)</t>
  </si>
  <si>
    <t>Nuzleaf (♀)</t>
  </si>
  <si>
    <t>Shiftry (♀)</t>
  </si>
  <si>
    <t>Meditite (♀)</t>
  </si>
  <si>
    <t>Medicham (♀)</t>
  </si>
  <si>
    <t>Roselia (♀)</t>
  </si>
  <si>
    <t>Gulpin (♀)</t>
  </si>
  <si>
    <t>Swalot (♀)</t>
  </si>
  <si>
    <t>Numel (♀)</t>
  </si>
  <si>
    <t>Camerupt (♀)</t>
  </si>
  <si>
    <t>Cacturne (♀)</t>
  </si>
  <si>
    <t>Milotic (♀)</t>
  </si>
  <si>
    <t>Relicanth (♀)</t>
  </si>
  <si>
    <t>Starly (♀)</t>
  </si>
  <si>
    <t>Staravia (♀)</t>
  </si>
  <si>
    <t>Staraptor (♀)</t>
  </si>
  <si>
    <t>Bidoof (♀)</t>
  </si>
  <si>
    <t>Bibarel (♀)</t>
  </si>
  <si>
    <t>Kricketot (♀)</t>
  </si>
  <si>
    <t>Kricketune (♀)</t>
  </si>
  <si>
    <t>Shinx (♀)</t>
  </si>
  <si>
    <t>Luxio (♀)</t>
  </si>
  <si>
    <t>Luxray (♀)</t>
  </si>
  <si>
    <t>Roserade (♀)</t>
  </si>
  <si>
    <t>Combee (♀)</t>
  </si>
  <si>
    <t>Pachirisu (♀)</t>
  </si>
  <si>
    <t>Buizel (♀)</t>
  </si>
  <si>
    <t>Floatzel (♀)</t>
  </si>
  <si>
    <t>Ambipom (♀)</t>
  </si>
  <si>
    <t>Gible (♀)</t>
  </si>
  <si>
    <t>Gabite (♀)</t>
  </si>
  <si>
    <t>Garchomp (♀)</t>
  </si>
  <si>
    <t>Hippopotas (♀)</t>
  </si>
  <si>
    <t>Hippowdon (♀)</t>
  </si>
  <si>
    <t>Croagunk (♀)</t>
  </si>
  <si>
    <t>Toxicroak (♀)</t>
  </si>
  <si>
    <t>Finneon (♀)</t>
  </si>
  <si>
    <t>Lumineon (♀)</t>
  </si>
  <si>
    <t>Snover (♀)</t>
  </si>
  <si>
    <t>Abomasnow (♀)</t>
  </si>
  <si>
    <t>Weavile (♀)</t>
  </si>
  <si>
    <t>Rhyperior (♀)</t>
  </si>
  <si>
    <t>Tangrowth (♀)</t>
  </si>
  <si>
    <t>Mamoswine (♀)</t>
  </si>
  <si>
    <t>Unfezant (♀)</t>
  </si>
  <si>
    <t>Frillish (♀)</t>
  </si>
  <si>
    <t>Jellicent (♀)</t>
  </si>
  <si>
    <t>Pyroar (♀)</t>
  </si>
  <si>
    <t>Meowstic (♀)</t>
  </si>
  <si>
    <t>Indeedee (♀)</t>
  </si>
  <si>
    <t>Basculegion (♀)</t>
  </si>
  <si>
    <t>Oinkologne-Female (♀)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</si>
  <si>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</si>
  <si>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</si>
  <si>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</si>
  <si>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</si>
  <si>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</si>
  <si>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</si>
  <si>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Pikachu-Partner-Cap</t>
  </si>
  <si>
    <t>Pikachu-World-Cap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</si>
  <si>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</si>
  <si>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</si>
  <si>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</si>
  <si>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</si>
  <si>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</si>
  <si>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</si>
  <si>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</si>
  <si>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</si>
  <si>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</si>
  <si>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</si>
  <si>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</si>
  <si>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</si>
  <si>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</si>
  <si>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</si>
  <si>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</si>
  <si>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</si>
  <si>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</si>
  <si>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</si>
  <si>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</si>
  <si>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</si>
  <si>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</si>
  <si>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</si>
  <si>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</si>
  <si>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</si>
  <si>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</si>
  <si>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Exclamation</t>
  </si>
  <si>
    <t>Unown Question</t>
  </si>
  <si>
    <t>Deoxys-Attack</t>
  </si>
  <si>
    <t>Deoxys-Defense</t>
  </si>
  <si>
    <t>Deoxys-Speed</t>
  </si>
  <si>
    <t>Burmy (Sandy)</t>
  </si>
  <si>
    <t>Burmy (Trash)</t>
  </si>
  <si>
    <t>Wormadam-Sandy</t>
  </si>
  <si>
    <t>Wormadam-Trash</t>
  </si>
  <si>
    <t>Shellos (East)</t>
  </si>
  <si>
    <t>Gastrodon (East)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</si>
  <si>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</si>
  <si>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</si>
  <si>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</si>
  <si>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</si>
  <si>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</si>
  <si>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</si>
  <si>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</si>
  <si>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Deerling (Autumn)</t>
  </si>
  <si>
    <t>Deerling (Winter)</t>
  </si>
  <si>
    <t>Sawsbuck (Summer)</t>
  </si>
  <si>
    <t>Sawsbuck (Autumn)</t>
  </si>
  <si>
    <t>Sawsbuck (Winter)</t>
  </si>
  <si>
    <t>Basculin-Blue-Striped</t>
  </si>
  <si>
    <t>Tornadus (Therian)</t>
  </si>
  <si>
    <t>Thundurus (Therian)</t>
  </si>
  <si>
    <t>Landorus (Therian)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</si>
  <si>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</si>
  <si>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</si>
  <si>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</si>
  <si>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</si>
  <si>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</si>
  <si>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</si>
  <si>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</si>
  <si>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</si>
  <si>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Furfrou (Star)</t>
  </si>
  <si>
    <t>Furfrou (Diamond)</t>
  </si>
  <si>
    <t>Furfrou (Debutante)</t>
  </si>
  <si>
    <t>Furfrou (Matron)</t>
  </si>
  <si>
    <t>Furfrou (Dandy)</t>
  </si>
  <si>
    <t>Furfrou (La-Reine)</t>
  </si>
  <si>
    <t>Furfrou (Kabuki)</t>
  </si>
  <si>
    <t>Furfrou (Pharaoh)</t>
  </si>
  <si>
    <t>Flabebe (Yellow)</t>
  </si>
  <si>
    <t>Flabebe (Orange)</t>
  </si>
  <si>
    <t>Flabebe (Blue)</t>
  </si>
  <si>
    <t>Flabebe (White)</t>
  </si>
  <si>
    <t>Floette (Yellow)</t>
  </si>
  <si>
    <t>Floette (Orange)</t>
  </si>
  <si>
    <t>Floette (Blue)</t>
  </si>
  <si>
    <t>Floette (White)</t>
  </si>
  <si>
    <t>Florges (Yellow)</t>
  </si>
  <si>
    <t>Florges (Orange)</t>
  </si>
  <si>
    <t>Florges (Blue)</t>
  </si>
  <si>
    <t>Florges (White)</t>
  </si>
  <si>
    <t>Hoopa-Unbound</t>
  </si>
  <si>
    <t>Greninja-Battle-Bond</t>
  </si>
  <si>
    <t>Zygarde-10</t>
  </si>
  <si>
    <t>Zygarde (Power Construct)</t>
  </si>
  <si>
    <t>Zygarde-10-Power-Construct</t>
  </si>
  <si>
    <t>Vivillon (Polar)</t>
  </si>
  <si>
    <t>Vivillon (Tundra)</t>
  </si>
  <si>
    <t>Vivillon (Continental)</t>
  </si>
  <si>
    <t>Vivillon (Garden)</t>
  </si>
  <si>
    <t>Vivillon (Elegant)</t>
  </si>
  <si>
    <t>Vivillon (Meadow)</t>
  </si>
  <si>
    <t>Vivillon (Modern)</t>
  </si>
  <si>
    <t>Vivillon (Marine)</t>
  </si>
  <si>
    <t>Vivillon (Archipelago)</t>
  </si>
  <si>
    <t>Vivillon (High-Plains)</t>
  </si>
  <si>
    <t>Vivillon (Sandstorm)</t>
  </si>
  <si>
    <t>Vivillon (River)</t>
  </si>
  <si>
    <t>Vivillon (Monsoon)</t>
  </si>
  <si>
    <t>Vivillon (Savanna)</t>
  </si>
  <si>
    <t>Vivillon (Sun)</t>
  </si>
  <si>
    <t>Vivillon (Ocean)</t>
  </si>
  <si>
    <t>Vivillon (Jungle)</t>
  </si>
  <si>
    <t>Vivillon (Fancy)</t>
  </si>
  <si>
    <t>Vivillon (Pokeball)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</si>
  <si>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</si>
  <si>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</si>
  <si>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</si>
  <si>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</si>
  <si>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</si>
  <si>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</si>
  <si>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</si>
  <si>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</si>
  <si>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</si>
  <si>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</si>
  <si>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</si>
  <si>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</si>
  <si>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</si>
  <si>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</si>
  <si>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Polteageist (Antique)</t>
  </si>
  <si>
    <t>Urshifu-Rapid-Strike</t>
  </si>
  <si>
    <t>Zarude-Dada</t>
  </si>
  <si>
    <t>Enamorus (Therian)</t>
  </si>
  <si>
    <t>Alcremie (Alcremie Vanilla Cream Berry)</t>
  </si>
  <si>
    <t>Alcremie (Alcremie Vanilla Cream Love)</t>
  </si>
  <si>
    <t>Alcremie (Alcremie Vanilla Cream Star)</t>
  </si>
  <si>
    <t>Alcremie (Alcremie Vanilla Cream Clover)</t>
  </si>
  <si>
    <t>Alcremie (Alcremie Vanilla Cream Flower)</t>
  </si>
  <si>
    <t>Alcremie (Alcremie Vanilla Cream Ribbon)</t>
  </si>
  <si>
    <t>Alcremie (Alcremie Ruby Cream Strawberry)</t>
  </si>
  <si>
    <t>Alcremie (Alcremie Ruby Cream Berry)</t>
  </si>
  <si>
    <t>Alcremie (Alcremie Ruby Cream Love)</t>
  </si>
  <si>
    <t>Alcremie (Alcremie Ruby Cream Star)</t>
  </si>
  <si>
    <t>Alcremie (Alcremie Ruby Cream Clover)</t>
  </si>
  <si>
    <t>Alcremie (Alcremie Ruby Cream Flower)</t>
  </si>
  <si>
    <t>Alcremie (Alcremie Ruby Cream Ribbon)</t>
  </si>
  <si>
    <t>Alcremie (Alcremie Matcha Cream Strawberry)</t>
  </si>
  <si>
    <t>Alcremie (Alcremie Matcha Cream Berry)</t>
  </si>
  <si>
    <t>Alcremie (Alcremie Matcha Cream Love)</t>
  </si>
  <si>
    <t>Alcremie (Alcremie Matcha Cream Star)</t>
  </si>
  <si>
    <t>Alcremie (Alcremie Matcha Cream Clover)</t>
  </si>
  <si>
    <t>Alcremie (Alcremie Matcha Cream Flower)</t>
  </si>
  <si>
    <t>Alcremie (Alcremie Matcha Cream Ribbon)</t>
  </si>
  <si>
    <t>Alcremie (Alcremie Mint Cream Strawberry)</t>
  </si>
  <si>
    <t>Alcremie (Alcremie Mint Cream Berry)</t>
  </si>
  <si>
    <t>Alcremie (Alcremie Mint Cream Love)</t>
  </si>
  <si>
    <t>Alcremie (Alcremie Mint Cream Star)</t>
  </si>
  <si>
    <t>Alcremie (Alcremie Mint Cream Clover)</t>
  </si>
  <si>
    <t>Alcremie (Alcremie Mint Cream Flower)</t>
  </si>
  <si>
    <t>Alcremie (Alcremie Mint Cream Ribbon)</t>
  </si>
  <si>
    <t>Alcremie (Alcremie Lemon Cream Strawberry)</t>
  </si>
  <si>
    <t>Alcremie (Alcremie Lemon Cream Berry)</t>
  </si>
  <si>
    <t>Alcremie (Alcremie Lemon Cream Love)</t>
  </si>
  <si>
    <t>Alcremie (Alcremie Lemon Cream Star)</t>
  </si>
  <si>
    <t>Alcremie (Alcremie Lemon Cream Clover)</t>
  </si>
  <si>
    <t>Alcremie (Alcremie Lemon Cream Flower)</t>
  </si>
  <si>
    <t>Alcremie (Alcremie Lemon Cream Ribbon)</t>
  </si>
  <si>
    <t>Alcremie (Alcremie Salted Cream Strawberry)</t>
  </si>
  <si>
    <t>Alcremie (Alcremie Salted Cream Berry)</t>
  </si>
  <si>
    <t>Alcremie (Alcremie Salted Cream Love)</t>
  </si>
  <si>
    <t>Alcremie (Alcremie Salted Cream Star)</t>
  </si>
  <si>
    <t>Alcremie (Alcremie Salted Cream Clover)</t>
  </si>
  <si>
    <t>Alcremie (Alcremie Salted Cream Flower)</t>
  </si>
  <si>
    <t>Alcremie (Alcremie Salted Cream Ribbon)</t>
  </si>
  <si>
    <t>Alcremie (Alcremie Ruby Swirl Strawberry)</t>
  </si>
  <si>
    <t>Alcremie (Alcremie Ruby Swirl Berry)</t>
  </si>
  <si>
    <t>Alcremie (Alcremie Ruby Swirl Love)</t>
  </si>
  <si>
    <t>Alcremie (Alcremie Ruby Swirl Star)</t>
  </si>
  <si>
    <t>Alcremie (Alcremie Ruby Swirl Clover)</t>
  </si>
  <si>
    <t>Alcremie (Alcremie Ruby Swirl Flower)</t>
  </si>
  <si>
    <t>Alcremie (Alcremie Ruby Swirl Ribbon)</t>
  </si>
  <si>
    <t>Alcremie (Alcremie Caramel Swirl Strawberry)</t>
  </si>
  <si>
    <t>Alcremie (Alcremie Caramel Swirl Berry)</t>
  </si>
  <si>
    <t>Alcremie (Alcremie Caramel Swirl Love)</t>
  </si>
  <si>
    <t>Alcremie (Alcremie Caramel Swirl Star)</t>
  </si>
  <si>
    <t>Alcremie (Alcremie Caramel Swirl Clover)</t>
  </si>
  <si>
    <t>Alcremie (Alcremie Caramel Swirl Flower)</t>
  </si>
  <si>
    <t>Alcremie (Alcremie Caramel Swirl Ribbon)</t>
  </si>
  <si>
    <t>Alcremie (Alcremie Rainbow Swirl Strawberry)</t>
  </si>
  <si>
    <t>Alcremie (Alcremie Rainbow Swirl Berry)</t>
  </si>
  <si>
    <t>Alcremie (Alcremie Rainbow Swirl Love)</t>
  </si>
  <si>
    <t>Alcremie (Alcremie Rainbow Swirl Star)</t>
  </si>
  <si>
    <t>Alcremie (Alcremie Rainbow Swirl Clover)</t>
  </si>
  <si>
    <t>Alcremie (Alcremie Rainbow Swirl Flower)</t>
  </si>
  <si>
    <t>Alcremie (Alcremie Rainbow Swirl Ribbon)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</si>
  <si>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</si>
  <si>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</si>
  <si>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</si>
  <si>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</si>
  <si>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</si>
  <si>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</si>
  <si>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</si>
  <si>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</si>
  <si>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</si>
  <si>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</si>
  <si>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</si>
  <si>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</si>
  <si>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</si>
  <si>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</si>
  <si>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</si>
  <si>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</si>
  <si>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</si>
  <si>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</si>
  <si>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</si>
  <si>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</si>
  <si>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</si>
  <si>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</si>
  <si>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</si>
  <si>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</si>
  <si>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 (Amped)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</si>
  <si>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</si>
  <si>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</si>
  <si>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</si>
  <si>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</si>
  <si>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</si>
  <si>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</si>
  <si>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</si>
  <si>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</si>
  <si>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</si>
  <si>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Maushold-Family-Of-Three</t>
  </si>
  <si>
    <t>Squawkabilly-Blue-Plumage</t>
  </si>
  <si>
    <t>Squawkabilly-White-Plumage</t>
  </si>
  <si>
    <t>Squawkabilly-Yellow-Plumage</t>
  </si>
  <si>
    <t>Tatsugiri-Droopy</t>
  </si>
  <si>
    <t>Tatsugiri-Stretchy</t>
  </si>
  <si>
    <t>Dudunsparce-Three-Segment</t>
  </si>
  <si>
    <t>Wooper-Paldea</t>
  </si>
  <si>
    <t>Tauros-Paldea-Combat-Breed</t>
  </si>
  <si>
    <t>Tauros-Paldea-Aqua-Breed</t>
  </si>
  <si>
    <t>Tauros-Paldea-Blaze-Breed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</si>
  <si>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</si>
  <si>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</si>
  <si>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</si>
  <si>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</si>
  <si>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</si>
  <si>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</si>
  <si>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</si>
  <si>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</si>
  <si>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</si>
  <si>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</si>
  <si>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</si>
  <si>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</si>
  <si>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</si>
  <si>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</si>
  <si>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</si>
  <si>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</si>
  <si>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</si>
  <si>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</si>
  <si>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Galarian Meowth</t>
  </si>
  <si>
    <t>Galarian Ponyta</t>
  </si>
  <si>
    <t>Galarian Rapidash</t>
  </si>
  <si>
    <t>Galarian Slowpoke</t>
  </si>
  <si>
    <t>Galarian Slowbro</t>
  </si>
  <si>
    <t>Galarian Farfetchd</t>
  </si>
  <si>
    <t>Galarian Weezing</t>
  </si>
  <si>
    <t>Galarian Mr Mime</t>
  </si>
  <si>
    <t>Galarian Articuno</t>
  </si>
  <si>
    <t>Galarian Zapdos</t>
  </si>
  <si>
    <t>Galarian Moltres</t>
  </si>
  <si>
    <t>Galarian Slowking</t>
  </si>
  <si>
    <t>Galarian Corsola</t>
  </si>
  <si>
    <t>Galarian Zigzagoon</t>
  </si>
  <si>
    <t>Galarian Linoone</t>
  </si>
  <si>
    <t>Galarian Darumaka</t>
  </si>
  <si>
    <t>Galarian Darmanitan</t>
  </si>
  <si>
    <t>Galarian Yamask</t>
  </si>
  <si>
    <t>Galarian Stunfisk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</si>
  <si>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</si>
  <si>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</si>
  <si>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</si>
  <si>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</si>
  <si>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</si>
  <si>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</si>
  <si>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</si>
  <si>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Hisuian Samurott</t>
  </si>
  <si>
    <t>Hisuian Lilligant</t>
  </si>
  <si>
    <t>Basculin-White-Striped</t>
  </si>
  <si>
    <t>Hisuian Zorua</t>
  </si>
  <si>
    <t>Hisuian Zoroark</t>
  </si>
  <si>
    <t>Hisuian Braviary</t>
  </si>
  <si>
    <t>Hisuian Sliggoo</t>
  </si>
  <si>
    <t>Hisuian Goodra</t>
  </si>
  <si>
    <t>Hisuian Avalugg</t>
  </si>
  <si>
    <t>Hisuian Decidueye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</si>
  <si>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</si>
  <si>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</si>
  <si>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</si>
  <si>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</si>
  <si>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</si>
  <si>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</si>
  <si>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</si>
  <si>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</si>
  <si>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</si>
  <si>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</si>
  <si>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</si>
  <si>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</si>
  <si>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</si>
  <si>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</si>
  <si>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</si>
  <si>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</si>
  <si>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</si>
  <si>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</si>
  <si>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</si>
  <si>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</si>
  <si>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</si>
  <si>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</si>
  <si>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</si>
  <si>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</si>
  <si>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</si>
  <si>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</si>
  <si>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</si>
  <si>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</si>
  <si>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</si>
  <si>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</si>
  <si>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</si>
  <si>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Species 32</t>
  </si>
  <si>
    <t>Species 33</t>
  </si>
  <si>
    <t>Species 34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</si>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</sst>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9FA3C3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  <fill>
      <patternFill patternType="solid">
        <fgColor rgb="FFFAD709"/>
        <bgColor indexed="64"/>
      </patternFill>
    </fill>
    <fill>
      <patternFill patternType="solid">
        <fgColor rgb="FFD23134"/>
        <bgColor indexed="64"/>
      </patternFill>
    </fill>
    <fill>
      <patternFill patternType="solid">
        <fgColor rgb="FF41319B"/>
        <bgColor indexed="64"/>
      </patternFill>
    </fill>
    <fill>
      <patternFill patternType="solid">
        <fgColor rgb="FF8A316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11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31</v>
      </c>
      <c r="B2" s="1">
        <v>1</v>
      </c>
      <c r="C2" s="1" t="s">
        <v>32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concat(countif(A2:A1011, "TRUE"), concat(" of ", COUNTA(A2:A1011)))</f>
        <v>0</v>
      </c>
      <c r="K2" s="1">
        <f>concat(round(countif(A2:A1011, "TRUE")/COUNTA(A2:A1011)*100, 2), "%")</f>
        <v>0</v>
      </c>
    </row>
    <row r="3" spans="1:11" ht="72" customHeight="1">
      <c r="A3" s="1" t="s">
        <v>31</v>
      </c>
      <c r="B3" s="1">
        <v>2</v>
      </c>
      <c r="C3" s="1" t="s">
        <v>33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concat(countif(A2:A1411, "TRUE"), concat(" of ", COUNTA(A2:A1411)))</f>
        <v>0</v>
      </c>
      <c r="K3" s="1">
        <f>concat(round(countif(A2:A1411, "TRUE")/COUNTA(A2:A1411)*100, 2), "%")</f>
        <v>0</v>
      </c>
    </row>
    <row r="4" spans="1:11" ht="72" customHeight="1">
      <c r="A4" s="1" t="s">
        <v>31</v>
      </c>
      <c r="B4" s="1">
        <v>3</v>
      </c>
      <c r="C4" s="1" t="s">
        <v>34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31</v>
      </c>
      <c r="B5" s="1">
        <v>4</v>
      </c>
      <c r="C5" s="1" t="s">
        <v>35</v>
      </c>
      <c r="D5">
        <f>IMAGE("https://raw.githubusercontent.com/stautonico/pokemon-home-pokedex/main/sprites/charmander.png", 2)</f>
        <v>0</v>
      </c>
      <c r="E5" s="4" t="s">
        <v>14</v>
      </c>
      <c r="F5" s="5"/>
      <c r="I5" s="6" t="s">
        <v>9</v>
      </c>
      <c r="J5" s="6"/>
      <c r="K5" s="6"/>
    </row>
    <row r="6" spans="1:11" ht="72" customHeight="1">
      <c r="A6" s="1" t="s">
        <v>31</v>
      </c>
      <c r="B6" s="1">
        <v>5</v>
      </c>
      <c r="C6" s="1" t="s">
        <v>36</v>
      </c>
      <c r="D6">
        <f>IMAGE("https://raw.githubusercontent.com/stautonico/pokemon-home-pokedex/main/sprites/charmeleon.png", 2)</f>
        <v>0</v>
      </c>
      <c r="E6" s="4" t="s">
        <v>14</v>
      </c>
      <c r="F6" s="5"/>
      <c r="I6" s="7" t="s">
        <v>10</v>
      </c>
      <c r="J6" s="7"/>
      <c r="K6" s="7"/>
    </row>
    <row r="7" spans="1:11" ht="72" customHeight="1">
      <c r="A7" s="1" t="s">
        <v>31</v>
      </c>
      <c r="B7" s="1">
        <v>6</v>
      </c>
      <c r="C7" s="1" t="s">
        <v>37</v>
      </c>
      <c r="D7">
        <f>IMAGE("https://raw.githubusercontent.com/stautonico/pokemon-home-pokedex/main/sprites/charizard.png", 2)</f>
        <v>0</v>
      </c>
      <c r="E7" s="4" t="s">
        <v>14</v>
      </c>
      <c r="F7" s="5"/>
      <c r="I7" s="8" t="s">
        <v>11</v>
      </c>
      <c r="J7" s="8"/>
      <c r="K7" s="8"/>
    </row>
    <row r="8" spans="1:11" ht="72" customHeight="1">
      <c r="A8" s="1" t="s">
        <v>31</v>
      </c>
      <c r="B8" s="1">
        <v>7</v>
      </c>
      <c r="C8" s="1" t="s">
        <v>38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31</v>
      </c>
      <c r="B9" s="1">
        <v>8</v>
      </c>
      <c r="C9" s="1" t="s">
        <v>39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31</v>
      </c>
      <c r="B10" s="1">
        <v>9</v>
      </c>
      <c r="C10" s="1" t="s">
        <v>40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31</v>
      </c>
      <c r="B11" s="1">
        <v>10</v>
      </c>
      <c r="C11" s="1" t="s">
        <v>41</v>
      </c>
      <c r="D11">
        <f>IMAGE("https://raw.githubusercontent.com/stautonico/pokemon-home-pokedex/main/sprites/caterpie.png", 2)</f>
        <v>0</v>
      </c>
      <c r="E11" s="4" t="s">
        <v>14</v>
      </c>
      <c r="F11" s="5"/>
      <c r="I11" s="12" t="s">
        <v>15</v>
      </c>
      <c r="J11" s="12"/>
      <c r="K11" s="12"/>
    </row>
    <row r="12" spans="1:11" ht="72" customHeight="1">
      <c r="A12" s="1" t="s">
        <v>31</v>
      </c>
      <c r="B12" s="1">
        <v>11</v>
      </c>
      <c r="C12" s="1" t="s">
        <v>42</v>
      </c>
      <c r="D12">
        <f>IMAGE("https://raw.githubusercontent.com/stautonico/pokemon-home-pokedex/main/sprites/metapod.png", 2)</f>
        <v>0</v>
      </c>
      <c r="E12" s="4" t="s">
        <v>14</v>
      </c>
      <c r="F12" s="5"/>
      <c r="I12" s="13" t="s">
        <v>16</v>
      </c>
      <c r="J12" s="13"/>
      <c r="K12" s="13"/>
    </row>
    <row r="13" spans="1:11" ht="72" customHeight="1">
      <c r="A13" s="1" t="s">
        <v>31</v>
      </c>
      <c r="B13" s="1">
        <v>12</v>
      </c>
      <c r="C13" s="1" t="s">
        <v>43</v>
      </c>
      <c r="D13">
        <f>IMAGE("https://raw.githubusercontent.com/stautonico/pokemon-home-pokedex/main/sprites/butterfree.png", 2)</f>
        <v>0</v>
      </c>
      <c r="E13" s="4" t="s">
        <v>14</v>
      </c>
      <c r="F13" s="5"/>
      <c r="I13" s="14" t="s">
        <v>17</v>
      </c>
      <c r="J13" s="14"/>
      <c r="K13" s="14"/>
    </row>
    <row r="14" spans="1:11" ht="72" customHeight="1">
      <c r="A14" s="1" t="s">
        <v>31</v>
      </c>
      <c r="B14" s="1">
        <v>13</v>
      </c>
      <c r="C14" s="1" t="s">
        <v>44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31</v>
      </c>
      <c r="B15" s="1">
        <v>14</v>
      </c>
      <c r="C15" s="1" t="s">
        <v>45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31</v>
      </c>
      <c r="B16" s="1">
        <v>15</v>
      </c>
      <c r="C16" s="1" t="s">
        <v>46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31</v>
      </c>
      <c r="B17" s="1">
        <v>16</v>
      </c>
      <c r="C17" s="1" t="s">
        <v>47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31</v>
      </c>
      <c r="B18" s="1">
        <v>17</v>
      </c>
      <c r="C18" s="1" t="s">
        <v>48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31</v>
      </c>
      <c r="B19" s="1">
        <v>18</v>
      </c>
      <c r="C19" s="1" t="s">
        <v>49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31</v>
      </c>
      <c r="B20" s="1">
        <v>19</v>
      </c>
      <c r="C20" s="1" t="s">
        <v>50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31</v>
      </c>
      <c r="B21" s="1">
        <v>20</v>
      </c>
      <c r="C21" s="1" t="s">
        <v>51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31</v>
      </c>
      <c r="B22" s="1">
        <v>21</v>
      </c>
      <c r="C22" s="1" t="s">
        <v>52</v>
      </c>
      <c r="D22">
        <f>IMAGE("https://raw.githubusercontent.com/stautonico/pokemon-home-pokedex/main/sprites/spearow.png", 2)</f>
        <v>0</v>
      </c>
      <c r="E22" s="2" t="s">
        <v>9</v>
      </c>
      <c r="F22" s="5"/>
      <c r="I22" s="23" t="s">
        <v>26</v>
      </c>
      <c r="J22" s="23"/>
      <c r="K22" s="23"/>
    </row>
    <row r="23" spans="1:11" ht="72" customHeight="1">
      <c r="A23" s="1" t="s">
        <v>31</v>
      </c>
      <c r="B23" s="1">
        <v>22</v>
      </c>
      <c r="C23" s="1" t="s">
        <v>53</v>
      </c>
      <c r="D23">
        <f>IMAGE("https://raw.githubusercontent.com/stautonico/pokemon-home-pokedex/main/sprites/fearow.png", 2)</f>
        <v>0</v>
      </c>
      <c r="E23" s="2" t="s">
        <v>9</v>
      </c>
      <c r="F23" s="5"/>
      <c r="I23" s="24" t="s">
        <v>27</v>
      </c>
      <c r="J23" s="24"/>
      <c r="K23" s="24"/>
    </row>
    <row r="24" spans="1:11" ht="72" customHeight="1">
      <c r="A24" s="1" t="s">
        <v>31</v>
      </c>
      <c r="B24" s="1">
        <v>23</v>
      </c>
      <c r="C24" s="1" t="s">
        <v>54</v>
      </c>
      <c r="D24">
        <f>IMAGE("https://raw.githubusercontent.com/stautonico/pokemon-home-pokedex/main/sprites/ekans.png", 2)</f>
        <v>0</v>
      </c>
      <c r="E24" s="25" t="s">
        <v>17</v>
      </c>
      <c r="F24" s="26" t="s">
        <v>11</v>
      </c>
      <c r="I24" s="27" t="s">
        <v>28</v>
      </c>
      <c r="J24" s="27"/>
      <c r="K24" s="27"/>
    </row>
    <row r="25" spans="1:11" ht="72" customHeight="1">
      <c r="A25" s="1" t="s">
        <v>31</v>
      </c>
      <c r="B25" s="1">
        <v>24</v>
      </c>
      <c r="C25" s="1" t="s">
        <v>55</v>
      </c>
      <c r="D25">
        <f>IMAGE("https://raw.githubusercontent.com/stautonico/pokemon-home-pokedex/main/sprites/arbok.png", 2)</f>
        <v>0</v>
      </c>
      <c r="E25" s="25" t="s">
        <v>17</v>
      </c>
      <c r="F25" s="26" t="s">
        <v>11</v>
      </c>
      <c r="I25" s="28" t="s">
        <v>29</v>
      </c>
      <c r="J25" s="28"/>
      <c r="K25" s="28"/>
    </row>
    <row r="26" spans="1:11" ht="72" customHeight="1">
      <c r="A26" s="1" t="s">
        <v>31</v>
      </c>
      <c r="B26" s="1">
        <v>25</v>
      </c>
      <c r="C26" s="1" t="s">
        <v>56</v>
      </c>
      <c r="D26">
        <f>IMAGE("https://raw.githubusercontent.com/stautonico/pokemon-home-pokedex/main/sprites/pikachu.png", 2)</f>
        <v>0</v>
      </c>
      <c r="E26" s="29" t="s">
        <v>30</v>
      </c>
      <c r="F26" s="4" t="s">
        <v>14</v>
      </c>
      <c r="I26" s="30" t="s">
        <v>30</v>
      </c>
      <c r="J26" s="30"/>
      <c r="K26" s="30"/>
    </row>
    <row r="27" spans="1:11" ht="72" customHeight="1">
      <c r="A27" s="1" t="s">
        <v>31</v>
      </c>
      <c r="B27" s="1">
        <v>26</v>
      </c>
      <c r="C27" s="1" t="s">
        <v>57</v>
      </c>
      <c r="D27">
        <f>IMAGE("https://raw.githubusercontent.com/stautonico/pokemon-home-pokedex/main/sprites/raichu.png", 2)</f>
        <v>0</v>
      </c>
      <c r="E27" s="29" t="s">
        <v>30</v>
      </c>
      <c r="F27" s="4" t="s">
        <v>14</v>
      </c>
    </row>
    <row r="28" spans="1:11" ht="72" customHeight="1">
      <c r="A28" s="1" t="s">
        <v>31</v>
      </c>
      <c r="B28" s="1">
        <v>27</v>
      </c>
      <c r="C28" s="1" t="s">
        <v>58</v>
      </c>
      <c r="D28">
        <f>IMAGE("https://raw.githubusercontent.com/stautonico/pokemon-home-pokedex/main/sprites/sandshrew.png", 2)</f>
        <v>0</v>
      </c>
      <c r="E28" s="3" t="s">
        <v>12</v>
      </c>
      <c r="F28" s="31" t="s">
        <v>10</v>
      </c>
    </row>
    <row r="29" spans="1:11" ht="72" customHeight="1">
      <c r="A29" s="1" t="s">
        <v>31</v>
      </c>
      <c r="B29" s="1">
        <v>28</v>
      </c>
      <c r="C29" s="1" t="s">
        <v>59</v>
      </c>
      <c r="D29">
        <f>IMAGE("https://raw.githubusercontent.com/stautonico/pokemon-home-pokedex/main/sprites/sandslash.png", 2)</f>
        <v>0</v>
      </c>
      <c r="E29" s="3" t="s">
        <v>12</v>
      </c>
      <c r="F29" s="31" t="s">
        <v>10</v>
      </c>
    </row>
    <row r="30" spans="1:11" ht="72" customHeight="1">
      <c r="A30" s="1" t="s">
        <v>31</v>
      </c>
      <c r="B30" s="1">
        <v>29</v>
      </c>
      <c r="C30" s="1" t="s">
        <v>60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31</v>
      </c>
      <c r="B31" s="1">
        <v>30</v>
      </c>
      <c r="C31" s="1" t="s">
        <v>61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31</v>
      </c>
      <c r="B32" s="1">
        <v>31</v>
      </c>
      <c r="C32" s="1" t="s">
        <v>62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31</v>
      </c>
      <c r="B33" s="1">
        <v>32</v>
      </c>
      <c r="C33" s="1" t="s">
        <v>63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31</v>
      </c>
      <c r="B34" s="1">
        <v>33</v>
      </c>
      <c r="C34" s="1" t="s">
        <v>64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31</v>
      </c>
      <c r="B35" s="1">
        <v>34</v>
      </c>
      <c r="C35" s="1" t="s">
        <v>65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31</v>
      </c>
      <c r="B36" s="1">
        <v>35</v>
      </c>
      <c r="C36" s="1" t="s">
        <v>66</v>
      </c>
      <c r="D36">
        <f>IMAGE("https://raw.githubusercontent.com/stautonico/pokemon-home-pokedex/main/sprites/clefairy.png", 2)</f>
        <v>0</v>
      </c>
      <c r="E36" s="4" t="s">
        <v>14</v>
      </c>
      <c r="F36" s="5"/>
    </row>
    <row r="37" spans="1:6" ht="72" customHeight="1">
      <c r="A37" s="1" t="s">
        <v>31</v>
      </c>
      <c r="B37" s="1">
        <v>36</v>
      </c>
      <c r="C37" s="1" t="s">
        <v>67</v>
      </c>
      <c r="D37">
        <f>IMAGE("https://raw.githubusercontent.com/stautonico/pokemon-home-pokedex/main/sprites/clefable.png", 2)</f>
        <v>0</v>
      </c>
      <c r="E37" s="4" t="s">
        <v>14</v>
      </c>
      <c r="F37" s="5"/>
    </row>
    <row r="38" spans="1:6" ht="72" customHeight="1">
      <c r="A38" s="1" t="s">
        <v>31</v>
      </c>
      <c r="B38" s="1">
        <v>37</v>
      </c>
      <c r="C38" s="1" t="s">
        <v>68</v>
      </c>
      <c r="D38">
        <f>IMAGE("https://raw.githubusercontent.com/stautonico/pokemon-home-pokedex/main/sprites/vulpix.png", 2)</f>
        <v>0</v>
      </c>
      <c r="E38" s="4" t="s">
        <v>14</v>
      </c>
      <c r="F38" s="5"/>
    </row>
    <row r="39" spans="1:6" ht="72" customHeight="1">
      <c r="A39" s="1" t="s">
        <v>31</v>
      </c>
      <c r="B39" s="1">
        <v>38</v>
      </c>
      <c r="C39" s="1" t="s">
        <v>69</v>
      </c>
      <c r="D39">
        <f>IMAGE("https://raw.githubusercontent.com/stautonico/pokemon-home-pokedex/main/sprites/ninetales.png", 2)</f>
        <v>0</v>
      </c>
      <c r="E39" s="4" t="s">
        <v>14</v>
      </c>
      <c r="F39" s="5"/>
    </row>
    <row r="40" spans="1:6" ht="72" customHeight="1">
      <c r="A40" s="1" t="s">
        <v>31</v>
      </c>
      <c r="B40" s="1">
        <v>39</v>
      </c>
      <c r="C40" s="1" t="s">
        <v>70</v>
      </c>
      <c r="D40">
        <f>IMAGE("https://raw.githubusercontent.com/stautonico/pokemon-home-pokedex/main/sprites/jigglypuff.png", 2)</f>
        <v>0</v>
      </c>
      <c r="E40" s="29" t="s">
        <v>30</v>
      </c>
      <c r="F40" s="2" t="s">
        <v>9</v>
      </c>
    </row>
    <row r="41" spans="1:6" ht="72" customHeight="1">
      <c r="A41" s="1" t="s">
        <v>31</v>
      </c>
      <c r="B41" s="1">
        <v>40</v>
      </c>
      <c r="C41" s="1" t="s">
        <v>71</v>
      </c>
      <c r="D41">
        <f>IMAGE("https://raw.githubusercontent.com/stautonico/pokemon-home-pokedex/main/sprites/wigglytuff.png", 2)</f>
        <v>0</v>
      </c>
      <c r="E41" s="29" t="s">
        <v>30</v>
      </c>
      <c r="F41" s="2" t="s">
        <v>9</v>
      </c>
    </row>
    <row r="42" spans="1:6" ht="72" customHeight="1">
      <c r="A42" s="1" t="s">
        <v>31</v>
      </c>
      <c r="B42" s="1">
        <v>41</v>
      </c>
      <c r="C42" s="1" t="s">
        <v>72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31</v>
      </c>
      <c r="B43" s="1">
        <v>42</v>
      </c>
      <c r="C43" s="1" t="s">
        <v>73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31</v>
      </c>
      <c r="B44" s="1">
        <v>43</v>
      </c>
      <c r="C44" s="1" t="s">
        <v>74</v>
      </c>
      <c r="D44">
        <f>IMAGE("https://raw.githubusercontent.com/stautonico/pokemon-home-pokedex/main/sprites/oddish.png", 2)</f>
        <v>0</v>
      </c>
      <c r="E44" s="4" t="s">
        <v>14</v>
      </c>
      <c r="F44" s="5"/>
    </row>
    <row r="45" spans="1:6" ht="72" customHeight="1">
      <c r="A45" s="1" t="s">
        <v>31</v>
      </c>
      <c r="B45" s="1">
        <v>44</v>
      </c>
      <c r="C45" s="1" t="s">
        <v>75</v>
      </c>
      <c r="D45">
        <f>IMAGE("https://raw.githubusercontent.com/stautonico/pokemon-home-pokedex/main/sprites/gloom.png", 2)</f>
        <v>0</v>
      </c>
      <c r="E45" s="4" t="s">
        <v>14</v>
      </c>
      <c r="F45" s="5"/>
    </row>
    <row r="46" spans="1:6" ht="72" customHeight="1">
      <c r="A46" s="1" t="s">
        <v>31</v>
      </c>
      <c r="B46" s="1">
        <v>45</v>
      </c>
      <c r="C46" s="1" t="s">
        <v>76</v>
      </c>
      <c r="D46">
        <f>IMAGE("https://raw.githubusercontent.com/stautonico/pokemon-home-pokedex/main/sprites/vileplume.png", 2)</f>
        <v>0</v>
      </c>
      <c r="E46" s="4" t="s">
        <v>14</v>
      </c>
      <c r="F46" s="5"/>
    </row>
    <row r="47" spans="1:6" ht="72" customHeight="1">
      <c r="A47" s="1" t="s">
        <v>31</v>
      </c>
      <c r="B47" s="1">
        <v>46</v>
      </c>
      <c r="C47" s="1" t="s">
        <v>77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31</v>
      </c>
      <c r="B48" s="1">
        <v>47</v>
      </c>
      <c r="C48" s="1" t="s">
        <v>78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31</v>
      </c>
      <c r="B49" s="1">
        <v>48</v>
      </c>
      <c r="C49" s="1" t="s">
        <v>79</v>
      </c>
      <c r="D49">
        <f>IMAGE("https://raw.githubusercontent.com/stautonico/pokemon-home-pokedex/main/sprites/venonat.png", 2)</f>
        <v>0</v>
      </c>
      <c r="E49" s="29" t="s">
        <v>30</v>
      </c>
      <c r="F49" s="2" t="s">
        <v>9</v>
      </c>
    </row>
    <row r="50" spans="1:6" ht="72" customHeight="1">
      <c r="A50" s="1" t="s">
        <v>31</v>
      </c>
      <c r="B50" s="1">
        <v>49</v>
      </c>
      <c r="C50" s="1" t="s">
        <v>80</v>
      </c>
      <c r="D50">
        <f>IMAGE("https://raw.githubusercontent.com/stautonico/pokemon-home-pokedex/main/sprites/venomoth.png", 2)</f>
        <v>0</v>
      </c>
      <c r="E50" s="29" t="s">
        <v>30</v>
      </c>
      <c r="F50" s="2" t="s">
        <v>9</v>
      </c>
    </row>
    <row r="51" spans="1:6" ht="72" customHeight="1">
      <c r="A51" s="1" t="s">
        <v>31</v>
      </c>
      <c r="B51" s="1">
        <v>50</v>
      </c>
      <c r="C51" s="1" t="s">
        <v>81</v>
      </c>
      <c r="D51">
        <f>IMAGE("https://raw.githubusercontent.com/stautonico/pokemon-home-pokedex/main/sprites/diglett.png", 2)</f>
        <v>0</v>
      </c>
      <c r="E51" s="29" t="s">
        <v>30</v>
      </c>
      <c r="F51" s="4" t="s">
        <v>14</v>
      </c>
    </row>
    <row r="52" spans="1:6" ht="72" customHeight="1">
      <c r="A52" s="1" t="s">
        <v>31</v>
      </c>
      <c r="B52" s="1">
        <v>51</v>
      </c>
      <c r="C52" s="1" t="s">
        <v>82</v>
      </c>
      <c r="D52">
        <f>IMAGE("https://raw.githubusercontent.com/stautonico/pokemon-home-pokedex/main/sprites/dugtrio.png", 2)</f>
        <v>0</v>
      </c>
      <c r="E52" s="29" t="s">
        <v>30</v>
      </c>
      <c r="F52" s="4" t="s">
        <v>14</v>
      </c>
    </row>
    <row r="53" spans="1:6" ht="72" customHeight="1">
      <c r="A53" s="1" t="s">
        <v>31</v>
      </c>
      <c r="B53" s="1">
        <v>52</v>
      </c>
      <c r="C53" s="1" t="s">
        <v>83</v>
      </c>
      <c r="D53">
        <f>IMAGE("https://raw.githubusercontent.com/stautonico/pokemon-home-pokedex/main/sprites/meowth.png", 2)</f>
        <v>0</v>
      </c>
      <c r="E53" s="29" t="s">
        <v>30</v>
      </c>
      <c r="F53" s="4" t="s">
        <v>14</v>
      </c>
    </row>
    <row r="54" spans="1:6" ht="72" customHeight="1">
      <c r="A54" s="1" t="s">
        <v>31</v>
      </c>
      <c r="B54" s="1">
        <v>53</v>
      </c>
      <c r="C54" s="1" t="s">
        <v>84</v>
      </c>
      <c r="D54">
        <f>IMAGE("https://raw.githubusercontent.com/stautonico/pokemon-home-pokedex/main/sprites/persian.png", 2)</f>
        <v>0</v>
      </c>
      <c r="E54" s="29" t="s">
        <v>30</v>
      </c>
      <c r="F54" s="4" t="s">
        <v>14</v>
      </c>
    </row>
    <row r="55" spans="1:6" ht="72" customHeight="1">
      <c r="A55" s="1" t="s">
        <v>31</v>
      </c>
      <c r="B55" s="1">
        <v>54</v>
      </c>
      <c r="C55" s="1" t="s">
        <v>85</v>
      </c>
      <c r="D55">
        <f>IMAGE("https://raw.githubusercontent.com/stautonico/pokemon-home-pokedex/main/sprites/psyduck.png", 2)</f>
        <v>0</v>
      </c>
      <c r="E55" s="29" t="s">
        <v>30</v>
      </c>
      <c r="F55" s="2" t="s">
        <v>9</v>
      </c>
    </row>
    <row r="56" spans="1:6" ht="72" customHeight="1">
      <c r="A56" s="1" t="s">
        <v>31</v>
      </c>
      <c r="B56" s="1">
        <v>55</v>
      </c>
      <c r="C56" s="1" t="s">
        <v>86</v>
      </c>
      <c r="D56">
        <f>IMAGE("https://raw.githubusercontent.com/stautonico/pokemon-home-pokedex/main/sprites/golduck.png", 2)</f>
        <v>0</v>
      </c>
      <c r="E56" s="29" t="s">
        <v>30</v>
      </c>
      <c r="F56" s="2" t="s">
        <v>9</v>
      </c>
    </row>
    <row r="57" spans="1:6" ht="72" customHeight="1">
      <c r="A57" s="1" t="s">
        <v>31</v>
      </c>
      <c r="B57" s="1">
        <v>56</v>
      </c>
      <c r="C57" s="1" t="s">
        <v>87</v>
      </c>
      <c r="D57">
        <f>IMAGE("https://raw.githubusercontent.com/stautonico/pokemon-home-pokedex/main/sprites/mankey.png", 2)</f>
        <v>0</v>
      </c>
      <c r="E57" s="29" t="s">
        <v>30</v>
      </c>
      <c r="F57" s="32" t="s">
        <v>18</v>
      </c>
    </row>
    <row r="58" spans="1:6" ht="72" customHeight="1">
      <c r="A58" s="1" t="s">
        <v>31</v>
      </c>
      <c r="B58" s="1">
        <v>57</v>
      </c>
      <c r="C58" s="1" t="s">
        <v>88</v>
      </c>
      <c r="D58">
        <f>IMAGE("https://raw.githubusercontent.com/stautonico/pokemon-home-pokedex/main/sprites/primeape.png", 2)</f>
        <v>0</v>
      </c>
      <c r="E58" s="29" t="s">
        <v>30</v>
      </c>
      <c r="F58" s="32" t="s">
        <v>18</v>
      </c>
    </row>
    <row r="59" spans="1:6" ht="72" customHeight="1">
      <c r="A59" s="1" t="s">
        <v>31</v>
      </c>
      <c r="B59" s="1">
        <v>58</v>
      </c>
      <c r="C59" s="1" t="s">
        <v>89</v>
      </c>
      <c r="D59">
        <f>IMAGE("https://raw.githubusercontent.com/stautonico/pokemon-home-pokedex/main/sprites/growlithe.png", 2)</f>
        <v>0</v>
      </c>
      <c r="E59" s="29" t="s">
        <v>30</v>
      </c>
      <c r="F59" s="4" t="s">
        <v>14</v>
      </c>
    </row>
    <row r="60" spans="1:6" ht="72" customHeight="1">
      <c r="A60" s="1" t="s">
        <v>31</v>
      </c>
      <c r="B60" s="1">
        <v>59</v>
      </c>
      <c r="C60" s="1" t="s">
        <v>90</v>
      </c>
      <c r="D60">
        <f>IMAGE("https://raw.githubusercontent.com/stautonico/pokemon-home-pokedex/main/sprites/arcanine.png", 2)</f>
        <v>0</v>
      </c>
      <c r="E60" s="29" t="s">
        <v>30</v>
      </c>
      <c r="F60" s="4" t="s">
        <v>14</v>
      </c>
    </row>
    <row r="61" spans="1:6" ht="72" customHeight="1">
      <c r="A61" s="1" t="s">
        <v>31</v>
      </c>
      <c r="B61" s="1">
        <v>60</v>
      </c>
      <c r="C61" s="1" t="s">
        <v>91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31</v>
      </c>
      <c r="B62" s="1">
        <v>61</v>
      </c>
      <c r="C62" s="1" t="s">
        <v>92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31</v>
      </c>
      <c r="B63" s="1">
        <v>62</v>
      </c>
      <c r="C63" s="1" t="s">
        <v>93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31</v>
      </c>
      <c r="B64" s="1">
        <v>63</v>
      </c>
      <c r="C64" s="1" t="s">
        <v>94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31</v>
      </c>
      <c r="B65" s="1">
        <v>64</v>
      </c>
      <c r="C65" s="1" t="s">
        <v>95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31</v>
      </c>
      <c r="B66" s="1">
        <v>65</v>
      </c>
      <c r="C66" s="1" t="s">
        <v>96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31</v>
      </c>
      <c r="B67" s="1">
        <v>66</v>
      </c>
      <c r="C67" s="1" t="s">
        <v>97</v>
      </c>
      <c r="D67">
        <f>IMAGE("https://raw.githubusercontent.com/stautonico/pokemon-home-pokedex/main/sprites/machop.png", 2)</f>
        <v>0</v>
      </c>
      <c r="E67" s="4" t="s">
        <v>14</v>
      </c>
      <c r="F67" s="5"/>
    </row>
    <row r="68" spans="1:6" ht="72" customHeight="1">
      <c r="A68" s="1" t="s">
        <v>31</v>
      </c>
      <c r="B68" s="1">
        <v>67</v>
      </c>
      <c r="C68" s="1" t="s">
        <v>98</v>
      </c>
      <c r="D68">
        <f>IMAGE("https://raw.githubusercontent.com/stautonico/pokemon-home-pokedex/main/sprites/machoke.png", 2)</f>
        <v>0</v>
      </c>
      <c r="E68" s="4" t="s">
        <v>14</v>
      </c>
      <c r="F68" s="5"/>
    </row>
    <row r="69" spans="1:6" ht="72" customHeight="1">
      <c r="A69" s="1" t="s">
        <v>31</v>
      </c>
      <c r="B69" s="1">
        <v>68</v>
      </c>
      <c r="C69" s="1" t="s">
        <v>99</v>
      </c>
      <c r="D69">
        <f>IMAGE("https://raw.githubusercontent.com/stautonico/pokemon-home-pokedex/main/sprites/machamp.png", 2)</f>
        <v>0</v>
      </c>
      <c r="E69" s="4" t="s">
        <v>14</v>
      </c>
      <c r="F69" s="5"/>
    </row>
    <row r="70" spans="1:6" ht="72" customHeight="1">
      <c r="A70" s="1" t="s">
        <v>31</v>
      </c>
      <c r="B70" s="1">
        <v>69</v>
      </c>
      <c r="C70" s="1" t="s">
        <v>100</v>
      </c>
      <c r="D70">
        <f>IMAGE("https://raw.githubusercontent.com/stautonico/pokemon-home-pokedex/main/sprites/bellsprout.png", 2)</f>
        <v>0</v>
      </c>
      <c r="E70" s="25" t="s">
        <v>17</v>
      </c>
      <c r="F70" s="26" t="s">
        <v>11</v>
      </c>
    </row>
    <row r="71" spans="1:6" ht="72" customHeight="1">
      <c r="A71" s="1" t="s">
        <v>31</v>
      </c>
      <c r="B71" s="1">
        <v>70</v>
      </c>
      <c r="C71" s="1" t="s">
        <v>101</v>
      </c>
      <c r="D71">
        <f>IMAGE("https://raw.githubusercontent.com/stautonico/pokemon-home-pokedex/main/sprites/weepinbell.png", 2)</f>
        <v>0</v>
      </c>
      <c r="E71" s="25" t="s">
        <v>17</v>
      </c>
      <c r="F71" s="26" t="s">
        <v>11</v>
      </c>
    </row>
    <row r="72" spans="1:6" ht="72" customHeight="1">
      <c r="A72" s="1" t="s">
        <v>31</v>
      </c>
      <c r="B72" s="1">
        <v>71</v>
      </c>
      <c r="C72" s="1" t="s">
        <v>102</v>
      </c>
      <c r="D72">
        <f>IMAGE("https://raw.githubusercontent.com/stautonico/pokemon-home-pokedex/main/sprites/victreebel.png", 2)</f>
        <v>0</v>
      </c>
      <c r="E72" s="25" t="s">
        <v>17</v>
      </c>
      <c r="F72" s="26" t="s">
        <v>11</v>
      </c>
    </row>
    <row r="73" spans="1:6" ht="72" customHeight="1">
      <c r="A73" s="1" t="s">
        <v>31</v>
      </c>
      <c r="B73" s="1">
        <v>72</v>
      </c>
      <c r="C73" s="1" t="s">
        <v>103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31</v>
      </c>
      <c r="B74" s="1">
        <v>73</v>
      </c>
      <c r="C74" s="1" t="s">
        <v>104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31</v>
      </c>
      <c r="B75" s="1">
        <v>74</v>
      </c>
      <c r="C75" s="1" t="s">
        <v>105</v>
      </c>
      <c r="D75">
        <f>IMAGE("https://raw.githubusercontent.com/stautonico/pokemon-home-pokedex/main/sprites/geodude.png", 2)</f>
        <v>0</v>
      </c>
      <c r="E75" s="32" t="s">
        <v>18</v>
      </c>
      <c r="F75" s="5"/>
    </row>
    <row r="76" spans="1:6" ht="72" customHeight="1">
      <c r="A76" s="1" t="s">
        <v>31</v>
      </c>
      <c r="B76" s="1">
        <v>75</v>
      </c>
      <c r="C76" s="1" t="s">
        <v>106</v>
      </c>
      <c r="D76">
        <f>IMAGE("https://raw.githubusercontent.com/stautonico/pokemon-home-pokedex/main/sprites/graveler.png", 2)</f>
        <v>0</v>
      </c>
      <c r="E76" s="32" t="s">
        <v>18</v>
      </c>
      <c r="F76" s="5"/>
    </row>
    <row r="77" spans="1:6" ht="72" customHeight="1">
      <c r="A77" s="1" t="s">
        <v>31</v>
      </c>
      <c r="B77" s="1">
        <v>76</v>
      </c>
      <c r="C77" s="1" t="s">
        <v>107</v>
      </c>
      <c r="D77">
        <f>IMAGE("https://raw.githubusercontent.com/stautonico/pokemon-home-pokedex/main/sprites/golem.png", 2)</f>
        <v>0</v>
      </c>
      <c r="E77" s="32" t="s">
        <v>18</v>
      </c>
      <c r="F77" s="5"/>
    </row>
    <row r="78" spans="1:6" ht="72" customHeight="1">
      <c r="A78" s="1" t="s">
        <v>31</v>
      </c>
      <c r="B78" s="1">
        <v>77</v>
      </c>
      <c r="C78" s="1" t="s">
        <v>108</v>
      </c>
      <c r="D78">
        <f>IMAGE("https://raw.githubusercontent.com/stautonico/pokemon-home-pokedex/main/sprites/ponyta.png", 2)</f>
        <v>0</v>
      </c>
      <c r="E78" s="33" t="s">
        <v>16</v>
      </c>
      <c r="F78" s="34" t="s">
        <v>22</v>
      </c>
    </row>
    <row r="79" spans="1:6" ht="72" customHeight="1">
      <c r="A79" s="1" t="s">
        <v>31</v>
      </c>
      <c r="B79" s="1">
        <v>78</v>
      </c>
      <c r="C79" s="1" t="s">
        <v>109</v>
      </c>
      <c r="D79">
        <f>IMAGE("https://raw.githubusercontent.com/stautonico/pokemon-home-pokedex/main/sprites/rapidash.png", 2)</f>
        <v>0</v>
      </c>
      <c r="E79" s="33" t="s">
        <v>16</v>
      </c>
      <c r="F79" s="34" t="s">
        <v>22</v>
      </c>
    </row>
    <row r="80" spans="1:6" ht="72" customHeight="1">
      <c r="A80" s="1" t="s">
        <v>31</v>
      </c>
      <c r="B80" s="1">
        <v>79</v>
      </c>
      <c r="C80" s="1" t="s">
        <v>110</v>
      </c>
      <c r="D80">
        <f>IMAGE("https://raw.githubusercontent.com/stautonico/pokemon-home-pokedex/main/sprites/slowpoke.png", 2)</f>
        <v>0</v>
      </c>
      <c r="E80" s="29" t="s">
        <v>30</v>
      </c>
      <c r="F80" s="2" t="s">
        <v>9</v>
      </c>
    </row>
    <row r="81" spans="1:6" ht="72" customHeight="1">
      <c r="A81" s="1" t="s">
        <v>31</v>
      </c>
      <c r="B81" s="1">
        <v>80</v>
      </c>
      <c r="C81" s="1" t="s">
        <v>111</v>
      </c>
      <c r="D81">
        <f>IMAGE("https://raw.githubusercontent.com/stautonico/pokemon-home-pokedex/main/sprites/slowbro.png", 2)</f>
        <v>0</v>
      </c>
      <c r="E81" s="29" t="s">
        <v>30</v>
      </c>
      <c r="F81" s="2" t="s">
        <v>9</v>
      </c>
    </row>
    <row r="82" spans="1:6" ht="72" customHeight="1">
      <c r="A82" s="1" t="s">
        <v>31</v>
      </c>
      <c r="B82" s="1">
        <v>81</v>
      </c>
      <c r="C82" s="1" t="s">
        <v>112</v>
      </c>
      <c r="D82">
        <f>IMAGE("https://raw.githubusercontent.com/stautonico/pokemon-home-pokedex/main/sprites/magnemite.png", 2)</f>
        <v>0</v>
      </c>
      <c r="E82" s="29" t="s">
        <v>30</v>
      </c>
      <c r="F82" s="2" t="s">
        <v>9</v>
      </c>
    </row>
    <row r="83" spans="1:6" ht="72" customHeight="1">
      <c r="A83" s="1" t="s">
        <v>31</v>
      </c>
      <c r="B83" s="1">
        <v>82</v>
      </c>
      <c r="C83" s="1" t="s">
        <v>113</v>
      </c>
      <c r="D83">
        <f>IMAGE("https://raw.githubusercontent.com/stautonico/pokemon-home-pokedex/main/sprites/magneton.png", 2)</f>
        <v>0</v>
      </c>
      <c r="E83" s="29" t="s">
        <v>30</v>
      </c>
      <c r="F83" s="2" t="s">
        <v>9</v>
      </c>
    </row>
    <row r="84" spans="1:6" ht="72" customHeight="1">
      <c r="A84" s="1" t="s">
        <v>31</v>
      </c>
      <c r="B84" s="1">
        <v>83</v>
      </c>
      <c r="C84" s="1" t="s">
        <v>114</v>
      </c>
      <c r="D84">
        <f>IMAGE("https://raw.githubusercontent.com/stautonico/pokemon-home-pokedex/main/sprites/farfetchd.png", 2)</f>
        <v>0</v>
      </c>
      <c r="E84" s="35" t="s">
        <v>15</v>
      </c>
      <c r="F84" s="25" t="s">
        <v>17</v>
      </c>
    </row>
    <row r="85" spans="1:6" ht="72" customHeight="1">
      <c r="A85" s="1" t="s">
        <v>31</v>
      </c>
      <c r="B85" s="1">
        <v>84</v>
      </c>
      <c r="C85" s="1" t="s">
        <v>115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31</v>
      </c>
      <c r="B86" s="1">
        <v>85</v>
      </c>
      <c r="C86" s="1" t="s">
        <v>116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31</v>
      </c>
      <c r="B87" s="1">
        <v>86</v>
      </c>
      <c r="C87" s="1" t="s">
        <v>117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31</v>
      </c>
      <c r="B88" s="1">
        <v>87</v>
      </c>
      <c r="C88" s="1" t="s">
        <v>118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31</v>
      </c>
      <c r="B89" s="1">
        <v>88</v>
      </c>
      <c r="C89" s="1" t="s">
        <v>119</v>
      </c>
      <c r="D89">
        <f>IMAGE("https://raw.githubusercontent.com/stautonico/pokemon-home-pokedex/main/sprites/grimer.png", 2)</f>
        <v>0</v>
      </c>
      <c r="E89" s="29" t="s">
        <v>30</v>
      </c>
      <c r="F89" s="32" t="s">
        <v>18</v>
      </c>
    </row>
    <row r="90" spans="1:6" ht="72" customHeight="1">
      <c r="A90" s="1" t="s">
        <v>31</v>
      </c>
      <c r="B90" s="1">
        <v>89</v>
      </c>
      <c r="C90" s="1" t="s">
        <v>120</v>
      </c>
      <c r="D90">
        <f>IMAGE("https://raw.githubusercontent.com/stautonico/pokemon-home-pokedex/main/sprites/muk.png", 2)</f>
        <v>0</v>
      </c>
      <c r="E90" s="29" t="s">
        <v>30</v>
      </c>
      <c r="F90" s="32" t="s">
        <v>18</v>
      </c>
    </row>
    <row r="91" spans="1:6" ht="72" customHeight="1">
      <c r="A91" s="1" t="s">
        <v>31</v>
      </c>
      <c r="B91" s="1">
        <v>90</v>
      </c>
      <c r="C91" s="1" t="s">
        <v>121</v>
      </c>
      <c r="D91">
        <f>IMAGE("https://raw.githubusercontent.com/stautonico/pokemon-home-pokedex/main/sprites/shellder.png", 2)</f>
        <v>0</v>
      </c>
      <c r="E91" s="29" t="s">
        <v>30</v>
      </c>
      <c r="F91" s="4" t="s">
        <v>14</v>
      </c>
    </row>
    <row r="92" spans="1:6" ht="72" customHeight="1">
      <c r="A92" s="1" t="s">
        <v>31</v>
      </c>
      <c r="B92" s="1">
        <v>91</v>
      </c>
      <c r="C92" s="1" t="s">
        <v>122</v>
      </c>
      <c r="D92">
        <f>IMAGE("https://raw.githubusercontent.com/stautonico/pokemon-home-pokedex/main/sprites/cloyster.png", 2)</f>
        <v>0</v>
      </c>
      <c r="E92" s="29" t="s">
        <v>30</v>
      </c>
      <c r="F92" s="4" t="s">
        <v>14</v>
      </c>
    </row>
    <row r="93" spans="1:6" ht="72" customHeight="1">
      <c r="A93" s="1" t="s">
        <v>31</v>
      </c>
      <c r="B93" s="1">
        <v>92</v>
      </c>
      <c r="C93" s="1" t="s">
        <v>123</v>
      </c>
      <c r="D93">
        <f>IMAGE("https://raw.githubusercontent.com/stautonico/pokemon-home-pokedex/main/sprites/gastly.png", 2)</f>
        <v>0</v>
      </c>
      <c r="E93" s="29" t="s">
        <v>30</v>
      </c>
      <c r="F93" s="4" t="s">
        <v>14</v>
      </c>
    </row>
    <row r="94" spans="1:6" ht="72" customHeight="1">
      <c r="A94" s="1" t="s">
        <v>31</v>
      </c>
      <c r="B94" s="1">
        <v>93</v>
      </c>
      <c r="C94" s="1" t="s">
        <v>124</v>
      </c>
      <c r="D94">
        <f>IMAGE("https://raw.githubusercontent.com/stautonico/pokemon-home-pokedex/main/sprites/haunter.png", 2)</f>
        <v>0</v>
      </c>
      <c r="E94" s="29" t="s">
        <v>30</v>
      </c>
      <c r="F94" s="4" t="s">
        <v>14</v>
      </c>
    </row>
    <row r="95" spans="1:6" ht="72" customHeight="1">
      <c r="A95" s="1" t="s">
        <v>31</v>
      </c>
      <c r="B95" s="1">
        <v>94</v>
      </c>
      <c r="C95" s="1" t="s">
        <v>125</v>
      </c>
      <c r="D95">
        <f>IMAGE("https://raw.githubusercontent.com/stautonico/pokemon-home-pokedex/main/sprites/gengar.png", 2)</f>
        <v>0</v>
      </c>
      <c r="E95" s="29" t="s">
        <v>30</v>
      </c>
      <c r="F95" s="4" t="s">
        <v>14</v>
      </c>
    </row>
    <row r="96" spans="1:6" ht="72" customHeight="1">
      <c r="A96" s="1" t="s">
        <v>31</v>
      </c>
      <c r="B96" s="1">
        <v>95</v>
      </c>
      <c r="C96" s="1" t="s">
        <v>126</v>
      </c>
      <c r="D96">
        <f>IMAGE("https://raw.githubusercontent.com/stautonico/pokemon-home-pokedex/main/sprites/onix.png", 2)</f>
        <v>0</v>
      </c>
      <c r="E96" s="4" t="s">
        <v>14</v>
      </c>
      <c r="F96" s="5"/>
    </row>
    <row r="97" spans="1:6" ht="72" customHeight="1">
      <c r="A97" s="1" t="s">
        <v>31</v>
      </c>
      <c r="B97" s="1">
        <v>96</v>
      </c>
      <c r="C97" s="1" t="s">
        <v>127</v>
      </c>
      <c r="D97">
        <f>IMAGE("https://raw.githubusercontent.com/stautonico/pokemon-home-pokedex/main/sprites/drowzee.png", 2)</f>
        <v>0</v>
      </c>
      <c r="E97" s="29" t="s">
        <v>30</v>
      </c>
      <c r="F97" s="2" t="s">
        <v>9</v>
      </c>
    </row>
    <row r="98" spans="1:6" ht="72" customHeight="1">
      <c r="A98" s="1" t="s">
        <v>31</v>
      </c>
      <c r="B98" s="1">
        <v>97</v>
      </c>
      <c r="C98" s="1" t="s">
        <v>128</v>
      </c>
      <c r="D98">
        <f>IMAGE("https://raw.githubusercontent.com/stautonico/pokemon-home-pokedex/main/sprites/hypno.png", 2)</f>
        <v>0</v>
      </c>
      <c r="E98" s="29" t="s">
        <v>30</v>
      </c>
      <c r="F98" s="2" t="s">
        <v>9</v>
      </c>
    </row>
    <row r="99" spans="1:6" ht="72" customHeight="1">
      <c r="A99" s="1" t="s">
        <v>31</v>
      </c>
      <c r="B99" s="1">
        <v>98</v>
      </c>
      <c r="C99" s="1" t="s">
        <v>129</v>
      </c>
      <c r="D99">
        <f>IMAGE("https://raw.githubusercontent.com/stautonico/pokemon-home-pokedex/main/sprites/krabby.png", 2)</f>
        <v>0</v>
      </c>
      <c r="E99" s="4" t="s">
        <v>14</v>
      </c>
      <c r="F99" s="5"/>
    </row>
    <row r="100" spans="1:6" ht="72" customHeight="1">
      <c r="A100" s="1" t="s">
        <v>31</v>
      </c>
      <c r="B100" s="1">
        <v>99</v>
      </c>
      <c r="C100" s="1" t="s">
        <v>130</v>
      </c>
      <c r="D100">
        <f>IMAGE("https://raw.githubusercontent.com/stautonico/pokemon-home-pokedex/main/sprites/kingler.png", 2)</f>
        <v>0</v>
      </c>
      <c r="E100" s="4" t="s">
        <v>14</v>
      </c>
      <c r="F100" s="5"/>
    </row>
    <row r="101" spans="1:6" ht="72" customHeight="1">
      <c r="A101" s="1" t="s">
        <v>31</v>
      </c>
      <c r="B101" s="1">
        <v>100</v>
      </c>
      <c r="C101" s="1" t="s">
        <v>131</v>
      </c>
      <c r="D101">
        <f>IMAGE("https://raw.githubusercontent.com/stautonico/pokemon-home-pokedex/main/sprites/voltorb.png", 2)</f>
        <v>0</v>
      </c>
      <c r="E101" s="29" t="s">
        <v>30</v>
      </c>
      <c r="F101" s="2" t="s">
        <v>9</v>
      </c>
    </row>
    <row r="102" spans="1:6" ht="72" customHeight="1">
      <c r="A102" s="1" t="s">
        <v>31</v>
      </c>
      <c r="B102" s="1">
        <v>101</v>
      </c>
      <c r="C102" s="1" t="s">
        <v>132</v>
      </c>
      <c r="D102">
        <f>IMAGE("https://raw.githubusercontent.com/stautonico/pokemon-home-pokedex/main/sprites/electrode.png", 2)</f>
        <v>0</v>
      </c>
      <c r="E102" s="29" t="s">
        <v>30</v>
      </c>
      <c r="F102" s="2" t="s">
        <v>9</v>
      </c>
    </row>
    <row r="103" spans="1:6" ht="72" customHeight="1">
      <c r="A103" s="1" t="s">
        <v>31</v>
      </c>
      <c r="B103" s="1">
        <v>102</v>
      </c>
      <c r="C103" s="1" t="s">
        <v>133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31</v>
      </c>
      <c r="B104" s="1">
        <v>103</v>
      </c>
      <c r="C104" s="1" t="s">
        <v>134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31</v>
      </c>
      <c r="B105" s="1">
        <v>104</v>
      </c>
      <c r="C105" s="1" t="s">
        <v>135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31</v>
      </c>
      <c r="B106" s="1">
        <v>105</v>
      </c>
      <c r="C106" s="1" t="s">
        <v>136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31</v>
      </c>
      <c r="B107" s="1">
        <v>106</v>
      </c>
      <c r="C107" s="1" t="s">
        <v>137</v>
      </c>
      <c r="D107">
        <f>IMAGE("https://raw.githubusercontent.com/stautonico/pokemon-home-pokedex/main/sprites/hitmonlee.png", 2)</f>
        <v>0</v>
      </c>
      <c r="E107" s="4" t="s">
        <v>14</v>
      </c>
      <c r="F107" s="5"/>
    </row>
    <row r="108" spans="1:6" ht="72" customHeight="1">
      <c r="A108" s="1" t="s">
        <v>31</v>
      </c>
      <c r="B108" s="1">
        <v>107</v>
      </c>
      <c r="C108" s="1" t="s">
        <v>138</v>
      </c>
      <c r="D108">
        <f>IMAGE("https://raw.githubusercontent.com/stautonico/pokemon-home-pokedex/main/sprites/hitmonchan.png", 2)</f>
        <v>0</v>
      </c>
      <c r="E108" s="4" t="s">
        <v>14</v>
      </c>
      <c r="F108" s="5"/>
    </row>
    <row r="109" spans="1:6" ht="72" customHeight="1">
      <c r="A109" s="1" t="s">
        <v>31</v>
      </c>
      <c r="B109" s="1">
        <v>108</v>
      </c>
      <c r="C109" s="1" t="s">
        <v>139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31</v>
      </c>
      <c r="B110" s="1">
        <v>109</v>
      </c>
      <c r="C110" s="1" t="s">
        <v>140</v>
      </c>
      <c r="D110">
        <f>IMAGE("https://raw.githubusercontent.com/stautonico/pokemon-home-pokedex/main/sprites/koffing.png", 2)</f>
        <v>0</v>
      </c>
      <c r="E110" s="4" t="s">
        <v>14</v>
      </c>
      <c r="F110" s="5"/>
    </row>
    <row r="111" spans="1:6" ht="72" customHeight="1">
      <c r="A111" s="1" t="s">
        <v>31</v>
      </c>
      <c r="B111" s="1">
        <v>110</v>
      </c>
      <c r="C111" s="1" t="s">
        <v>141</v>
      </c>
      <c r="D111">
        <f>IMAGE("https://raw.githubusercontent.com/stautonico/pokemon-home-pokedex/main/sprites/weezing.png", 2)</f>
        <v>0</v>
      </c>
      <c r="E111" s="4" t="s">
        <v>14</v>
      </c>
      <c r="F111" s="5"/>
    </row>
    <row r="112" spans="1:6" ht="72" customHeight="1">
      <c r="A112" s="1" t="s">
        <v>31</v>
      </c>
      <c r="B112" s="1">
        <v>111</v>
      </c>
      <c r="C112" s="1" t="s">
        <v>142</v>
      </c>
      <c r="D112">
        <f>IMAGE("https://raw.githubusercontent.com/stautonico/pokemon-home-pokedex/main/sprites/rhyhorn.png", 2)</f>
        <v>0</v>
      </c>
      <c r="E112" s="4" t="s">
        <v>14</v>
      </c>
      <c r="F112" s="5"/>
    </row>
    <row r="113" spans="1:6" ht="72" customHeight="1">
      <c r="A113" s="1" t="s">
        <v>31</v>
      </c>
      <c r="B113" s="1">
        <v>112</v>
      </c>
      <c r="C113" s="1" t="s">
        <v>143</v>
      </c>
      <c r="D113">
        <f>IMAGE("https://raw.githubusercontent.com/stautonico/pokemon-home-pokedex/main/sprites/rhydon.png", 2)</f>
        <v>0</v>
      </c>
      <c r="E113" s="4" t="s">
        <v>14</v>
      </c>
      <c r="F113" s="5"/>
    </row>
    <row r="114" spans="1:6" ht="72" customHeight="1">
      <c r="A114" s="1" t="s">
        <v>31</v>
      </c>
      <c r="B114" s="1">
        <v>113</v>
      </c>
      <c r="C114" s="1" t="s">
        <v>144</v>
      </c>
      <c r="D114">
        <f>IMAGE("https://raw.githubusercontent.com/stautonico/pokemon-home-pokedex/main/sprites/chansey.png", 2)</f>
        <v>0</v>
      </c>
      <c r="E114" s="29" t="s">
        <v>30</v>
      </c>
      <c r="F114" s="2" t="s">
        <v>9</v>
      </c>
    </row>
    <row r="115" spans="1:6" ht="72" customHeight="1">
      <c r="A115" s="1" t="s">
        <v>31</v>
      </c>
      <c r="B115" s="1">
        <v>114</v>
      </c>
      <c r="C115" s="1" t="s">
        <v>145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31</v>
      </c>
      <c r="B116" s="1">
        <v>115</v>
      </c>
      <c r="C116" s="1" t="s">
        <v>146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31</v>
      </c>
      <c r="B117" s="1">
        <v>116</v>
      </c>
      <c r="C117" s="1" t="s">
        <v>147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31</v>
      </c>
      <c r="B118" s="1">
        <v>117</v>
      </c>
      <c r="C118" s="1" t="s">
        <v>148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31</v>
      </c>
      <c r="B119" s="1">
        <v>118</v>
      </c>
      <c r="C119" s="1" t="s">
        <v>149</v>
      </c>
      <c r="D119">
        <f>IMAGE("https://raw.githubusercontent.com/stautonico/pokemon-home-pokedex/main/sprites/goldeen.png", 2)</f>
        <v>0</v>
      </c>
      <c r="E119" s="4" t="s">
        <v>14</v>
      </c>
      <c r="F119" s="5"/>
    </row>
    <row r="120" spans="1:6" ht="72" customHeight="1">
      <c r="A120" s="1" t="s">
        <v>31</v>
      </c>
      <c r="B120" s="1">
        <v>119</v>
      </c>
      <c r="C120" s="1" t="s">
        <v>150</v>
      </c>
      <c r="D120">
        <f>IMAGE("https://raw.githubusercontent.com/stautonico/pokemon-home-pokedex/main/sprites/seaking.png", 2)</f>
        <v>0</v>
      </c>
      <c r="E120" s="4" t="s">
        <v>14</v>
      </c>
      <c r="F120" s="5"/>
    </row>
    <row r="121" spans="1:6" ht="72" customHeight="1">
      <c r="A121" s="1" t="s">
        <v>31</v>
      </c>
      <c r="B121" s="1">
        <v>120</v>
      </c>
      <c r="C121" s="1" t="s">
        <v>151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31</v>
      </c>
      <c r="B122" s="1">
        <v>121</v>
      </c>
      <c r="C122" s="1" t="s">
        <v>152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31</v>
      </c>
      <c r="B123" s="1">
        <v>122</v>
      </c>
      <c r="C123" s="1" t="s">
        <v>153</v>
      </c>
      <c r="D123">
        <f>IMAGE("https://raw.githubusercontent.com/stautonico/pokemon-home-pokedex/main/sprites/mrmime.png", 2)</f>
        <v>0</v>
      </c>
      <c r="E123" s="4" t="s">
        <v>14</v>
      </c>
      <c r="F123" s="5"/>
    </row>
    <row r="124" spans="1:6" ht="72" customHeight="1">
      <c r="A124" s="1" t="s">
        <v>31</v>
      </c>
      <c r="B124" s="1">
        <v>123</v>
      </c>
      <c r="C124" s="1" t="s">
        <v>154</v>
      </c>
      <c r="D124">
        <f>IMAGE("https://raw.githubusercontent.com/stautonico/pokemon-home-pokedex/main/sprites/scyther.png", 2)</f>
        <v>0</v>
      </c>
      <c r="E124" s="29" t="s">
        <v>30</v>
      </c>
      <c r="F124" s="3" t="s">
        <v>12</v>
      </c>
    </row>
    <row r="125" spans="1:6" ht="72" customHeight="1">
      <c r="A125" s="1" t="s">
        <v>31</v>
      </c>
      <c r="B125" s="1">
        <v>124</v>
      </c>
      <c r="C125" s="1" t="s">
        <v>155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31</v>
      </c>
      <c r="B126" s="1">
        <v>125</v>
      </c>
      <c r="C126" s="1" t="s">
        <v>156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31</v>
      </c>
      <c r="B127" s="1">
        <v>126</v>
      </c>
      <c r="C127" s="1" t="s">
        <v>157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31</v>
      </c>
      <c r="B128" s="1">
        <v>127</v>
      </c>
      <c r="C128" s="1" t="s">
        <v>158</v>
      </c>
      <c r="D128">
        <f>IMAGE("https://raw.githubusercontent.com/stautonico/pokemon-home-pokedex/main/sprites/pinsir.png", 2)</f>
        <v>0</v>
      </c>
      <c r="E128" s="35" t="s">
        <v>15</v>
      </c>
      <c r="F128" s="26" t="s">
        <v>11</v>
      </c>
    </row>
    <row r="129" spans="1:6" ht="72" customHeight="1">
      <c r="A129" s="1" t="s">
        <v>31</v>
      </c>
      <c r="B129" s="1">
        <v>128</v>
      </c>
      <c r="C129" s="1" t="s">
        <v>159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31</v>
      </c>
      <c r="B130" s="1">
        <v>129</v>
      </c>
      <c r="C130" s="1" t="s">
        <v>160</v>
      </c>
      <c r="D130">
        <f>IMAGE("https://raw.githubusercontent.com/stautonico/pokemon-home-pokedex/main/sprites/magikarp.png", 2)</f>
        <v>0</v>
      </c>
      <c r="E130" s="29" t="s">
        <v>30</v>
      </c>
      <c r="F130" s="4" t="s">
        <v>14</v>
      </c>
    </row>
    <row r="131" spans="1:6" ht="72" customHeight="1">
      <c r="A131" s="1" t="s">
        <v>31</v>
      </c>
      <c r="B131" s="1">
        <v>130</v>
      </c>
      <c r="C131" s="1" t="s">
        <v>161</v>
      </c>
      <c r="D131">
        <f>IMAGE("https://raw.githubusercontent.com/stautonico/pokemon-home-pokedex/main/sprites/gyarados.png", 2)</f>
        <v>0</v>
      </c>
      <c r="E131" s="29" t="s">
        <v>30</v>
      </c>
      <c r="F131" s="4" t="s">
        <v>14</v>
      </c>
    </row>
    <row r="132" spans="1:6" ht="72" customHeight="1">
      <c r="A132" s="1" t="s">
        <v>31</v>
      </c>
      <c r="B132" s="1">
        <v>131</v>
      </c>
      <c r="C132" s="1" t="s">
        <v>162</v>
      </c>
      <c r="D132">
        <f>IMAGE("https://raw.githubusercontent.com/stautonico/pokemon-home-pokedex/main/sprites/lapras.png", 2)</f>
        <v>0</v>
      </c>
      <c r="E132" s="4" t="s">
        <v>14</v>
      </c>
      <c r="F132" s="5"/>
    </row>
    <row r="133" spans="1:6" ht="72" customHeight="1">
      <c r="A133" s="1" t="s">
        <v>31</v>
      </c>
      <c r="B133" s="1">
        <v>132</v>
      </c>
      <c r="C133" s="1" t="s">
        <v>163</v>
      </c>
      <c r="D133">
        <f>IMAGE("https://raw.githubusercontent.com/stautonico/pokemon-home-pokedex/main/sprites/ditto.png", 2)</f>
        <v>0</v>
      </c>
      <c r="E133" s="29" t="s">
        <v>30</v>
      </c>
      <c r="F133" s="4" t="s">
        <v>14</v>
      </c>
    </row>
    <row r="134" spans="1:6" ht="72" customHeight="1">
      <c r="A134" s="1" t="s">
        <v>31</v>
      </c>
      <c r="B134" s="1">
        <v>133</v>
      </c>
      <c r="C134" s="1" t="s">
        <v>164</v>
      </c>
      <c r="D134">
        <f>IMAGE("https://raw.githubusercontent.com/stautonico/pokemon-home-pokedex/main/sprites/eevee.png", 2)</f>
        <v>0</v>
      </c>
      <c r="E134" s="29" t="s">
        <v>30</v>
      </c>
      <c r="F134" s="4" t="s">
        <v>14</v>
      </c>
    </row>
    <row r="135" spans="1:6" ht="72" customHeight="1">
      <c r="A135" s="1" t="s">
        <v>31</v>
      </c>
      <c r="B135" s="1">
        <v>134</v>
      </c>
      <c r="C135" s="1" t="s">
        <v>165</v>
      </c>
      <c r="D135">
        <f>IMAGE("https://raw.githubusercontent.com/stautonico/pokemon-home-pokedex/main/sprites/vaporeon.png", 2)</f>
        <v>0</v>
      </c>
      <c r="E135" s="29" t="s">
        <v>30</v>
      </c>
      <c r="F135" s="4" t="s">
        <v>14</v>
      </c>
    </row>
    <row r="136" spans="1:6" ht="72" customHeight="1">
      <c r="A136" s="1" t="s">
        <v>31</v>
      </c>
      <c r="B136" s="1">
        <v>135</v>
      </c>
      <c r="C136" s="1" t="s">
        <v>166</v>
      </c>
      <c r="D136">
        <f>IMAGE("https://raw.githubusercontent.com/stautonico/pokemon-home-pokedex/main/sprites/jolteon.png", 2)</f>
        <v>0</v>
      </c>
      <c r="E136" s="29" t="s">
        <v>30</v>
      </c>
      <c r="F136" s="4" t="s">
        <v>14</v>
      </c>
    </row>
    <row r="137" spans="1:6" ht="72" customHeight="1">
      <c r="A137" s="1" t="s">
        <v>31</v>
      </c>
      <c r="B137" s="1">
        <v>136</v>
      </c>
      <c r="C137" s="1" t="s">
        <v>167</v>
      </c>
      <c r="D137">
        <f>IMAGE("https://raw.githubusercontent.com/stautonico/pokemon-home-pokedex/main/sprites/flareon.png", 2)</f>
        <v>0</v>
      </c>
      <c r="E137" s="29" t="s">
        <v>30</v>
      </c>
      <c r="F137" s="4" t="s">
        <v>14</v>
      </c>
    </row>
    <row r="138" spans="1:6" ht="72" customHeight="1">
      <c r="A138" s="1" t="s">
        <v>31</v>
      </c>
      <c r="B138" s="1">
        <v>137</v>
      </c>
      <c r="C138" s="1" t="s">
        <v>168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31</v>
      </c>
      <c r="B139" s="1">
        <v>138</v>
      </c>
      <c r="C139" s="1" t="s">
        <v>169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31</v>
      </c>
      <c r="B140" s="1">
        <v>139</v>
      </c>
      <c r="C140" s="1" t="s">
        <v>170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31</v>
      </c>
      <c r="B141" s="1">
        <v>140</v>
      </c>
      <c r="C141" s="1" t="s">
        <v>171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31</v>
      </c>
      <c r="B142" s="1">
        <v>141</v>
      </c>
      <c r="C142" s="1" t="s">
        <v>172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31</v>
      </c>
      <c r="B143" s="1">
        <v>142</v>
      </c>
      <c r="C143" s="1" t="s">
        <v>173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31</v>
      </c>
      <c r="B144" s="1">
        <v>143</v>
      </c>
      <c r="C144" s="1" t="s">
        <v>174</v>
      </c>
      <c r="D144">
        <f>IMAGE("https://raw.githubusercontent.com/stautonico/pokemon-home-pokedex/main/sprites/snorlax.png", 2)</f>
        <v>0</v>
      </c>
      <c r="E144" s="4" t="s">
        <v>14</v>
      </c>
      <c r="F144" s="5"/>
    </row>
    <row r="145" spans="1:6" ht="72" customHeight="1">
      <c r="A145" s="1" t="s">
        <v>31</v>
      </c>
      <c r="B145" s="1">
        <v>144</v>
      </c>
      <c r="C145" s="1" t="s">
        <v>175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31</v>
      </c>
      <c r="B146" s="1">
        <v>145</v>
      </c>
      <c r="C146" s="1" t="s">
        <v>176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31</v>
      </c>
      <c r="B147" s="1">
        <v>146</v>
      </c>
      <c r="C147" s="1" t="s">
        <v>177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31</v>
      </c>
      <c r="B148" s="1">
        <v>147</v>
      </c>
      <c r="C148" s="1" t="s">
        <v>178</v>
      </c>
      <c r="D148">
        <f>IMAGE("https://raw.githubusercontent.com/stautonico/pokemon-home-pokedex/main/sprites/dratini.png", 2)</f>
        <v>0</v>
      </c>
      <c r="E148" s="29" t="s">
        <v>30</v>
      </c>
      <c r="F148" s="2" t="s">
        <v>9</v>
      </c>
    </row>
    <row r="149" spans="1:6" ht="72" customHeight="1">
      <c r="A149" s="1" t="s">
        <v>31</v>
      </c>
      <c r="B149" s="1">
        <v>148</v>
      </c>
      <c r="C149" s="1" t="s">
        <v>179</v>
      </c>
      <c r="D149">
        <f>IMAGE("https://raw.githubusercontent.com/stautonico/pokemon-home-pokedex/main/sprites/dragonair.png", 2)</f>
        <v>0</v>
      </c>
      <c r="E149" s="29" t="s">
        <v>30</v>
      </c>
      <c r="F149" s="2" t="s">
        <v>9</v>
      </c>
    </row>
    <row r="150" spans="1:6" ht="72" customHeight="1">
      <c r="A150" s="1" t="s">
        <v>31</v>
      </c>
      <c r="B150" s="1">
        <v>149</v>
      </c>
      <c r="C150" s="1" t="s">
        <v>180</v>
      </c>
      <c r="D150">
        <f>IMAGE("https://raw.githubusercontent.com/stautonico/pokemon-home-pokedex/main/sprites/dragonite.png", 2)</f>
        <v>0</v>
      </c>
      <c r="E150" s="29" t="s">
        <v>30</v>
      </c>
      <c r="F150" s="2" t="s">
        <v>9</v>
      </c>
    </row>
    <row r="151" spans="1:6" ht="72" customHeight="1">
      <c r="A151" s="1" t="s">
        <v>31</v>
      </c>
      <c r="B151" s="1">
        <v>150</v>
      </c>
      <c r="C151" s="1" t="s">
        <v>181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31</v>
      </c>
      <c r="B152" s="1">
        <v>151</v>
      </c>
      <c r="C152" s="1" t="s">
        <v>182</v>
      </c>
      <c r="D152">
        <f>IMAGE("https://raw.githubusercontent.com/stautonico/pokemon-home-pokedex/main/sprites/mew.png", 2)</f>
        <v>0</v>
      </c>
      <c r="E152" s="2" t="s">
        <v>9</v>
      </c>
      <c r="F152" s="4" t="s">
        <v>14</v>
      </c>
    </row>
    <row r="153" spans="1:6" ht="72" customHeight="1">
      <c r="A153" s="1" t="s">
        <v>31</v>
      </c>
      <c r="B153" s="1">
        <v>152</v>
      </c>
      <c r="C153" s="1" t="s">
        <v>183</v>
      </c>
      <c r="D153">
        <f>IMAGE("https://raw.githubusercontent.com/stautonico/pokemon-home-pokedex/main/sprites/chikorita.png", 2)</f>
        <v>0</v>
      </c>
      <c r="E153" s="36" t="s">
        <v>19</v>
      </c>
      <c r="F153" s="34" t="s">
        <v>22</v>
      </c>
    </row>
    <row r="154" spans="1:6" ht="72" customHeight="1">
      <c r="A154" s="1" t="s">
        <v>31</v>
      </c>
      <c r="B154" s="1">
        <v>153</v>
      </c>
      <c r="C154" s="1" t="s">
        <v>184</v>
      </c>
      <c r="D154">
        <f>IMAGE("https://raw.githubusercontent.com/stautonico/pokemon-home-pokedex/main/sprites/bayleef.png", 2)</f>
        <v>0</v>
      </c>
      <c r="E154" s="36" t="s">
        <v>19</v>
      </c>
      <c r="F154" s="34" t="s">
        <v>22</v>
      </c>
    </row>
    <row r="155" spans="1:6" ht="72" customHeight="1">
      <c r="A155" s="1" t="s">
        <v>31</v>
      </c>
      <c r="B155" s="1">
        <v>154</v>
      </c>
      <c r="C155" s="1" t="s">
        <v>185</v>
      </c>
      <c r="D155">
        <f>IMAGE("https://raw.githubusercontent.com/stautonico/pokemon-home-pokedex/main/sprites/meganium.png", 2)</f>
        <v>0</v>
      </c>
      <c r="E155" s="36" t="s">
        <v>19</v>
      </c>
      <c r="F155" s="34" t="s">
        <v>22</v>
      </c>
    </row>
    <row r="156" spans="1:6" ht="72" customHeight="1">
      <c r="A156" s="1" t="s">
        <v>31</v>
      </c>
      <c r="B156" s="1">
        <v>155</v>
      </c>
      <c r="C156" s="1" t="s">
        <v>186</v>
      </c>
      <c r="D156">
        <f>IMAGE("https://raw.githubusercontent.com/stautonico/pokemon-home-pokedex/main/sprites/cyndaquil.png", 2)</f>
        <v>0</v>
      </c>
      <c r="E156" s="36" t="s">
        <v>19</v>
      </c>
      <c r="F156" s="34" t="s">
        <v>22</v>
      </c>
    </row>
    <row r="157" spans="1:6" ht="72" customHeight="1">
      <c r="A157" s="1" t="s">
        <v>31</v>
      </c>
      <c r="B157" s="1">
        <v>156</v>
      </c>
      <c r="C157" s="1" t="s">
        <v>187</v>
      </c>
      <c r="D157">
        <f>IMAGE("https://raw.githubusercontent.com/stautonico/pokemon-home-pokedex/main/sprites/quilava.png", 2)</f>
        <v>0</v>
      </c>
      <c r="E157" s="36" t="s">
        <v>19</v>
      </c>
      <c r="F157" s="34" t="s">
        <v>22</v>
      </c>
    </row>
    <row r="158" spans="1:6" ht="72" customHeight="1">
      <c r="A158" s="1" t="s">
        <v>31</v>
      </c>
      <c r="B158" s="1">
        <v>157</v>
      </c>
      <c r="C158" s="1" t="s">
        <v>188</v>
      </c>
      <c r="D158">
        <f>IMAGE("https://raw.githubusercontent.com/stautonico/pokemon-home-pokedex/main/sprites/typhlosion.png", 2)</f>
        <v>0</v>
      </c>
      <c r="E158" s="36" t="s">
        <v>19</v>
      </c>
      <c r="F158" s="34" t="s">
        <v>22</v>
      </c>
    </row>
    <row r="159" spans="1:6" ht="72" customHeight="1">
      <c r="A159" s="1" t="s">
        <v>31</v>
      </c>
      <c r="B159" s="1">
        <v>158</v>
      </c>
      <c r="C159" s="1" t="s">
        <v>189</v>
      </c>
      <c r="D159">
        <f>IMAGE("https://raw.githubusercontent.com/stautonico/pokemon-home-pokedex/main/sprites/totodile.png", 2)</f>
        <v>0</v>
      </c>
      <c r="E159" s="36" t="s">
        <v>19</v>
      </c>
      <c r="F159" s="34" t="s">
        <v>22</v>
      </c>
    </row>
    <row r="160" spans="1:6" ht="72" customHeight="1">
      <c r="A160" s="1" t="s">
        <v>31</v>
      </c>
      <c r="B160" s="1">
        <v>159</v>
      </c>
      <c r="C160" s="1" t="s">
        <v>190</v>
      </c>
      <c r="D160">
        <f>IMAGE("https://raw.githubusercontent.com/stautonico/pokemon-home-pokedex/main/sprites/croconaw.png", 2)</f>
        <v>0</v>
      </c>
      <c r="E160" s="36" t="s">
        <v>19</v>
      </c>
      <c r="F160" s="34" t="s">
        <v>22</v>
      </c>
    </row>
    <row r="161" spans="1:6" ht="72" customHeight="1">
      <c r="A161" s="1" t="s">
        <v>31</v>
      </c>
      <c r="B161" s="1">
        <v>160</v>
      </c>
      <c r="C161" s="1" t="s">
        <v>191</v>
      </c>
      <c r="D161">
        <f>IMAGE("https://raw.githubusercontent.com/stautonico/pokemon-home-pokedex/main/sprites/feraligatr.png", 2)</f>
        <v>0</v>
      </c>
      <c r="E161" s="36" t="s">
        <v>19</v>
      </c>
      <c r="F161" s="34" t="s">
        <v>22</v>
      </c>
    </row>
    <row r="162" spans="1:6" ht="72" customHeight="1">
      <c r="A162" s="1" t="s">
        <v>31</v>
      </c>
      <c r="B162" s="1">
        <v>161</v>
      </c>
      <c r="C162" s="1" t="s">
        <v>192</v>
      </c>
      <c r="D162">
        <f>IMAGE("https://raw.githubusercontent.com/stautonico/pokemon-home-pokedex/main/sprites/sentret.png", 2)</f>
        <v>0</v>
      </c>
      <c r="E162" s="36" t="s">
        <v>19</v>
      </c>
      <c r="F162" s="5"/>
    </row>
    <row r="163" spans="1:6" ht="72" customHeight="1">
      <c r="A163" s="1" t="s">
        <v>31</v>
      </c>
      <c r="B163" s="1">
        <v>162</v>
      </c>
      <c r="C163" s="1" t="s">
        <v>193</v>
      </c>
      <c r="D163">
        <f>IMAGE("https://raw.githubusercontent.com/stautonico/pokemon-home-pokedex/main/sprites/furret.png", 2)</f>
        <v>0</v>
      </c>
      <c r="E163" s="36" t="s">
        <v>19</v>
      </c>
      <c r="F163" s="5"/>
    </row>
    <row r="164" spans="1:6" ht="72" customHeight="1">
      <c r="A164" s="1" t="s">
        <v>31</v>
      </c>
      <c r="B164" s="1">
        <v>163</v>
      </c>
      <c r="C164" s="1" t="s">
        <v>194</v>
      </c>
      <c r="D164">
        <f>IMAGE("https://raw.githubusercontent.com/stautonico/pokemon-home-pokedex/main/sprites/hoothoot.png", 2)</f>
        <v>0</v>
      </c>
      <c r="E164" s="4" t="s">
        <v>14</v>
      </c>
      <c r="F164" s="5"/>
    </row>
    <row r="165" spans="1:6" ht="72" customHeight="1">
      <c r="A165" s="1" t="s">
        <v>31</v>
      </c>
      <c r="B165" s="1">
        <v>164</v>
      </c>
      <c r="C165" s="1" t="s">
        <v>195</v>
      </c>
      <c r="D165">
        <f>IMAGE("https://raw.githubusercontent.com/stautonico/pokemon-home-pokedex/main/sprites/noctowl.png", 2)</f>
        <v>0</v>
      </c>
      <c r="E165" s="4" t="s">
        <v>14</v>
      </c>
      <c r="F165" s="5"/>
    </row>
    <row r="166" spans="1:6" ht="72" customHeight="1">
      <c r="A166" s="1" t="s">
        <v>31</v>
      </c>
      <c r="B166" s="1">
        <v>165</v>
      </c>
      <c r="C166" s="1" t="s">
        <v>196</v>
      </c>
      <c r="D166">
        <f>IMAGE("https://raw.githubusercontent.com/stautonico/pokemon-home-pokedex/main/sprites/ledyba.png", 2)</f>
        <v>0</v>
      </c>
      <c r="E166" s="36" t="s">
        <v>19</v>
      </c>
      <c r="F166" s="5"/>
    </row>
    <row r="167" spans="1:6" ht="72" customHeight="1">
      <c r="A167" s="1" t="s">
        <v>31</v>
      </c>
      <c r="B167" s="1">
        <v>166</v>
      </c>
      <c r="C167" s="1" t="s">
        <v>197</v>
      </c>
      <c r="D167">
        <f>IMAGE("https://raw.githubusercontent.com/stautonico/pokemon-home-pokedex/main/sprites/ledian.png", 2)</f>
        <v>0</v>
      </c>
      <c r="E167" s="36" t="s">
        <v>19</v>
      </c>
      <c r="F167" s="5"/>
    </row>
    <row r="168" spans="1:6" ht="72" customHeight="1">
      <c r="A168" s="1" t="s">
        <v>31</v>
      </c>
      <c r="B168" s="1">
        <v>167</v>
      </c>
      <c r="C168" s="1" t="s">
        <v>198</v>
      </c>
      <c r="D168">
        <f>IMAGE("https://raw.githubusercontent.com/stautonico/pokemon-home-pokedex/main/sprites/spinarak.png", 2)</f>
        <v>0</v>
      </c>
      <c r="E168" s="36" t="s">
        <v>19</v>
      </c>
      <c r="F168" s="5"/>
    </row>
    <row r="169" spans="1:6" ht="72" customHeight="1">
      <c r="A169" s="1" t="s">
        <v>31</v>
      </c>
      <c r="B169" s="1">
        <v>168</v>
      </c>
      <c r="C169" s="1" t="s">
        <v>199</v>
      </c>
      <c r="D169">
        <f>IMAGE("https://raw.githubusercontent.com/stautonico/pokemon-home-pokedex/main/sprites/ariados.png", 2)</f>
        <v>0</v>
      </c>
      <c r="E169" s="36" t="s">
        <v>19</v>
      </c>
      <c r="F169" s="5"/>
    </row>
    <row r="170" spans="1:6" ht="72" customHeight="1">
      <c r="A170" s="1" t="s">
        <v>31</v>
      </c>
      <c r="B170" s="1">
        <v>169</v>
      </c>
      <c r="C170" s="1" t="s">
        <v>200</v>
      </c>
      <c r="D170">
        <f>IMAGE("https://raw.githubusercontent.com/stautonico/pokemon-home-pokedex/main/sprites/crobat.png", 2)</f>
        <v>0</v>
      </c>
      <c r="E170" s="36" t="s">
        <v>19</v>
      </c>
      <c r="F170" s="5"/>
    </row>
    <row r="171" spans="1:6" ht="72" customHeight="1">
      <c r="A171" s="1" t="s">
        <v>31</v>
      </c>
      <c r="B171" s="1">
        <v>170</v>
      </c>
      <c r="C171" s="1" t="s">
        <v>201</v>
      </c>
      <c r="D171">
        <f>IMAGE("https://raw.githubusercontent.com/stautonico/pokemon-home-pokedex/main/sprites/chinchou.png", 2)</f>
        <v>0</v>
      </c>
      <c r="E171" s="4" t="s">
        <v>14</v>
      </c>
      <c r="F171" s="5"/>
    </row>
    <row r="172" spans="1:6" ht="72" customHeight="1">
      <c r="A172" s="1" t="s">
        <v>31</v>
      </c>
      <c r="B172" s="1">
        <v>171</v>
      </c>
      <c r="C172" s="1" t="s">
        <v>202</v>
      </c>
      <c r="D172">
        <f>IMAGE("https://raw.githubusercontent.com/stautonico/pokemon-home-pokedex/main/sprites/lanturn.png", 2)</f>
        <v>0</v>
      </c>
      <c r="E172" s="4" t="s">
        <v>14</v>
      </c>
      <c r="F172" s="5"/>
    </row>
    <row r="173" spans="1:6" ht="72" customHeight="1">
      <c r="A173" s="1" t="s">
        <v>31</v>
      </c>
      <c r="B173" s="1">
        <v>172</v>
      </c>
      <c r="C173" s="1" t="s">
        <v>203</v>
      </c>
      <c r="D173">
        <f>IMAGE("https://raw.githubusercontent.com/stautonico/pokemon-home-pokedex/main/sprites/pichu.png", 2)</f>
        <v>0</v>
      </c>
      <c r="E173" s="29" t="s">
        <v>30</v>
      </c>
      <c r="F173" s="4" t="s">
        <v>14</v>
      </c>
    </row>
    <row r="174" spans="1:6" ht="72" customHeight="1">
      <c r="A174" s="1" t="s">
        <v>31</v>
      </c>
      <c r="B174" s="1">
        <v>173</v>
      </c>
      <c r="C174" s="1" t="s">
        <v>204</v>
      </c>
      <c r="D174">
        <f>IMAGE("https://raw.githubusercontent.com/stautonico/pokemon-home-pokedex/main/sprites/cleffa.png", 2)</f>
        <v>0</v>
      </c>
      <c r="E174" s="4" t="s">
        <v>14</v>
      </c>
      <c r="F174" s="5"/>
    </row>
    <row r="175" spans="1:6" ht="72" customHeight="1">
      <c r="A175" s="1" t="s">
        <v>31</v>
      </c>
      <c r="B175" s="1">
        <v>174</v>
      </c>
      <c r="C175" s="1" t="s">
        <v>205</v>
      </c>
      <c r="D175">
        <f>IMAGE("https://raw.githubusercontent.com/stautonico/pokemon-home-pokedex/main/sprites/igglybuff.png", 2)</f>
        <v>0</v>
      </c>
      <c r="E175" s="29" t="s">
        <v>30</v>
      </c>
      <c r="F175" s="3" t="s">
        <v>12</v>
      </c>
    </row>
    <row r="176" spans="1:6" ht="72" customHeight="1">
      <c r="A176" s="1" t="s">
        <v>31</v>
      </c>
      <c r="B176" s="1">
        <v>175</v>
      </c>
      <c r="C176" s="1" t="s">
        <v>206</v>
      </c>
      <c r="D176">
        <f>IMAGE("https://raw.githubusercontent.com/stautonico/pokemon-home-pokedex/main/sprites/togepi.png", 2)</f>
        <v>0</v>
      </c>
      <c r="E176" s="4" t="s">
        <v>14</v>
      </c>
      <c r="F176" s="5"/>
    </row>
    <row r="177" spans="1:6" ht="72" customHeight="1">
      <c r="A177" s="1" t="s">
        <v>31</v>
      </c>
      <c r="B177" s="1">
        <v>176</v>
      </c>
      <c r="C177" s="1" t="s">
        <v>207</v>
      </c>
      <c r="D177">
        <f>IMAGE("https://raw.githubusercontent.com/stautonico/pokemon-home-pokedex/main/sprites/togetic.png", 2)</f>
        <v>0</v>
      </c>
      <c r="E177" s="4" t="s">
        <v>14</v>
      </c>
      <c r="F177" s="5"/>
    </row>
    <row r="178" spans="1:6" ht="72" customHeight="1">
      <c r="A178" s="1" t="s">
        <v>31</v>
      </c>
      <c r="B178" s="1">
        <v>177</v>
      </c>
      <c r="C178" s="1" t="s">
        <v>208</v>
      </c>
      <c r="D178">
        <f>IMAGE("https://raw.githubusercontent.com/stautonico/pokemon-home-pokedex/main/sprites/natu.png", 2)</f>
        <v>0</v>
      </c>
      <c r="E178" s="4" t="s">
        <v>14</v>
      </c>
      <c r="F178" s="5"/>
    </row>
    <row r="179" spans="1:6" ht="72" customHeight="1">
      <c r="A179" s="1" t="s">
        <v>31</v>
      </c>
      <c r="B179" s="1">
        <v>178</v>
      </c>
      <c r="C179" s="1" t="s">
        <v>209</v>
      </c>
      <c r="D179">
        <f>IMAGE("https://raw.githubusercontent.com/stautonico/pokemon-home-pokedex/main/sprites/xatu.png", 2)</f>
        <v>0</v>
      </c>
      <c r="E179" s="4" t="s">
        <v>14</v>
      </c>
      <c r="F179" s="5"/>
    </row>
    <row r="180" spans="1:6" ht="72" customHeight="1">
      <c r="A180" s="1" t="s">
        <v>31</v>
      </c>
      <c r="B180" s="1">
        <v>179</v>
      </c>
      <c r="C180" s="1" t="s">
        <v>210</v>
      </c>
      <c r="D180">
        <f>IMAGE("https://raw.githubusercontent.com/stautonico/pokemon-home-pokedex/main/sprites/mareep.png", 2)</f>
        <v>0</v>
      </c>
      <c r="E180" s="29" t="s">
        <v>30</v>
      </c>
      <c r="F180" s="32" t="s">
        <v>18</v>
      </c>
    </row>
    <row r="181" spans="1:6" ht="72" customHeight="1">
      <c r="A181" s="1" t="s">
        <v>31</v>
      </c>
      <c r="B181" s="1">
        <v>180</v>
      </c>
      <c r="C181" s="1" t="s">
        <v>211</v>
      </c>
      <c r="D181">
        <f>IMAGE("https://raw.githubusercontent.com/stautonico/pokemon-home-pokedex/main/sprites/flaaffy.png", 2)</f>
        <v>0</v>
      </c>
      <c r="E181" s="29" t="s">
        <v>30</v>
      </c>
      <c r="F181" s="32" t="s">
        <v>18</v>
      </c>
    </row>
    <row r="182" spans="1:6" ht="72" customHeight="1">
      <c r="A182" s="1" t="s">
        <v>31</v>
      </c>
      <c r="B182" s="1">
        <v>181</v>
      </c>
      <c r="C182" s="1" t="s">
        <v>212</v>
      </c>
      <c r="D182">
        <f>IMAGE("https://raw.githubusercontent.com/stautonico/pokemon-home-pokedex/main/sprites/ampharos.png", 2)</f>
        <v>0</v>
      </c>
      <c r="E182" s="29" t="s">
        <v>30</v>
      </c>
      <c r="F182" s="32" t="s">
        <v>18</v>
      </c>
    </row>
    <row r="183" spans="1:6" ht="72" customHeight="1">
      <c r="A183" s="1" t="s">
        <v>31</v>
      </c>
      <c r="B183" s="1">
        <v>182</v>
      </c>
      <c r="C183" s="1" t="s">
        <v>213</v>
      </c>
      <c r="D183">
        <f>IMAGE("https://raw.githubusercontent.com/stautonico/pokemon-home-pokedex/main/sprites/bellossom.png", 2)</f>
        <v>0</v>
      </c>
      <c r="E183" s="4" t="s">
        <v>14</v>
      </c>
      <c r="F183" s="5"/>
    </row>
    <row r="184" spans="1:6" ht="72" customHeight="1">
      <c r="A184" s="1" t="s">
        <v>31</v>
      </c>
      <c r="B184" s="1">
        <v>183</v>
      </c>
      <c r="C184" s="1" t="s">
        <v>214</v>
      </c>
      <c r="D184">
        <f>IMAGE("https://raw.githubusercontent.com/stautonico/pokemon-home-pokedex/main/sprites/marill.png", 2)</f>
        <v>0</v>
      </c>
      <c r="E184" s="29" t="s">
        <v>30</v>
      </c>
      <c r="F184" s="3" t="s">
        <v>12</v>
      </c>
    </row>
    <row r="185" spans="1:6" ht="72" customHeight="1">
      <c r="A185" s="1" t="s">
        <v>31</v>
      </c>
      <c r="B185" s="1">
        <v>184</v>
      </c>
      <c r="C185" s="1" t="s">
        <v>215</v>
      </c>
      <c r="D185">
        <f>IMAGE("https://raw.githubusercontent.com/stautonico/pokemon-home-pokedex/main/sprites/azumarill.png", 2)</f>
        <v>0</v>
      </c>
      <c r="E185" s="29" t="s">
        <v>30</v>
      </c>
      <c r="F185" s="3" t="s">
        <v>12</v>
      </c>
    </row>
    <row r="186" spans="1:6" ht="72" customHeight="1">
      <c r="A186" s="1" t="s">
        <v>31</v>
      </c>
      <c r="B186" s="1">
        <v>185</v>
      </c>
      <c r="C186" s="1" t="s">
        <v>216</v>
      </c>
      <c r="D186">
        <f>IMAGE("https://raw.githubusercontent.com/stautonico/pokemon-home-pokedex/main/sprites/sudowoodo.png", 2)</f>
        <v>0</v>
      </c>
      <c r="E186" s="29" t="s">
        <v>30</v>
      </c>
      <c r="F186" s="4" t="s">
        <v>14</v>
      </c>
    </row>
    <row r="187" spans="1:6" ht="72" customHeight="1">
      <c r="A187" s="1" t="s">
        <v>31</v>
      </c>
      <c r="B187" s="1">
        <v>186</v>
      </c>
      <c r="C187" s="1" t="s">
        <v>217</v>
      </c>
      <c r="D187">
        <f>IMAGE("https://raw.githubusercontent.com/stautonico/pokemon-home-pokedex/main/sprites/politoed.png", 2)</f>
        <v>0</v>
      </c>
      <c r="E187" s="3" t="s">
        <v>12</v>
      </c>
      <c r="F187" s="36" t="s">
        <v>19</v>
      </c>
    </row>
    <row r="188" spans="1:6" ht="72" customHeight="1">
      <c r="A188" s="1" t="s">
        <v>31</v>
      </c>
      <c r="B188" s="1">
        <v>187</v>
      </c>
      <c r="C188" s="1" t="s">
        <v>218</v>
      </c>
      <c r="D188">
        <f>IMAGE("https://raw.githubusercontent.com/stautonico/pokemon-home-pokedex/main/sprites/hoppip.png", 2)</f>
        <v>0</v>
      </c>
      <c r="E188" s="29" t="s">
        <v>30</v>
      </c>
      <c r="F188" s="36" t="s">
        <v>19</v>
      </c>
    </row>
    <row r="189" spans="1:6" ht="72" customHeight="1">
      <c r="A189" s="1" t="s">
        <v>31</v>
      </c>
      <c r="B189" s="1">
        <v>188</v>
      </c>
      <c r="C189" s="1" t="s">
        <v>219</v>
      </c>
      <c r="D189">
        <f>IMAGE("https://raw.githubusercontent.com/stautonico/pokemon-home-pokedex/main/sprites/skiploom.png", 2)</f>
        <v>0</v>
      </c>
      <c r="E189" s="29" t="s">
        <v>30</v>
      </c>
      <c r="F189" s="36" t="s">
        <v>19</v>
      </c>
    </row>
    <row r="190" spans="1:6" ht="72" customHeight="1">
      <c r="A190" s="1" t="s">
        <v>31</v>
      </c>
      <c r="B190" s="1">
        <v>189</v>
      </c>
      <c r="C190" s="1" t="s">
        <v>220</v>
      </c>
      <c r="D190">
        <f>IMAGE("https://raw.githubusercontent.com/stautonico/pokemon-home-pokedex/main/sprites/jumpluff.png", 2)</f>
        <v>0</v>
      </c>
      <c r="E190" s="29" t="s">
        <v>30</v>
      </c>
      <c r="F190" s="36" t="s">
        <v>19</v>
      </c>
    </row>
    <row r="191" spans="1:6" ht="72" customHeight="1">
      <c r="A191" s="1" t="s">
        <v>31</v>
      </c>
      <c r="B191" s="1">
        <v>190</v>
      </c>
      <c r="C191" s="1" t="s">
        <v>221</v>
      </c>
      <c r="D191">
        <f>IMAGE("https://raw.githubusercontent.com/stautonico/pokemon-home-pokedex/main/sprites/aipom.png", 2)</f>
        <v>0</v>
      </c>
      <c r="E191" s="36" t="s">
        <v>19</v>
      </c>
      <c r="F191" s="5"/>
    </row>
    <row r="192" spans="1:6" ht="72" customHeight="1">
      <c r="A192" s="1" t="s">
        <v>31</v>
      </c>
      <c r="B192" s="1">
        <v>191</v>
      </c>
      <c r="C192" s="1" t="s">
        <v>222</v>
      </c>
      <c r="D192">
        <f>IMAGE("https://raw.githubusercontent.com/stautonico/pokemon-home-pokedex/main/sprites/sunkern.png", 2)</f>
        <v>0</v>
      </c>
      <c r="E192" s="29" t="s">
        <v>30</v>
      </c>
      <c r="F192" s="36" t="s">
        <v>19</v>
      </c>
    </row>
    <row r="193" spans="1:6" ht="72" customHeight="1">
      <c r="A193" s="1" t="s">
        <v>31</v>
      </c>
      <c r="B193" s="1">
        <v>192</v>
      </c>
      <c r="C193" s="1" t="s">
        <v>223</v>
      </c>
      <c r="D193">
        <f>IMAGE("https://raw.githubusercontent.com/stautonico/pokemon-home-pokedex/main/sprites/sunflora.png", 2)</f>
        <v>0</v>
      </c>
      <c r="E193" s="29" t="s">
        <v>30</v>
      </c>
      <c r="F193" s="36" t="s">
        <v>19</v>
      </c>
    </row>
    <row r="194" spans="1:6" ht="72" customHeight="1">
      <c r="A194" s="1" t="s">
        <v>31</v>
      </c>
      <c r="B194" s="1">
        <v>193</v>
      </c>
      <c r="C194" s="1" t="s">
        <v>224</v>
      </c>
      <c r="D194">
        <f>IMAGE("https://raw.githubusercontent.com/stautonico/pokemon-home-pokedex/main/sprites/yanma.png", 2)</f>
        <v>0</v>
      </c>
      <c r="E194" s="36" t="s">
        <v>19</v>
      </c>
      <c r="F194" s="5"/>
    </row>
    <row r="195" spans="1:6" ht="72" customHeight="1">
      <c r="A195" s="1" t="s">
        <v>31</v>
      </c>
      <c r="B195" s="1">
        <v>194</v>
      </c>
      <c r="C195" s="1" t="s">
        <v>225</v>
      </c>
      <c r="D195">
        <f>IMAGE("https://raw.githubusercontent.com/stautonico/pokemon-home-pokedex/main/sprites/wooper.png", 2)</f>
        <v>0</v>
      </c>
      <c r="E195" s="4" t="s">
        <v>14</v>
      </c>
      <c r="F195" s="5"/>
    </row>
    <row r="196" spans="1:6" ht="72" customHeight="1">
      <c r="A196" s="1" t="s">
        <v>31</v>
      </c>
      <c r="B196" s="1">
        <v>195</v>
      </c>
      <c r="C196" s="1" t="s">
        <v>226</v>
      </c>
      <c r="D196">
        <f>IMAGE("https://raw.githubusercontent.com/stautonico/pokemon-home-pokedex/main/sprites/quagsire.png", 2)</f>
        <v>0</v>
      </c>
      <c r="E196" s="4" t="s">
        <v>14</v>
      </c>
      <c r="F196" s="5"/>
    </row>
    <row r="197" spans="1:6" ht="72" customHeight="1">
      <c r="A197" s="1" t="s">
        <v>31</v>
      </c>
      <c r="B197" s="1">
        <v>196</v>
      </c>
      <c r="C197" s="1" t="s">
        <v>227</v>
      </c>
      <c r="D197">
        <f>IMAGE("https://raw.githubusercontent.com/stautonico/pokemon-home-pokedex/main/sprites/espeon.png", 2)</f>
        <v>0</v>
      </c>
      <c r="E197" s="29" t="s">
        <v>30</v>
      </c>
      <c r="F197" s="4" t="s">
        <v>14</v>
      </c>
    </row>
    <row r="198" spans="1:6" ht="72" customHeight="1">
      <c r="A198" s="1" t="s">
        <v>31</v>
      </c>
      <c r="B198" s="1">
        <v>197</v>
      </c>
      <c r="C198" s="1" t="s">
        <v>228</v>
      </c>
      <c r="D198">
        <f>IMAGE("https://raw.githubusercontent.com/stautonico/pokemon-home-pokedex/main/sprites/umbreon.png", 2)</f>
        <v>0</v>
      </c>
      <c r="E198" s="29" t="s">
        <v>30</v>
      </c>
      <c r="F198" s="4" t="s">
        <v>14</v>
      </c>
    </row>
    <row r="199" spans="1:6" ht="72" customHeight="1">
      <c r="A199" s="1" t="s">
        <v>31</v>
      </c>
      <c r="B199" s="1">
        <v>198</v>
      </c>
      <c r="C199" s="1" t="s">
        <v>229</v>
      </c>
      <c r="D199">
        <f>IMAGE("https://raw.githubusercontent.com/stautonico/pokemon-home-pokedex/main/sprites/murkrow.png", 2)</f>
        <v>0</v>
      </c>
      <c r="E199" s="29" t="s">
        <v>30</v>
      </c>
      <c r="F199" s="36" t="s">
        <v>19</v>
      </c>
    </row>
    <row r="200" spans="1:6" ht="72" customHeight="1">
      <c r="A200" s="1" t="s">
        <v>31</v>
      </c>
      <c r="B200" s="1">
        <v>199</v>
      </c>
      <c r="C200" s="1" t="s">
        <v>230</v>
      </c>
      <c r="D200">
        <f>IMAGE("https://raw.githubusercontent.com/stautonico/pokemon-home-pokedex/main/sprites/slowking.png", 2)</f>
        <v>0</v>
      </c>
      <c r="E200" s="29" t="s">
        <v>30</v>
      </c>
      <c r="F200" s="32" t="s">
        <v>18</v>
      </c>
    </row>
    <row r="201" spans="1:6" ht="72" customHeight="1">
      <c r="A201" s="1" t="s">
        <v>31</v>
      </c>
      <c r="B201" s="1">
        <v>200</v>
      </c>
      <c r="C201" s="1" t="s">
        <v>231</v>
      </c>
      <c r="D201">
        <f>IMAGE("https://raw.githubusercontent.com/stautonico/pokemon-home-pokedex/main/sprites/misdreavus.png", 2)</f>
        <v>0</v>
      </c>
      <c r="E201" s="37" t="s">
        <v>29</v>
      </c>
      <c r="F201" s="36" t="s">
        <v>19</v>
      </c>
    </row>
    <row r="202" spans="1:6" ht="72" customHeight="1">
      <c r="A202" s="1" t="s">
        <v>31</v>
      </c>
      <c r="B202" s="1">
        <v>201</v>
      </c>
      <c r="C202" s="1" t="s">
        <v>232</v>
      </c>
      <c r="D202">
        <f>IMAGE("https://raw.githubusercontent.com/stautonico/pokemon-home-pokedex/main/sprites/unown.png", 2)</f>
        <v>0</v>
      </c>
      <c r="E202" s="36" t="s">
        <v>19</v>
      </c>
      <c r="F202" s="5"/>
    </row>
    <row r="203" spans="1:6" ht="72" customHeight="1">
      <c r="A203" s="1" t="s">
        <v>31</v>
      </c>
      <c r="B203" s="1">
        <v>202</v>
      </c>
      <c r="C203" s="1" t="s">
        <v>233</v>
      </c>
      <c r="D203">
        <f>IMAGE("https://raw.githubusercontent.com/stautonico/pokemon-home-pokedex/main/sprites/wobbuffet.png", 2)</f>
        <v>0</v>
      </c>
      <c r="E203" s="4" t="s">
        <v>14</v>
      </c>
      <c r="F203" s="5"/>
    </row>
    <row r="204" spans="1:6" ht="72" customHeight="1">
      <c r="A204" s="1" t="s">
        <v>31</v>
      </c>
      <c r="B204" s="1">
        <v>203</v>
      </c>
      <c r="C204" s="1" t="s">
        <v>234</v>
      </c>
      <c r="D204">
        <f>IMAGE("https://raw.githubusercontent.com/stautonico/pokemon-home-pokedex/main/sprites/girafarig.png", 2)</f>
        <v>0</v>
      </c>
      <c r="E204" s="29" t="s">
        <v>30</v>
      </c>
      <c r="F204" s="34" t="s">
        <v>22</v>
      </c>
    </row>
    <row r="205" spans="1:6" ht="72" customHeight="1">
      <c r="A205" s="1" t="s">
        <v>31</v>
      </c>
      <c r="B205" s="1">
        <v>204</v>
      </c>
      <c r="C205" s="1" t="s">
        <v>235</v>
      </c>
      <c r="D205">
        <f>IMAGE("https://raw.githubusercontent.com/stautonico/pokemon-home-pokedex/main/sprites/pineco.png", 2)</f>
        <v>0</v>
      </c>
      <c r="E205" s="29" t="s">
        <v>30</v>
      </c>
      <c r="F205" s="36" t="s">
        <v>19</v>
      </c>
    </row>
    <row r="206" spans="1:6" ht="72" customHeight="1">
      <c r="A206" s="1" t="s">
        <v>31</v>
      </c>
      <c r="B206" s="1">
        <v>205</v>
      </c>
      <c r="C206" s="1" t="s">
        <v>236</v>
      </c>
      <c r="D206">
        <f>IMAGE("https://raw.githubusercontent.com/stautonico/pokemon-home-pokedex/main/sprites/forretress.png", 2)</f>
        <v>0</v>
      </c>
      <c r="E206" s="29" t="s">
        <v>30</v>
      </c>
      <c r="F206" s="36" t="s">
        <v>19</v>
      </c>
    </row>
    <row r="207" spans="1:6" ht="72" customHeight="1">
      <c r="A207" s="1" t="s">
        <v>31</v>
      </c>
      <c r="B207" s="1">
        <v>206</v>
      </c>
      <c r="C207" s="1" t="s">
        <v>237</v>
      </c>
      <c r="D207">
        <f>IMAGE("https://raw.githubusercontent.com/stautonico/pokemon-home-pokedex/main/sprites/dunsparce.png", 2)</f>
        <v>0</v>
      </c>
      <c r="E207" s="29" t="s">
        <v>30</v>
      </c>
      <c r="F207" s="3" t="s">
        <v>12</v>
      </c>
    </row>
    <row r="208" spans="1:6" ht="72" customHeight="1">
      <c r="A208" s="1" t="s">
        <v>31</v>
      </c>
      <c r="B208" s="1">
        <v>207</v>
      </c>
      <c r="C208" s="1" t="s">
        <v>238</v>
      </c>
      <c r="D208">
        <f>IMAGE("https://raw.githubusercontent.com/stautonico/pokemon-home-pokedex/main/sprites/gligar.png", 2)</f>
        <v>0</v>
      </c>
      <c r="E208" s="36" t="s">
        <v>19</v>
      </c>
      <c r="F208" s="5"/>
    </row>
    <row r="209" spans="1:6" ht="72" customHeight="1">
      <c r="A209" s="1" t="s">
        <v>31</v>
      </c>
      <c r="B209" s="1">
        <v>208</v>
      </c>
      <c r="C209" s="1" t="s">
        <v>239</v>
      </c>
      <c r="D209">
        <f>IMAGE("https://raw.githubusercontent.com/stautonico/pokemon-home-pokedex/main/sprites/steelix.png", 2)</f>
        <v>0</v>
      </c>
      <c r="E209" s="4" t="s">
        <v>14</v>
      </c>
      <c r="F209" s="5"/>
    </row>
    <row r="210" spans="1:6" ht="72" customHeight="1">
      <c r="A210" s="1" t="s">
        <v>31</v>
      </c>
      <c r="B210" s="1">
        <v>209</v>
      </c>
      <c r="C210" s="1" t="s">
        <v>240</v>
      </c>
      <c r="D210">
        <f>IMAGE("https://raw.githubusercontent.com/stautonico/pokemon-home-pokedex/main/sprites/snubbull.png", 2)</f>
        <v>0</v>
      </c>
      <c r="E210" s="36" t="s">
        <v>19</v>
      </c>
      <c r="F210" s="5"/>
    </row>
    <row r="211" spans="1:6" ht="72" customHeight="1">
      <c r="A211" s="1" t="s">
        <v>31</v>
      </c>
      <c r="B211" s="1">
        <v>210</v>
      </c>
      <c r="C211" s="1" t="s">
        <v>241</v>
      </c>
      <c r="D211">
        <f>IMAGE("https://raw.githubusercontent.com/stautonico/pokemon-home-pokedex/main/sprites/granbull.png", 2)</f>
        <v>0</v>
      </c>
      <c r="E211" s="36" t="s">
        <v>19</v>
      </c>
      <c r="F211" s="5"/>
    </row>
    <row r="212" spans="1:6" ht="72" customHeight="1">
      <c r="A212" s="1" t="s">
        <v>31</v>
      </c>
      <c r="B212" s="1">
        <v>211</v>
      </c>
      <c r="C212" s="1" t="s">
        <v>242</v>
      </c>
      <c r="D212">
        <f>IMAGE("https://raw.githubusercontent.com/stautonico/pokemon-home-pokedex/main/sprites/qwilfish.png", 2)</f>
        <v>0</v>
      </c>
      <c r="E212" s="29" t="s">
        <v>30</v>
      </c>
      <c r="F212" s="4" t="s">
        <v>14</v>
      </c>
    </row>
    <row r="213" spans="1:6" ht="72" customHeight="1">
      <c r="A213" s="1" t="s">
        <v>31</v>
      </c>
      <c r="B213" s="1">
        <v>212</v>
      </c>
      <c r="C213" s="1" t="s">
        <v>243</v>
      </c>
      <c r="D213">
        <f>IMAGE("https://raw.githubusercontent.com/stautonico/pokemon-home-pokedex/main/sprites/scizor.png", 2)</f>
        <v>0</v>
      </c>
      <c r="E213" s="29" t="s">
        <v>30</v>
      </c>
      <c r="F213" s="3" t="s">
        <v>12</v>
      </c>
    </row>
    <row r="214" spans="1:6" ht="72" customHeight="1">
      <c r="A214" s="1" t="s">
        <v>31</v>
      </c>
      <c r="B214" s="1">
        <v>213</v>
      </c>
      <c r="C214" s="1" t="s">
        <v>244</v>
      </c>
      <c r="D214">
        <f>IMAGE("https://raw.githubusercontent.com/stautonico/pokemon-home-pokedex/main/sprites/shuckle.png", 2)</f>
        <v>0</v>
      </c>
      <c r="E214" s="4" t="s">
        <v>14</v>
      </c>
      <c r="F214" s="5"/>
    </row>
    <row r="215" spans="1:6" ht="72" customHeight="1">
      <c r="A215" s="1" t="s">
        <v>31</v>
      </c>
      <c r="B215" s="1">
        <v>214</v>
      </c>
      <c r="C215" s="1" t="s">
        <v>245</v>
      </c>
      <c r="D215">
        <f>IMAGE("https://raw.githubusercontent.com/stautonico/pokemon-home-pokedex/main/sprites/heracross.png", 2)</f>
        <v>0</v>
      </c>
      <c r="E215" s="29" t="s">
        <v>30</v>
      </c>
      <c r="F215" s="3" t="s">
        <v>12</v>
      </c>
    </row>
    <row r="216" spans="1:6" ht="72" customHeight="1">
      <c r="A216" s="1" t="s">
        <v>31</v>
      </c>
      <c r="B216" s="1">
        <v>215</v>
      </c>
      <c r="C216" s="1" t="s">
        <v>246</v>
      </c>
      <c r="D216">
        <f>IMAGE("https://raw.githubusercontent.com/stautonico/pokemon-home-pokedex/main/sprites/sneasel.png", 2)</f>
        <v>0</v>
      </c>
      <c r="E216" s="29" t="s">
        <v>30</v>
      </c>
      <c r="F216" s="4" t="s">
        <v>14</v>
      </c>
    </row>
    <row r="217" spans="1:6" ht="72" customHeight="1">
      <c r="A217" s="1" t="s">
        <v>31</v>
      </c>
      <c r="B217" s="1">
        <v>216</v>
      </c>
      <c r="C217" s="1" t="s">
        <v>247</v>
      </c>
      <c r="D217">
        <f>IMAGE("https://raw.githubusercontent.com/stautonico/pokemon-home-pokedex/main/sprites/teddiursa.png", 2)</f>
        <v>0</v>
      </c>
      <c r="E217" s="29" t="s">
        <v>30</v>
      </c>
      <c r="F217" s="36" t="s">
        <v>19</v>
      </c>
    </row>
    <row r="218" spans="1:6" ht="72" customHeight="1">
      <c r="A218" s="1" t="s">
        <v>31</v>
      </c>
      <c r="B218" s="1">
        <v>217</v>
      </c>
      <c r="C218" s="1" t="s">
        <v>248</v>
      </c>
      <c r="D218">
        <f>IMAGE("https://raw.githubusercontent.com/stautonico/pokemon-home-pokedex/main/sprites/ursaring.png", 2)</f>
        <v>0</v>
      </c>
      <c r="E218" s="29" t="s">
        <v>30</v>
      </c>
      <c r="F218" s="36" t="s">
        <v>19</v>
      </c>
    </row>
    <row r="219" spans="1:6" ht="72" customHeight="1">
      <c r="A219" s="1" t="s">
        <v>31</v>
      </c>
      <c r="B219" s="1">
        <v>218</v>
      </c>
      <c r="C219" s="1" t="s">
        <v>249</v>
      </c>
      <c r="D219">
        <f>IMAGE("https://raw.githubusercontent.com/stautonico/pokemon-home-pokedex/main/sprites/slugma.png", 2)</f>
        <v>0</v>
      </c>
      <c r="E219" s="36" t="s">
        <v>19</v>
      </c>
      <c r="F219" s="5"/>
    </row>
    <row r="220" spans="1:6" ht="72" customHeight="1">
      <c r="A220" s="1" t="s">
        <v>31</v>
      </c>
      <c r="B220" s="1">
        <v>219</v>
      </c>
      <c r="C220" s="1" t="s">
        <v>250</v>
      </c>
      <c r="D220">
        <f>IMAGE("https://raw.githubusercontent.com/stautonico/pokemon-home-pokedex/main/sprites/magcargo.png", 2)</f>
        <v>0</v>
      </c>
      <c r="E220" s="36" t="s">
        <v>19</v>
      </c>
      <c r="F220" s="5"/>
    </row>
    <row r="221" spans="1:6" ht="72" customHeight="1">
      <c r="A221" s="1" t="s">
        <v>31</v>
      </c>
      <c r="B221" s="1">
        <v>220</v>
      </c>
      <c r="C221" s="1" t="s">
        <v>251</v>
      </c>
      <c r="D221">
        <f>IMAGE("https://raw.githubusercontent.com/stautonico/pokemon-home-pokedex/main/sprites/swinub.png", 2)</f>
        <v>0</v>
      </c>
      <c r="E221" s="4" t="s">
        <v>14</v>
      </c>
      <c r="F221" s="5"/>
    </row>
    <row r="222" spans="1:6" ht="72" customHeight="1">
      <c r="A222" s="1" t="s">
        <v>31</v>
      </c>
      <c r="B222" s="1">
        <v>221</v>
      </c>
      <c r="C222" s="1" t="s">
        <v>252</v>
      </c>
      <c r="D222">
        <f>IMAGE("https://raw.githubusercontent.com/stautonico/pokemon-home-pokedex/main/sprites/piloswine.png", 2)</f>
        <v>0</v>
      </c>
      <c r="E222" s="4" t="s">
        <v>14</v>
      </c>
      <c r="F222" s="5"/>
    </row>
    <row r="223" spans="1:6" ht="72" customHeight="1">
      <c r="A223" s="1" t="s">
        <v>31</v>
      </c>
      <c r="B223" s="1">
        <v>222</v>
      </c>
      <c r="C223" s="1" t="s">
        <v>253</v>
      </c>
      <c r="D223">
        <f>IMAGE("https://raw.githubusercontent.com/stautonico/pokemon-home-pokedex/main/sprites/corsola.png", 2)</f>
        <v>0</v>
      </c>
      <c r="E223" s="33" t="s">
        <v>16</v>
      </c>
      <c r="F223" s="25" t="s">
        <v>17</v>
      </c>
    </row>
    <row r="224" spans="1:6" ht="72" customHeight="1">
      <c r="A224" s="1" t="s">
        <v>31</v>
      </c>
      <c r="B224" s="1">
        <v>223</v>
      </c>
      <c r="C224" s="1" t="s">
        <v>254</v>
      </c>
      <c r="D224">
        <f>IMAGE("https://raw.githubusercontent.com/stautonico/pokemon-home-pokedex/main/sprites/remoraid.png", 2)</f>
        <v>0</v>
      </c>
      <c r="E224" s="4" t="s">
        <v>14</v>
      </c>
      <c r="F224" s="5"/>
    </row>
    <row r="225" spans="1:6" ht="72" customHeight="1">
      <c r="A225" s="1" t="s">
        <v>31</v>
      </c>
      <c r="B225" s="1">
        <v>224</v>
      </c>
      <c r="C225" s="1" t="s">
        <v>255</v>
      </c>
      <c r="D225">
        <f>IMAGE("https://raw.githubusercontent.com/stautonico/pokemon-home-pokedex/main/sprites/octillery.png", 2)</f>
        <v>0</v>
      </c>
      <c r="E225" s="4" t="s">
        <v>14</v>
      </c>
      <c r="F225" s="5"/>
    </row>
    <row r="226" spans="1:6" ht="72" customHeight="1">
      <c r="A226" s="1" t="s">
        <v>31</v>
      </c>
      <c r="B226" s="1">
        <v>225</v>
      </c>
      <c r="C226" s="1" t="s">
        <v>256</v>
      </c>
      <c r="D226">
        <f>IMAGE("https://raw.githubusercontent.com/stautonico/pokemon-home-pokedex/main/sprites/delibird.png", 2)</f>
        <v>0</v>
      </c>
      <c r="E226" s="29" t="s">
        <v>30</v>
      </c>
      <c r="F226" s="4" t="s">
        <v>14</v>
      </c>
    </row>
    <row r="227" spans="1:6" ht="72" customHeight="1">
      <c r="A227" s="1" t="s">
        <v>31</v>
      </c>
      <c r="B227" s="1">
        <v>226</v>
      </c>
      <c r="C227" s="1" t="s">
        <v>257</v>
      </c>
      <c r="D227">
        <f>IMAGE("https://raw.githubusercontent.com/stautonico/pokemon-home-pokedex/main/sprites/mantine.png", 2)</f>
        <v>0</v>
      </c>
      <c r="E227" s="4" t="s">
        <v>14</v>
      </c>
      <c r="F227" s="5"/>
    </row>
    <row r="228" spans="1:6" ht="72" customHeight="1">
      <c r="A228" s="1" t="s">
        <v>31</v>
      </c>
      <c r="B228" s="1">
        <v>227</v>
      </c>
      <c r="C228" s="1" t="s">
        <v>258</v>
      </c>
      <c r="D228">
        <f>IMAGE("https://raw.githubusercontent.com/stautonico/pokemon-home-pokedex/main/sprites/skarmory.png", 2)</f>
        <v>0</v>
      </c>
      <c r="E228" s="36" t="s">
        <v>19</v>
      </c>
      <c r="F228" s="5"/>
    </row>
    <row r="229" spans="1:6" ht="72" customHeight="1">
      <c r="A229" s="1" t="s">
        <v>31</v>
      </c>
      <c r="B229" s="1">
        <v>228</v>
      </c>
      <c r="C229" s="1" t="s">
        <v>259</v>
      </c>
      <c r="D229">
        <f>IMAGE("https://raw.githubusercontent.com/stautonico/pokemon-home-pokedex/main/sprites/houndour.png", 2)</f>
        <v>0</v>
      </c>
      <c r="E229" s="29" t="s">
        <v>30</v>
      </c>
      <c r="F229" s="36" t="s">
        <v>19</v>
      </c>
    </row>
    <row r="230" spans="1:6" ht="72" customHeight="1">
      <c r="A230" s="1" t="s">
        <v>31</v>
      </c>
      <c r="B230" s="1">
        <v>229</v>
      </c>
      <c r="C230" s="1" t="s">
        <v>260</v>
      </c>
      <c r="D230">
        <f>IMAGE("https://raw.githubusercontent.com/stautonico/pokemon-home-pokedex/main/sprites/houndoom.png", 2)</f>
        <v>0</v>
      </c>
      <c r="E230" s="29" t="s">
        <v>30</v>
      </c>
      <c r="F230" s="36" t="s">
        <v>19</v>
      </c>
    </row>
    <row r="231" spans="1:6" ht="72" customHeight="1">
      <c r="A231" s="1" t="s">
        <v>31</v>
      </c>
      <c r="B231" s="1">
        <v>230</v>
      </c>
      <c r="C231" s="1" t="s">
        <v>261</v>
      </c>
      <c r="D231">
        <f>IMAGE("https://raw.githubusercontent.com/stautonico/pokemon-home-pokedex/main/sprites/kingdra.png", 2)</f>
        <v>0</v>
      </c>
      <c r="E231" s="3" t="s">
        <v>12</v>
      </c>
      <c r="F231" s="36" t="s">
        <v>19</v>
      </c>
    </row>
    <row r="232" spans="1:6" ht="72" customHeight="1">
      <c r="A232" s="1" t="s">
        <v>31</v>
      </c>
      <c r="B232" s="1">
        <v>231</v>
      </c>
      <c r="C232" s="1" t="s">
        <v>262</v>
      </c>
      <c r="D232">
        <f>IMAGE("https://raw.githubusercontent.com/stautonico/pokemon-home-pokedex/main/sprites/phanpy.png", 2)</f>
        <v>0</v>
      </c>
      <c r="E232" s="29" t="s">
        <v>30</v>
      </c>
      <c r="F232" s="36" t="s">
        <v>19</v>
      </c>
    </row>
    <row r="233" spans="1:6" ht="72" customHeight="1">
      <c r="A233" s="1" t="s">
        <v>31</v>
      </c>
      <c r="B233" s="1">
        <v>232</v>
      </c>
      <c r="C233" s="1" t="s">
        <v>263</v>
      </c>
      <c r="D233">
        <f>IMAGE("https://raw.githubusercontent.com/stautonico/pokemon-home-pokedex/main/sprites/donphan.png", 2)</f>
        <v>0</v>
      </c>
      <c r="E233" s="29" t="s">
        <v>30</v>
      </c>
      <c r="F233" s="36" t="s">
        <v>19</v>
      </c>
    </row>
    <row r="234" spans="1:6" ht="72" customHeight="1">
      <c r="A234" s="1" t="s">
        <v>31</v>
      </c>
      <c r="B234" s="1">
        <v>233</v>
      </c>
      <c r="C234" s="1" t="s">
        <v>264</v>
      </c>
      <c r="D234">
        <f>IMAGE("https://raw.githubusercontent.com/stautonico/pokemon-home-pokedex/main/sprites/porygon2.png", 2)</f>
        <v>0</v>
      </c>
      <c r="E234" s="3" t="s">
        <v>12</v>
      </c>
      <c r="F234" s="36" t="s">
        <v>19</v>
      </c>
    </row>
    <row r="235" spans="1:6" ht="72" customHeight="1">
      <c r="A235" s="1" t="s">
        <v>31</v>
      </c>
      <c r="B235" s="1">
        <v>234</v>
      </c>
      <c r="C235" s="1" t="s">
        <v>265</v>
      </c>
      <c r="D235">
        <f>IMAGE("https://raw.githubusercontent.com/stautonico/pokemon-home-pokedex/main/sprites/stantler.png", 2)</f>
        <v>0</v>
      </c>
      <c r="E235" s="29" t="s">
        <v>30</v>
      </c>
      <c r="F235" s="36" t="s">
        <v>19</v>
      </c>
    </row>
    <row r="236" spans="1:6" ht="72" customHeight="1">
      <c r="A236" s="1" t="s">
        <v>31</v>
      </c>
      <c r="B236" s="1">
        <v>235</v>
      </c>
      <c r="C236" s="1" t="s">
        <v>266</v>
      </c>
      <c r="D236">
        <f>IMAGE("https://raw.githubusercontent.com/stautonico/pokemon-home-pokedex/main/sprites/smeargle.png", 2)</f>
        <v>0</v>
      </c>
      <c r="E236" s="36" t="s">
        <v>19</v>
      </c>
      <c r="F236" s="5"/>
    </row>
    <row r="237" spans="1:6" ht="72" customHeight="1">
      <c r="A237" s="1" t="s">
        <v>31</v>
      </c>
      <c r="B237" s="1">
        <v>236</v>
      </c>
      <c r="C237" s="1" t="s">
        <v>267</v>
      </c>
      <c r="D237">
        <f>IMAGE("https://raw.githubusercontent.com/stautonico/pokemon-home-pokedex/main/sprites/tyrogue.png", 2)</f>
        <v>0</v>
      </c>
      <c r="E237" s="4" t="s">
        <v>14</v>
      </c>
      <c r="F237" s="5"/>
    </row>
    <row r="238" spans="1:6" ht="72" customHeight="1">
      <c r="A238" s="1" t="s">
        <v>31</v>
      </c>
      <c r="B238" s="1">
        <v>237</v>
      </c>
      <c r="C238" s="1" t="s">
        <v>268</v>
      </c>
      <c r="D238">
        <f>IMAGE("https://raw.githubusercontent.com/stautonico/pokemon-home-pokedex/main/sprites/hitmontop.png", 2)</f>
        <v>0</v>
      </c>
      <c r="E238" s="4" t="s">
        <v>14</v>
      </c>
      <c r="F238" s="5"/>
    </row>
    <row r="239" spans="1:6" ht="72" customHeight="1">
      <c r="A239" s="1" t="s">
        <v>31</v>
      </c>
      <c r="B239" s="1">
        <v>238</v>
      </c>
      <c r="C239" s="1" t="s">
        <v>269</v>
      </c>
      <c r="D239">
        <f>IMAGE("https://raw.githubusercontent.com/stautonico/pokemon-home-pokedex/main/sprites/smoochum.png", 2)</f>
        <v>0</v>
      </c>
      <c r="E239" s="36" t="s">
        <v>19</v>
      </c>
      <c r="F239" s="5"/>
    </row>
    <row r="240" spans="1:6" ht="72" customHeight="1">
      <c r="A240" s="1" t="s">
        <v>31</v>
      </c>
      <c r="B240" s="1">
        <v>239</v>
      </c>
      <c r="C240" s="1" t="s">
        <v>270</v>
      </c>
      <c r="D240">
        <f>IMAGE("https://raw.githubusercontent.com/stautonico/pokemon-home-pokedex/main/sprites/elekid.png", 2)</f>
        <v>0</v>
      </c>
      <c r="E240" s="36" t="s">
        <v>19</v>
      </c>
      <c r="F240" s="5"/>
    </row>
    <row r="241" spans="1:6" ht="72" customHeight="1">
      <c r="A241" s="1" t="s">
        <v>31</v>
      </c>
      <c r="B241" s="1">
        <v>240</v>
      </c>
      <c r="C241" s="1" t="s">
        <v>271</v>
      </c>
      <c r="D241">
        <f>IMAGE("https://raw.githubusercontent.com/stautonico/pokemon-home-pokedex/main/sprites/magby.png", 2)</f>
        <v>0</v>
      </c>
      <c r="E241" s="36" t="s">
        <v>19</v>
      </c>
      <c r="F241" s="5"/>
    </row>
    <row r="242" spans="1:6" ht="72" customHeight="1">
      <c r="A242" s="1" t="s">
        <v>31</v>
      </c>
      <c r="B242" s="1">
        <v>241</v>
      </c>
      <c r="C242" s="1" t="s">
        <v>272</v>
      </c>
      <c r="D242">
        <f>IMAGE("https://raw.githubusercontent.com/stautonico/pokemon-home-pokedex/main/sprites/miltank.png", 2)</f>
        <v>0</v>
      </c>
      <c r="E242" s="3" t="s">
        <v>12</v>
      </c>
      <c r="F242" s="36" t="s">
        <v>19</v>
      </c>
    </row>
    <row r="243" spans="1:6" ht="72" customHeight="1">
      <c r="A243" s="1" t="s">
        <v>31</v>
      </c>
      <c r="B243" s="1">
        <v>242</v>
      </c>
      <c r="C243" s="1" t="s">
        <v>273</v>
      </c>
      <c r="D243">
        <f>IMAGE("https://raw.githubusercontent.com/stautonico/pokemon-home-pokedex/main/sprites/blissey.png", 2)</f>
        <v>0</v>
      </c>
      <c r="E243" s="29" t="s">
        <v>30</v>
      </c>
      <c r="F243" s="3" t="s">
        <v>12</v>
      </c>
    </row>
    <row r="244" spans="1:6" ht="72" customHeight="1">
      <c r="A244" s="1" t="s">
        <v>31</v>
      </c>
      <c r="B244" s="1">
        <v>243</v>
      </c>
      <c r="C244" s="1" t="s">
        <v>274</v>
      </c>
      <c r="D244">
        <f>IMAGE("https://raw.githubusercontent.com/stautonico/pokemon-home-pokedex/main/sprites/raikou.png", 2)</f>
        <v>0</v>
      </c>
      <c r="E244" s="36" t="s">
        <v>19</v>
      </c>
      <c r="F244" s="5"/>
    </row>
    <row r="245" spans="1:6" ht="72" customHeight="1">
      <c r="A245" s="1" t="s">
        <v>31</v>
      </c>
      <c r="B245" s="1">
        <v>244</v>
      </c>
      <c r="C245" s="1" t="s">
        <v>275</v>
      </c>
      <c r="D245">
        <f>IMAGE("https://raw.githubusercontent.com/stautonico/pokemon-home-pokedex/main/sprites/entei.png", 2)</f>
        <v>0</v>
      </c>
      <c r="E245" s="36" t="s">
        <v>19</v>
      </c>
      <c r="F245" s="5"/>
    </row>
    <row r="246" spans="1:6" ht="72" customHeight="1">
      <c r="A246" s="1" t="s">
        <v>31</v>
      </c>
      <c r="B246" s="1">
        <v>245</v>
      </c>
      <c r="C246" s="1" t="s">
        <v>276</v>
      </c>
      <c r="D246">
        <f>IMAGE("https://raw.githubusercontent.com/stautonico/pokemon-home-pokedex/main/sprites/suicune.png", 2)</f>
        <v>0</v>
      </c>
      <c r="E246" s="36" t="s">
        <v>19</v>
      </c>
      <c r="F246" s="5"/>
    </row>
    <row r="247" spans="1:6" ht="72" customHeight="1">
      <c r="A247" s="1" t="s">
        <v>31</v>
      </c>
      <c r="B247" s="1">
        <v>246</v>
      </c>
      <c r="C247" s="1" t="s">
        <v>277</v>
      </c>
      <c r="D247">
        <f>IMAGE("https://raw.githubusercontent.com/stautonico/pokemon-home-pokedex/main/sprites/larvitar.png", 2)</f>
        <v>0</v>
      </c>
      <c r="E247" s="38" t="s">
        <v>28</v>
      </c>
      <c r="F247" s="32" t="s">
        <v>18</v>
      </c>
    </row>
    <row r="248" spans="1:6" ht="72" customHeight="1">
      <c r="A248" s="1" t="s">
        <v>31</v>
      </c>
      <c r="B248" s="1">
        <v>247</v>
      </c>
      <c r="C248" s="1" t="s">
        <v>278</v>
      </c>
      <c r="D248">
        <f>IMAGE("https://raw.githubusercontent.com/stautonico/pokemon-home-pokedex/main/sprites/pupitar.png", 2)</f>
        <v>0</v>
      </c>
      <c r="E248" s="38" t="s">
        <v>28</v>
      </c>
      <c r="F248" s="32" t="s">
        <v>18</v>
      </c>
    </row>
    <row r="249" spans="1:6" ht="72" customHeight="1">
      <c r="A249" s="1" t="s">
        <v>31</v>
      </c>
      <c r="B249" s="1">
        <v>248</v>
      </c>
      <c r="C249" s="1" t="s">
        <v>279</v>
      </c>
      <c r="D249">
        <f>IMAGE("https://raw.githubusercontent.com/stautonico/pokemon-home-pokedex/main/sprites/tyranitar.png", 2)</f>
        <v>0</v>
      </c>
      <c r="E249" s="38" t="s">
        <v>28</v>
      </c>
      <c r="F249" s="32" t="s">
        <v>18</v>
      </c>
    </row>
    <row r="250" spans="1:6" ht="72" customHeight="1">
      <c r="A250" s="1" t="s">
        <v>31</v>
      </c>
      <c r="B250" s="1">
        <v>249</v>
      </c>
      <c r="C250" s="1" t="s">
        <v>280</v>
      </c>
      <c r="D250">
        <f>IMAGE("https://raw.githubusercontent.com/stautonico/pokemon-home-pokedex/main/sprites/lugia.png", 2)</f>
        <v>0</v>
      </c>
      <c r="E250" s="36" t="s">
        <v>19</v>
      </c>
      <c r="F250" s="5"/>
    </row>
    <row r="251" spans="1:6" ht="72" customHeight="1">
      <c r="A251" s="1" t="s">
        <v>31</v>
      </c>
      <c r="B251" s="1">
        <v>250</v>
      </c>
      <c r="C251" s="1" t="s">
        <v>281</v>
      </c>
      <c r="D251">
        <f>IMAGE("https://raw.githubusercontent.com/stautonico/pokemon-home-pokedex/main/sprites/hooh.png", 2)</f>
        <v>0</v>
      </c>
      <c r="E251" s="36" t="s">
        <v>19</v>
      </c>
      <c r="F251" s="5"/>
    </row>
    <row r="252" spans="1:6" ht="72" customHeight="1">
      <c r="A252" s="1" t="s">
        <v>31</v>
      </c>
      <c r="B252" s="1">
        <v>251</v>
      </c>
      <c r="C252" s="1" t="s">
        <v>282</v>
      </c>
      <c r="D252">
        <f>IMAGE("https://raw.githubusercontent.com/stautonico/pokemon-home-pokedex/main/sprites/celebi.png", 2)</f>
        <v>0</v>
      </c>
      <c r="E252" s="36" t="s">
        <v>19</v>
      </c>
      <c r="F252" s="5"/>
    </row>
    <row r="253" spans="1:6" ht="72" customHeight="1">
      <c r="A253" s="1" t="s">
        <v>31</v>
      </c>
      <c r="B253" s="1">
        <v>252</v>
      </c>
      <c r="C253" s="1" t="s">
        <v>283</v>
      </c>
      <c r="D253">
        <f>IMAGE("https://raw.githubusercontent.com/stautonico/pokemon-home-pokedex/main/sprites/treecko.png", 2)</f>
        <v>0</v>
      </c>
      <c r="E253" s="32" t="s">
        <v>18</v>
      </c>
      <c r="F253" s="34" t="s">
        <v>22</v>
      </c>
    </row>
    <row r="254" spans="1:6" ht="72" customHeight="1">
      <c r="A254" s="1" t="s">
        <v>31</v>
      </c>
      <c r="B254" s="1">
        <v>253</v>
      </c>
      <c r="C254" s="1" t="s">
        <v>284</v>
      </c>
      <c r="D254">
        <f>IMAGE("https://raw.githubusercontent.com/stautonico/pokemon-home-pokedex/main/sprites/grovyle.png", 2)</f>
        <v>0</v>
      </c>
      <c r="E254" s="32" t="s">
        <v>18</v>
      </c>
      <c r="F254" s="34" t="s">
        <v>22</v>
      </c>
    </row>
    <row r="255" spans="1:6" ht="72" customHeight="1">
      <c r="A255" s="1" t="s">
        <v>31</v>
      </c>
      <c r="B255" s="1">
        <v>254</v>
      </c>
      <c r="C255" s="1" t="s">
        <v>285</v>
      </c>
      <c r="D255">
        <f>IMAGE("https://raw.githubusercontent.com/stautonico/pokemon-home-pokedex/main/sprites/sceptile.png", 2)</f>
        <v>0</v>
      </c>
      <c r="E255" s="32" t="s">
        <v>18</v>
      </c>
      <c r="F255" s="34" t="s">
        <v>22</v>
      </c>
    </row>
    <row r="256" spans="1:6" ht="72" customHeight="1">
      <c r="A256" s="1" t="s">
        <v>31</v>
      </c>
      <c r="B256" s="1">
        <v>255</v>
      </c>
      <c r="C256" s="1" t="s">
        <v>286</v>
      </c>
      <c r="D256">
        <f>IMAGE("https://raw.githubusercontent.com/stautonico/pokemon-home-pokedex/main/sprites/torchic.png", 2)</f>
        <v>0</v>
      </c>
      <c r="E256" s="32" t="s">
        <v>18</v>
      </c>
      <c r="F256" s="34" t="s">
        <v>22</v>
      </c>
    </row>
    <row r="257" spans="1:6" ht="72" customHeight="1">
      <c r="A257" s="1" t="s">
        <v>31</v>
      </c>
      <c r="B257" s="1">
        <v>256</v>
      </c>
      <c r="C257" s="1" t="s">
        <v>287</v>
      </c>
      <c r="D257">
        <f>IMAGE("https://raw.githubusercontent.com/stautonico/pokemon-home-pokedex/main/sprites/combusken.png", 2)</f>
        <v>0</v>
      </c>
      <c r="E257" s="32" t="s">
        <v>18</v>
      </c>
      <c r="F257" s="34" t="s">
        <v>22</v>
      </c>
    </row>
    <row r="258" spans="1:6" ht="72" customHeight="1">
      <c r="A258" s="1" t="s">
        <v>31</v>
      </c>
      <c r="B258" s="1">
        <v>257</v>
      </c>
      <c r="C258" s="1" t="s">
        <v>288</v>
      </c>
      <c r="D258">
        <f>IMAGE("https://raw.githubusercontent.com/stautonico/pokemon-home-pokedex/main/sprites/blaziken.png", 2)</f>
        <v>0</v>
      </c>
      <c r="E258" s="32" t="s">
        <v>18</v>
      </c>
      <c r="F258" s="34" t="s">
        <v>22</v>
      </c>
    </row>
    <row r="259" spans="1:6" ht="72" customHeight="1">
      <c r="A259" s="1" t="s">
        <v>31</v>
      </c>
      <c r="B259" s="1">
        <v>258</v>
      </c>
      <c r="C259" s="1" t="s">
        <v>289</v>
      </c>
      <c r="D259">
        <f>IMAGE("https://raw.githubusercontent.com/stautonico/pokemon-home-pokedex/main/sprites/mudkip.png", 2)</f>
        <v>0</v>
      </c>
      <c r="E259" s="32" t="s">
        <v>18</v>
      </c>
      <c r="F259" s="34" t="s">
        <v>22</v>
      </c>
    </row>
    <row r="260" spans="1:6" ht="72" customHeight="1">
      <c r="A260" s="1" t="s">
        <v>31</v>
      </c>
      <c r="B260" s="1">
        <v>259</v>
      </c>
      <c r="C260" s="1" t="s">
        <v>290</v>
      </c>
      <c r="D260">
        <f>IMAGE("https://raw.githubusercontent.com/stautonico/pokemon-home-pokedex/main/sprites/marshtomp.png", 2)</f>
        <v>0</v>
      </c>
      <c r="E260" s="32" t="s">
        <v>18</v>
      </c>
      <c r="F260" s="34" t="s">
        <v>22</v>
      </c>
    </row>
    <row r="261" spans="1:6" ht="72" customHeight="1">
      <c r="A261" s="1" t="s">
        <v>31</v>
      </c>
      <c r="B261" s="1">
        <v>260</v>
      </c>
      <c r="C261" s="1" t="s">
        <v>291</v>
      </c>
      <c r="D261">
        <f>IMAGE("https://raw.githubusercontent.com/stautonico/pokemon-home-pokedex/main/sprites/swampert.png", 2)</f>
        <v>0</v>
      </c>
      <c r="E261" s="32" t="s">
        <v>18</v>
      </c>
      <c r="F261" s="34" t="s">
        <v>22</v>
      </c>
    </row>
    <row r="262" spans="1:6" ht="72" customHeight="1">
      <c r="A262" s="1" t="s">
        <v>31</v>
      </c>
      <c r="B262" s="1">
        <v>261</v>
      </c>
      <c r="C262" s="1" t="s">
        <v>292</v>
      </c>
      <c r="D262">
        <f>IMAGE("https://raw.githubusercontent.com/stautonico/pokemon-home-pokedex/main/sprites/poochyena.png", 2)</f>
        <v>0</v>
      </c>
      <c r="E262" s="34" t="s">
        <v>22</v>
      </c>
      <c r="F262" s="5"/>
    </row>
    <row r="263" spans="1:6" ht="72" customHeight="1">
      <c r="A263" s="1" t="s">
        <v>31</v>
      </c>
      <c r="B263" s="1">
        <v>262</v>
      </c>
      <c r="C263" s="1" t="s">
        <v>293</v>
      </c>
      <c r="D263">
        <f>IMAGE("https://raw.githubusercontent.com/stautonico/pokemon-home-pokedex/main/sprites/mightyena.png", 2)</f>
        <v>0</v>
      </c>
      <c r="E263" s="34" t="s">
        <v>22</v>
      </c>
      <c r="F263" s="5"/>
    </row>
    <row r="264" spans="1:6" ht="72" customHeight="1">
      <c r="A264" s="1" t="s">
        <v>31</v>
      </c>
      <c r="B264" s="1">
        <v>263</v>
      </c>
      <c r="C264" s="1" t="s">
        <v>294</v>
      </c>
      <c r="D264">
        <f>IMAGE("https://raw.githubusercontent.com/stautonico/pokemon-home-pokedex/main/sprites/zigzagoon.png", 2)</f>
        <v>0</v>
      </c>
      <c r="E264" s="4" t="s">
        <v>14</v>
      </c>
      <c r="F264" s="5"/>
    </row>
    <row r="265" spans="1:6" ht="72" customHeight="1">
      <c r="A265" s="1" t="s">
        <v>31</v>
      </c>
      <c r="B265" s="1">
        <v>264</v>
      </c>
      <c r="C265" s="1" t="s">
        <v>295</v>
      </c>
      <c r="D265">
        <f>IMAGE("https://raw.githubusercontent.com/stautonico/pokemon-home-pokedex/main/sprites/linoone.png", 2)</f>
        <v>0</v>
      </c>
      <c r="E265" s="4" t="s">
        <v>14</v>
      </c>
      <c r="F265" s="5"/>
    </row>
    <row r="266" spans="1:6" ht="72" customHeight="1">
      <c r="A266" s="1" t="s">
        <v>31</v>
      </c>
      <c r="B266" s="1">
        <v>265</v>
      </c>
      <c r="C266" s="1" t="s">
        <v>296</v>
      </c>
      <c r="D266">
        <f>IMAGE("https://raw.githubusercontent.com/stautonico/pokemon-home-pokedex/main/sprites/wurmple.png", 2)</f>
        <v>0</v>
      </c>
      <c r="E266" s="34" t="s">
        <v>22</v>
      </c>
      <c r="F266" s="5"/>
    </row>
    <row r="267" spans="1:6" ht="72" customHeight="1">
      <c r="A267" s="1" t="s">
        <v>31</v>
      </c>
      <c r="B267" s="1">
        <v>266</v>
      </c>
      <c r="C267" s="1" t="s">
        <v>297</v>
      </c>
      <c r="D267">
        <f>IMAGE("https://raw.githubusercontent.com/stautonico/pokemon-home-pokedex/main/sprites/silcoon.png", 2)</f>
        <v>0</v>
      </c>
      <c r="E267" s="34" t="s">
        <v>22</v>
      </c>
      <c r="F267" s="5"/>
    </row>
    <row r="268" spans="1:6" ht="72" customHeight="1">
      <c r="A268" s="1" t="s">
        <v>31</v>
      </c>
      <c r="B268" s="1">
        <v>267</v>
      </c>
      <c r="C268" s="1" t="s">
        <v>298</v>
      </c>
      <c r="D268">
        <f>IMAGE("https://raw.githubusercontent.com/stautonico/pokemon-home-pokedex/main/sprites/beautifly.png", 2)</f>
        <v>0</v>
      </c>
      <c r="E268" s="34" t="s">
        <v>22</v>
      </c>
      <c r="F268" s="5"/>
    </row>
    <row r="269" spans="1:6" ht="72" customHeight="1">
      <c r="A269" s="1" t="s">
        <v>31</v>
      </c>
      <c r="B269" s="1">
        <v>268</v>
      </c>
      <c r="C269" s="1" t="s">
        <v>299</v>
      </c>
      <c r="D269">
        <f>IMAGE("https://raw.githubusercontent.com/stautonico/pokemon-home-pokedex/main/sprites/cascoon.png", 2)</f>
        <v>0</v>
      </c>
      <c r="E269" s="34" t="s">
        <v>22</v>
      </c>
      <c r="F269" s="5"/>
    </row>
    <row r="270" spans="1:6" ht="72" customHeight="1">
      <c r="A270" s="1" t="s">
        <v>31</v>
      </c>
      <c r="B270" s="1">
        <v>269</v>
      </c>
      <c r="C270" s="1" t="s">
        <v>300</v>
      </c>
      <c r="D270">
        <f>IMAGE("https://raw.githubusercontent.com/stautonico/pokemon-home-pokedex/main/sprites/dustox.png", 2)</f>
        <v>0</v>
      </c>
      <c r="E270" s="34" t="s">
        <v>22</v>
      </c>
      <c r="F270" s="5"/>
    </row>
    <row r="271" spans="1:6" ht="72" customHeight="1">
      <c r="A271" s="1" t="s">
        <v>31</v>
      </c>
      <c r="B271" s="1">
        <v>270</v>
      </c>
      <c r="C271" s="1" t="s">
        <v>301</v>
      </c>
      <c r="D271">
        <f>IMAGE("https://raw.githubusercontent.com/stautonico/pokemon-home-pokedex/main/sprites/lotad.png", 2)</f>
        <v>0</v>
      </c>
      <c r="E271" s="33" t="s">
        <v>16</v>
      </c>
      <c r="F271" s="25" t="s">
        <v>17</v>
      </c>
    </row>
    <row r="272" spans="1:6" ht="72" customHeight="1">
      <c r="A272" s="1" t="s">
        <v>31</v>
      </c>
      <c r="B272" s="1">
        <v>271</v>
      </c>
      <c r="C272" s="1" t="s">
        <v>302</v>
      </c>
      <c r="D272">
        <f>IMAGE("https://raw.githubusercontent.com/stautonico/pokemon-home-pokedex/main/sprites/lombre.png", 2)</f>
        <v>0</v>
      </c>
      <c r="E272" s="33" t="s">
        <v>16</v>
      </c>
      <c r="F272" s="25" t="s">
        <v>17</v>
      </c>
    </row>
    <row r="273" spans="1:6" ht="72" customHeight="1">
      <c r="A273" s="1" t="s">
        <v>31</v>
      </c>
      <c r="B273" s="1">
        <v>272</v>
      </c>
      <c r="C273" s="1" t="s">
        <v>303</v>
      </c>
      <c r="D273">
        <f>IMAGE("https://raw.githubusercontent.com/stautonico/pokemon-home-pokedex/main/sprites/ludicolo.png", 2)</f>
        <v>0</v>
      </c>
      <c r="E273" s="33" t="s">
        <v>16</v>
      </c>
      <c r="F273" s="25" t="s">
        <v>17</v>
      </c>
    </row>
    <row r="274" spans="1:6" ht="72" customHeight="1">
      <c r="A274" s="1" t="s">
        <v>31</v>
      </c>
      <c r="B274" s="1">
        <v>273</v>
      </c>
      <c r="C274" s="1" t="s">
        <v>304</v>
      </c>
      <c r="D274">
        <f>IMAGE("https://raw.githubusercontent.com/stautonico/pokemon-home-pokedex/main/sprites/seedot.png", 2)</f>
        <v>0</v>
      </c>
      <c r="E274" s="35" t="s">
        <v>15</v>
      </c>
      <c r="F274" s="25" t="s">
        <v>17</v>
      </c>
    </row>
    <row r="275" spans="1:6" ht="72" customHeight="1">
      <c r="A275" s="1" t="s">
        <v>31</v>
      </c>
      <c r="B275" s="1">
        <v>274</v>
      </c>
      <c r="C275" s="1" t="s">
        <v>305</v>
      </c>
      <c r="D275">
        <f>IMAGE("https://raw.githubusercontent.com/stautonico/pokemon-home-pokedex/main/sprites/nuzleaf.png", 2)</f>
        <v>0</v>
      </c>
      <c r="E275" s="35" t="s">
        <v>15</v>
      </c>
      <c r="F275" s="25" t="s">
        <v>17</v>
      </c>
    </row>
    <row r="276" spans="1:6" ht="72" customHeight="1">
      <c r="A276" s="1" t="s">
        <v>31</v>
      </c>
      <c r="B276" s="1">
        <v>275</v>
      </c>
      <c r="C276" s="1" t="s">
        <v>306</v>
      </c>
      <c r="D276">
        <f>IMAGE("https://raw.githubusercontent.com/stautonico/pokemon-home-pokedex/main/sprites/shiftry.png", 2)</f>
        <v>0</v>
      </c>
      <c r="E276" s="35" t="s">
        <v>15</v>
      </c>
      <c r="F276" s="25" t="s">
        <v>17</v>
      </c>
    </row>
    <row r="277" spans="1:6" ht="72" customHeight="1">
      <c r="A277" s="1" t="s">
        <v>31</v>
      </c>
      <c r="B277" s="1">
        <v>276</v>
      </c>
      <c r="C277" s="1" t="s">
        <v>307</v>
      </c>
      <c r="D277">
        <f>IMAGE("https://raw.githubusercontent.com/stautonico/pokemon-home-pokedex/main/sprites/taillow.png", 2)</f>
        <v>0</v>
      </c>
      <c r="E277" s="34" t="s">
        <v>22</v>
      </c>
      <c r="F277" s="5"/>
    </row>
    <row r="278" spans="1:6" ht="72" customHeight="1">
      <c r="A278" s="1" t="s">
        <v>31</v>
      </c>
      <c r="B278" s="1">
        <v>277</v>
      </c>
      <c r="C278" s="1" t="s">
        <v>308</v>
      </c>
      <c r="D278">
        <f>IMAGE("https://raw.githubusercontent.com/stautonico/pokemon-home-pokedex/main/sprites/swellow.png", 2)</f>
        <v>0</v>
      </c>
      <c r="E278" s="34" t="s">
        <v>22</v>
      </c>
      <c r="F278" s="5"/>
    </row>
    <row r="279" spans="1:6" ht="72" customHeight="1">
      <c r="A279" s="1" t="s">
        <v>31</v>
      </c>
      <c r="B279" s="1">
        <v>278</v>
      </c>
      <c r="C279" s="1" t="s">
        <v>309</v>
      </c>
      <c r="D279">
        <f>IMAGE("https://raw.githubusercontent.com/stautonico/pokemon-home-pokedex/main/sprites/wingull.png", 2)</f>
        <v>0</v>
      </c>
      <c r="E279" s="29" t="s">
        <v>30</v>
      </c>
      <c r="F279" s="4" t="s">
        <v>14</v>
      </c>
    </row>
    <row r="280" spans="1:6" ht="72" customHeight="1">
      <c r="A280" s="1" t="s">
        <v>31</v>
      </c>
      <c r="B280" s="1">
        <v>279</v>
      </c>
      <c r="C280" s="1" t="s">
        <v>310</v>
      </c>
      <c r="D280">
        <f>IMAGE("https://raw.githubusercontent.com/stautonico/pokemon-home-pokedex/main/sprites/pelipper.png", 2)</f>
        <v>0</v>
      </c>
      <c r="E280" s="29" t="s">
        <v>30</v>
      </c>
      <c r="F280" s="4" t="s">
        <v>14</v>
      </c>
    </row>
    <row r="281" spans="1:6" ht="72" customHeight="1">
      <c r="A281" s="1" t="s">
        <v>31</v>
      </c>
      <c r="B281" s="1">
        <v>280</v>
      </c>
      <c r="C281" s="1" t="s">
        <v>311</v>
      </c>
      <c r="D281">
        <f>IMAGE("https://raw.githubusercontent.com/stautonico/pokemon-home-pokedex/main/sprites/ralts.png", 2)</f>
        <v>0</v>
      </c>
      <c r="E281" s="29" t="s">
        <v>30</v>
      </c>
      <c r="F281" s="4" t="s">
        <v>14</v>
      </c>
    </row>
    <row r="282" spans="1:6" ht="72" customHeight="1">
      <c r="A282" s="1" t="s">
        <v>31</v>
      </c>
      <c r="B282" s="1">
        <v>281</v>
      </c>
      <c r="C282" s="1" t="s">
        <v>312</v>
      </c>
      <c r="D282">
        <f>IMAGE("https://raw.githubusercontent.com/stautonico/pokemon-home-pokedex/main/sprites/kirlia.png", 2)</f>
        <v>0</v>
      </c>
      <c r="E282" s="29" t="s">
        <v>30</v>
      </c>
      <c r="F282" s="4" t="s">
        <v>14</v>
      </c>
    </row>
    <row r="283" spans="1:6" ht="72" customHeight="1">
      <c r="A283" s="1" t="s">
        <v>31</v>
      </c>
      <c r="B283" s="1">
        <v>282</v>
      </c>
      <c r="C283" s="1" t="s">
        <v>313</v>
      </c>
      <c r="D283">
        <f>IMAGE("https://raw.githubusercontent.com/stautonico/pokemon-home-pokedex/main/sprites/gardevoir.png", 2)</f>
        <v>0</v>
      </c>
      <c r="E283" s="29" t="s">
        <v>30</v>
      </c>
      <c r="F283" s="4" t="s">
        <v>14</v>
      </c>
    </row>
    <row r="284" spans="1:6" ht="72" customHeight="1">
      <c r="A284" s="1" t="s">
        <v>31</v>
      </c>
      <c r="B284" s="1">
        <v>283</v>
      </c>
      <c r="C284" s="1" t="s">
        <v>314</v>
      </c>
      <c r="D284">
        <f>IMAGE("https://raw.githubusercontent.com/stautonico/pokemon-home-pokedex/main/sprites/surskit.png", 2)</f>
        <v>0</v>
      </c>
      <c r="E284" s="29" t="s">
        <v>30</v>
      </c>
      <c r="F284" s="34" t="s">
        <v>22</v>
      </c>
    </row>
    <row r="285" spans="1:6" ht="72" customHeight="1">
      <c r="A285" s="1" t="s">
        <v>31</v>
      </c>
      <c r="B285" s="1">
        <v>284</v>
      </c>
      <c r="C285" s="1" t="s">
        <v>315</v>
      </c>
      <c r="D285">
        <f>IMAGE("https://raw.githubusercontent.com/stautonico/pokemon-home-pokedex/main/sprites/masquerain.png", 2)</f>
        <v>0</v>
      </c>
      <c r="E285" s="29" t="s">
        <v>30</v>
      </c>
      <c r="F285" s="34" t="s">
        <v>22</v>
      </c>
    </row>
    <row r="286" spans="1:6" ht="72" customHeight="1">
      <c r="A286" s="1" t="s">
        <v>31</v>
      </c>
      <c r="B286" s="1">
        <v>285</v>
      </c>
      <c r="C286" s="1" t="s">
        <v>316</v>
      </c>
      <c r="D286">
        <f>IMAGE("https://raw.githubusercontent.com/stautonico/pokemon-home-pokedex/main/sprites/shroomish.png", 2)</f>
        <v>0</v>
      </c>
      <c r="E286" s="29" t="s">
        <v>30</v>
      </c>
      <c r="F286" s="34" t="s">
        <v>22</v>
      </c>
    </row>
    <row r="287" spans="1:6" ht="72" customHeight="1">
      <c r="A287" s="1" t="s">
        <v>31</v>
      </c>
      <c r="B287" s="1">
        <v>286</v>
      </c>
      <c r="C287" s="1" t="s">
        <v>317</v>
      </c>
      <c r="D287">
        <f>IMAGE("https://raw.githubusercontent.com/stautonico/pokemon-home-pokedex/main/sprites/breloom.png", 2)</f>
        <v>0</v>
      </c>
      <c r="E287" s="29" t="s">
        <v>30</v>
      </c>
      <c r="F287" s="34" t="s">
        <v>22</v>
      </c>
    </row>
    <row r="288" spans="1:6" ht="72" customHeight="1">
      <c r="A288" s="1" t="s">
        <v>31</v>
      </c>
      <c r="B288" s="1">
        <v>287</v>
      </c>
      <c r="C288" s="1" t="s">
        <v>318</v>
      </c>
      <c r="D288">
        <f>IMAGE("https://raw.githubusercontent.com/stautonico/pokemon-home-pokedex/main/sprites/slakoth.png", 2)</f>
        <v>0</v>
      </c>
      <c r="E288" s="29" t="s">
        <v>30</v>
      </c>
      <c r="F288" s="34" t="s">
        <v>22</v>
      </c>
    </row>
    <row r="289" spans="1:6" ht="72" customHeight="1">
      <c r="A289" s="1" t="s">
        <v>31</v>
      </c>
      <c r="B289" s="1">
        <v>288</v>
      </c>
      <c r="C289" s="1" t="s">
        <v>319</v>
      </c>
      <c r="D289">
        <f>IMAGE("https://raw.githubusercontent.com/stautonico/pokemon-home-pokedex/main/sprites/vigoroth.png", 2)</f>
        <v>0</v>
      </c>
      <c r="E289" s="29" t="s">
        <v>30</v>
      </c>
      <c r="F289" s="34" t="s">
        <v>22</v>
      </c>
    </row>
    <row r="290" spans="1:6" ht="72" customHeight="1">
      <c r="A290" s="1" t="s">
        <v>31</v>
      </c>
      <c r="B290" s="1">
        <v>289</v>
      </c>
      <c r="C290" s="1" t="s">
        <v>320</v>
      </c>
      <c r="D290">
        <f>IMAGE("https://raw.githubusercontent.com/stautonico/pokemon-home-pokedex/main/sprites/slaking.png", 2)</f>
        <v>0</v>
      </c>
      <c r="E290" s="29" t="s">
        <v>30</v>
      </c>
      <c r="F290" s="34" t="s">
        <v>22</v>
      </c>
    </row>
    <row r="291" spans="1:6" ht="72" customHeight="1">
      <c r="A291" s="1" t="s">
        <v>31</v>
      </c>
      <c r="B291" s="1">
        <v>290</v>
      </c>
      <c r="C291" s="1" t="s">
        <v>321</v>
      </c>
      <c r="D291">
        <f>IMAGE("https://raw.githubusercontent.com/stautonico/pokemon-home-pokedex/main/sprites/nincada.png", 2)</f>
        <v>0</v>
      </c>
      <c r="E291" s="4" t="s">
        <v>14</v>
      </c>
      <c r="F291" s="5"/>
    </row>
    <row r="292" spans="1:6" ht="72" customHeight="1">
      <c r="A292" s="1" t="s">
        <v>31</v>
      </c>
      <c r="B292" s="1">
        <v>291</v>
      </c>
      <c r="C292" s="1" t="s">
        <v>322</v>
      </c>
      <c r="D292">
        <f>IMAGE("https://raw.githubusercontent.com/stautonico/pokemon-home-pokedex/main/sprites/ninjask.png", 2)</f>
        <v>0</v>
      </c>
      <c r="E292" s="4" t="s">
        <v>14</v>
      </c>
      <c r="F292" s="5"/>
    </row>
    <row r="293" spans="1:6" ht="72" customHeight="1">
      <c r="A293" s="1" t="s">
        <v>31</v>
      </c>
      <c r="B293" s="1">
        <v>292</v>
      </c>
      <c r="C293" s="1" t="s">
        <v>323</v>
      </c>
      <c r="D293">
        <f>IMAGE("https://raw.githubusercontent.com/stautonico/pokemon-home-pokedex/main/sprites/shedinja.png", 2)</f>
        <v>0</v>
      </c>
      <c r="E293" s="4" t="s">
        <v>14</v>
      </c>
      <c r="F293" s="5"/>
    </row>
    <row r="294" spans="1:6" ht="72" customHeight="1">
      <c r="A294" s="1" t="s">
        <v>31</v>
      </c>
      <c r="B294" s="1">
        <v>293</v>
      </c>
      <c r="C294" s="1" t="s">
        <v>324</v>
      </c>
      <c r="D294">
        <f>IMAGE("https://raw.githubusercontent.com/stautonico/pokemon-home-pokedex/main/sprites/whismur.png", 2)</f>
        <v>0</v>
      </c>
      <c r="E294" s="3" t="s">
        <v>12</v>
      </c>
      <c r="F294" s="34" t="s">
        <v>22</v>
      </c>
    </row>
    <row r="295" spans="1:6" ht="72" customHeight="1">
      <c r="A295" s="1" t="s">
        <v>31</v>
      </c>
      <c r="B295" s="1">
        <v>294</v>
      </c>
      <c r="C295" s="1" t="s">
        <v>325</v>
      </c>
      <c r="D295">
        <f>IMAGE("https://raw.githubusercontent.com/stautonico/pokemon-home-pokedex/main/sprites/loudred.png", 2)</f>
        <v>0</v>
      </c>
      <c r="E295" s="3" t="s">
        <v>12</v>
      </c>
      <c r="F295" s="34" t="s">
        <v>22</v>
      </c>
    </row>
    <row r="296" spans="1:6" ht="72" customHeight="1">
      <c r="A296" s="1" t="s">
        <v>31</v>
      </c>
      <c r="B296" s="1">
        <v>295</v>
      </c>
      <c r="C296" s="1" t="s">
        <v>326</v>
      </c>
      <c r="D296">
        <f>IMAGE("https://raw.githubusercontent.com/stautonico/pokemon-home-pokedex/main/sprites/exploud.png", 2)</f>
        <v>0</v>
      </c>
      <c r="E296" s="3" t="s">
        <v>12</v>
      </c>
      <c r="F296" s="34" t="s">
        <v>22</v>
      </c>
    </row>
    <row r="297" spans="1:6" ht="72" customHeight="1">
      <c r="A297" s="1" t="s">
        <v>31</v>
      </c>
      <c r="B297" s="1">
        <v>296</v>
      </c>
      <c r="C297" s="1" t="s">
        <v>327</v>
      </c>
      <c r="D297">
        <f>IMAGE("https://raw.githubusercontent.com/stautonico/pokemon-home-pokedex/main/sprites/makuhita.png", 2)</f>
        <v>0</v>
      </c>
      <c r="E297" s="29" t="s">
        <v>30</v>
      </c>
      <c r="F297" s="34" t="s">
        <v>22</v>
      </c>
    </row>
    <row r="298" spans="1:6" ht="72" customHeight="1">
      <c r="A298" s="1" t="s">
        <v>31</v>
      </c>
      <c r="B298" s="1">
        <v>297</v>
      </c>
      <c r="C298" s="1" t="s">
        <v>328</v>
      </c>
      <c r="D298">
        <f>IMAGE("https://raw.githubusercontent.com/stautonico/pokemon-home-pokedex/main/sprites/hariyama.png", 2)</f>
        <v>0</v>
      </c>
      <c r="E298" s="29" t="s">
        <v>30</v>
      </c>
      <c r="F298" s="34" t="s">
        <v>22</v>
      </c>
    </row>
    <row r="299" spans="1:6" ht="72" customHeight="1">
      <c r="A299" s="1" t="s">
        <v>31</v>
      </c>
      <c r="B299" s="1">
        <v>298</v>
      </c>
      <c r="C299" s="1" t="s">
        <v>329</v>
      </c>
      <c r="D299">
        <f>IMAGE("https://raw.githubusercontent.com/stautonico/pokemon-home-pokedex/main/sprites/azurill.png", 2)</f>
        <v>0</v>
      </c>
      <c r="E299" s="29" t="s">
        <v>30</v>
      </c>
      <c r="F299" s="3" t="s">
        <v>12</v>
      </c>
    </row>
    <row r="300" spans="1:6" ht="72" customHeight="1">
      <c r="A300" s="1" t="s">
        <v>31</v>
      </c>
      <c r="B300" s="1">
        <v>299</v>
      </c>
      <c r="C300" s="1" t="s">
        <v>330</v>
      </c>
      <c r="D300">
        <f>IMAGE("https://raw.githubusercontent.com/stautonico/pokemon-home-pokedex/main/sprites/nosepass.png", 2)</f>
        <v>0</v>
      </c>
      <c r="E300" s="34" t="s">
        <v>22</v>
      </c>
      <c r="F300" s="5"/>
    </row>
    <row r="301" spans="1:6" ht="72" customHeight="1">
      <c r="A301" s="1" t="s">
        <v>31</v>
      </c>
      <c r="B301" s="1">
        <v>300</v>
      </c>
      <c r="C301" s="1" t="s">
        <v>331</v>
      </c>
      <c r="D301">
        <f>IMAGE("https://raw.githubusercontent.com/stautonico/pokemon-home-pokedex/main/sprites/skitty.png", 2)</f>
        <v>0</v>
      </c>
      <c r="E301" s="34" t="s">
        <v>22</v>
      </c>
      <c r="F301" s="5"/>
    </row>
    <row r="302" spans="1:6" ht="72" customHeight="1">
      <c r="A302" s="1" t="s">
        <v>31</v>
      </c>
      <c r="B302" s="1">
        <v>301</v>
      </c>
      <c r="C302" s="1" t="s">
        <v>332</v>
      </c>
      <c r="D302">
        <f>IMAGE("https://raw.githubusercontent.com/stautonico/pokemon-home-pokedex/main/sprites/delcatty.png", 2)</f>
        <v>0</v>
      </c>
      <c r="E302" s="34" t="s">
        <v>22</v>
      </c>
      <c r="F302" s="5"/>
    </row>
    <row r="303" spans="1:6" ht="72" customHeight="1">
      <c r="A303" s="1" t="s">
        <v>31</v>
      </c>
      <c r="B303" s="1">
        <v>302</v>
      </c>
      <c r="C303" s="1" t="s">
        <v>333</v>
      </c>
      <c r="D303">
        <f>IMAGE("https://raw.githubusercontent.com/stautonico/pokemon-home-pokedex/main/sprites/sableye.png", 2)</f>
        <v>0</v>
      </c>
      <c r="E303" s="29" t="s">
        <v>30</v>
      </c>
      <c r="F303" s="33" t="s">
        <v>16</v>
      </c>
    </row>
    <row r="304" spans="1:6" ht="72" customHeight="1">
      <c r="A304" s="1" t="s">
        <v>31</v>
      </c>
      <c r="B304" s="1">
        <v>303</v>
      </c>
      <c r="C304" s="1" t="s">
        <v>334</v>
      </c>
      <c r="D304">
        <f>IMAGE("https://raw.githubusercontent.com/stautonico/pokemon-home-pokedex/main/sprites/mawile.png", 2)</f>
        <v>0</v>
      </c>
      <c r="E304" s="35" t="s">
        <v>15</v>
      </c>
      <c r="F304" s="25" t="s">
        <v>17</v>
      </c>
    </row>
    <row r="305" spans="1:6" ht="72" customHeight="1">
      <c r="A305" s="1" t="s">
        <v>31</v>
      </c>
      <c r="B305" s="1">
        <v>304</v>
      </c>
      <c r="C305" s="1" t="s">
        <v>335</v>
      </c>
      <c r="D305">
        <f>IMAGE("https://raw.githubusercontent.com/stautonico/pokemon-home-pokedex/main/sprites/aron.png", 2)</f>
        <v>0</v>
      </c>
      <c r="E305" s="34" t="s">
        <v>22</v>
      </c>
      <c r="F305" s="5"/>
    </row>
    <row r="306" spans="1:6" ht="72" customHeight="1">
      <c r="A306" s="1" t="s">
        <v>31</v>
      </c>
      <c r="B306" s="1">
        <v>305</v>
      </c>
      <c r="C306" s="1" t="s">
        <v>336</v>
      </c>
      <c r="D306">
        <f>IMAGE("https://raw.githubusercontent.com/stautonico/pokemon-home-pokedex/main/sprites/lairon.png", 2)</f>
        <v>0</v>
      </c>
      <c r="E306" s="34" t="s">
        <v>22</v>
      </c>
      <c r="F306" s="5"/>
    </row>
    <row r="307" spans="1:6" ht="72" customHeight="1">
      <c r="A307" s="1" t="s">
        <v>31</v>
      </c>
      <c r="B307" s="1">
        <v>306</v>
      </c>
      <c r="C307" s="1" t="s">
        <v>337</v>
      </c>
      <c r="D307">
        <f>IMAGE("https://raw.githubusercontent.com/stautonico/pokemon-home-pokedex/main/sprites/aggron.png", 2)</f>
        <v>0</v>
      </c>
      <c r="E307" s="34" t="s">
        <v>22</v>
      </c>
      <c r="F307" s="5"/>
    </row>
    <row r="308" spans="1:6" ht="72" customHeight="1">
      <c r="A308" s="1" t="s">
        <v>31</v>
      </c>
      <c r="B308" s="1">
        <v>307</v>
      </c>
      <c r="C308" s="1" t="s">
        <v>338</v>
      </c>
      <c r="D308">
        <f>IMAGE("https://raw.githubusercontent.com/stautonico/pokemon-home-pokedex/main/sprites/meditite.png", 2)</f>
        <v>0</v>
      </c>
      <c r="E308" s="29" t="s">
        <v>30</v>
      </c>
      <c r="F308" s="34" t="s">
        <v>22</v>
      </c>
    </row>
    <row r="309" spans="1:6" ht="72" customHeight="1">
      <c r="A309" s="1" t="s">
        <v>31</v>
      </c>
      <c r="B309" s="1">
        <v>308</v>
      </c>
      <c r="C309" s="1" t="s">
        <v>339</v>
      </c>
      <c r="D309">
        <f>IMAGE("https://raw.githubusercontent.com/stautonico/pokemon-home-pokedex/main/sprites/medicham.png", 2)</f>
        <v>0</v>
      </c>
      <c r="E309" s="29" t="s">
        <v>30</v>
      </c>
      <c r="F309" s="34" t="s">
        <v>22</v>
      </c>
    </row>
    <row r="310" spans="1:6" ht="72" customHeight="1">
      <c r="A310" s="1" t="s">
        <v>31</v>
      </c>
      <c r="B310" s="1">
        <v>309</v>
      </c>
      <c r="C310" s="1" t="s">
        <v>340</v>
      </c>
      <c r="D310">
        <f>IMAGE("https://raw.githubusercontent.com/stautonico/pokemon-home-pokedex/main/sprites/electrike.png", 2)</f>
        <v>0</v>
      </c>
      <c r="E310" s="4" t="s">
        <v>14</v>
      </c>
      <c r="F310" s="5"/>
    </row>
    <row r="311" spans="1:6" ht="72" customHeight="1">
      <c r="A311" s="1" t="s">
        <v>31</v>
      </c>
      <c r="B311" s="1">
        <v>310</v>
      </c>
      <c r="C311" s="1" t="s">
        <v>341</v>
      </c>
      <c r="D311">
        <f>IMAGE("https://raw.githubusercontent.com/stautonico/pokemon-home-pokedex/main/sprites/manectric.png", 2)</f>
        <v>0</v>
      </c>
      <c r="E311" s="4" t="s">
        <v>14</v>
      </c>
      <c r="F311" s="5"/>
    </row>
    <row r="312" spans="1:6" ht="72" customHeight="1">
      <c r="A312" s="1" t="s">
        <v>31</v>
      </c>
      <c r="B312" s="1">
        <v>311</v>
      </c>
      <c r="C312" s="1" t="s">
        <v>342</v>
      </c>
      <c r="D312">
        <f>IMAGE("https://raw.githubusercontent.com/stautonico/pokemon-home-pokedex/main/sprites/plusle.png", 2)</f>
        <v>0</v>
      </c>
      <c r="E312" s="34" t="s">
        <v>22</v>
      </c>
      <c r="F312" s="5"/>
    </row>
    <row r="313" spans="1:6" ht="72" customHeight="1">
      <c r="A313" s="1" t="s">
        <v>31</v>
      </c>
      <c r="B313" s="1">
        <v>312</v>
      </c>
      <c r="C313" s="1" t="s">
        <v>343</v>
      </c>
      <c r="D313">
        <f>IMAGE("https://raw.githubusercontent.com/stautonico/pokemon-home-pokedex/main/sprites/minun.png", 2)</f>
        <v>0</v>
      </c>
      <c r="E313" s="34" t="s">
        <v>22</v>
      </c>
      <c r="F313" s="5"/>
    </row>
    <row r="314" spans="1:6" ht="72" customHeight="1">
      <c r="A314" s="1" t="s">
        <v>31</v>
      </c>
      <c r="B314" s="1">
        <v>313</v>
      </c>
      <c r="C314" s="1" t="s">
        <v>344</v>
      </c>
      <c r="D314">
        <f>IMAGE("https://raw.githubusercontent.com/stautonico/pokemon-home-pokedex/main/sprites/volbeat.png", 2)</f>
        <v>0</v>
      </c>
      <c r="E314" s="34" t="s">
        <v>22</v>
      </c>
      <c r="F314" s="5"/>
    </row>
    <row r="315" spans="1:6" ht="72" customHeight="1">
      <c r="A315" s="1" t="s">
        <v>31</v>
      </c>
      <c r="B315" s="1">
        <v>314</v>
      </c>
      <c r="C315" s="1" t="s">
        <v>345</v>
      </c>
      <c r="D315">
        <f>IMAGE("https://raw.githubusercontent.com/stautonico/pokemon-home-pokedex/main/sprites/illumise.png", 2)</f>
        <v>0</v>
      </c>
      <c r="E315" s="34" t="s">
        <v>22</v>
      </c>
      <c r="F315" s="5"/>
    </row>
    <row r="316" spans="1:6" ht="72" customHeight="1">
      <c r="A316" s="1" t="s">
        <v>31</v>
      </c>
      <c r="B316" s="1">
        <v>315</v>
      </c>
      <c r="C316" s="1" t="s">
        <v>346</v>
      </c>
      <c r="D316">
        <f>IMAGE("https://raw.githubusercontent.com/stautonico/pokemon-home-pokedex/main/sprites/roselia.png", 2)</f>
        <v>0</v>
      </c>
      <c r="E316" s="4" t="s">
        <v>14</v>
      </c>
      <c r="F316" s="5"/>
    </row>
    <row r="317" spans="1:6" ht="72" customHeight="1">
      <c r="A317" s="1" t="s">
        <v>31</v>
      </c>
      <c r="B317" s="1">
        <v>316</v>
      </c>
      <c r="C317" s="1" t="s">
        <v>347</v>
      </c>
      <c r="D317">
        <f>IMAGE("https://raw.githubusercontent.com/stautonico/pokemon-home-pokedex/main/sprites/gulpin.png", 2)</f>
        <v>0</v>
      </c>
      <c r="E317" s="37" t="s">
        <v>29</v>
      </c>
      <c r="F317" s="34" t="s">
        <v>22</v>
      </c>
    </row>
    <row r="318" spans="1:6" ht="72" customHeight="1">
      <c r="A318" s="1" t="s">
        <v>31</v>
      </c>
      <c r="B318" s="1">
        <v>317</v>
      </c>
      <c r="C318" s="1" t="s">
        <v>348</v>
      </c>
      <c r="D318">
        <f>IMAGE("https://raw.githubusercontent.com/stautonico/pokemon-home-pokedex/main/sprites/swalot.png", 2)</f>
        <v>0</v>
      </c>
      <c r="E318" s="37" t="s">
        <v>29</v>
      </c>
      <c r="F318" s="34" t="s">
        <v>22</v>
      </c>
    </row>
    <row r="319" spans="1:6" ht="72" customHeight="1">
      <c r="A319" s="1" t="s">
        <v>31</v>
      </c>
      <c r="B319" s="1">
        <v>318</v>
      </c>
      <c r="C319" s="1" t="s">
        <v>349</v>
      </c>
      <c r="D319">
        <f>IMAGE("https://raw.githubusercontent.com/stautonico/pokemon-home-pokedex/main/sprites/carvanha.png", 2)</f>
        <v>0</v>
      </c>
      <c r="E319" s="3" t="s">
        <v>12</v>
      </c>
      <c r="F319" s="34" t="s">
        <v>22</v>
      </c>
    </row>
    <row r="320" spans="1:6" ht="72" customHeight="1">
      <c r="A320" s="1" t="s">
        <v>31</v>
      </c>
      <c r="B320" s="1">
        <v>319</v>
      </c>
      <c r="C320" s="1" t="s">
        <v>350</v>
      </c>
      <c r="D320">
        <f>IMAGE("https://raw.githubusercontent.com/stautonico/pokemon-home-pokedex/main/sprites/sharpedo.png", 2)</f>
        <v>0</v>
      </c>
      <c r="E320" s="3" t="s">
        <v>12</v>
      </c>
      <c r="F320" s="34" t="s">
        <v>22</v>
      </c>
    </row>
    <row r="321" spans="1:6" ht="72" customHeight="1">
      <c r="A321" s="1" t="s">
        <v>31</v>
      </c>
      <c r="B321" s="1">
        <v>320</v>
      </c>
      <c r="C321" s="1" t="s">
        <v>351</v>
      </c>
      <c r="D321">
        <f>IMAGE("https://raw.githubusercontent.com/stautonico/pokemon-home-pokedex/main/sprites/wailmer.png", 2)</f>
        <v>0</v>
      </c>
      <c r="E321" s="4" t="s">
        <v>14</v>
      </c>
      <c r="F321" s="5"/>
    </row>
    <row r="322" spans="1:6" ht="72" customHeight="1">
      <c r="A322" s="1" t="s">
        <v>31</v>
      </c>
      <c r="B322" s="1">
        <v>321</v>
      </c>
      <c r="C322" s="1" t="s">
        <v>352</v>
      </c>
      <c r="D322">
        <f>IMAGE("https://raw.githubusercontent.com/stautonico/pokemon-home-pokedex/main/sprites/wailord.png", 2)</f>
        <v>0</v>
      </c>
      <c r="E322" s="4" t="s">
        <v>14</v>
      </c>
      <c r="F322" s="5"/>
    </row>
    <row r="323" spans="1:6" ht="72" customHeight="1">
      <c r="A323" s="1" t="s">
        <v>31</v>
      </c>
      <c r="B323" s="1">
        <v>322</v>
      </c>
      <c r="C323" s="1" t="s">
        <v>353</v>
      </c>
      <c r="D323">
        <f>IMAGE("https://raw.githubusercontent.com/stautonico/pokemon-home-pokedex/main/sprites/numel.png", 2)</f>
        <v>0</v>
      </c>
      <c r="E323" s="29" t="s">
        <v>30</v>
      </c>
      <c r="F323" s="34" t="s">
        <v>22</v>
      </c>
    </row>
    <row r="324" spans="1:6" ht="72" customHeight="1">
      <c r="A324" s="1" t="s">
        <v>31</v>
      </c>
      <c r="B324" s="1">
        <v>323</v>
      </c>
      <c r="C324" s="1" t="s">
        <v>354</v>
      </c>
      <c r="D324">
        <f>IMAGE("https://raw.githubusercontent.com/stautonico/pokemon-home-pokedex/main/sprites/camerupt.png", 2)</f>
        <v>0</v>
      </c>
      <c r="E324" s="29" t="s">
        <v>30</v>
      </c>
      <c r="F324" s="34" t="s">
        <v>22</v>
      </c>
    </row>
    <row r="325" spans="1:6" ht="72" customHeight="1">
      <c r="A325" s="1" t="s">
        <v>31</v>
      </c>
      <c r="B325" s="1">
        <v>324</v>
      </c>
      <c r="C325" s="1" t="s">
        <v>355</v>
      </c>
      <c r="D325">
        <f>IMAGE("https://raw.githubusercontent.com/stautonico/pokemon-home-pokedex/main/sprites/torkoal.png", 2)</f>
        <v>0</v>
      </c>
      <c r="E325" s="29" t="s">
        <v>30</v>
      </c>
      <c r="F325" s="4" t="s">
        <v>14</v>
      </c>
    </row>
    <row r="326" spans="1:6" ht="72" customHeight="1">
      <c r="A326" s="1" t="s">
        <v>31</v>
      </c>
      <c r="B326" s="1">
        <v>325</v>
      </c>
      <c r="C326" s="1" t="s">
        <v>356</v>
      </c>
      <c r="D326">
        <f>IMAGE("https://raw.githubusercontent.com/stautonico/pokemon-home-pokedex/main/sprites/spoink.png", 2)</f>
        <v>0</v>
      </c>
      <c r="E326" s="29" t="s">
        <v>30</v>
      </c>
      <c r="F326" s="34" t="s">
        <v>22</v>
      </c>
    </row>
    <row r="327" spans="1:6" ht="72" customHeight="1">
      <c r="A327" s="1" t="s">
        <v>31</v>
      </c>
      <c r="B327" s="1">
        <v>326</v>
      </c>
      <c r="C327" s="1" t="s">
        <v>357</v>
      </c>
      <c r="D327">
        <f>IMAGE("https://raw.githubusercontent.com/stautonico/pokemon-home-pokedex/main/sprites/grumpig.png", 2)</f>
        <v>0</v>
      </c>
      <c r="E327" s="29" t="s">
        <v>30</v>
      </c>
      <c r="F327" s="34" t="s">
        <v>22</v>
      </c>
    </row>
    <row r="328" spans="1:6" ht="72" customHeight="1">
      <c r="A328" s="1" t="s">
        <v>31</v>
      </c>
      <c r="B328" s="1">
        <v>327</v>
      </c>
      <c r="C328" s="1" t="s">
        <v>358</v>
      </c>
      <c r="D328">
        <f>IMAGE("https://raw.githubusercontent.com/stautonico/pokemon-home-pokedex/main/sprites/spinda.png", 2)</f>
        <v>0</v>
      </c>
      <c r="E328" s="34" t="s">
        <v>22</v>
      </c>
      <c r="F328" s="5"/>
    </row>
    <row r="329" spans="1:6" ht="72" customHeight="1">
      <c r="A329" s="1" t="s">
        <v>31</v>
      </c>
      <c r="B329" s="1">
        <v>328</v>
      </c>
      <c r="C329" s="1" t="s">
        <v>359</v>
      </c>
      <c r="D329">
        <f>IMAGE("https://raw.githubusercontent.com/stautonico/pokemon-home-pokedex/main/sprites/trapinch.png", 2)</f>
        <v>0</v>
      </c>
      <c r="E329" s="4" t="s">
        <v>14</v>
      </c>
      <c r="F329" s="5"/>
    </row>
    <row r="330" spans="1:6" ht="72" customHeight="1">
      <c r="A330" s="1" t="s">
        <v>31</v>
      </c>
      <c r="B330" s="1">
        <v>329</v>
      </c>
      <c r="C330" s="1" t="s">
        <v>360</v>
      </c>
      <c r="D330">
        <f>IMAGE("https://raw.githubusercontent.com/stautonico/pokemon-home-pokedex/main/sprites/vibrava.png", 2)</f>
        <v>0</v>
      </c>
      <c r="E330" s="4" t="s">
        <v>14</v>
      </c>
      <c r="F330" s="5"/>
    </row>
    <row r="331" spans="1:6" ht="72" customHeight="1">
      <c r="A331" s="1" t="s">
        <v>31</v>
      </c>
      <c r="B331" s="1">
        <v>330</v>
      </c>
      <c r="C331" s="1" t="s">
        <v>361</v>
      </c>
      <c r="D331">
        <f>IMAGE("https://raw.githubusercontent.com/stautonico/pokemon-home-pokedex/main/sprites/flygon.png", 2)</f>
        <v>0</v>
      </c>
      <c r="E331" s="4" t="s">
        <v>14</v>
      </c>
      <c r="F331" s="5"/>
    </row>
    <row r="332" spans="1:6" ht="72" customHeight="1">
      <c r="A332" s="1" t="s">
        <v>31</v>
      </c>
      <c r="B332" s="1">
        <v>331</v>
      </c>
      <c r="C332" s="1" t="s">
        <v>362</v>
      </c>
      <c r="D332">
        <f>IMAGE("https://raw.githubusercontent.com/stautonico/pokemon-home-pokedex/main/sprites/cacnea.png", 2)</f>
        <v>0</v>
      </c>
      <c r="E332" s="29" t="s">
        <v>30</v>
      </c>
      <c r="F332" s="34" t="s">
        <v>22</v>
      </c>
    </row>
    <row r="333" spans="1:6" ht="72" customHeight="1">
      <c r="A333" s="1" t="s">
        <v>31</v>
      </c>
      <c r="B333" s="1">
        <v>332</v>
      </c>
      <c r="C333" s="1" t="s">
        <v>363</v>
      </c>
      <c r="D333">
        <f>IMAGE("https://raw.githubusercontent.com/stautonico/pokemon-home-pokedex/main/sprites/cacturne.png", 2)</f>
        <v>0</v>
      </c>
      <c r="E333" s="29" t="s">
        <v>30</v>
      </c>
      <c r="F333" s="34" t="s">
        <v>22</v>
      </c>
    </row>
    <row r="334" spans="1:6" ht="72" customHeight="1">
      <c r="A334" s="1" t="s">
        <v>31</v>
      </c>
      <c r="B334" s="1">
        <v>333</v>
      </c>
      <c r="C334" s="1" t="s">
        <v>364</v>
      </c>
      <c r="D334">
        <f>IMAGE("https://raw.githubusercontent.com/stautonico/pokemon-home-pokedex/main/sprites/swablu.png", 2)</f>
        <v>0</v>
      </c>
      <c r="E334" s="29" t="s">
        <v>30</v>
      </c>
      <c r="F334" s="34" t="s">
        <v>22</v>
      </c>
    </row>
    <row r="335" spans="1:6" ht="72" customHeight="1">
      <c r="A335" s="1" t="s">
        <v>31</v>
      </c>
      <c r="B335" s="1">
        <v>334</v>
      </c>
      <c r="C335" s="1" t="s">
        <v>365</v>
      </c>
      <c r="D335">
        <f>IMAGE("https://raw.githubusercontent.com/stautonico/pokemon-home-pokedex/main/sprites/altaria.png", 2)</f>
        <v>0</v>
      </c>
      <c r="E335" s="29" t="s">
        <v>30</v>
      </c>
      <c r="F335" s="34" t="s">
        <v>22</v>
      </c>
    </row>
    <row r="336" spans="1:6" ht="72" customHeight="1">
      <c r="A336" s="1" t="s">
        <v>31</v>
      </c>
      <c r="B336" s="1">
        <v>335</v>
      </c>
      <c r="C336" s="1" t="s">
        <v>366</v>
      </c>
      <c r="D336">
        <f>IMAGE("https://raw.githubusercontent.com/stautonico/pokemon-home-pokedex/main/sprites/zangoose.png", 2)</f>
        <v>0</v>
      </c>
      <c r="E336" s="29" t="s">
        <v>30</v>
      </c>
      <c r="F336" s="3" t="s">
        <v>12</v>
      </c>
    </row>
    <row r="337" spans="1:6" ht="72" customHeight="1">
      <c r="A337" s="1" t="s">
        <v>31</v>
      </c>
      <c r="B337" s="1">
        <v>336</v>
      </c>
      <c r="C337" s="1" t="s">
        <v>367</v>
      </c>
      <c r="D337">
        <f>IMAGE("https://raw.githubusercontent.com/stautonico/pokemon-home-pokedex/main/sprites/seviper.png", 2)</f>
        <v>0</v>
      </c>
      <c r="E337" s="29" t="s">
        <v>30</v>
      </c>
      <c r="F337" s="3" t="s">
        <v>12</v>
      </c>
    </row>
    <row r="338" spans="1:6" ht="72" customHeight="1">
      <c r="A338" s="1" t="s">
        <v>31</v>
      </c>
      <c r="B338" s="1">
        <v>337</v>
      </c>
      <c r="C338" s="1" t="s">
        <v>368</v>
      </c>
      <c r="D338">
        <f>IMAGE("https://raw.githubusercontent.com/stautonico/pokemon-home-pokedex/main/sprites/lunatone.png", 2)</f>
        <v>0</v>
      </c>
      <c r="E338" s="33" t="s">
        <v>16</v>
      </c>
      <c r="F338" s="25" t="s">
        <v>17</v>
      </c>
    </row>
    <row r="339" spans="1:6" ht="72" customHeight="1">
      <c r="A339" s="1" t="s">
        <v>31</v>
      </c>
      <c r="B339" s="1">
        <v>338</v>
      </c>
      <c r="C339" s="1" t="s">
        <v>369</v>
      </c>
      <c r="D339">
        <f>IMAGE("https://raw.githubusercontent.com/stautonico/pokemon-home-pokedex/main/sprites/solrock.png", 2)</f>
        <v>0</v>
      </c>
      <c r="E339" s="35" t="s">
        <v>15</v>
      </c>
      <c r="F339" s="25" t="s">
        <v>17</v>
      </c>
    </row>
    <row r="340" spans="1:6" ht="72" customHeight="1">
      <c r="A340" s="1" t="s">
        <v>31</v>
      </c>
      <c r="B340" s="1">
        <v>339</v>
      </c>
      <c r="C340" s="1" t="s">
        <v>370</v>
      </c>
      <c r="D340">
        <f>IMAGE("https://raw.githubusercontent.com/stautonico/pokemon-home-pokedex/main/sprites/barboach.png", 2)</f>
        <v>0</v>
      </c>
      <c r="E340" s="29" t="s">
        <v>30</v>
      </c>
      <c r="F340" s="4" t="s">
        <v>14</v>
      </c>
    </row>
    <row r="341" spans="1:6" ht="72" customHeight="1">
      <c r="A341" s="1" t="s">
        <v>31</v>
      </c>
      <c r="B341" s="1">
        <v>340</v>
      </c>
      <c r="C341" s="1" t="s">
        <v>371</v>
      </c>
      <c r="D341">
        <f>IMAGE("https://raw.githubusercontent.com/stautonico/pokemon-home-pokedex/main/sprites/whiscash.png", 2)</f>
        <v>0</v>
      </c>
      <c r="E341" s="29" t="s">
        <v>30</v>
      </c>
      <c r="F341" s="4" t="s">
        <v>14</v>
      </c>
    </row>
    <row r="342" spans="1:6" ht="72" customHeight="1">
      <c r="A342" s="1" t="s">
        <v>31</v>
      </c>
      <c r="B342" s="1">
        <v>341</v>
      </c>
      <c r="C342" s="1" t="s">
        <v>372</v>
      </c>
      <c r="D342">
        <f>IMAGE("https://raw.githubusercontent.com/stautonico/pokemon-home-pokedex/main/sprites/corphish.png", 2)</f>
        <v>0</v>
      </c>
      <c r="E342" s="4" t="s">
        <v>14</v>
      </c>
      <c r="F342" s="5"/>
    </row>
    <row r="343" spans="1:6" ht="72" customHeight="1">
      <c r="A343" s="1" t="s">
        <v>31</v>
      </c>
      <c r="B343" s="1">
        <v>342</v>
      </c>
      <c r="C343" s="1" t="s">
        <v>373</v>
      </c>
      <c r="D343">
        <f>IMAGE("https://raw.githubusercontent.com/stautonico/pokemon-home-pokedex/main/sprites/crawdaunt.png", 2)</f>
        <v>0</v>
      </c>
      <c r="E343" s="4" t="s">
        <v>14</v>
      </c>
      <c r="F343" s="5"/>
    </row>
    <row r="344" spans="1:6" ht="72" customHeight="1">
      <c r="A344" s="1" t="s">
        <v>31</v>
      </c>
      <c r="B344" s="1">
        <v>343</v>
      </c>
      <c r="C344" s="1" t="s">
        <v>374</v>
      </c>
      <c r="D344">
        <f>IMAGE("https://raw.githubusercontent.com/stautonico/pokemon-home-pokedex/main/sprites/baltoy.png", 2)</f>
        <v>0</v>
      </c>
      <c r="E344" s="4" t="s">
        <v>14</v>
      </c>
      <c r="F344" s="5"/>
    </row>
    <row r="345" spans="1:6" ht="72" customHeight="1">
      <c r="A345" s="1" t="s">
        <v>31</v>
      </c>
      <c r="B345" s="1">
        <v>344</v>
      </c>
      <c r="C345" s="1" t="s">
        <v>375</v>
      </c>
      <c r="D345">
        <f>IMAGE("https://raw.githubusercontent.com/stautonico/pokemon-home-pokedex/main/sprites/claydol.png", 2)</f>
        <v>0</v>
      </c>
      <c r="E345" s="4" t="s">
        <v>14</v>
      </c>
      <c r="F345" s="5"/>
    </row>
    <row r="346" spans="1:6" ht="72" customHeight="1">
      <c r="A346" s="1" t="s">
        <v>31</v>
      </c>
      <c r="B346" s="1">
        <v>345</v>
      </c>
      <c r="C346" s="1" t="s">
        <v>376</v>
      </c>
      <c r="D346">
        <f>IMAGE("https://raw.githubusercontent.com/stautonico/pokemon-home-pokedex/main/sprites/lileep.png", 2)</f>
        <v>0</v>
      </c>
      <c r="E346" s="34" t="s">
        <v>22</v>
      </c>
      <c r="F346" s="5" t="s">
        <v>377</v>
      </c>
    </row>
    <row r="347" spans="1:6" ht="72" customHeight="1">
      <c r="A347" s="1" t="s">
        <v>31</v>
      </c>
      <c r="B347" s="1">
        <v>346</v>
      </c>
      <c r="C347" s="1" t="s">
        <v>378</v>
      </c>
      <c r="D347">
        <f>IMAGE("https://raw.githubusercontent.com/stautonico/pokemon-home-pokedex/main/sprites/cradily.png", 2)</f>
        <v>0</v>
      </c>
      <c r="E347" s="34" t="s">
        <v>22</v>
      </c>
      <c r="F347" s="5" t="s">
        <v>377</v>
      </c>
    </row>
    <row r="348" spans="1:6" ht="72" customHeight="1">
      <c r="A348" s="1" t="s">
        <v>31</v>
      </c>
      <c r="B348" s="1">
        <v>347</v>
      </c>
      <c r="C348" s="1" t="s">
        <v>379</v>
      </c>
      <c r="D348">
        <f>IMAGE("https://raw.githubusercontent.com/stautonico/pokemon-home-pokedex/main/sprites/anorith.png", 2)</f>
        <v>0</v>
      </c>
      <c r="E348" s="34" t="s">
        <v>22</v>
      </c>
      <c r="F348" s="5" t="s">
        <v>377</v>
      </c>
    </row>
    <row r="349" spans="1:6" ht="72" customHeight="1">
      <c r="A349" s="1" t="s">
        <v>31</v>
      </c>
      <c r="B349" s="1">
        <v>348</v>
      </c>
      <c r="C349" s="1" t="s">
        <v>380</v>
      </c>
      <c r="D349">
        <f>IMAGE("https://raw.githubusercontent.com/stautonico/pokemon-home-pokedex/main/sprites/armaldo.png", 2)</f>
        <v>0</v>
      </c>
      <c r="E349" s="34" t="s">
        <v>22</v>
      </c>
      <c r="F349" s="5" t="s">
        <v>377</v>
      </c>
    </row>
    <row r="350" spans="1:6" ht="72" customHeight="1">
      <c r="A350" s="1" t="s">
        <v>31</v>
      </c>
      <c r="B350" s="1">
        <v>349</v>
      </c>
      <c r="C350" s="1" t="s">
        <v>381</v>
      </c>
      <c r="D350">
        <f>IMAGE("https://raw.githubusercontent.com/stautonico/pokemon-home-pokedex/main/sprites/feebas.png", 2)</f>
        <v>0</v>
      </c>
      <c r="E350" s="4" t="s">
        <v>14</v>
      </c>
      <c r="F350" s="5"/>
    </row>
    <row r="351" spans="1:6" ht="72" customHeight="1">
      <c r="A351" s="1" t="s">
        <v>31</v>
      </c>
      <c r="B351" s="1">
        <v>350</v>
      </c>
      <c r="C351" s="1" t="s">
        <v>382</v>
      </c>
      <c r="D351">
        <f>IMAGE("https://raw.githubusercontent.com/stautonico/pokemon-home-pokedex/main/sprites/milotic.png", 2)</f>
        <v>0</v>
      </c>
      <c r="E351" s="4" t="s">
        <v>14</v>
      </c>
      <c r="F351" s="5"/>
    </row>
    <row r="352" spans="1:6" ht="72" customHeight="1">
      <c r="A352" s="1" t="s">
        <v>31</v>
      </c>
      <c r="B352" s="1">
        <v>351</v>
      </c>
      <c r="C352" s="1" t="s">
        <v>383</v>
      </c>
      <c r="D352">
        <f>IMAGE("https://raw.githubusercontent.com/stautonico/pokemon-home-pokedex/main/sprites/castform.png", 2)</f>
        <v>0</v>
      </c>
      <c r="E352" s="34" t="s">
        <v>22</v>
      </c>
      <c r="F352" s="5"/>
    </row>
    <row r="353" spans="1:6" ht="72" customHeight="1">
      <c r="A353" s="1" t="s">
        <v>31</v>
      </c>
      <c r="B353" s="1">
        <v>352</v>
      </c>
      <c r="C353" s="1" t="s">
        <v>384</v>
      </c>
      <c r="D353">
        <f>IMAGE("https://raw.githubusercontent.com/stautonico/pokemon-home-pokedex/main/sprites/kecleon.png", 2)</f>
        <v>0</v>
      </c>
      <c r="E353" s="34" t="s">
        <v>22</v>
      </c>
      <c r="F353" s="5"/>
    </row>
    <row r="354" spans="1:6" ht="72" customHeight="1">
      <c r="A354" s="1" t="s">
        <v>31</v>
      </c>
      <c r="B354" s="1">
        <v>353</v>
      </c>
      <c r="C354" s="1" t="s">
        <v>385</v>
      </c>
      <c r="D354">
        <f>IMAGE("https://raw.githubusercontent.com/stautonico/pokemon-home-pokedex/main/sprites/shuppet.png", 2)</f>
        <v>0</v>
      </c>
      <c r="E354" s="29" t="s">
        <v>30</v>
      </c>
      <c r="F354" s="34" t="s">
        <v>22</v>
      </c>
    </row>
    <row r="355" spans="1:6" ht="72" customHeight="1">
      <c r="A355" s="1" t="s">
        <v>31</v>
      </c>
      <c r="B355" s="1">
        <v>354</v>
      </c>
      <c r="C355" s="1" t="s">
        <v>386</v>
      </c>
      <c r="D355">
        <f>IMAGE("https://raw.githubusercontent.com/stautonico/pokemon-home-pokedex/main/sprites/banette.png", 2)</f>
        <v>0</v>
      </c>
      <c r="E355" s="29" t="s">
        <v>30</v>
      </c>
      <c r="F355" s="34" t="s">
        <v>22</v>
      </c>
    </row>
    <row r="356" spans="1:6" ht="72" customHeight="1">
      <c r="A356" s="1" t="s">
        <v>31</v>
      </c>
      <c r="B356" s="1">
        <v>355</v>
      </c>
      <c r="C356" s="1" t="s">
        <v>387</v>
      </c>
      <c r="D356">
        <f>IMAGE("https://raw.githubusercontent.com/stautonico/pokemon-home-pokedex/main/sprites/duskull.png", 2)</f>
        <v>0</v>
      </c>
      <c r="E356" s="4" t="s">
        <v>14</v>
      </c>
      <c r="F356" s="5"/>
    </row>
    <row r="357" spans="1:6" ht="72" customHeight="1">
      <c r="A357" s="1" t="s">
        <v>31</v>
      </c>
      <c r="B357" s="1">
        <v>356</v>
      </c>
      <c r="C357" s="1" t="s">
        <v>388</v>
      </c>
      <c r="D357">
        <f>IMAGE("https://raw.githubusercontent.com/stautonico/pokemon-home-pokedex/main/sprites/dusclops.png", 2)</f>
        <v>0</v>
      </c>
      <c r="E357" s="4" t="s">
        <v>14</v>
      </c>
      <c r="F357" s="5"/>
    </row>
    <row r="358" spans="1:6" ht="72" customHeight="1">
      <c r="A358" s="1" t="s">
        <v>31</v>
      </c>
      <c r="B358" s="1">
        <v>357</v>
      </c>
      <c r="C358" s="1" t="s">
        <v>389</v>
      </c>
      <c r="D358">
        <f>IMAGE("https://raw.githubusercontent.com/stautonico/pokemon-home-pokedex/main/sprites/tropius.png", 2)</f>
        <v>0</v>
      </c>
      <c r="E358" s="29" t="s">
        <v>30</v>
      </c>
      <c r="F358" s="34" t="s">
        <v>22</v>
      </c>
    </row>
    <row r="359" spans="1:6" ht="72" customHeight="1">
      <c r="A359" s="1" t="s">
        <v>31</v>
      </c>
      <c r="B359" s="1">
        <v>358</v>
      </c>
      <c r="C359" s="1" t="s">
        <v>390</v>
      </c>
      <c r="D359">
        <f>IMAGE("https://raw.githubusercontent.com/stautonico/pokemon-home-pokedex/main/sprites/chimecho.png", 2)</f>
        <v>0</v>
      </c>
      <c r="E359" s="34" t="s">
        <v>22</v>
      </c>
      <c r="F359" s="5"/>
    </row>
    <row r="360" spans="1:6" ht="72" customHeight="1">
      <c r="A360" s="1" t="s">
        <v>31</v>
      </c>
      <c r="B360" s="1">
        <v>359</v>
      </c>
      <c r="C360" s="1" t="s">
        <v>391</v>
      </c>
      <c r="D360">
        <f>IMAGE("https://raw.githubusercontent.com/stautonico/pokemon-home-pokedex/main/sprites/absol.png", 2)</f>
        <v>0</v>
      </c>
      <c r="E360" s="34" t="s">
        <v>22</v>
      </c>
      <c r="F360" s="5"/>
    </row>
    <row r="361" spans="1:6" ht="72" customHeight="1">
      <c r="A361" s="1" t="s">
        <v>31</v>
      </c>
      <c r="B361" s="1">
        <v>360</v>
      </c>
      <c r="C361" s="1" t="s">
        <v>392</v>
      </c>
      <c r="D361">
        <f>IMAGE("https://raw.githubusercontent.com/stautonico/pokemon-home-pokedex/main/sprites/wynaut.png", 2)</f>
        <v>0</v>
      </c>
      <c r="E361" s="4" t="s">
        <v>14</v>
      </c>
      <c r="F361" s="5"/>
    </row>
    <row r="362" spans="1:6" ht="72" customHeight="1">
      <c r="A362" s="1" t="s">
        <v>31</v>
      </c>
      <c r="B362" s="1">
        <v>361</v>
      </c>
      <c r="C362" s="1" t="s">
        <v>393</v>
      </c>
      <c r="D362">
        <f>IMAGE("https://raw.githubusercontent.com/stautonico/pokemon-home-pokedex/main/sprites/snorunt.png", 2)</f>
        <v>0</v>
      </c>
      <c r="E362" s="29" t="s">
        <v>30</v>
      </c>
      <c r="F362" s="4" t="s">
        <v>14</v>
      </c>
    </row>
    <row r="363" spans="1:6" ht="72" customHeight="1">
      <c r="A363" s="1" t="s">
        <v>31</v>
      </c>
      <c r="B363" s="1">
        <v>362</v>
      </c>
      <c r="C363" s="1" t="s">
        <v>394</v>
      </c>
      <c r="D363">
        <f>IMAGE("https://raw.githubusercontent.com/stautonico/pokemon-home-pokedex/main/sprites/glalie.png", 2)</f>
        <v>0</v>
      </c>
      <c r="E363" s="29" t="s">
        <v>30</v>
      </c>
      <c r="F363" s="4" t="s">
        <v>14</v>
      </c>
    </row>
    <row r="364" spans="1:6" ht="72" customHeight="1">
      <c r="A364" s="1" t="s">
        <v>31</v>
      </c>
      <c r="B364" s="1">
        <v>363</v>
      </c>
      <c r="C364" s="1" t="s">
        <v>395</v>
      </c>
      <c r="D364">
        <f>IMAGE("https://raw.githubusercontent.com/stautonico/pokemon-home-pokedex/main/sprites/spheal.png", 2)</f>
        <v>0</v>
      </c>
      <c r="E364" s="34" t="s">
        <v>22</v>
      </c>
      <c r="F364" s="5"/>
    </row>
    <row r="365" spans="1:6" ht="72" customHeight="1">
      <c r="A365" s="1" t="s">
        <v>31</v>
      </c>
      <c r="B365" s="1">
        <v>364</v>
      </c>
      <c r="C365" s="1" t="s">
        <v>396</v>
      </c>
      <c r="D365">
        <f>IMAGE("https://raw.githubusercontent.com/stautonico/pokemon-home-pokedex/main/sprites/sealeo.png", 2)</f>
        <v>0</v>
      </c>
      <c r="E365" s="34" t="s">
        <v>22</v>
      </c>
      <c r="F365" s="5"/>
    </row>
    <row r="366" spans="1:6" ht="72" customHeight="1">
      <c r="A366" s="1" t="s">
        <v>31</v>
      </c>
      <c r="B366" s="1">
        <v>365</v>
      </c>
      <c r="C366" s="1" t="s">
        <v>397</v>
      </c>
      <c r="D366">
        <f>IMAGE("https://raw.githubusercontent.com/stautonico/pokemon-home-pokedex/main/sprites/walrein.png", 2)</f>
        <v>0</v>
      </c>
      <c r="E366" s="34" t="s">
        <v>22</v>
      </c>
      <c r="F366" s="5"/>
    </row>
    <row r="367" spans="1:6" ht="72" customHeight="1">
      <c r="A367" s="1" t="s">
        <v>31</v>
      </c>
      <c r="B367" s="1">
        <v>366</v>
      </c>
      <c r="C367" s="1" t="s">
        <v>398</v>
      </c>
      <c r="D367">
        <f>IMAGE("https://raw.githubusercontent.com/stautonico/pokemon-home-pokedex/main/sprites/clamperl.png", 2)</f>
        <v>0</v>
      </c>
      <c r="E367" s="32" t="s">
        <v>18</v>
      </c>
      <c r="F367" s="34" t="s">
        <v>22</v>
      </c>
    </row>
    <row r="368" spans="1:6" ht="72" customHeight="1">
      <c r="A368" s="1" t="s">
        <v>31</v>
      </c>
      <c r="B368" s="1">
        <v>367</v>
      </c>
      <c r="C368" s="1" t="s">
        <v>399</v>
      </c>
      <c r="D368">
        <f>IMAGE("https://raw.githubusercontent.com/stautonico/pokemon-home-pokedex/main/sprites/huntail.png", 2)</f>
        <v>0</v>
      </c>
      <c r="E368" s="32" t="s">
        <v>18</v>
      </c>
      <c r="F368" s="34" t="s">
        <v>22</v>
      </c>
    </row>
    <row r="369" spans="1:6" ht="72" customHeight="1">
      <c r="A369" s="1" t="s">
        <v>31</v>
      </c>
      <c r="B369" s="1">
        <v>368</v>
      </c>
      <c r="C369" s="1" t="s">
        <v>400</v>
      </c>
      <c r="D369">
        <f>IMAGE("https://raw.githubusercontent.com/stautonico/pokemon-home-pokedex/main/sprites/gorebyss.png", 2)</f>
        <v>0</v>
      </c>
      <c r="E369" s="32" t="s">
        <v>18</v>
      </c>
      <c r="F369" s="34" t="s">
        <v>22</v>
      </c>
    </row>
    <row r="370" spans="1:6" ht="72" customHeight="1">
      <c r="A370" s="1" t="s">
        <v>31</v>
      </c>
      <c r="B370" s="1">
        <v>369</v>
      </c>
      <c r="C370" s="1" t="s">
        <v>401</v>
      </c>
      <c r="D370">
        <f>IMAGE("https://raw.githubusercontent.com/stautonico/pokemon-home-pokedex/main/sprites/relicanth.png", 2)</f>
        <v>0</v>
      </c>
      <c r="E370" s="34" t="s">
        <v>22</v>
      </c>
      <c r="F370" s="5"/>
    </row>
    <row r="371" spans="1:6" ht="72" customHeight="1">
      <c r="A371" s="1" t="s">
        <v>31</v>
      </c>
      <c r="B371" s="1">
        <v>370</v>
      </c>
      <c r="C371" s="1" t="s">
        <v>402</v>
      </c>
      <c r="D371">
        <f>IMAGE("https://raw.githubusercontent.com/stautonico/pokemon-home-pokedex/main/sprites/luvdisc.png", 2)</f>
        <v>0</v>
      </c>
      <c r="E371" s="29" t="s">
        <v>30</v>
      </c>
      <c r="F371" s="34" t="s">
        <v>22</v>
      </c>
    </row>
    <row r="372" spans="1:6" ht="72" customHeight="1">
      <c r="A372" s="1" t="s">
        <v>31</v>
      </c>
      <c r="B372" s="1">
        <v>371</v>
      </c>
      <c r="C372" s="1" t="s">
        <v>403</v>
      </c>
      <c r="D372">
        <f>IMAGE("https://raw.githubusercontent.com/stautonico/pokemon-home-pokedex/main/sprites/bagon.png", 2)</f>
        <v>0</v>
      </c>
      <c r="E372" s="37" t="s">
        <v>29</v>
      </c>
      <c r="F372" s="34" t="s">
        <v>22</v>
      </c>
    </row>
    <row r="373" spans="1:6" ht="72" customHeight="1">
      <c r="A373" s="1" t="s">
        <v>31</v>
      </c>
      <c r="B373" s="1">
        <v>372</v>
      </c>
      <c r="C373" s="1" t="s">
        <v>404</v>
      </c>
      <c r="D373">
        <f>IMAGE("https://raw.githubusercontent.com/stautonico/pokemon-home-pokedex/main/sprites/shelgon.png", 2)</f>
        <v>0</v>
      </c>
      <c r="E373" s="37" t="s">
        <v>29</v>
      </c>
      <c r="F373" s="34" t="s">
        <v>22</v>
      </c>
    </row>
    <row r="374" spans="1:6" ht="72" customHeight="1">
      <c r="A374" s="1" t="s">
        <v>31</v>
      </c>
      <c r="B374" s="1">
        <v>373</v>
      </c>
      <c r="C374" s="1" t="s">
        <v>405</v>
      </c>
      <c r="D374">
        <f>IMAGE("https://raw.githubusercontent.com/stautonico/pokemon-home-pokedex/main/sprites/salamence.png", 2)</f>
        <v>0</v>
      </c>
      <c r="E374" s="37" t="s">
        <v>29</v>
      </c>
      <c r="F374" s="34" t="s">
        <v>22</v>
      </c>
    </row>
    <row r="375" spans="1:6" ht="72" customHeight="1">
      <c r="A375" s="1" t="s">
        <v>31</v>
      </c>
      <c r="B375" s="1">
        <v>374</v>
      </c>
      <c r="C375" s="1" t="s">
        <v>406</v>
      </c>
      <c r="D375">
        <f>IMAGE("https://raw.githubusercontent.com/stautonico/pokemon-home-pokedex/main/sprites/beldum.png", 2)</f>
        <v>0</v>
      </c>
      <c r="E375" s="34" t="s">
        <v>22</v>
      </c>
      <c r="F375" s="5"/>
    </row>
    <row r="376" spans="1:6" ht="72" customHeight="1">
      <c r="A376" s="1" t="s">
        <v>31</v>
      </c>
      <c r="B376" s="1">
        <v>375</v>
      </c>
      <c r="C376" s="1" t="s">
        <v>407</v>
      </c>
      <c r="D376">
        <f>IMAGE("https://raw.githubusercontent.com/stautonico/pokemon-home-pokedex/main/sprites/metang.png", 2)</f>
        <v>0</v>
      </c>
      <c r="E376" s="34" t="s">
        <v>22</v>
      </c>
      <c r="F376" s="5"/>
    </row>
    <row r="377" spans="1:6" ht="72" customHeight="1">
      <c r="A377" s="1" t="s">
        <v>31</v>
      </c>
      <c r="B377" s="1">
        <v>376</v>
      </c>
      <c r="C377" s="1" t="s">
        <v>408</v>
      </c>
      <c r="D377">
        <f>IMAGE("https://raw.githubusercontent.com/stautonico/pokemon-home-pokedex/main/sprites/metagross.png", 2)</f>
        <v>0</v>
      </c>
      <c r="E377" s="34" t="s">
        <v>22</v>
      </c>
      <c r="F377" s="5"/>
    </row>
    <row r="378" spans="1:6" ht="72" customHeight="1">
      <c r="A378" s="1" t="s">
        <v>31</v>
      </c>
      <c r="B378" s="1">
        <v>377</v>
      </c>
      <c r="C378" s="1" t="s">
        <v>409</v>
      </c>
      <c r="D378">
        <f>IMAGE("https://raw.githubusercontent.com/stautonico/pokemon-home-pokedex/main/sprites/regirock.png", 2)</f>
        <v>0</v>
      </c>
      <c r="E378" s="34" t="s">
        <v>22</v>
      </c>
      <c r="F378" s="5"/>
    </row>
    <row r="379" spans="1:6" ht="72" customHeight="1">
      <c r="A379" s="1" t="s">
        <v>31</v>
      </c>
      <c r="B379" s="1">
        <v>378</v>
      </c>
      <c r="C379" s="1" t="s">
        <v>410</v>
      </c>
      <c r="D379">
        <f>IMAGE("https://raw.githubusercontent.com/stautonico/pokemon-home-pokedex/main/sprites/regice.png", 2)</f>
        <v>0</v>
      </c>
      <c r="E379" s="34" t="s">
        <v>22</v>
      </c>
      <c r="F379" s="5"/>
    </row>
    <row r="380" spans="1:6" ht="72" customHeight="1">
      <c r="A380" s="1" t="s">
        <v>31</v>
      </c>
      <c r="B380" s="1">
        <v>379</v>
      </c>
      <c r="C380" s="1" t="s">
        <v>411</v>
      </c>
      <c r="D380">
        <f>IMAGE("https://raw.githubusercontent.com/stautonico/pokemon-home-pokedex/main/sprites/registeel.png", 2)</f>
        <v>0</v>
      </c>
      <c r="E380" s="34" t="s">
        <v>22</v>
      </c>
      <c r="F380" s="5"/>
    </row>
    <row r="381" spans="1:6" ht="72" customHeight="1">
      <c r="A381" s="1" t="s">
        <v>31</v>
      </c>
      <c r="B381" s="1">
        <v>380</v>
      </c>
      <c r="C381" s="1" t="s">
        <v>412</v>
      </c>
      <c r="D381">
        <f>IMAGE("https://raw.githubusercontent.com/stautonico/pokemon-home-pokedex/main/sprites/latias.png", 2)</f>
        <v>0</v>
      </c>
      <c r="E381" s="34" t="s">
        <v>22</v>
      </c>
      <c r="F381" s="5"/>
    </row>
    <row r="382" spans="1:6" ht="72" customHeight="1">
      <c r="A382" s="1" t="s">
        <v>31</v>
      </c>
      <c r="B382" s="1">
        <v>381</v>
      </c>
      <c r="C382" s="1" t="s">
        <v>413</v>
      </c>
      <c r="D382">
        <f>IMAGE("https://raw.githubusercontent.com/stautonico/pokemon-home-pokedex/main/sprites/latios.png", 2)</f>
        <v>0</v>
      </c>
      <c r="E382" s="34" t="s">
        <v>22</v>
      </c>
      <c r="F382" s="5"/>
    </row>
    <row r="383" spans="1:6" ht="72" customHeight="1">
      <c r="A383" s="1" t="s">
        <v>31</v>
      </c>
      <c r="B383" s="1">
        <v>382</v>
      </c>
      <c r="C383" s="1" t="s">
        <v>414</v>
      </c>
      <c r="D383">
        <f>IMAGE("https://raw.githubusercontent.com/stautonico/pokemon-home-pokedex/main/sprites/kyogre.png", 2)</f>
        <v>0</v>
      </c>
      <c r="E383" s="34" t="s">
        <v>22</v>
      </c>
      <c r="F383" s="5"/>
    </row>
    <row r="384" spans="1:6" ht="72" customHeight="1">
      <c r="A384" s="1" t="s">
        <v>31</v>
      </c>
      <c r="B384" s="1">
        <v>383</v>
      </c>
      <c r="C384" s="1" t="s">
        <v>415</v>
      </c>
      <c r="D384">
        <f>IMAGE("https://raw.githubusercontent.com/stautonico/pokemon-home-pokedex/main/sprites/groudon.png", 2)</f>
        <v>0</v>
      </c>
      <c r="E384" s="34" t="s">
        <v>22</v>
      </c>
      <c r="F384" s="5"/>
    </row>
    <row r="385" spans="1:6" ht="72" customHeight="1">
      <c r="A385" s="1" t="s">
        <v>31</v>
      </c>
      <c r="B385" s="1">
        <v>384</v>
      </c>
      <c r="C385" s="1" t="s">
        <v>416</v>
      </c>
      <c r="D385">
        <f>IMAGE("https://raw.githubusercontent.com/stautonico/pokemon-home-pokedex/main/sprites/rayquaza.png", 2)</f>
        <v>0</v>
      </c>
      <c r="E385" s="34" t="s">
        <v>22</v>
      </c>
      <c r="F385" s="5"/>
    </row>
    <row r="386" spans="1:6" ht="72" customHeight="1">
      <c r="A386" s="1" t="s">
        <v>31</v>
      </c>
      <c r="B386" s="1">
        <v>385</v>
      </c>
      <c r="C386" s="1" t="s">
        <v>417</v>
      </c>
      <c r="D386">
        <f>IMAGE("https://raw.githubusercontent.com/stautonico/pokemon-home-pokedex/main/sprites/jirachi.png", 2)</f>
        <v>0</v>
      </c>
      <c r="E386" s="39" t="s">
        <v>25</v>
      </c>
      <c r="F386" s="5"/>
    </row>
    <row r="387" spans="1:6" ht="72" customHeight="1">
      <c r="A387" s="1" t="s">
        <v>31</v>
      </c>
      <c r="B387" s="1">
        <v>386</v>
      </c>
      <c r="C387" s="1" t="s">
        <v>418</v>
      </c>
      <c r="D387">
        <f>IMAGE("https://raw.githubusercontent.com/stautonico/pokemon-home-pokedex/main/sprites/deoxys.png", 2)</f>
        <v>0</v>
      </c>
      <c r="E387" s="34" t="s">
        <v>22</v>
      </c>
      <c r="F387" s="5"/>
    </row>
    <row r="388" spans="1:6" ht="72" customHeight="1">
      <c r="A388" s="1" t="s">
        <v>31</v>
      </c>
      <c r="B388" s="1">
        <v>387</v>
      </c>
      <c r="C388" s="1" t="s">
        <v>419</v>
      </c>
      <c r="D388">
        <f>IMAGE("https://raw.githubusercontent.com/stautonico/pokemon-home-pokedex/main/sprites/turtwig.png", 2)</f>
        <v>0</v>
      </c>
      <c r="E388" s="32" t="s">
        <v>18</v>
      </c>
      <c r="F388" s="5"/>
    </row>
    <row r="389" spans="1:6" ht="72" customHeight="1">
      <c r="A389" s="1" t="s">
        <v>31</v>
      </c>
      <c r="B389" s="1">
        <v>388</v>
      </c>
      <c r="C389" s="1" t="s">
        <v>420</v>
      </c>
      <c r="D389">
        <f>IMAGE("https://raw.githubusercontent.com/stautonico/pokemon-home-pokedex/main/sprites/grotle.png", 2)</f>
        <v>0</v>
      </c>
      <c r="E389" s="32" t="s">
        <v>18</v>
      </c>
      <c r="F389" s="5"/>
    </row>
    <row r="390" spans="1:6" ht="72" customHeight="1">
      <c r="A390" s="1" t="s">
        <v>31</v>
      </c>
      <c r="B390" s="1">
        <v>389</v>
      </c>
      <c r="C390" s="1" t="s">
        <v>421</v>
      </c>
      <c r="D390">
        <f>IMAGE("https://raw.githubusercontent.com/stautonico/pokemon-home-pokedex/main/sprites/torterra.png", 2)</f>
        <v>0</v>
      </c>
      <c r="E390" s="32" t="s">
        <v>18</v>
      </c>
      <c r="F390" s="5"/>
    </row>
    <row r="391" spans="1:6" ht="72" customHeight="1">
      <c r="A391" s="1" t="s">
        <v>31</v>
      </c>
      <c r="B391" s="1">
        <v>390</v>
      </c>
      <c r="C391" s="1" t="s">
        <v>422</v>
      </c>
      <c r="D391">
        <f>IMAGE("https://raw.githubusercontent.com/stautonico/pokemon-home-pokedex/main/sprites/chimchar.png", 2)</f>
        <v>0</v>
      </c>
      <c r="E391" s="32" t="s">
        <v>18</v>
      </c>
      <c r="F391" s="5"/>
    </row>
    <row r="392" spans="1:6" ht="72" customHeight="1">
      <c r="A392" s="1" t="s">
        <v>31</v>
      </c>
      <c r="B392" s="1">
        <v>391</v>
      </c>
      <c r="C392" s="1" t="s">
        <v>423</v>
      </c>
      <c r="D392">
        <f>IMAGE("https://raw.githubusercontent.com/stautonico/pokemon-home-pokedex/main/sprites/monferno.png", 2)</f>
        <v>0</v>
      </c>
      <c r="E392" s="32" t="s">
        <v>18</v>
      </c>
      <c r="F392" s="5"/>
    </row>
    <row r="393" spans="1:6" ht="72" customHeight="1">
      <c r="A393" s="1" t="s">
        <v>31</v>
      </c>
      <c r="B393" s="1">
        <v>392</v>
      </c>
      <c r="C393" s="1" t="s">
        <v>424</v>
      </c>
      <c r="D393">
        <f>IMAGE("https://raw.githubusercontent.com/stautonico/pokemon-home-pokedex/main/sprites/infernape.png", 2)</f>
        <v>0</v>
      </c>
      <c r="E393" s="32" t="s">
        <v>18</v>
      </c>
      <c r="F393" s="5"/>
    </row>
    <row r="394" spans="1:6" ht="72" customHeight="1">
      <c r="A394" s="1" t="s">
        <v>31</v>
      </c>
      <c r="B394" s="1">
        <v>393</v>
      </c>
      <c r="C394" s="1" t="s">
        <v>425</v>
      </c>
      <c r="D394">
        <f>IMAGE("https://raw.githubusercontent.com/stautonico/pokemon-home-pokedex/main/sprites/piplup.png", 2)</f>
        <v>0</v>
      </c>
      <c r="E394" s="32" t="s">
        <v>18</v>
      </c>
      <c r="F394" s="5"/>
    </row>
    <row r="395" spans="1:6" ht="72" customHeight="1">
      <c r="A395" s="1" t="s">
        <v>31</v>
      </c>
      <c r="B395" s="1">
        <v>394</v>
      </c>
      <c r="C395" s="1" t="s">
        <v>426</v>
      </c>
      <c r="D395">
        <f>IMAGE("https://raw.githubusercontent.com/stautonico/pokemon-home-pokedex/main/sprites/prinplup.png", 2)</f>
        <v>0</v>
      </c>
      <c r="E395" s="32" t="s">
        <v>18</v>
      </c>
      <c r="F395" s="5"/>
    </row>
    <row r="396" spans="1:6" ht="72" customHeight="1">
      <c r="A396" s="1" t="s">
        <v>31</v>
      </c>
      <c r="B396" s="1">
        <v>395</v>
      </c>
      <c r="C396" s="1" t="s">
        <v>427</v>
      </c>
      <c r="D396">
        <f>IMAGE("https://raw.githubusercontent.com/stautonico/pokemon-home-pokedex/main/sprites/empoleon.png", 2)</f>
        <v>0</v>
      </c>
      <c r="E396" s="32" t="s">
        <v>18</v>
      </c>
      <c r="F396" s="5"/>
    </row>
    <row r="397" spans="1:6" ht="72" customHeight="1">
      <c r="A397" s="1" t="s">
        <v>31</v>
      </c>
      <c r="B397" s="1">
        <v>396</v>
      </c>
      <c r="C397" s="1" t="s">
        <v>428</v>
      </c>
      <c r="D397">
        <f>IMAGE("https://raw.githubusercontent.com/stautonico/pokemon-home-pokedex/main/sprites/starly.png", 2)</f>
        <v>0</v>
      </c>
      <c r="E397" s="29" t="s">
        <v>30</v>
      </c>
      <c r="F397" s="25" t="s">
        <v>17</v>
      </c>
    </row>
    <row r="398" spans="1:6" ht="72" customHeight="1">
      <c r="A398" s="1" t="s">
        <v>31</v>
      </c>
      <c r="B398" s="1">
        <v>397</v>
      </c>
      <c r="C398" s="1" t="s">
        <v>429</v>
      </c>
      <c r="D398">
        <f>IMAGE("https://raw.githubusercontent.com/stautonico/pokemon-home-pokedex/main/sprites/staravia.png", 2)</f>
        <v>0</v>
      </c>
      <c r="E398" s="29" t="s">
        <v>30</v>
      </c>
      <c r="F398" s="25" t="s">
        <v>17</v>
      </c>
    </row>
    <row r="399" spans="1:6" ht="72" customHeight="1">
      <c r="A399" s="1" t="s">
        <v>31</v>
      </c>
      <c r="B399" s="1">
        <v>398</v>
      </c>
      <c r="C399" s="1" t="s">
        <v>430</v>
      </c>
      <c r="D399">
        <f>IMAGE("https://raw.githubusercontent.com/stautonico/pokemon-home-pokedex/main/sprites/staraptor.png", 2)</f>
        <v>0</v>
      </c>
      <c r="E399" s="29" t="s">
        <v>30</v>
      </c>
      <c r="F399" s="25" t="s">
        <v>17</v>
      </c>
    </row>
    <row r="400" spans="1:6" ht="72" customHeight="1">
      <c r="A400" s="1" t="s">
        <v>31</v>
      </c>
      <c r="B400" s="1">
        <v>399</v>
      </c>
      <c r="C400" s="1" t="s">
        <v>431</v>
      </c>
      <c r="D400">
        <f>IMAGE("https://raw.githubusercontent.com/stautonico/pokemon-home-pokedex/main/sprites/bidoof.png", 2)</f>
        <v>0</v>
      </c>
      <c r="E400" s="25" t="s">
        <v>17</v>
      </c>
      <c r="F400" s="5"/>
    </row>
    <row r="401" spans="1:6" ht="72" customHeight="1">
      <c r="A401" s="1" t="s">
        <v>31</v>
      </c>
      <c r="B401" s="1">
        <v>400</v>
      </c>
      <c r="C401" s="1" t="s">
        <v>432</v>
      </c>
      <c r="D401">
        <f>IMAGE("https://raw.githubusercontent.com/stautonico/pokemon-home-pokedex/main/sprites/bibarel.png", 2)</f>
        <v>0</v>
      </c>
      <c r="E401" s="25" t="s">
        <v>17</v>
      </c>
      <c r="F401" s="5"/>
    </row>
    <row r="402" spans="1:6" ht="72" customHeight="1">
      <c r="A402" s="1" t="s">
        <v>31</v>
      </c>
      <c r="B402" s="1">
        <v>401</v>
      </c>
      <c r="C402" s="1" t="s">
        <v>433</v>
      </c>
      <c r="D402">
        <f>IMAGE("https://raw.githubusercontent.com/stautonico/pokemon-home-pokedex/main/sprites/kricketot.png", 2)</f>
        <v>0</v>
      </c>
      <c r="E402" s="29" t="s">
        <v>30</v>
      </c>
      <c r="F402" s="40" t="s">
        <v>23</v>
      </c>
    </row>
    <row r="403" spans="1:6" ht="72" customHeight="1">
      <c r="A403" s="1" t="s">
        <v>31</v>
      </c>
      <c r="B403" s="1">
        <v>402</v>
      </c>
      <c r="C403" s="1" t="s">
        <v>434</v>
      </c>
      <c r="D403">
        <f>IMAGE("https://raw.githubusercontent.com/stautonico/pokemon-home-pokedex/main/sprites/kricketune.png", 2)</f>
        <v>0</v>
      </c>
      <c r="E403" s="29" t="s">
        <v>30</v>
      </c>
      <c r="F403" s="40" t="s">
        <v>23</v>
      </c>
    </row>
    <row r="404" spans="1:6" ht="72" customHeight="1">
      <c r="A404" s="1" t="s">
        <v>31</v>
      </c>
      <c r="B404" s="1">
        <v>403</v>
      </c>
      <c r="C404" s="1" t="s">
        <v>435</v>
      </c>
      <c r="D404">
        <f>IMAGE("https://raw.githubusercontent.com/stautonico/pokemon-home-pokedex/main/sprites/shinx.png", 2)</f>
        <v>0</v>
      </c>
      <c r="E404" s="29" t="s">
        <v>30</v>
      </c>
      <c r="F404" s="3" t="s">
        <v>12</v>
      </c>
    </row>
    <row r="405" spans="1:6" ht="72" customHeight="1">
      <c r="A405" s="1" t="s">
        <v>31</v>
      </c>
      <c r="B405" s="1">
        <v>404</v>
      </c>
      <c r="C405" s="1" t="s">
        <v>436</v>
      </c>
      <c r="D405">
        <f>IMAGE("https://raw.githubusercontent.com/stautonico/pokemon-home-pokedex/main/sprites/luxio.png", 2)</f>
        <v>0</v>
      </c>
      <c r="E405" s="29" t="s">
        <v>30</v>
      </c>
      <c r="F405" s="3" t="s">
        <v>12</v>
      </c>
    </row>
    <row r="406" spans="1:6" ht="72" customHeight="1">
      <c r="A406" s="1" t="s">
        <v>31</v>
      </c>
      <c r="B406" s="1">
        <v>405</v>
      </c>
      <c r="C406" s="1" t="s">
        <v>437</v>
      </c>
      <c r="D406">
        <f>IMAGE("https://raw.githubusercontent.com/stautonico/pokemon-home-pokedex/main/sprites/luxray.png", 2)</f>
        <v>0</v>
      </c>
      <c r="E406" s="29" t="s">
        <v>30</v>
      </c>
      <c r="F406" s="3" t="s">
        <v>12</v>
      </c>
    </row>
    <row r="407" spans="1:6" ht="72" customHeight="1">
      <c r="A407" s="1" t="s">
        <v>31</v>
      </c>
      <c r="B407" s="1">
        <v>406</v>
      </c>
      <c r="C407" s="1" t="s">
        <v>438</v>
      </c>
      <c r="D407">
        <f>IMAGE("https://raw.githubusercontent.com/stautonico/pokemon-home-pokedex/main/sprites/budew.png", 2)</f>
        <v>0</v>
      </c>
      <c r="E407" s="4" t="s">
        <v>14</v>
      </c>
      <c r="F407" s="5"/>
    </row>
    <row r="408" spans="1:6" ht="72" customHeight="1">
      <c r="A408" s="1" t="s">
        <v>31</v>
      </c>
      <c r="B408" s="1">
        <v>407</v>
      </c>
      <c r="C408" s="1" t="s">
        <v>439</v>
      </c>
      <c r="D408">
        <f>IMAGE("https://raw.githubusercontent.com/stautonico/pokemon-home-pokedex/main/sprites/roserade.png", 2)</f>
        <v>0</v>
      </c>
      <c r="E408" s="4" t="s">
        <v>14</v>
      </c>
      <c r="F408" s="5"/>
    </row>
    <row r="409" spans="1:6" ht="72" customHeight="1">
      <c r="A409" s="1" t="s">
        <v>31</v>
      </c>
      <c r="B409" s="1">
        <v>408</v>
      </c>
      <c r="C409" s="1" t="s">
        <v>440</v>
      </c>
      <c r="D409">
        <f>IMAGE("https://raw.githubusercontent.com/stautonico/pokemon-home-pokedex/main/sprites/cranidos.png", 2)</f>
        <v>0</v>
      </c>
      <c r="E409" s="41" t="s">
        <v>20</v>
      </c>
      <c r="F409" s="5"/>
    </row>
    <row r="410" spans="1:6" ht="72" customHeight="1">
      <c r="A410" s="1" t="s">
        <v>31</v>
      </c>
      <c r="B410" s="1">
        <v>409</v>
      </c>
      <c r="C410" s="1" t="s">
        <v>441</v>
      </c>
      <c r="D410">
        <f>IMAGE("https://raw.githubusercontent.com/stautonico/pokemon-home-pokedex/main/sprites/rampardos.png", 2)</f>
        <v>0</v>
      </c>
      <c r="E410" s="41" t="s">
        <v>20</v>
      </c>
      <c r="F410" s="5"/>
    </row>
    <row r="411" spans="1:6" ht="72" customHeight="1">
      <c r="A411" s="1" t="s">
        <v>31</v>
      </c>
      <c r="B411" s="1">
        <v>410</v>
      </c>
      <c r="C411" s="1" t="s">
        <v>442</v>
      </c>
      <c r="D411">
        <f>IMAGE("https://raw.githubusercontent.com/stautonico/pokemon-home-pokedex/main/sprites/shieldon.png", 2)</f>
        <v>0</v>
      </c>
      <c r="E411" s="42" t="s">
        <v>21</v>
      </c>
      <c r="F411" s="5"/>
    </row>
    <row r="412" spans="1:6" ht="72" customHeight="1">
      <c r="A412" s="1" t="s">
        <v>31</v>
      </c>
      <c r="B412" s="1">
        <v>411</v>
      </c>
      <c r="C412" s="1" t="s">
        <v>443</v>
      </c>
      <c r="D412">
        <f>IMAGE("https://raw.githubusercontent.com/stautonico/pokemon-home-pokedex/main/sprites/bastiodon.png", 2)</f>
        <v>0</v>
      </c>
      <c r="E412" s="42" t="s">
        <v>21</v>
      </c>
      <c r="F412" s="5"/>
    </row>
    <row r="413" spans="1:6" ht="72" customHeight="1">
      <c r="A413" s="1" t="s">
        <v>31</v>
      </c>
      <c r="B413" s="1">
        <v>412</v>
      </c>
      <c r="C413" s="1" t="s">
        <v>444</v>
      </c>
      <c r="D413">
        <f>IMAGE("https://raw.githubusercontent.com/stautonico/pokemon-home-pokedex/main/sprites/burmy.png", 2)</f>
        <v>0</v>
      </c>
      <c r="E413" s="25" t="s">
        <v>17</v>
      </c>
      <c r="F413" s="5"/>
    </row>
    <row r="414" spans="1:6" ht="72" customHeight="1">
      <c r="A414" s="1" t="s">
        <v>31</v>
      </c>
      <c r="B414" s="1">
        <v>413</v>
      </c>
      <c r="C414" s="1" t="s">
        <v>445</v>
      </c>
      <c r="D414">
        <f>IMAGE("https://raw.githubusercontent.com/stautonico/pokemon-home-pokedex/main/sprites/wormadam.png", 2)</f>
        <v>0</v>
      </c>
      <c r="E414" s="25" t="s">
        <v>17</v>
      </c>
      <c r="F414" s="5"/>
    </row>
    <row r="415" spans="1:6" ht="72" customHeight="1">
      <c r="A415" s="1" t="s">
        <v>31</v>
      </c>
      <c r="B415" s="1">
        <v>414</v>
      </c>
      <c r="C415" s="1" t="s">
        <v>446</v>
      </c>
      <c r="D415">
        <f>IMAGE("https://raw.githubusercontent.com/stautonico/pokemon-home-pokedex/main/sprites/mothim.png", 2)</f>
        <v>0</v>
      </c>
      <c r="E415" s="25" t="s">
        <v>17</v>
      </c>
      <c r="F415" s="5"/>
    </row>
    <row r="416" spans="1:6" ht="72" customHeight="1">
      <c r="A416" s="1" t="s">
        <v>31</v>
      </c>
      <c r="B416" s="1">
        <v>415</v>
      </c>
      <c r="C416" s="1" t="s">
        <v>447</v>
      </c>
      <c r="D416">
        <f>IMAGE("https://raw.githubusercontent.com/stautonico/pokemon-home-pokedex/main/sprites/combee.png", 2)</f>
        <v>0</v>
      </c>
      <c r="E416" s="29" t="s">
        <v>30</v>
      </c>
      <c r="F416" s="4" t="s">
        <v>14</v>
      </c>
    </row>
    <row r="417" spans="1:6" ht="72" customHeight="1">
      <c r="A417" s="1" t="s">
        <v>31</v>
      </c>
      <c r="B417" s="1">
        <v>416</v>
      </c>
      <c r="C417" s="1" t="s">
        <v>448</v>
      </c>
      <c r="D417">
        <f>IMAGE("https://raw.githubusercontent.com/stautonico/pokemon-home-pokedex/main/sprites/vespiquen.png", 2)</f>
        <v>0</v>
      </c>
      <c r="E417" s="29" t="s">
        <v>30</v>
      </c>
      <c r="F417" s="4" t="s">
        <v>14</v>
      </c>
    </row>
    <row r="418" spans="1:6" ht="72" customHeight="1">
      <c r="A418" s="1" t="s">
        <v>31</v>
      </c>
      <c r="B418" s="1">
        <v>417</v>
      </c>
      <c r="C418" s="1" t="s">
        <v>449</v>
      </c>
      <c r="D418">
        <f>IMAGE("https://raw.githubusercontent.com/stautonico/pokemon-home-pokedex/main/sprites/pachirisu.png", 2)</f>
        <v>0</v>
      </c>
      <c r="E418" s="29" t="s">
        <v>30</v>
      </c>
      <c r="F418" s="25" t="s">
        <v>17</v>
      </c>
    </row>
    <row r="419" spans="1:6" ht="72" customHeight="1">
      <c r="A419" s="1" t="s">
        <v>31</v>
      </c>
      <c r="B419" s="1">
        <v>418</v>
      </c>
      <c r="C419" s="1" t="s">
        <v>450</v>
      </c>
      <c r="D419">
        <f>IMAGE("https://raw.githubusercontent.com/stautonico/pokemon-home-pokedex/main/sprites/buizel.png", 2)</f>
        <v>0</v>
      </c>
      <c r="E419" s="29" t="s">
        <v>30</v>
      </c>
      <c r="F419" s="25" t="s">
        <v>17</v>
      </c>
    </row>
    <row r="420" spans="1:6" ht="72" customHeight="1">
      <c r="A420" s="1" t="s">
        <v>31</v>
      </c>
      <c r="B420" s="1">
        <v>419</v>
      </c>
      <c r="C420" s="1" t="s">
        <v>451</v>
      </c>
      <c r="D420">
        <f>IMAGE("https://raw.githubusercontent.com/stautonico/pokemon-home-pokedex/main/sprites/floatzel.png", 2)</f>
        <v>0</v>
      </c>
      <c r="E420" s="29" t="s">
        <v>30</v>
      </c>
      <c r="F420" s="25" t="s">
        <v>17</v>
      </c>
    </row>
    <row r="421" spans="1:6" ht="72" customHeight="1">
      <c r="A421" s="1" t="s">
        <v>31</v>
      </c>
      <c r="B421" s="1">
        <v>420</v>
      </c>
      <c r="C421" s="1" t="s">
        <v>452</v>
      </c>
      <c r="D421">
        <f>IMAGE("https://raw.githubusercontent.com/stautonico/pokemon-home-pokedex/main/sprites/cherubi.png", 2)</f>
        <v>0</v>
      </c>
      <c r="E421" s="4" t="s">
        <v>14</v>
      </c>
      <c r="F421" s="5"/>
    </row>
    <row r="422" spans="1:6" ht="72" customHeight="1">
      <c r="A422" s="1" t="s">
        <v>31</v>
      </c>
      <c r="B422" s="1">
        <v>421</v>
      </c>
      <c r="C422" s="1" t="s">
        <v>453</v>
      </c>
      <c r="D422">
        <f>IMAGE("https://raw.githubusercontent.com/stautonico/pokemon-home-pokedex/main/sprites/cherrim.png", 2)</f>
        <v>0</v>
      </c>
      <c r="E422" s="4" t="s">
        <v>14</v>
      </c>
      <c r="F422" s="5"/>
    </row>
    <row r="423" spans="1:6" ht="72" customHeight="1">
      <c r="A423" s="1" t="s">
        <v>31</v>
      </c>
      <c r="B423" s="1">
        <v>422</v>
      </c>
      <c r="C423" s="1" t="s">
        <v>454</v>
      </c>
      <c r="D423">
        <f>IMAGE("https://raw.githubusercontent.com/stautonico/pokemon-home-pokedex/main/sprites/shellos.png", 2)</f>
        <v>0</v>
      </c>
      <c r="E423" s="29" t="s">
        <v>30</v>
      </c>
      <c r="F423" s="4" t="s">
        <v>14</v>
      </c>
    </row>
    <row r="424" spans="1:6" ht="72" customHeight="1">
      <c r="A424" s="1" t="s">
        <v>31</v>
      </c>
      <c r="B424" s="1">
        <v>423</v>
      </c>
      <c r="C424" s="1" t="s">
        <v>455</v>
      </c>
      <c r="D424">
        <f>IMAGE("https://raw.githubusercontent.com/stautonico/pokemon-home-pokedex/main/sprites/gastrodon.png", 2)</f>
        <v>0</v>
      </c>
      <c r="E424" s="29" t="s">
        <v>30</v>
      </c>
      <c r="F424" s="4" t="s">
        <v>14</v>
      </c>
    </row>
    <row r="425" spans="1:6" ht="72" customHeight="1">
      <c r="A425" s="1" t="s">
        <v>31</v>
      </c>
      <c r="B425" s="1">
        <v>424</v>
      </c>
      <c r="C425" s="1" t="s">
        <v>456</v>
      </c>
      <c r="D425">
        <f>IMAGE("https://raw.githubusercontent.com/stautonico/pokemon-home-pokedex/main/sprites/ambipom.png", 2)</f>
        <v>0</v>
      </c>
      <c r="E425" s="34" t="s">
        <v>22</v>
      </c>
      <c r="F425" s="5"/>
    </row>
    <row r="426" spans="1:6" ht="72" customHeight="1">
      <c r="A426" s="1" t="s">
        <v>31</v>
      </c>
      <c r="B426" s="1">
        <v>425</v>
      </c>
      <c r="C426" s="1" t="s">
        <v>457</v>
      </c>
      <c r="D426">
        <f>IMAGE("https://raw.githubusercontent.com/stautonico/pokemon-home-pokedex/main/sprites/drifloon.png", 2)</f>
        <v>0</v>
      </c>
      <c r="E426" s="38" t="s">
        <v>28</v>
      </c>
      <c r="F426" s="4" t="s">
        <v>14</v>
      </c>
    </row>
    <row r="427" spans="1:6" ht="72" customHeight="1">
      <c r="A427" s="1" t="s">
        <v>31</v>
      </c>
      <c r="B427" s="1">
        <v>426</v>
      </c>
      <c r="C427" s="1" t="s">
        <v>458</v>
      </c>
      <c r="D427">
        <f>IMAGE("https://raw.githubusercontent.com/stautonico/pokemon-home-pokedex/main/sprites/drifblim.png", 2)</f>
        <v>0</v>
      </c>
      <c r="E427" s="38" t="s">
        <v>28</v>
      </c>
      <c r="F427" s="4" t="s">
        <v>14</v>
      </c>
    </row>
    <row r="428" spans="1:6" ht="72" customHeight="1">
      <c r="A428" s="1" t="s">
        <v>31</v>
      </c>
      <c r="B428" s="1">
        <v>427</v>
      </c>
      <c r="C428" s="1" t="s">
        <v>459</v>
      </c>
      <c r="D428">
        <f>IMAGE("https://raw.githubusercontent.com/stautonico/pokemon-home-pokedex/main/sprites/buneary.png", 2)</f>
        <v>0</v>
      </c>
      <c r="E428" s="3" t="s">
        <v>12</v>
      </c>
      <c r="F428" s="32" t="s">
        <v>18</v>
      </c>
    </row>
    <row r="429" spans="1:6" ht="72" customHeight="1">
      <c r="A429" s="1" t="s">
        <v>31</v>
      </c>
      <c r="B429" s="1">
        <v>428</v>
      </c>
      <c r="C429" s="1" t="s">
        <v>460</v>
      </c>
      <c r="D429">
        <f>IMAGE("https://raw.githubusercontent.com/stautonico/pokemon-home-pokedex/main/sprites/lopunny.png", 2)</f>
        <v>0</v>
      </c>
      <c r="E429" s="3" t="s">
        <v>12</v>
      </c>
      <c r="F429" s="32" t="s">
        <v>18</v>
      </c>
    </row>
    <row r="430" spans="1:6" ht="72" customHeight="1">
      <c r="A430" s="1" t="s">
        <v>31</v>
      </c>
      <c r="B430" s="1">
        <v>429</v>
      </c>
      <c r="C430" s="1" t="s">
        <v>461</v>
      </c>
      <c r="D430">
        <f>IMAGE("https://raw.githubusercontent.com/stautonico/pokemon-home-pokedex/main/sprites/mismagius.png", 2)</f>
        <v>0</v>
      </c>
      <c r="E430" s="37" t="s">
        <v>29</v>
      </c>
      <c r="F430" s="32" t="s">
        <v>18</v>
      </c>
    </row>
    <row r="431" spans="1:6" ht="72" customHeight="1">
      <c r="A431" s="1" t="s">
        <v>31</v>
      </c>
      <c r="B431" s="1">
        <v>430</v>
      </c>
      <c r="C431" s="1" t="s">
        <v>462</v>
      </c>
      <c r="D431">
        <f>IMAGE("https://raw.githubusercontent.com/stautonico/pokemon-home-pokedex/main/sprites/honchkrow.png", 2)</f>
        <v>0</v>
      </c>
      <c r="E431" s="29" t="s">
        <v>30</v>
      </c>
      <c r="F431" s="25" t="s">
        <v>17</v>
      </c>
    </row>
    <row r="432" spans="1:6" ht="72" customHeight="1">
      <c r="A432" s="1" t="s">
        <v>31</v>
      </c>
      <c r="B432" s="1">
        <v>431</v>
      </c>
      <c r="C432" s="1" t="s">
        <v>463</v>
      </c>
      <c r="D432">
        <f>IMAGE("https://raw.githubusercontent.com/stautonico/pokemon-home-pokedex/main/sprites/glameow.png", 2)</f>
        <v>0</v>
      </c>
      <c r="E432" s="34" t="s">
        <v>22</v>
      </c>
      <c r="F432" s="5"/>
    </row>
    <row r="433" spans="1:6" ht="72" customHeight="1">
      <c r="A433" s="1" t="s">
        <v>31</v>
      </c>
      <c r="B433" s="1">
        <v>432</v>
      </c>
      <c r="C433" s="1" t="s">
        <v>464</v>
      </c>
      <c r="D433">
        <f>IMAGE("https://raw.githubusercontent.com/stautonico/pokemon-home-pokedex/main/sprites/purugly.png", 2)</f>
        <v>0</v>
      </c>
      <c r="E433" s="34" t="s">
        <v>22</v>
      </c>
      <c r="F433" s="5"/>
    </row>
    <row r="434" spans="1:6" ht="72" customHeight="1">
      <c r="A434" s="1" t="s">
        <v>31</v>
      </c>
      <c r="B434" s="1">
        <v>433</v>
      </c>
      <c r="C434" s="1" t="s">
        <v>465</v>
      </c>
      <c r="D434">
        <f>IMAGE("https://raw.githubusercontent.com/stautonico/pokemon-home-pokedex/main/sprites/chingling.png", 2)</f>
        <v>0</v>
      </c>
      <c r="E434" s="32" t="s">
        <v>18</v>
      </c>
      <c r="F434" s="5"/>
    </row>
    <row r="435" spans="1:6" ht="72" customHeight="1">
      <c r="A435" s="1" t="s">
        <v>31</v>
      </c>
      <c r="B435" s="1">
        <v>434</v>
      </c>
      <c r="C435" s="1" t="s">
        <v>466</v>
      </c>
      <c r="D435">
        <f>IMAGE("https://raw.githubusercontent.com/stautonico/pokemon-home-pokedex/main/sprites/stunky.png", 2)</f>
        <v>0</v>
      </c>
      <c r="E435" s="38" t="s">
        <v>28</v>
      </c>
      <c r="F435" s="4" t="s">
        <v>14</v>
      </c>
    </row>
    <row r="436" spans="1:6" ht="72" customHeight="1">
      <c r="A436" s="1" t="s">
        <v>31</v>
      </c>
      <c r="B436" s="1">
        <v>435</v>
      </c>
      <c r="C436" s="1" t="s">
        <v>467</v>
      </c>
      <c r="D436">
        <f>IMAGE("https://raw.githubusercontent.com/stautonico/pokemon-home-pokedex/main/sprites/skuntank.png", 2)</f>
        <v>0</v>
      </c>
      <c r="E436" s="38" t="s">
        <v>28</v>
      </c>
      <c r="F436" s="4" t="s">
        <v>14</v>
      </c>
    </row>
    <row r="437" spans="1:6" ht="72" customHeight="1">
      <c r="A437" s="1" t="s">
        <v>31</v>
      </c>
      <c r="B437" s="1">
        <v>436</v>
      </c>
      <c r="C437" s="1" t="s">
        <v>468</v>
      </c>
      <c r="D437">
        <f>IMAGE("https://raw.githubusercontent.com/stautonico/pokemon-home-pokedex/main/sprites/bronzor.png", 2)</f>
        <v>0</v>
      </c>
      <c r="E437" s="29" t="s">
        <v>30</v>
      </c>
      <c r="F437" s="4" t="s">
        <v>14</v>
      </c>
    </row>
    <row r="438" spans="1:6" ht="72" customHeight="1">
      <c r="A438" s="1" t="s">
        <v>31</v>
      </c>
      <c r="B438" s="1">
        <v>437</v>
      </c>
      <c r="C438" s="1" t="s">
        <v>469</v>
      </c>
      <c r="D438">
        <f>IMAGE("https://raw.githubusercontent.com/stautonico/pokemon-home-pokedex/main/sprites/bronzong.png", 2)</f>
        <v>0</v>
      </c>
      <c r="E438" s="29" t="s">
        <v>30</v>
      </c>
      <c r="F438" s="4" t="s">
        <v>14</v>
      </c>
    </row>
    <row r="439" spans="1:6" ht="72" customHeight="1">
      <c r="A439" s="1" t="s">
        <v>31</v>
      </c>
      <c r="B439" s="1">
        <v>438</v>
      </c>
      <c r="C439" s="1" t="s">
        <v>470</v>
      </c>
      <c r="D439">
        <f>IMAGE("https://raw.githubusercontent.com/stautonico/pokemon-home-pokedex/main/sprites/bonsly.png", 2)</f>
        <v>0</v>
      </c>
      <c r="E439" s="29" t="s">
        <v>30</v>
      </c>
      <c r="F439" s="4" t="s">
        <v>14</v>
      </c>
    </row>
    <row r="440" spans="1:6" ht="72" customHeight="1">
      <c r="A440" s="1" t="s">
        <v>31</v>
      </c>
      <c r="B440" s="1">
        <v>439</v>
      </c>
      <c r="C440" s="1" t="s">
        <v>471</v>
      </c>
      <c r="D440">
        <f>IMAGE("https://raw.githubusercontent.com/stautonico/pokemon-home-pokedex/main/sprites/mimejr.png", 2)</f>
        <v>0</v>
      </c>
      <c r="E440" s="4" t="s">
        <v>14</v>
      </c>
      <c r="F440" s="5"/>
    </row>
    <row r="441" spans="1:6" ht="72" customHeight="1">
      <c r="A441" s="1" t="s">
        <v>31</v>
      </c>
      <c r="B441" s="1">
        <v>440</v>
      </c>
      <c r="C441" s="1" t="s">
        <v>472</v>
      </c>
      <c r="D441">
        <f>IMAGE("https://raw.githubusercontent.com/stautonico/pokemon-home-pokedex/main/sprites/happiny.png", 2)</f>
        <v>0</v>
      </c>
      <c r="E441" s="29" t="s">
        <v>30</v>
      </c>
      <c r="F441" s="3" t="s">
        <v>12</v>
      </c>
    </row>
    <row r="442" spans="1:6" ht="72" customHeight="1">
      <c r="A442" s="1" t="s">
        <v>31</v>
      </c>
      <c r="B442" s="1">
        <v>441</v>
      </c>
      <c r="C442" s="1" t="s">
        <v>473</v>
      </c>
      <c r="D442">
        <f>IMAGE("https://raw.githubusercontent.com/stautonico/pokemon-home-pokedex/main/sprites/chatot.png", 2)</f>
        <v>0</v>
      </c>
      <c r="E442" s="25" t="s">
        <v>17</v>
      </c>
      <c r="F442" s="5"/>
    </row>
    <row r="443" spans="1:6" ht="72" customHeight="1">
      <c r="A443" s="1" t="s">
        <v>31</v>
      </c>
      <c r="B443" s="1">
        <v>442</v>
      </c>
      <c r="C443" s="1" t="s">
        <v>474</v>
      </c>
      <c r="D443">
        <f>IMAGE("https://raw.githubusercontent.com/stautonico/pokemon-home-pokedex/main/sprites/spiritomb.png", 2)</f>
        <v>0</v>
      </c>
      <c r="E443" s="29" t="s">
        <v>30</v>
      </c>
      <c r="F443" s="34" t="s">
        <v>22</v>
      </c>
    </row>
    <row r="444" spans="1:6" ht="72" customHeight="1">
      <c r="A444" s="1" t="s">
        <v>31</v>
      </c>
      <c r="B444" s="1">
        <v>443</v>
      </c>
      <c r="C444" s="1" t="s">
        <v>475</v>
      </c>
      <c r="D444">
        <f>IMAGE("https://raw.githubusercontent.com/stautonico/pokemon-home-pokedex/main/sprites/gible.png", 2)</f>
        <v>0</v>
      </c>
      <c r="E444" s="29" t="s">
        <v>30</v>
      </c>
      <c r="F444" s="25" t="s">
        <v>17</v>
      </c>
    </row>
    <row r="445" spans="1:6" ht="72" customHeight="1">
      <c r="A445" s="1" t="s">
        <v>31</v>
      </c>
      <c r="B445" s="1">
        <v>444</v>
      </c>
      <c r="C445" s="1" t="s">
        <v>476</v>
      </c>
      <c r="D445">
        <f>IMAGE("https://raw.githubusercontent.com/stautonico/pokemon-home-pokedex/main/sprites/gabite.png", 2)</f>
        <v>0</v>
      </c>
      <c r="E445" s="29" t="s">
        <v>30</v>
      </c>
      <c r="F445" s="25" t="s">
        <v>17</v>
      </c>
    </row>
    <row r="446" spans="1:6" ht="72" customHeight="1">
      <c r="A446" s="1" t="s">
        <v>31</v>
      </c>
      <c r="B446" s="1">
        <v>445</v>
      </c>
      <c r="C446" s="1" t="s">
        <v>477</v>
      </c>
      <c r="D446">
        <f>IMAGE("https://raw.githubusercontent.com/stautonico/pokemon-home-pokedex/main/sprites/garchomp.png", 2)</f>
        <v>0</v>
      </c>
      <c r="E446" s="29" t="s">
        <v>30</v>
      </c>
      <c r="F446" s="25" t="s">
        <v>17</v>
      </c>
    </row>
    <row r="447" spans="1:6" ht="72" customHeight="1">
      <c r="A447" s="1" t="s">
        <v>31</v>
      </c>
      <c r="B447" s="1">
        <v>446</v>
      </c>
      <c r="C447" s="1" t="s">
        <v>478</v>
      </c>
      <c r="D447">
        <f>IMAGE("https://raw.githubusercontent.com/stautonico/pokemon-home-pokedex/main/sprites/munchlax.png", 2)</f>
        <v>0</v>
      </c>
      <c r="E447" s="4" t="s">
        <v>14</v>
      </c>
      <c r="F447" s="5"/>
    </row>
    <row r="448" spans="1:6" ht="72" customHeight="1">
      <c r="A448" s="1" t="s">
        <v>31</v>
      </c>
      <c r="B448" s="1">
        <v>447</v>
      </c>
      <c r="C448" s="1" t="s">
        <v>479</v>
      </c>
      <c r="D448">
        <f>IMAGE("https://raw.githubusercontent.com/stautonico/pokemon-home-pokedex/main/sprites/riolu.png", 2)</f>
        <v>0</v>
      </c>
      <c r="E448" s="29" t="s">
        <v>30</v>
      </c>
      <c r="F448" s="4" t="s">
        <v>14</v>
      </c>
    </row>
    <row r="449" spans="1:6" ht="72" customHeight="1">
      <c r="A449" s="1" t="s">
        <v>31</v>
      </c>
      <c r="B449" s="1">
        <v>448</v>
      </c>
      <c r="C449" s="1" t="s">
        <v>480</v>
      </c>
      <c r="D449">
        <f>IMAGE("https://raw.githubusercontent.com/stautonico/pokemon-home-pokedex/main/sprites/lucario.png", 2)</f>
        <v>0</v>
      </c>
      <c r="E449" s="29" t="s">
        <v>30</v>
      </c>
      <c r="F449" s="4" t="s">
        <v>14</v>
      </c>
    </row>
    <row r="450" spans="1:6" ht="72" customHeight="1">
      <c r="A450" s="1" t="s">
        <v>31</v>
      </c>
      <c r="B450" s="1">
        <v>449</v>
      </c>
      <c r="C450" s="1" t="s">
        <v>481</v>
      </c>
      <c r="D450">
        <f>IMAGE("https://raw.githubusercontent.com/stautonico/pokemon-home-pokedex/main/sprites/hippopotas.png", 2)</f>
        <v>0</v>
      </c>
      <c r="E450" s="29" t="s">
        <v>30</v>
      </c>
      <c r="F450" s="4" t="s">
        <v>14</v>
      </c>
    </row>
    <row r="451" spans="1:6" ht="72" customHeight="1">
      <c r="A451" s="1" t="s">
        <v>31</v>
      </c>
      <c r="B451" s="1">
        <v>450</v>
      </c>
      <c r="C451" s="1" t="s">
        <v>482</v>
      </c>
      <c r="D451">
        <f>IMAGE("https://raw.githubusercontent.com/stautonico/pokemon-home-pokedex/main/sprites/hippowdon.png", 2)</f>
        <v>0</v>
      </c>
      <c r="E451" s="29" t="s">
        <v>30</v>
      </c>
      <c r="F451" s="4" t="s">
        <v>14</v>
      </c>
    </row>
    <row r="452" spans="1:6" ht="72" customHeight="1">
      <c r="A452" s="1" t="s">
        <v>31</v>
      </c>
      <c r="B452" s="1">
        <v>451</v>
      </c>
      <c r="C452" s="1" t="s">
        <v>483</v>
      </c>
      <c r="D452">
        <f>IMAGE("https://raw.githubusercontent.com/stautonico/pokemon-home-pokedex/main/sprites/skorupi.png", 2)</f>
        <v>0</v>
      </c>
      <c r="E452" s="4" t="s">
        <v>14</v>
      </c>
      <c r="F452" s="5"/>
    </row>
    <row r="453" spans="1:6" ht="72" customHeight="1">
      <c r="A453" s="1" t="s">
        <v>31</v>
      </c>
      <c r="B453" s="1">
        <v>452</v>
      </c>
      <c r="C453" s="1" t="s">
        <v>484</v>
      </c>
      <c r="D453">
        <f>IMAGE("https://raw.githubusercontent.com/stautonico/pokemon-home-pokedex/main/sprites/drapion.png", 2)</f>
        <v>0</v>
      </c>
      <c r="E453" s="4" t="s">
        <v>14</v>
      </c>
      <c r="F453" s="5"/>
    </row>
    <row r="454" spans="1:6" ht="72" customHeight="1">
      <c r="A454" s="1" t="s">
        <v>31</v>
      </c>
      <c r="B454" s="1">
        <v>453</v>
      </c>
      <c r="C454" s="1" t="s">
        <v>485</v>
      </c>
      <c r="D454">
        <f>IMAGE("https://raw.githubusercontent.com/stautonico/pokemon-home-pokedex/main/sprites/croagunk.png", 2)</f>
        <v>0</v>
      </c>
      <c r="E454" s="29" t="s">
        <v>30</v>
      </c>
      <c r="F454" s="33" t="s">
        <v>16</v>
      </c>
    </row>
    <row r="455" spans="1:6" ht="72" customHeight="1">
      <c r="A455" s="1" t="s">
        <v>31</v>
      </c>
      <c r="B455" s="1">
        <v>454</v>
      </c>
      <c r="C455" s="1" t="s">
        <v>486</v>
      </c>
      <c r="D455">
        <f>IMAGE("https://raw.githubusercontent.com/stautonico/pokemon-home-pokedex/main/sprites/toxicroak.png", 2)</f>
        <v>0</v>
      </c>
      <c r="E455" s="29" t="s">
        <v>30</v>
      </c>
      <c r="F455" s="33" t="s">
        <v>16</v>
      </c>
    </row>
    <row r="456" spans="1:6" ht="72" customHeight="1">
      <c r="A456" s="1" t="s">
        <v>31</v>
      </c>
      <c r="B456" s="1">
        <v>455</v>
      </c>
      <c r="C456" s="1" t="s">
        <v>487</v>
      </c>
      <c r="D456">
        <f>IMAGE("https://raw.githubusercontent.com/stautonico/pokemon-home-pokedex/main/sprites/carnivine.png", 2)</f>
        <v>0</v>
      </c>
      <c r="E456" s="25" t="s">
        <v>17</v>
      </c>
      <c r="F456" s="5"/>
    </row>
    <row r="457" spans="1:6" ht="72" customHeight="1">
      <c r="A457" s="1" t="s">
        <v>31</v>
      </c>
      <c r="B457" s="1">
        <v>456</v>
      </c>
      <c r="C457" s="1" t="s">
        <v>488</v>
      </c>
      <c r="D457">
        <f>IMAGE("https://raw.githubusercontent.com/stautonico/pokemon-home-pokedex/main/sprites/finneon.png", 2)</f>
        <v>0</v>
      </c>
      <c r="E457" s="29" t="s">
        <v>30</v>
      </c>
      <c r="F457" s="32" t="s">
        <v>18</v>
      </c>
    </row>
    <row r="458" spans="1:6" ht="72" customHeight="1">
      <c r="A458" s="1" t="s">
        <v>31</v>
      </c>
      <c r="B458" s="1">
        <v>457</v>
      </c>
      <c r="C458" s="1" t="s">
        <v>489</v>
      </c>
      <c r="D458">
        <f>IMAGE("https://raw.githubusercontent.com/stautonico/pokemon-home-pokedex/main/sprites/lumineon.png", 2)</f>
        <v>0</v>
      </c>
      <c r="E458" s="29" t="s">
        <v>30</v>
      </c>
      <c r="F458" s="32" t="s">
        <v>18</v>
      </c>
    </row>
    <row r="459" spans="1:6" ht="72" customHeight="1">
      <c r="A459" s="1" t="s">
        <v>31</v>
      </c>
      <c r="B459" s="1">
        <v>458</v>
      </c>
      <c r="C459" s="1" t="s">
        <v>490</v>
      </c>
      <c r="D459">
        <f>IMAGE("https://raw.githubusercontent.com/stautonico/pokemon-home-pokedex/main/sprites/mantyke.png", 2)</f>
        <v>0</v>
      </c>
      <c r="E459" s="4" t="s">
        <v>14</v>
      </c>
      <c r="F459" s="5"/>
    </row>
    <row r="460" spans="1:6" ht="72" customHeight="1">
      <c r="A460" s="1" t="s">
        <v>31</v>
      </c>
      <c r="B460" s="1">
        <v>459</v>
      </c>
      <c r="C460" s="1" t="s">
        <v>491</v>
      </c>
      <c r="D460">
        <f>IMAGE("https://raw.githubusercontent.com/stautonico/pokemon-home-pokedex/main/sprites/snover.png", 2)</f>
        <v>0</v>
      </c>
      <c r="E460" s="29" t="s">
        <v>30</v>
      </c>
      <c r="F460" s="4" t="s">
        <v>14</v>
      </c>
    </row>
    <row r="461" spans="1:6" ht="72" customHeight="1">
      <c r="A461" s="1" t="s">
        <v>31</v>
      </c>
      <c r="B461" s="1">
        <v>460</v>
      </c>
      <c r="C461" s="1" t="s">
        <v>492</v>
      </c>
      <c r="D461">
        <f>IMAGE("https://raw.githubusercontent.com/stautonico/pokemon-home-pokedex/main/sprites/abomasnow.png", 2)</f>
        <v>0</v>
      </c>
      <c r="E461" s="29" t="s">
        <v>30</v>
      </c>
      <c r="F461" s="4" t="s">
        <v>14</v>
      </c>
    </row>
    <row r="462" spans="1:6" ht="72" customHeight="1">
      <c r="A462" s="1" t="s">
        <v>31</v>
      </c>
      <c r="B462" s="1">
        <v>461</v>
      </c>
      <c r="C462" s="1" t="s">
        <v>493</v>
      </c>
      <c r="D462">
        <f>IMAGE("https://raw.githubusercontent.com/stautonico/pokemon-home-pokedex/main/sprites/weavile.png", 2)</f>
        <v>0</v>
      </c>
      <c r="E462" s="29" t="s">
        <v>30</v>
      </c>
      <c r="F462" s="4" t="s">
        <v>14</v>
      </c>
    </row>
    <row r="463" spans="1:6" ht="72" customHeight="1">
      <c r="A463" s="1" t="s">
        <v>31</v>
      </c>
      <c r="B463" s="1">
        <v>462</v>
      </c>
      <c r="C463" s="1" t="s">
        <v>494</v>
      </c>
      <c r="D463">
        <f>IMAGE("https://raw.githubusercontent.com/stautonico/pokemon-home-pokedex/main/sprites/magnezone.png", 2)</f>
        <v>0</v>
      </c>
      <c r="E463" s="29" t="s">
        <v>30</v>
      </c>
      <c r="F463" s="3" t="s">
        <v>12</v>
      </c>
    </row>
    <row r="464" spans="1:6" ht="72" customHeight="1">
      <c r="A464" s="1" t="s">
        <v>31</v>
      </c>
      <c r="B464" s="1">
        <v>463</v>
      </c>
      <c r="C464" s="1" t="s">
        <v>495</v>
      </c>
      <c r="D464">
        <f>IMAGE("https://raw.githubusercontent.com/stautonico/pokemon-home-pokedex/main/sprites/lickilicky.png", 2)</f>
        <v>0</v>
      </c>
      <c r="E464" s="3" t="s">
        <v>12</v>
      </c>
      <c r="F464" s="32" t="s">
        <v>18</v>
      </c>
    </row>
    <row r="465" spans="1:6" ht="72" customHeight="1">
      <c r="A465" s="1" t="s">
        <v>31</v>
      </c>
      <c r="B465" s="1">
        <v>464</v>
      </c>
      <c r="C465" s="1" t="s">
        <v>496</v>
      </c>
      <c r="D465">
        <f>IMAGE("https://raw.githubusercontent.com/stautonico/pokemon-home-pokedex/main/sprites/rhyperior.png", 2)</f>
        <v>0</v>
      </c>
      <c r="E465" s="4" t="s">
        <v>14</v>
      </c>
      <c r="F465" s="5"/>
    </row>
    <row r="466" spans="1:6" ht="72" customHeight="1">
      <c r="A466" s="1" t="s">
        <v>31</v>
      </c>
      <c r="B466" s="1">
        <v>465</v>
      </c>
      <c r="C466" s="1" t="s">
        <v>497</v>
      </c>
      <c r="D466">
        <f>IMAGE("https://raw.githubusercontent.com/stautonico/pokemon-home-pokedex/main/sprites/tangrowth.png", 2)</f>
        <v>0</v>
      </c>
      <c r="E466" s="3" t="s">
        <v>12</v>
      </c>
      <c r="F466" s="34" t="s">
        <v>22</v>
      </c>
    </row>
    <row r="467" spans="1:6" ht="72" customHeight="1">
      <c r="A467" s="1" t="s">
        <v>31</v>
      </c>
      <c r="B467" s="1">
        <v>466</v>
      </c>
      <c r="C467" s="1" t="s">
        <v>498</v>
      </c>
      <c r="D467">
        <f>IMAGE("https://raw.githubusercontent.com/stautonico/pokemon-home-pokedex/main/sprites/electivire.png", 2)</f>
        <v>0</v>
      </c>
      <c r="E467" s="32" t="s">
        <v>18</v>
      </c>
      <c r="F467" s="5"/>
    </row>
    <row r="468" spans="1:6" ht="72" customHeight="1">
      <c r="A468" s="1" t="s">
        <v>31</v>
      </c>
      <c r="B468" s="1">
        <v>467</v>
      </c>
      <c r="C468" s="1" t="s">
        <v>499</v>
      </c>
      <c r="D468">
        <f>IMAGE("https://raw.githubusercontent.com/stautonico/pokemon-home-pokedex/main/sprites/magmortar.png", 2)</f>
        <v>0</v>
      </c>
      <c r="E468" s="32" t="s">
        <v>18</v>
      </c>
      <c r="F468" s="5"/>
    </row>
    <row r="469" spans="1:6" ht="72" customHeight="1">
      <c r="A469" s="1" t="s">
        <v>31</v>
      </c>
      <c r="B469" s="1">
        <v>468</v>
      </c>
      <c r="C469" s="1" t="s">
        <v>500</v>
      </c>
      <c r="D469">
        <f>IMAGE("https://raw.githubusercontent.com/stautonico/pokemon-home-pokedex/main/sprites/togekiss.png", 2)</f>
        <v>0</v>
      </c>
      <c r="E469" s="4" t="s">
        <v>14</v>
      </c>
      <c r="F469" s="5"/>
    </row>
    <row r="470" spans="1:6" ht="72" customHeight="1">
      <c r="A470" s="1" t="s">
        <v>31</v>
      </c>
      <c r="B470" s="1">
        <v>469</v>
      </c>
      <c r="C470" s="1" t="s">
        <v>501</v>
      </c>
      <c r="D470">
        <f>IMAGE("https://raw.githubusercontent.com/stautonico/pokemon-home-pokedex/main/sprites/yanmega.png", 2)</f>
        <v>0</v>
      </c>
      <c r="E470" s="25" t="s">
        <v>17</v>
      </c>
      <c r="F470" s="5"/>
    </row>
    <row r="471" spans="1:6" ht="72" customHeight="1">
      <c r="A471" s="1" t="s">
        <v>31</v>
      </c>
      <c r="B471" s="1">
        <v>470</v>
      </c>
      <c r="C471" s="1" t="s">
        <v>502</v>
      </c>
      <c r="D471">
        <f>IMAGE("https://raw.githubusercontent.com/stautonico/pokemon-home-pokedex/main/sprites/leafeon.png", 2)</f>
        <v>0</v>
      </c>
      <c r="E471" s="29" t="s">
        <v>30</v>
      </c>
      <c r="F471" s="4" t="s">
        <v>14</v>
      </c>
    </row>
    <row r="472" spans="1:6" ht="72" customHeight="1">
      <c r="A472" s="1" t="s">
        <v>31</v>
      </c>
      <c r="B472" s="1">
        <v>471</v>
      </c>
      <c r="C472" s="1" t="s">
        <v>503</v>
      </c>
      <c r="D472">
        <f>IMAGE("https://raw.githubusercontent.com/stautonico/pokemon-home-pokedex/main/sprites/glaceon.png", 2)</f>
        <v>0</v>
      </c>
      <c r="E472" s="29" t="s">
        <v>30</v>
      </c>
      <c r="F472" s="4" t="s">
        <v>14</v>
      </c>
    </row>
    <row r="473" spans="1:6" ht="72" customHeight="1">
      <c r="A473" s="1" t="s">
        <v>31</v>
      </c>
      <c r="B473" s="1">
        <v>472</v>
      </c>
      <c r="C473" s="1" t="s">
        <v>504</v>
      </c>
      <c r="D473">
        <f>IMAGE("https://raw.githubusercontent.com/stautonico/pokemon-home-pokedex/main/sprites/gliscor.png", 2)</f>
        <v>0</v>
      </c>
      <c r="E473" s="25" t="s">
        <v>17</v>
      </c>
      <c r="F473" s="5"/>
    </row>
    <row r="474" spans="1:6" ht="72" customHeight="1">
      <c r="A474" s="1" t="s">
        <v>31</v>
      </c>
      <c r="B474" s="1">
        <v>473</v>
      </c>
      <c r="C474" s="1" t="s">
        <v>505</v>
      </c>
      <c r="D474">
        <f>IMAGE("https://raw.githubusercontent.com/stautonico/pokemon-home-pokedex/main/sprites/mamoswine.png", 2)</f>
        <v>0</v>
      </c>
      <c r="E474" s="4" t="s">
        <v>14</v>
      </c>
      <c r="F474" s="5"/>
    </row>
    <row r="475" spans="1:6" ht="72" customHeight="1">
      <c r="A475" s="1" t="s">
        <v>31</v>
      </c>
      <c r="B475" s="1">
        <v>474</v>
      </c>
      <c r="C475" s="1" t="s">
        <v>506</v>
      </c>
      <c r="D475">
        <f>IMAGE("https://raw.githubusercontent.com/stautonico/pokemon-home-pokedex/main/sprites/porygonz.png", 2)</f>
        <v>0</v>
      </c>
      <c r="E475" s="3" t="s">
        <v>12</v>
      </c>
      <c r="F475" s="32" t="s">
        <v>18</v>
      </c>
    </row>
    <row r="476" spans="1:6" ht="72" customHeight="1">
      <c r="A476" s="1" t="s">
        <v>31</v>
      </c>
      <c r="B476" s="1">
        <v>475</v>
      </c>
      <c r="C476" s="1" t="s">
        <v>507</v>
      </c>
      <c r="D476">
        <f>IMAGE("https://raw.githubusercontent.com/stautonico/pokemon-home-pokedex/main/sprites/gallade.png", 2)</f>
        <v>0</v>
      </c>
      <c r="E476" s="29" t="s">
        <v>30</v>
      </c>
      <c r="F476" s="4" t="s">
        <v>14</v>
      </c>
    </row>
    <row r="477" spans="1:6" ht="72" customHeight="1">
      <c r="A477" s="1" t="s">
        <v>31</v>
      </c>
      <c r="B477" s="1">
        <v>476</v>
      </c>
      <c r="C477" s="1" t="s">
        <v>508</v>
      </c>
      <c r="D477">
        <f>IMAGE("https://raw.githubusercontent.com/stautonico/pokemon-home-pokedex/main/sprites/probopass.png", 2)</f>
        <v>0</v>
      </c>
      <c r="E477" s="34" t="s">
        <v>22</v>
      </c>
      <c r="F477" s="5"/>
    </row>
    <row r="478" spans="1:6" ht="72" customHeight="1">
      <c r="A478" s="1" t="s">
        <v>31</v>
      </c>
      <c r="B478" s="1">
        <v>477</v>
      </c>
      <c r="C478" s="1" t="s">
        <v>509</v>
      </c>
      <c r="D478">
        <f>IMAGE("https://raw.githubusercontent.com/stautonico/pokemon-home-pokedex/main/sprites/dusknoir.png", 2)</f>
        <v>0</v>
      </c>
      <c r="E478" s="4" t="s">
        <v>14</v>
      </c>
      <c r="F478" s="5"/>
    </row>
    <row r="479" spans="1:6" ht="72" customHeight="1">
      <c r="A479" s="1" t="s">
        <v>31</v>
      </c>
      <c r="B479" s="1">
        <v>478</v>
      </c>
      <c r="C479" s="1" t="s">
        <v>510</v>
      </c>
      <c r="D479">
        <f>IMAGE("https://raw.githubusercontent.com/stautonico/pokemon-home-pokedex/main/sprites/froslass.png", 2)</f>
        <v>0</v>
      </c>
      <c r="E479" s="29" t="s">
        <v>30</v>
      </c>
      <c r="F479" s="4" t="s">
        <v>14</v>
      </c>
    </row>
    <row r="480" spans="1:6" ht="72" customHeight="1">
      <c r="A480" s="1" t="s">
        <v>31</v>
      </c>
      <c r="B480" s="1">
        <v>479</v>
      </c>
      <c r="C480" s="1" t="s">
        <v>511</v>
      </c>
      <c r="D480">
        <f>IMAGE("https://raw.githubusercontent.com/stautonico/pokemon-home-pokedex/main/sprites/rotom.png", 2)</f>
        <v>0</v>
      </c>
      <c r="E480" s="29" t="s">
        <v>30</v>
      </c>
      <c r="F480" s="4" t="s">
        <v>14</v>
      </c>
    </row>
    <row r="481" spans="1:6" ht="72" customHeight="1">
      <c r="A481" s="1" t="s">
        <v>31</v>
      </c>
      <c r="B481" s="1">
        <v>480</v>
      </c>
      <c r="C481" s="1" t="s">
        <v>512</v>
      </c>
      <c r="D481">
        <f>IMAGE("https://raw.githubusercontent.com/stautonico/pokemon-home-pokedex/main/sprites/uxie.png", 2)</f>
        <v>0</v>
      </c>
      <c r="E481" s="32" t="s">
        <v>18</v>
      </c>
      <c r="F481" s="5"/>
    </row>
    <row r="482" spans="1:6" ht="72" customHeight="1">
      <c r="A482" s="1" t="s">
        <v>31</v>
      </c>
      <c r="B482" s="1">
        <v>481</v>
      </c>
      <c r="C482" s="1" t="s">
        <v>513</v>
      </c>
      <c r="D482">
        <f>IMAGE("https://raw.githubusercontent.com/stautonico/pokemon-home-pokedex/main/sprites/mesprit.png", 2)</f>
        <v>0</v>
      </c>
      <c r="E482" s="32" t="s">
        <v>18</v>
      </c>
      <c r="F482" s="5"/>
    </row>
    <row r="483" spans="1:6" ht="72" customHeight="1">
      <c r="A483" s="1" t="s">
        <v>31</v>
      </c>
      <c r="B483" s="1">
        <v>482</v>
      </c>
      <c r="C483" s="1" t="s">
        <v>514</v>
      </c>
      <c r="D483">
        <f>IMAGE("https://raw.githubusercontent.com/stautonico/pokemon-home-pokedex/main/sprites/azelf.png", 2)</f>
        <v>0</v>
      </c>
      <c r="E483" s="32" t="s">
        <v>18</v>
      </c>
      <c r="F483" s="5"/>
    </row>
    <row r="484" spans="1:6" ht="72" customHeight="1">
      <c r="A484" s="1" t="s">
        <v>31</v>
      </c>
      <c r="B484" s="1">
        <v>483</v>
      </c>
      <c r="C484" s="1" t="s">
        <v>515</v>
      </c>
      <c r="D484">
        <f>IMAGE("https://raw.githubusercontent.com/stautonico/pokemon-home-pokedex/main/sprites/dialga.png", 2)</f>
        <v>0</v>
      </c>
      <c r="E484" s="41" t="s">
        <v>20</v>
      </c>
      <c r="F484" s="43" t="s">
        <v>24</v>
      </c>
    </row>
    <row r="485" spans="1:6" ht="72" customHeight="1">
      <c r="A485" s="1" t="s">
        <v>31</v>
      </c>
      <c r="B485" s="1">
        <v>484</v>
      </c>
      <c r="C485" s="1" t="s">
        <v>516</v>
      </c>
      <c r="D485">
        <f>IMAGE("https://raw.githubusercontent.com/stautonico/pokemon-home-pokedex/main/sprites/palkia.png", 2)</f>
        <v>0</v>
      </c>
      <c r="E485" s="42" t="s">
        <v>21</v>
      </c>
      <c r="F485" s="40" t="s">
        <v>23</v>
      </c>
    </row>
    <row r="486" spans="1:6" ht="72" customHeight="1">
      <c r="A486" s="1" t="s">
        <v>31</v>
      </c>
      <c r="B486" s="1">
        <v>485</v>
      </c>
      <c r="C486" s="1" t="s">
        <v>517</v>
      </c>
      <c r="D486">
        <f>IMAGE("https://raw.githubusercontent.com/stautonico/pokemon-home-pokedex/main/sprites/heatran.png", 2)</f>
        <v>0</v>
      </c>
      <c r="E486" s="34" t="s">
        <v>22</v>
      </c>
      <c r="F486" s="5"/>
    </row>
    <row r="487" spans="1:6" ht="72" customHeight="1">
      <c r="A487" s="1" t="s">
        <v>31</v>
      </c>
      <c r="B487" s="1">
        <v>486</v>
      </c>
      <c r="C487" s="1" t="s">
        <v>518</v>
      </c>
      <c r="D487">
        <f>IMAGE("https://raw.githubusercontent.com/stautonico/pokemon-home-pokedex/main/sprites/regigigas.png", 2)</f>
        <v>0</v>
      </c>
      <c r="E487" s="34" t="s">
        <v>22</v>
      </c>
      <c r="F487" s="5"/>
    </row>
    <row r="488" spans="1:6" ht="72" customHeight="1">
      <c r="A488" s="1" t="s">
        <v>31</v>
      </c>
      <c r="B488" s="1">
        <v>487</v>
      </c>
      <c r="C488" s="1" t="s">
        <v>519</v>
      </c>
      <c r="D488">
        <f>IMAGE("https://raw.githubusercontent.com/stautonico/pokemon-home-pokedex/main/sprites/giratina.png", 2)</f>
        <v>0</v>
      </c>
      <c r="E488" s="32" t="s">
        <v>18</v>
      </c>
      <c r="F488" s="5"/>
    </row>
    <row r="489" spans="1:6" ht="72" customHeight="1">
      <c r="A489" s="1" t="s">
        <v>31</v>
      </c>
      <c r="B489" s="1">
        <v>488</v>
      </c>
      <c r="C489" s="1" t="s">
        <v>520</v>
      </c>
      <c r="D489">
        <f>IMAGE("https://raw.githubusercontent.com/stautonico/pokemon-home-pokedex/main/sprites/cresselia.png", 2)</f>
        <v>0</v>
      </c>
      <c r="E489" s="32" t="s">
        <v>18</v>
      </c>
      <c r="F489" s="34" t="s">
        <v>22</v>
      </c>
    </row>
    <row r="490" spans="1:6" ht="72" customHeight="1">
      <c r="A490" s="1" t="s">
        <v>31</v>
      </c>
      <c r="B490" s="1">
        <v>489</v>
      </c>
      <c r="C490" s="1" t="s">
        <v>521</v>
      </c>
      <c r="D490">
        <f>IMAGE("https://raw.githubusercontent.com/stautonico/pokemon-home-pokedex/main/sprites/phione.png", 2)</f>
        <v>0</v>
      </c>
      <c r="E490" s="39" t="s">
        <v>25</v>
      </c>
      <c r="F490" s="5"/>
    </row>
    <row r="491" spans="1:6" ht="72" customHeight="1">
      <c r="A491" s="1" t="s">
        <v>31</v>
      </c>
      <c r="B491" s="1">
        <v>490</v>
      </c>
      <c r="C491" s="1" t="s">
        <v>522</v>
      </c>
      <c r="D491">
        <f>IMAGE("https://raw.githubusercontent.com/stautonico/pokemon-home-pokedex/main/sprites/manaphy.png", 2)</f>
        <v>0</v>
      </c>
      <c r="E491" s="39" t="s">
        <v>25</v>
      </c>
      <c r="F491" s="5"/>
    </row>
    <row r="492" spans="1:6" ht="72" customHeight="1">
      <c r="A492" s="1" t="s">
        <v>31</v>
      </c>
      <c r="B492" s="1">
        <v>491</v>
      </c>
      <c r="C492" s="1" t="s">
        <v>523</v>
      </c>
      <c r="D492">
        <f>IMAGE("https://raw.githubusercontent.com/stautonico/pokemon-home-pokedex/main/sprites/darkrai.png", 2)</f>
        <v>0</v>
      </c>
      <c r="E492" s="39" t="s">
        <v>25</v>
      </c>
      <c r="F492" s="5"/>
    </row>
    <row r="493" spans="1:6" ht="72" customHeight="1">
      <c r="A493" s="1" t="s">
        <v>31</v>
      </c>
      <c r="B493" s="1">
        <v>492</v>
      </c>
      <c r="C493" s="1" t="s">
        <v>524</v>
      </c>
      <c r="D493">
        <f>IMAGE("https://raw.githubusercontent.com/stautonico/pokemon-home-pokedex/main/sprites/shaymin.png", 2)</f>
        <v>0</v>
      </c>
      <c r="E493" s="39" t="s">
        <v>25</v>
      </c>
      <c r="F493" s="5"/>
    </row>
    <row r="494" spans="1:6" ht="72" customHeight="1">
      <c r="A494" s="1" t="s">
        <v>31</v>
      </c>
      <c r="B494" s="1">
        <v>493</v>
      </c>
      <c r="C494" s="1" t="s">
        <v>525</v>
      </c>
      <c r="D494">
        <f>IMAGE("https://raw.githubusercontent.com/stautonico/pokemon-home-pokedex/main/sprites/arceus.png", 2)</f>
        <v>0</v>
      </c>
      <c r="E494" s="39" t="s">
        <v>25</v>
      </c>
      <c r="F494" s="5"/>
    </row>
    <row r="495" spans="1:6" ht="72" customHeight="1">
      <c r="A495" s="1" t="s">
        <v>31</v>
      </c>
      <c r="B495" s="1">
        <v>494</v>
      </c>
      <c r="C495" s="1" t="s">
        <v>526</v>
      </c>
      <c r="D495">
        <f>IMAGE("https://raw.githubusercontent.com/stautonico/pokemon-home-pokedex/main/sprites/victini.png", 2)</f>
        <v>0</v>
      </c>
      <c r="E495" s="39" t="s">
        <v>25</v>
      </c>
      <c r="F495" s="5"/>
    </row>
    <row r="496" spans="1:6" ht="72" customHeight="1">
      <c r="A496" s="1" t="s">
        <v>31</v>
      </c>
      <c r="B496" s="1">
        <v>495</v>
      </c>
      <c r="C496" s="1" t="s">
        <v>527</v>
      </c>
      <c r="D496">
        <f>IMAGE("https://raw.githubusercontent.com/stautonico/pokemon-home-pokedex/main/sprites/snivy.png", 2)</f>
        <v>0</v>
      </c>
      <c r="E496" s="34" t="s">
        <v>22</v>
      </c>
      <c r="F496" s="5" t="s">
        <v>528</v>
      </c>
    </row>
    <row r="497" spans="1:6" ht="72" customHeight="1">
      <c r="A497" s="1" t="s">
        <v>31</v>
      </c>
      <c r="B497" s="1">
        <v>496</v>
      </c>
      <c r="C497" s="1" t="s">
        <v>529</v>
      </c>
      <c r="D497">
        <f>IMAGE("https://raw.githubusercontent.com/stautonico/pokemon-home-pokedex/main/sprites/servine.png", 2)</f>
        <v>0</v>
      </c>
      <c r="E497" s="34" t="s">
        <v>22</v>
      </c>
      <c r="F497" s="5" t="s">
        <v>528</v>
      </c>
    </row>
    <row r="498" spans="1:6" ht="72" customHeight="1">
      <c r="A498" s="1" t="s">
        <v>31</v>
      </c>
      <c r="B498" s="1">
        <v>497</v>
      </c>
      <c r="C498" s="1" t="s">
        <v>530</v>
      </c>
      <c r="D498">
        <f>IMAGE("https://raw.githubusercontent.com/stautonico/pokemon-home-pokedex/main/sprites/serperior.png", 2)</f>
        <v>0</v>
      </c>
      <c r="E498" s="34" t="s">
        <v>22</v>
      </c>
      <c r="F498" s="5" t="s">
        <v>528</v>
      </c>
    </row>
    <row r="499" spans="1:6" ht="72" customHeight="1">
      <c r="A499" s="1" t="s">
        <v>31</v>
      </c>
      <c r="B499" s="1">
        <v>498</v>
      </c>
      <c r="C499" s="1" t="s">
        <v>531</v>
      </c>
      <c r="D499">
        <f>IMAGE("https://raw.githubusercontent.com/stautonico/pokemon-home-pokedex/main/sprites/tepig.png", 2)</f>
        <v>0</v>
      </c>
      <c r="E499" s="34" t="s">
        <v>22</v>
      </c>
      <c r="F499" s="5" t="s">
        <v>528</v>
      </c>
    </row>
    <row r="500" spans="1:6" ht="72" customHeight="1">
      <c r="A500" s="1" t="s">
        <v>31</v>
      </c>
      <c r="B500" s="1">
        <v>499</v>
      </c>
      <c r="C500" s="1" t="s">
        <v>532</v>
      </c>
      <c r="D500">
        <f>IMAGE("https://raw.githubusercontent.com/stautonico/pokemon-home-pokedex/main/sprites/pignite.png", 2)</f>
        <v>0</v>
      </c>
      <c r="E500" s="34" t="s">
        <v>22</v>
      </c>
      <c r="F500" s="5" t="s">
        <v>528</v>
      </c>
    </row>
    <row r="501" spans="1:6" ht="72" customHeight="1">
      <c r="A501" s="1" t="s">
        <v>31</v>
      </c>
      <c r="B501" s="1">
        <v>500</v>
      </c>
      <c r="C501" s="1" t="s">
        <v>533</v>
      </c>
      <c r="D501">
        <f>IMAGE("https://raw.githubusercontent.com/stautonico/pokemon-home-pokedex/main/sprites/emboar.png", 2)</f>
        <v>0</v>
      </c>
      <c r="E501" s="34" t="s">
        <v>22</v>
      </c>
      <c r="F501" s="5" t="s">
        <v>528</v>
      </c>
    </row>
    <row r="502" spans="1:6" ht="72" customHeight="1">
      <c r="A502" s="1" t="s">
        <v>31</v>
      </c>
      <c r="B502" s="1">
        <v>501</v>
      </c>
      <c r="C502" s="1" t="s">
        <v>534</v>
      </c>
      <c r="D502">
        <f>IMAGE("https://raw.githubusercontent.com/stautonico/pokemon-home-pokedex/main/sprites/oshawott.png", 2)</f>
        <v>0</v>
      </c>
      <c r="E502" s="34" t="s">
        <v>22</v>
      </c>
      <c r="F502" s="5" t="s">
        <v>528</v>
      </c>
    </row>
    <row r="503" spans="1:6" ht="72" customHeight="1">
      <c r="A503" s="1" t="s">
        <v>31</v>
      </c>
      <c r="B503" s="1">
        <v>502</v>
      </c>
      <c r="C503" s="1" t="s">
        <v>535</v>
      </c>
      <c r="D503">
        <f>IMAGE("https://raw.githubusercontent.com/stautonico/pokemon-home-pokedex/main/sprites/dewott.png", 2)</f>
        <v>0</v>
      </c>
      <c r="E503" s="34" t="s">
        <v>22</v>
      </c>
      <c r="F503" s="5" t="s">
        <v>528</v>
      </c>
    </row>
    <row r="504" spans="1:6" ht="72" customHeight="1">
      <c r="A504" s="1" t="s">
        <v>31</v>
      </c>
      <c r="B504" s="1">
        <v>503</v>
      </c>
      <c r="C504" s="1" t="s">
        <v>536</v>
      </c>
      <c r="D504">
        <f>IMAGE("https://raw.githubusercontent.com/stautonico/pokemon-home-pokedex/main/sprites/samurott.png", 2)</f>
        <v>0</v>
      </c>
      <c r="E504" s="34" t="s">
        <v>22</v>
      </c>
      <c r="F504" s="5" t="s">
        <v>528</v>
      </c>
    </row>
    <row r="505" spans="1:6" ht="72" customHeight="1">
      <c r="A505" s="1" t="s">
        <v>31</v>
      </c>
      <c r="B505" s="1">
        <v>504</v>
      </c>
      <c r="C505" s="1" t="s">
        <v>537</v>
      </c>
      <c r="D505">
        <f>IMAGE("https://raw.githubusercontent.com/stautonico/pokemon-home-pokedex/main/sprites/patrat.png", 2)</f>
        <v>0</v>
      </c>
      <c r="E505" s="25" t="s">
        <v>17</v>
      </c>
      <c r="F505" s="5"/>
    </row>
    <row r="506" spans="1:6" ht="72" customHeight="1">
      <c r="A506" s="1" t="s">
        <v>31</v>
      </c>
      <c r="B506" s="1">
        <v>505</v>
      </c>
      <c r="C506" s="1" t="s">
        <v>538</v>
      </c>
      <c r="D506">
        <f>IMAGE("https://raw.githubusercontent.com/stautonico/pokemon-home-pokedex/main/sprites/watchog.png", 2)</f>
        <v>0</v>
      </c>
      <c r="E506" s="25" t="s">
        <v>17</v>
      </c>
      <c r="F506" s="5"/>
    </row>
    <row r="507" spans="1:6" ht="72" customHeight="1">
      <c r="A507" s="1" t="s">
        <v>31</v>
      </c>
      <c r="B507" s="1">
        <v>506</v>
      </c>
      <c r="C507" s="1" t="s">
        <v>539</v>
      </c>
      <c r="D507">
        <f>IMAGE("https://raw.githubusercontent.com/stautonico/pokemon-home-pokedex/main/sprites/lillipup.png", 2)</f>
        <v>0</v>
      </c>
      <c r="E507" s="3" t="s">
        <v>12</v>
      </c>
      <c r="F507" s="32" t="s">
        <v>18</v>
      </c>
    </row>
    <row r="508" spans="1:6" ht="72" customHeight="1">
      <c r="A508" s="1" t="s">
        <v>31</v>
      </c>
      <c r="B508" s="1">
        <v>507</v>
      </c>
      <c r="C508" s="1" t="s">
        <v>540</v>
      </c>
      <c r="D508">
        <f>IMAGE("https://raw.githubusercontent.com/stautonico/pokemon-home-pokedex/main/sprites/herdier.png", 2)</f>
        <v>0</v>
      </c>
      <c r="E508" s="3" t="s">
        <v>12</v>
      </c>
      <c r="F508" s="32" t="s">
        <v>18</v>
      </c>
    </row>
    <row r="509" spans="1:6" ht="72" customHeight="1">
      <c r="A509" s="1" t="s">
        <v>31</v>
      </c>
      <c r="B509" s="1">
        <v>508</v>
      </c>
      <c r="C509" s="1" t="s">
        <v>541</v>
      </c>
      <c r="D509">
        <f>IMAGE("https://raw.githubusercontent.com/stautonico/pokemon-home-pokedex/main/sprites/stoutland.png", 2)</f>
        <v>0</v>
      </c>
      <c r="E509" s="3" t="s">
        <v>12</v>
      </c>
      <c r="F509" s="32" t="s">
        <v>18</v>
      </c>
    </row>
    <row r="510" spans="1:6" ht="72" customHeight="1">
      <c r="A510" s="1" t="s">
        <v>31</v>
      </c>
      <c r="B510" s="1">
        <v>509</v>
      </c>
      <c r="C510" s="1" t="s">
        <v>542</v>
      </c>
      <c r="D510">
        <f>IMAGE("https://raw.githubusercontent.com/stautonico/pokemon-home-pokedex/main/sprites/purrloin.png", 2)</f>
        <v>0</v>
      </c>
      <c r="E510" s="4" t="s">
        <v>14</v>
      </c>
      <c r="F510" s="5"/>
    </row>
    <row r="511" spans="1:6" ht="72" customHeight="1">
      <c r="A511" s="1" t="s">
        <v>31</v>
      </c>
      <c r="B511" s="1">
        <v>510</v>
      </c>
      <c r="C511" s="1" t="s">
        <v>543</v>
      </c>
      <c r="D511">
        <f>IMAGE("https://raw.githubusercontent.com/stautonico/pokemon-home-pokedex/main/sprites/liepard.png", 2)</f>
        <v>0</v>
      </c>
      <c r="E511" s="4" t="s">
        <v>14</v>
      </c>
      <c r="F511" s="5"/>
    </row>
    <row r="512" spans="1:6" ht="72" customHeight="1">
      <c r="A512" s="1" t="s">
        <v>31</v>
      </c>
      <c r="B512" s="1">
        <v>511</v>
      </c>
      <c r="C512" s="1" t="s">
        <v>544</v>
      </c>
      <c r="D512">
        <f>IMAGE("https://raw.githubusercontent.com/stautonico/pokemon-home-pokedex/main/sprites/pansage.png", 2)</f>
        <v>0</v>
      </c>
      <c r="E512" s="25" t="s">
        <v>17</v>
      </c>
      <c r="F512" s="5"/>
    </row>
    <row r="513" spans="1:6" ht="72" customHeight="1">
      <c r="A513" s="1" t="s">
        <v>31</v>
      </c>
      <c r="B513" s="1">
        <v>512</v>
      </c>
      <c r="C513" s="1" t="s">
        <v>545</v>
      </c>
      <c r="D513">
        <f>IMAGE("https://raw.githubusercontent.com/stautonico/pokemon-home-pokedex/main/sprites/simisage.png", 2)</f>
        <v>0</v>
      </c>
      <c r="E513" s="25" t="s">
        <v>17</v>
      </c>
      <c r="F513" s="5"/>
    </row>
    <row r="514" spans="1:6" ht="72" customHeight="1">
      <c r="A514" s="1" t="s">
        <v>31</v>
      </c>
      <c r="B514" s="1">
        <v>513</v>
      </c>
      <c r="C514" s="1" t="s">
        <v>546</v>
      </c>
      <c r="D514">
        <f>IMAGE("https://raw.githubusercontent.com/stautonico/pokemon-home-pokedex/main/sprites/pansear.png", 2)</f>
        <v>0</v>
      </c>
      <c r="E514" s="25" t="s">
        <v>17</v>
      </c>
      <c r="F514" s="5"/>
    </row>
    <row r="515" spans="1:6" ht="72" customHeight="1">
      <c r="A515" s="1" t="s">
        <v>31</v>
      </c>
      <c r="B515" s="1">
        <v>514</v>
      </c>
      <c r="C515" s="1" t="s">
        <v>547</v>
      </c>
      <c r="D515">
        <f>IMAGE("https://raw.githubusercontent.com/stautonico/pokemon-home-pokedex/main/sprites/simisear.png", 2)</f>
        <v>0</v>
      </c>
      <c r="E515" s="25" t="s">
        <v>17</v>
      </c>
      <c r="F515" s="5"/>
    </row>
    <row r="516" spans="1:6" ht="72" customHeight="1">
      <c r="A516" s="1" t="s">
        <v>31</v>
      </c>
      <c r="B516" s="1">
        <v>515</v>
      </c>
      <c r="C516" s="1" t="s">
        <v>548</v>
      </c>
      <c r="D516">
        <f>IMAGE("https://raw.githubusercontent.com/stautonico/pokemon-home-pokedex/main/sprites/panpour.png", 2)</f>
        <v>0</v>
      </c>
      <c r="E516" s="25" t="s">
        <v>17</v>
      </c>
      <c r="F516" s="5"/>
    </row>
    <row r="517" spans="1:6" ht="72" customHeight="1">
      <c r="A517" s="1" t="s">
        <v>31</v>
      </c>
      <c r="B517" s="1">
        <v>516</v>
      </c>
      <c r="C517" s="1" t="s">
        <v>549</v>
      </c>
      <c r="D517">
        <f>IMAGE("https://raw.githubusercontent.com/stautonico/pokemon-home-pokedex/main/sprites/simipour.png", 2)</f>
        <v>0</v>
      </c>
      <c r="E517" s="25" t="s">
        <v>17</v>
      </c>
      <c r="F517" s="5"/>
    </row>
    <row r="518" spans="1:6" ht="72" customHeight="1">
      <c r="A518" s="1" t="s">
        <v>31</v>
      </c>
      <c r="B518" s="1">
        <v>517</v>
      </c>
      <c r="C518" s="1" t="s">
        <v>550</v>
      </c>
      <c r="D518">
        <f>IMAGE("https://raw.githubusercontent.com/stautonico/pokemon-home-pokedex/main/sprites/munna.png", 2)</f>
        <v>0</v>
      </c>
      <c r="E518" s="4" t="s">
        <v>14</v>
      </c>
      <c r="F518" s="5"/>
    </row>
    <row r="519" spans="1:6" ht="72" customHeight="1">
      <c r="A519" s="1" t="s">
        <v>31</v>
      </c>
      <c r="B519" s="1">
        <v>518</v>
      </c>
      <c r="C519" s="1" t="s">
        <v>551</v>
      </c>
      <c r="D519">
        <f>IMAGE("https://raw.githubusercontent.com/stautonico/pokemon-home-pokedex/main/sprites/musharna.png", 2)</f>
        <v>0</v>
      </c>
      <c r="E519" s="4" t="s">
        <v>14</v>
      </c>
      <c r="F519" s="5"/>
    </row>
    <row r="520" spans="1:6" ht="72" customHeight="1">
      <c r="A520" s="1" t="s">
        <v>31</v>
      </c>
      <c r="B520" s="1">
        <v>519</v>
      </c>
      <c r="C520" s="1" t="s">
        <v>552</v>
      </c>
      <c r="D520">
        <f>IMAGE("https://raw.githubusercontent.com/stautonico/pokemon-home-pokedex/main/sprites/pidove.png", 2)</f>
        <v>0</v>
      </c>
      <c r="E520" s="4" t="s">
        <v>14</v>
      </c>
      <c r="F520" s="5"/>
    </row>
    <row r="521" spans="1:6" ht="72" customHeight="1">
      <c r="A521" s="1" t="s">
        <v>31</v>
      </c>
      <c r="B521" s="1">
        <v>520</v>
      </c>
      <c r="C521" s="1" t="s">
        <v>553</v>
      </c>
      <c r="D521">
        <f>IMAGE("https://raw.githubusercontent.com/stautonico/pokemon-home-pokedex/main/sprites/tranquill.png", 2)</f>
        <v>0</v>
      </c>
      <c r="E521" s="4" t="s">
        <v>14</v>
      </c>
      <c r="F521" s="5"/>
    </row>
    <row r="522" spans="1:6" ht="72" customHeight="1">
      <c r="A522" s="1" t="s">
        <v>31</v>
      </c>
      <c r="B522" s="1">
        <v>521</v>
      </c>
      <c r="C522" s="1" t="s">
        <v>554</v>
      </c>
      <c r="D522">
        <f>IMAGE("https://raw.githubusercontent.com/stautonico/pokemon-home-pokedex/main/sprites/unfezant.png", 2)</f>
        <v>0</v>
      </c>
      <c r="E522" s="4" t="s">
        <v>14</v>
      </c>
      <c r="F522" s="5"/>
    </row>
    <row r="523" spans="1:6" ht="72" customHeight="1">
      <c r="A523" s="1" t="s">
        <v>31</v>
      </c>
      <c r="B523" s="1">
        <v>522</v>
      </c>
      <c r="C523" s="1" t="s">
        <v>555</v>
      </c>
      <c r="D523">
        <f>IMAGE("https://raw.githubusercontent.com/stautonico/pokemon-home-pokedex/main/sprites/blitzle.png", 2)</f>
        <v>0</v>
      </c>
      <c r="E523" s="34" t="s">
        <v>22</v>
      </c>
      <c r="F523" s="5"/>
    </row>
    <row r="524" spans="1:6" ht="72" customHeight="1">
      <c r="A524" s="1" t="s">
        <v>31</v>
      </c>
      <c r="B524" s="1">
        <v>523</v>
      </c>
      <c r="C524" s="1" t="s">
        <v>556</v>
      </c>
      <c r="D524">
        <f>IMAGE("https://raw.githubusercontent.com/stautonico/pokemon-home-pokedex/main/sprites/zebstrika.png", 2)</f>
        <v>0</v>
      </c>
      <c r="E524" s="34" t="s">
        <v>22</v>
      </c>
      <c r="F524" s="5"/>
    </row>
    <row r="525" spans="1:6" ht="72" customHeight="1">
      <c r="A525" s="1" t="s">
        <v>31</v>
      </c>
      <c r="B525" s="1">
        <v>524</v>
      </c>
      <c r="C525" s="1" t="s">
        <v>557</v>
      </c>
      <c r="D525">
        <f>IMAGE("https://raw.githubusercontent.com/stautonico/pokemon-home-pokedex/main/sprites/roggenrola.png", 2)</f>
        <v>0</v>
      </c>
      <c r="E525" s="4" t="s">
        <v>14</v>
      </c>
      <c r="F525" s="5"/>
    </row>
    <row r="526" spans="1:6" ht="72" customHeight="1">
      <c r="A526" s="1" t="s">
        <v>31</v>
      </c>
      <c r="B526" s="1">
        <v>525</v>
      </c>
      <c r="C526" s="1" t="s">
        <v>558</v>
      </c>
      <c r="D526">
        <f>IMAGE("https://raw.githubusercontent.com/stautonico/pokemon-home-pokedex/main/sprites/boldore.png", 2)</f>
        <v>0</v>
      </c>
      <c r="E526" s="4" t="s">
        <v>14</v>
      </c>
      <c r="F526" s="5"/>
    </row>
    <row r="527" spans="1:6" ht="72" customHeight="1">
      <c r="A527" s="1" t="s">
        <v>31</v>
      </c>
      <c r="B527" s="1">
        <v>526</v>
      </c>
      <c r="C527" s="1" t="s">
        <v>559</v>
      </c>
      <c r="D527">
        <f>IMAGE("https://raw.githubusercontent.com/stautonico/pokemon-home-pokedex/main/sprites/gigalith.png", 2)</f>
        <v>0</v>
      </c>
      <c r="E527" s="4" t="s">
        <v>14</v>
      </c>
      <c r="F527" s="5"/>
    </row>
    <row r="528" spans="1:6" ht="72" customHeight="1">
      <c r="A528" s="1" t="s">
        <v>31</v>
      </c>
      <c r="B528" s="1">
        <v>527</v>
      </c>
      <c r="C528" s="1" t="s">
        <v>560</v>
      </c>
      <c r="D528">
        <f>IMAGE("https://raw.githubusercontent.com/stautonico/pokemon-home-pokedex/main/sprites/woobat.png", 2)</f>
        <v>0</v>
      </c>
      <c r="E528" s="4" t="s">
        <v>14</v>
      </c>
      <c r="F528" s="5"/>
    </row>
    <row r="529" spans="1:6" ht="72" customHeight="1">
      <c r="A529" s="1" t="s">
        <v>31</v>
      </c>
      <c r="B529" s="1">
        <v>528</v>
      </c>
      <c r="C529" s="1" t="s">
        <v>561</v>
      </c>
      <c r="D529">
        <f>IMAGE("https://raw.githubusercontent.com/stautonico/pokemon-home-pokedex/main/sprites/swoobat.png", 2)</f>
        <v>0</v>
      </c>
      <c r="E529" s="4" t="s">
        <v>14</v>
      </c>
      <c r="F529" s="5"/>
    </row>
    <row r="530" spans="1:6" ht="72" customHeight="1">
      <c r="A530" s="1" t="s">
        <v>31</v>
      </c>
      <c r="B530" s="1">
        <v>529</v>
      </c>
      <c r="C530" s="1" t="s">
        <v>562</v>
      </c>
      <c r="D530">
        <f>IMAGE("https://raw.githubusercontent.com/stautonico/pokemon-home-pokedex/main/sprites/drilbur.png", 2)</f>
        <v>0</v>
      </c>
      <c r="E530" s="4" t="s">
        <v>14</v>
      </c>
      <c r="F530" s="5"/>
    </row>
    <row r="531" spans="1:6" ht="72" customHeight="1">
      <c r="A531" s="1" t="s">
        <v>31</v>
      </c>
      <c r="B531" s="1">
        <v>530</v>
      </c>
      <c r="C531" s="1" t="s">
        <v>563</v>
      </c>
      <c r="D531">
        <f>IMAGE("https://raw.githubusercontent.com/stautonico/pokemon-home-pokedex/main/sprites/excadrill.png", 2)</f>
        <v>0</v>
      </c>
      <c r="E531" s="4" t="s">
        <v>14</v>
      </c>
      <c r="F531" s="5"/>
    </row>
    <row r="532" spans="1:6" ht="72" customHeight="1">
      <c r="A532" s="1" t="s">
        <v>31</v>
      </c>
      <c r="B532" s="1">
        <v>531</v>
      </c>
      <c r="C532" s="1" t="s">
        <v>564</v>
      </c>
      <c r="D532">
        <f>IMAGE("https://raw.githubusercontent.com/stautonico/pokemon-home-pokedex/main/sprites/audino.png", 2)</f>
        <v>0</v>
      </c>
      <c r="E532" s="25" t="s">
        <v>17</v>
      </c>
      <c r="F532" s="5"/>
    </row>
    <row r="533" spans="1:6" ht="72" customHeight="1">
      <c r="A533" s="1" t="s">
        <v>31</v>
      </c>
      <c r="B533" s="1">
        <v>532</v>
      </c>
      <c r="C533" s="1" t="s">
        <v>565</v>
      </c>
      <c r="D533">
        <f>IMAGE("https://raw.githubusercontent.com/stautonico/pokemon-home-pokedex/main/sprites/timburr.png", 2)</f>
        <v>0</v>
      </c>
      <c r="E533" s="4" t="s">
        <v>14</v>
      </c>
      <c r="F533" s="5"/>
    </row>
    <row r="534" spans="1:6" ht="72" customHeight="1">
      <c r="A534" s="1" t="s">
        <v>31</v>
      </c>
      <c r="B534" s="1">
        <v>533</v>
      </c>
      <c r="C534" s="1" t="s">
        <v>566</v>
      </c>
      <c r="D534">
        <f>IMAGE("https://raw.githubusercontent.com/stautonico/pokemon-home-pokedex/main/sprites/gurdurr.png", 2)</f>
        <v>0</v>
      </c>
      <c r="E534" s="4" t="s">
        <v>14</v>
      </c>
      <c r="F534" s="5"/>
    </row>
    <row r="535" spans="1:6" ht="72" customHeight="1">
      <c r="A535" s="1" t="s">
        <v>31</v>
      </c>
      <c r="B535" s="1">
        <v>534</v>
      </c>
      <c r="C535" s="1" t="s">
        <v>567</v>
      </c>
      <c r="D535">
        <f>IMAGE("https://raw.githubusercontent.com/stautonico/pokemon-home-pokedex/main/sprites/conkeldurr.png", 2)</f>
        <v>0</v>
      </c>
      <c r="E535" s="4" t="s">
        <v>14</v>
      </c>
      <c r="F535" s="5"/>
    </row>
    <row r="536" spans="1:6" ht="72" customHeight="1">
      <c r="A536" s="1" t="s">
        <v>31</v>
      </c>
      <c r="B536" s="1">
        <v>535</v>
      </c>
      <c r="C536" s="1" t="s">
        <v>568</v>
      </c>
      <c r="D536">
        <f>IMAGE("https://raw.githubusercontent.com/stautonico/pokemon-home-pokedex/main/sprites/tympole.png", 2)</f>
        <v>0</v>
      </c>
      <c r="E536" s="4" t="s">
        <v>14</v>
      </c>
      <c r="F536" s="5"/>
    </row>
    <row r="537" spans="1:6" ht="72" customHeight="1">
      <c r="A537" s="1" t="s">
        <v>31</v>
      </c>
      <c r="B537" s="1">
        <v>536</v>
      </c>
      <c r="C537" s="1" t="s">
        <v>569</v>
      </c>
      <c r="D537">
        <f>IMAGE("https://raw.githubusercontent.com/stautonico/pokemon-home-pokedex/main/sprites/palpitoad.png", 2)</f>
        <v>0</v>
      </c>
      <c r="E537" s="4" t="s">
        <v>14</v>
      </c>
      <c r="F537" s="5"/>
    </row>
    <row r="538" spans="1:6" ht="72" customHeight="1">
      <c r="A538" s="1" t="s">
        <v>31</v>
      </c>
      <c r="B538" s="1">
        <v>537</v>
      </c>
      <c r="C538" s="1" t="s">
        <v>570</v>
      </c>
      <c r="D538">
        <f>IMAGE("https://raw.githubusercontent.com/stautonico/pokemon-home-pokedex/main/sprites/seismitoad.png", 2)</f>
        <v>0</v>
      </c>
      <c r="E538" s="4" t="s">
        <v>14</v>
      </c>
      <c r="F538" s="5"/>
    </row>
    <row r="539" spans="1:6" ht="72" customHeight="1">
      <c r="A539" s="1" t="s">
        <v>31</v>
      </c>
      <c r="B539" s="1">
        <v>538</v>
      </c>
      <c r="C539" s="1" t="s">
        <v>571</v>
      </c>
      <c r="D539">
        <f>IMAGE("https://raw.githubusercontent.com/stautonico/pokemon-home-pokedex/main/sprites/throh.png", 2)</f>
        <v>0</v>
      </c>
      <c r="E539" s="4" t="s">
        <v>14</v>
      </c>
      <c r="F539" s="5"/>
    </row>
    <row r="540" spans="1:6" ht="72" customHeight="1">
      <c r="A540" s="1" t="s">
        <v>31</v>
      </c>
      <c r="B540" s="1">
        <v>539</v>
      </c>
      <c r="C540" s="1" t="s">
        <v>572</v>
      </c>
      <c r="D540">
        <f>IMAGE("https://raw.githubusercontent.com/stautonico/pokemon-home-pokedex/main/sprites/sawk.png", 2)</f>
        <v>0</v>
      </c>
      <c r="E540" s="4" t="s">
        <v>14</v>
      </c>
      <c r="F540" s="5"/>
    </row>
    <row r="541" spans="1:6" ht="72" customHeight="1">
      <c r="A541" s="1" t="s">
        <v>31</v>
      </c>
      <c r="B541" s="1">
        <v>540</v>
      </c>
      <c r="C541" s="1" t="s">
        <v>573</v>
      </c>
      <c r="D541">
        <f>IMAGE("https://raw.githubusercontent.com/stautonico/pokemon-home-pokedex/main/sprites/sewaddle.png", 2)</f>
        <v>0</v>
      </c>
      <c r="E541" s="34" t="s">
        <v>22</v>
      </c>
      <c r="F541" s="5"/>
    </row>
    <row r="542" spans="1:6" ht="72" customHeight="1">
      <c r="A542" s="1" t="s">
        <v>31</v>
      </c>
      <c r="B542" s="1">
        <v>541</v>
      </c>
      <c r="C542" s="1" t="s">
        <v>574</v>
      </c>
      <c r="D542">
        <f>IMAGE("https://raw.githubusercontent.com/stautonico/pokemon-home-pokedex/main/sprites/swadloon.png", 2)</f>
        <v>0</v>
      </c>
      <c r="E542" s="34" t="s">
        <v>22</v>
      </c>
      <c r="F542" s="5"/>
    </row>
    <row r="543" spans="1:6" ht="72" customHeight="1">
      <c r="A543" s="1" t="s">
        <v>31</v>
      </c>
      <c r="B543" s="1">
        <v>542</v>
      </c>
      <c r="C543" s="1" t="s">
        <v>575</v>
      </c>
      <c r="D543">
        <f>IMAGE("https://raw.githubusercontent.com/stautonico/pokemon-home-pokedex/main/sprites/leavanny.png", 2)</f>
        <v>0</v>
      </c>
      <c r="E543" s="34" t="s">
        <v>22</v>
      </c>
      <c r="F543" s="5"/>
    </row>
    <row r="544" spans="1:6" ht="72" customHeight="1">
      <c r="A544" s="1" t="s">
        <v>31</v>
      </c>
      <c r="B544" s="1">
        <v>543</v>
      </c>
      <c r="C544" s="1" t="s">
        <v>576</v>
      </c>
      <c r="D544">
        <f>IMAGE("https://raw.githubusercontent.com/stautonico/pokemon-home-pokedex/main/sprites/venipede.png", 2)</f>
        <v>0</v>
      </c>
      <c r="E544" s="3" t="s">
        <v>12</v>
      </c>
      <c r="F544" s="25" t="s">
        <v>17</v>
      </c>
    </row>
    <row r="545" spans="1:6" ht="72" customHeight="1">
      <c r="A545" s="1" t="s">
        <v>31</v>
      </c>
      <c r="B545" s="1">
        <v>544</v>
      </c>
      <c r="C545" s="1" t="s">
        <v>577</v>
      </c>
      <c r="D545">
        <f>IMAGE("https://raw.githubusercontent.com/stautonico/pokemon-home-pokedex/main/sprites/whirlipede.png", 2)</f>
        <v>0</v>
      </c>
      <c r="E545" s="3" t="s">
        <v>12</v>
      </c>
      <c r="F545" s="25" t="s">
        <v>17</v>
      </c>
    </row>
    <row r="546" spans="1:6" ht="72" customHeight="1">
      <c r="A546" s="1" t="s">
        <v>31</v>
      </c>
      <c r="B546" s="1">
        <v>545</v>
      </c>
      <c r="C546" s="1" t="s">
        <v>578</v>
      </c>
      <c r="D546">
        <f>IMAGE("https://raw.githubusercontent.com/stautonico/pokemon-home-pokedex/main/sprites/scolipede.png", 2)</f>
        <v>0</v>
      </c>
      <c r="E546" s="3" t="s">
        <v>12</v>
      </c>
      <c r="F546" s="25" t="s">
        <v>17</v>
      </c>
    </row>
    <row r="547" spans="1:6" ht="72" customHeight="1">
      <c r="A547" s="1" t="s">
        <v>31</v>
      </c>
      <c r="B547" s="1">
        <v>546</v>
      </c>
      <c r="C547" s="1" t="s">
        <v>579</v>
      </c>
      <c r="D547">
        <f>IMAGE("https://raw.githubusercontent.com/stautonico/pokemon-home-pokedex/main/sprites/cottonee.png", 2)</f>
        <v>0</v>
      </c>
      <c r="E547" s="4" t="s">
        <v>14</v>
      </c>
      <c r="F547" s="5"/>
    </row>
    <row r="548" spans="1:6" ht="72" customHeight="1">
      <c r="A548" s="1" t="s">
        <v>31</v>
      </c>
      <c r="B548" s="1">
        <v>547</v>
      </c>
      <c r="C548" s="1" t="s">
        <v>580</v>
      </c>
      <c r="D548">
        <f>IMAGE("https://raw.githubusercontent.com/stautonico/pokemon-home-pokedex/main/sprites/whimsicott.png", 2)</f>
        <v>0</v>
      </c>
      <c r="E548" s="4" t="s">
        <v>14</v>
      </c>
      <c r="F548" s="5"/>
    </row>
    <row r="549" spans="1:6" ht="72" customHeight="1">
      <c r="A549" s="1" t="s">
        <v>31</v>
      </c>
      <c r="B549" s="1">
        <v>548</v>
      </c>
      <c r="C549" s="1" t="s">
        <v>581</v>
      </c>
      <c r="D549">
        <f>IMAGE("https://raw.githubusercontent.com/stautonico/pokemon-home-pokedex/main/sprites/petilil.png", 2)</f>
        <v>0</v>
      </c>
      <c r="E549" s="29" t="s">
        <v>30</v>
      </c>
      <c r="F549" s="3" t="s">
        <v>12</v>
      </c>
    </row>
    <row r="550" spans="1:6" ht="72" customHeight="1">
      <c r="A550" s="1" t="s">
        <v>31</v>
      </c>
      <c r="B550" s="1">
        <v>549</v>
      </c>
      <c r="C550" s="1" t="s">
        <v>582</v>
      </c>
      <c r="D550">
        <f>IMAGE("https://raw.githubusercontent.com/stautonico/pokemon-home-pokedex/main/sprites/lilligant.png", 2)</f>
        <v>0</v>
      </c>
      <c r="E550" s="29" t="s">
        <v>30</v>
      </c>
      <c r="F550" s="3" t="s">
        <v>12</v>
      </c>
    </row>
    <row r="551" spans="1:6" ht="72" customHeight="1">
      <c r="A551" s="1" t="s">
        <v>31</v>
      </c>
      <c r="B551" s="1">
        <v>550</v>
      </c>
      <c r="C551" s="1" t="s">
        <v>583</v>
      </c>
      <c r="D551">
        <f>IMAGE("https://raw.githubusercontent.com/stautonico/pokemon-home-pokedex/main/sprites/basculin.png", 2)</f>
        <v>0</v>
      </c>
      <c r="E551" s="29" t="s">
        <v>30</v>
      </c>
      <c r="F551" s="4" t="s">
        <v>14</v>
      </c>
    </row>
    <row r="552" spans="1:6" ht="72" customHeight="1">
      <c r="A552" s="1" t="s">
        <v>31</v>
      </c>
      <c r="B552" s="1">
        <v>551</v>
      </c>
      <c r="C552" s="1" t="s">
        <v>584</v>
      </c>
      <c r="D552">
        <f>IMAGE("https://raw.githubusercontent.com/stautonico/pokemon-home-pokedex/main/sprites/sandile.png", 2)</f>
        <v>0</v>
      </c>
      <c r="E552" s="29" t="s">
        <v>30</v>
      </c>
      <c r="F552" s="3" t="s">
        <v>12</v>
      </c>
    </row>
    <row r="553" spans="1:6" ht="72" customHeight="1">
      <c r="A553" s="1" t="s">
        <v>31</v>
      </c>
      <c r="B553" s="1">
        <v>552</v>
      </c>
      <c r="C553" s="1" t="s">
        <v>585</v>
      </c>
      <c r="D553">
        <f>IMAGE("https://raw.githubusercontent.com/stautonico/pokemon-home-pokedex/main/sprites/krokorok.png", 2)</f>
        <v>0</v>
      </c>
      <c r="E553" s="29" t="s">
        <v>30</v>
      </c>
      <c r="F553" s="3" t="s">
        <v>12</v>
      </c>
    </row>
    <row r="554" spans="1:6" ht="72" customHeight="1">
      <c r="A554" s="1" t="s">
        <v>31</v>
      </c>
      <c r="B554" s="1">
        <v>553</v>
      </c>
      <c r="C554" s="1" t="s">
        <v>586</v>
      </c>
      <c r="D554">
        <f>IMAGE("https://raw.githubusercontent.com/stautonico/pokemon-home-pokedex/main/sprites/krookodile.png", 2)</f>
        <v>0</v>
      </c>
      <c r="E554" s="29" t="s">
        <v>30</v>
      </c>
      <c r="F554" s="3" t="s">
        <v>12</v>
      </c>
    </row>
    <row r="555" spans="1:6" ht="72" customHeight="1">
      <c r="A555" s="1" t="s">
        <v>31</v>
      </c>
      <c r="B555" s="1">
        <v>554</v>
      </c>
      <c r="C555" s="1" t="s">
        <v>587</v>
      </c>
      <c r="D555">
        <f>IMAGE("https://raw.githubusercontent.com/stautonico/pokemon-home-pokedex/main/sprites/darumaka.png", 2)</f>
        <v>0</v>
      </c>
      <c r="E555" s="35" t="s">
        <v>15</v>
      </c>
      <c r="F555" s="34" t="s">
        <v>22</v>
      </c>
    </row>
    <row r="556" spans="1:6" ht="72" customHeight="1">
      <c r="A556" s="1" t="s">
        <v>31</v>
      </c>
      <c r="B556" s="1">
        <v>555</v>
      </c>
      <c r="C556" s="1" t="s">
        <v>588</v>
      </c>
      <c r="D556">
        <f>IMAGE("https://raw.githubusercontent.com/stautonico/pokemon-home-pokedex/main/sprites/darmanitan.png", 2)</f>
        <v>0</v>
      </c>
      <c r="E556" s="35" t="s">
        <v>15</v>
      </c>
      <c r="F556" s="34" t="s">
        <v>22</v>
      </c>
    </row>
    <row r="557" spans="1:6" ht="72" customHeight="1">
      <c r="A557" s="1" t="s">
        <v>31</v>
      </c>
      <c r="B557" s="1">
        <v>556</v>
      </c>
      <c r="C557" s="1" t="s">
        <v>589</v>
      </c>
      <c r="D557">
        <f>IMAGE("https://raw.githubusercontent.com/stautonico/pokemon-home-pokedex/main/sprites/maractus.png", 2)</f>
        <v>0</v>
      </c>
      <c r="E557" s="4" t="s">
        <v>14</v>
      </c>
      <c r="F557" s="5"/>
    </row>
    <row r="558" spans="1:6" ht="72" customHeight="1">
      <c r="A558" s="1" t="s">
        <v>31</v>
      </c>
      <c r="B558" s="1">
        <v>557</v>
      </c>
      <c r="C558" s="1" t="s">
        <v>590</v>
      </c>
      <c r="D558">
        <f>IMAGE("https://raw.githubusercontent.com/stautonico/pokemon-home-pokedex/main/sprites/dwebble.png", 2)</f>
        <v>0</v>
      </c>
      <c r="E558" s="4" t="s">
        <v>14</v>
      </c>
      <c r="F558" s="5"/>
    </row>
    <row r="559" spans="1:6" ht="72" customHeight="1">
      <c r="A559" s="1" t="s">
        <v>31</v>
      </c>
      <c r="B559" s="1">
        <v>558</v>
      </c>
      <c r="C559" s="1" t="s">
        <v>591</v>
      </c>
      <c r="D559">
        <f>IMAGE("https://raw.githubusercontent.com/stautonico/pokemon-home-pokedex/main/sprites/crustle.png", 2)</f>
        <v>0</v>
      </c>
      <c r="E559" s="4" t="s">
        <v>14</v>
      </c>
      <c r="F559" s="5"/>
    </row>
    <row r="560" spans="1:6" ht="72" customHeight="1">
      <c r="A560" s="1" t="s">
        <v>31</v>
      </c>
      <c r="B560" s="1">
        <v>559</v>
      </c>
      <c r="C560" s="1" t="s">
        <v>592</v>
      </c>
      <c r="D560">
        <f>IMAGE("https://raw.githubusercontent.com/stautonico/pokemon-home-pokedex/main/sprites/scraggy.png", 2)</f>
        <v>0</v>
      </c>
      <c r="E560" s="35" t="s">
        <v>15</v>
      </c>
      <c r="F560" s="25" t="s">
        <v>17</v>
      </c>
    </row>
    <row r="561" spans="1:6" ht="72" customHeight="1">
      <c r="A561" s="1" t="s">
        <v>31</v>
      </c>
      <c r="B561" s="1">
        <v>560</v>
      </c>
      <c r="C561" s="1" t="s">
        <v>593</v>
      </c>
      <c r="D561">
        <f>IMAGE("https://raw.githubusercontent.com/stautonico/pokemon-home-pokedex/main/sprites/scrafty.png", 2)</f>
        <v>0</v>
      </c>
      <c r="E561" s="35" t="s">
        <v>15</v>
      </c>
      <c r="F561" s="25" t="s">
        <v>17</v>
      </c>
    </row>
    <row r="562" spans="1:6" ht="72" customHeight="1">
      <c r="A562" s="1" t="s">
        <v>31</v>
      </c>
      <c r="B562" s="1">
        <v>561</v>
      </c>
      <c r="C562" s="1" t="s">
        <v>594</v>
      </c>
      <c r="D562">
        <f>IMAGE("https://raw.githubusercontent.com/stautonico/pokemon-home-pokedex/main/sprites/sigilyph.png", 2)</f>
        <v>0</v>
      </c>
      <c r="E562" s="4" t="s">
        <v>14</v>
      </c>
      <c r="F562" s="5"/>
    </row>
    <row r="563" spans="1:6" ht="72" customHeight="1">
      <c r="A563" s="1" t="s">
        <v>31</v>
      </c>
      <c r="B563" s="1">
        <v>562</v>
      </c>
      <c r="C563" s="1" t="s">
        <v>595</v>
      </c>
      <c r="D563">
        <f>IMAGE("https://raw.githubusercontent.com/stautonico/pokemon-home-pokedex/main/sprites/yamask.png", 2)</f>
        <v>0</v>
      </c>
      <c r="E563" s="4" t="s">
        <v>14</v>
      </c>
      <c r="F563" s="5"/>
    </row>
    <row r="564" spans="1:6" ht="72" customHeight="1">
      <c r="A564" s="1" t="s">
        <v>31</v>
      </c>
      <c r="B564" s="1">
        <v>563</v>
      </c>
      <c r="C564" s="1" t="s">
        <v>596</v>
      </c>
      <c r="D564">
        <f>IMAGE("https://raw.githubusercontent.com/stautonico/pokemon-home-pokedex/main/sprites/cofagrigus.png", 2)</f>
        <v>0</v>
      </c>
      <c r="E564" s="4" t="s">
        <v>14</v>
      </c>
      <c r="F564" s="5"/>
    </row>
    <row r="565" spans="1:6" ht="72" customHeight="1">
      <c r="A565" s="1" t="s">
        <v>31</v>
      </c>
      <c r="B565" s="1">
        <v>564</v>
      </c>
      <c r="C565" s="1" t="s">
        <v>597</v>
      </c>
      <c r="D565">
        <f>IMAGE("https://raw.githubusercontent.com/stautonico/pokemon-home-pokedex/main/sprites/tirtouga.png", 2)</f>
        <v>0</v>
      </c>
      <c r="E565" s="25" t="s">
        <v>17</v>
      </c>
      <c r="F565" s="32" t="s">
        <v>18</v>
      </c>
    </row>
    <row r="566" spans="1:6" ht="72" customHeight="1">
      <c r="A566" s="1" t="s">
        <v>31</v>
      </c>
      <c r="B566" s="1">
        <v>565</v>
      </c>
      <c r="C566" s="1" t="s">
        <v>598</v>
      </c>
      <c r="D566">
        <f>IMAGE("https://raw.githubusercontent.com/stautonico/pokemon-home-pokedex/main/sprites/carracosta.png", 2)</f>
        <v>0</v>
      </c>
      <c r="E566" s="25" t="s">
        <v>17</v>
      </c>
      <c r="F566" s="32" t="s">
        <v>18</v>
      </c>
    </row>
    <row r="567" spans="1:6" ht="72" customHeight="1">
      <c r="A567" s="1" t="s">
        <v>31</v>
      </c>
      <c r="B567" s="1">
        <v>566</v>
      </c>
      <c r="C567" s="1" t="s">
        <v>599</v>
      </c>
      <c r="D567">
        <f>IMAGE("https://raw.githubusercontent.com/stautonico/pokemon-home-pokedex/main/sprites/archen.png", 2)</f>
        <v>0</v>
      </c>
      <c r="E567" s="25" t="s">
        <v>17</v>
      </c>
      <c r="F567" s="32" t="s">
        <v>18</v>
      </c>
    </row>
    <row r="568" spans="1:6" ht="72" customHeight="1">
      <c r="A568" s="1" t="s">
        <v>31</v>
      </c>
      <c r="B568" s="1">
        <v>567</v>
      </c>
      <c r="C568" s="1" t="s">
        <v>600</v>
      </c>
      <c r="D568">
        <f>IMAGE("https://raw.githubusercontent.com/stautonico/pokemon-home-pokedex/main/sprites/archeops.png", 2)</f>
        <v>0</v>
      </c>
      <c r="E568" s="25" t="s">
        <v>17</v>
      </c>
      <c r="F568" s="32" t="s">
        <v>18</v>
      </c>
    </row>
    <row r="569" spans="1:6" ht="72" customHeight="1">
      <c r="A569" s="1" t="s">
        <v>31</v>
      </c>
      <c r="B569" s="1">
        <v>568</v>
      </c>
      <c r="C569" s="1" t="s">
        <v>601</v>
      </c>
      <c r="D569">
        <f>IMAGE("https://raw.githubusercontent.com/stautonico/pokemon-home-pokedex/main/sprites/trubbish.png", 2)</f>
        <v>0</v>
      </c>
      <c r="E569" s="4" t="s">
        <v>14</v>
      </c>
      <c r="F569" s="5"/>
    </row>
    <row r="570" spans="1:6" ht="72" customHeight="1">
      <c r="A570" s="1" t="s">
        <v>31</v>
      </c>
      <c r="B570" s="1">
        <v>569</v>
      </c>
      <c r="C570" s="1" t="s">
        <v>602</v>
      </c>
      <c r="D570">
        <f>IMAGE("https://raw.githubusercontent.com/stautonico/pokemon-home-pokedex/main/sprites/garbodor.png", 2)</f>
        <v>0</v>
      </c>
      <c r="E570" s="4" t="s">
        <v>14</v>
      </c>
      <c r="F570" s="5"/>
    </row>
    <row r="571" spans="1:6" ht="72" customHeight="1">
      <c r="A571" s="1" t="s">
        <v>31</v>
      </c>
      <c r="B571" s="1">
        <v>570</v>
      </c>
      <c r="C571" s="1" t="s">
        <v>603</v>
      </c>
      <c r="D571">
        <f>IMAGE("https://raw.githubusercontent.com/stautonico/pokemon-home-pokedex/main/sprites/zorua.png", 2)</f>
        <v>0</v>
      </c>
      <c r="E571" s="29" t="s">
        <v>30</v>
      </c>
      <c r="F571" s="3" t="s">
        <v>12</v>
      </c>
    </row>
    <row r="572" spans="1:6" ht="72" customHeight="1">
      <c r="A572" s="1" t="s">
        <v>31</v>
      </c>
      <c r="B572" s="1">
        <v>571</v>
      </c>
      <c r="C572" s="1" t="s">
        <v>604</v>
      </c>
      <c r="D572">
        <f>IMAGE("https://raw.githubusercontent.com/stautonico/pokemon-home-pokedex/main/sprites/zoroark.png", 2)</f>
        <v>0</v>
      </c>
      <c r="E572" s="29" t="s">
        <v>30</v>
      </c>
      <c r="F572" s="3" t="s">
        <v>12</v>
      </c>
    </row>
    <row r="573" spans="1:6" ht="72" customHeight="1">
      <c r="A573" s="1" t="s">
        <v>31</v>
      </c>
      <c r="B573" s="1">
        <v>572</v>
      </c>
      <c r="C573" s="1" t="s">
        <v>605</v>
      </c>
      <c r="D573">
        <f>IMAGE("https://raw.githubusercontent.com/stautonico/pokemon-home-pokedex/main/sprites/minccino.png", 2)</f>
        <v>0</v>
      </c>
      <c r="E573" s="4" t="s">
        <v>14</v>
      </c>
      <c r="F573" s="5"/>
    </row>
    <row r="574" spans="1:6" ht="72" customHeight="1">
      <c r="A574" s="1" t="s">
        <v>31</v>
      </c>
      <c r="B574" s="1">
        <v>573</v>
      </c>
      <c r="C574" s="1" t="s">
        <v>606</v>
      </c>
      <c r="D574">
        <f>IMAGE("https://raw.githubusercontent.com/stautonico/pokemon-home-pokedex/main/sprites/cinccino.png", 2)</f>
        <v>0</v>
      </c>
      <c r="E574" s="4" t="s">
        <v>14</v>
      </c>
      <c r="F574" s="5"/>
    </row>
    <row r="575" spans="1:6" ht="72" customHeight="1">
      <c r="A575" s="1" t="s">
        <v>31</v>
      </c>
      <c r="B575" s="1">
        <v>574</v>
      </c>
      <c r="C575" s="1" t="s">
        <v>607</v>
      </c>
      <c r="D575">
        <f>IMAGE("https://raw.githubusercontent.com/stautonico/pokemon-home-pokedex/main/sprites/gothita.png", 2)</f>
        <v>0</v>
      </c>
      <c r="E575" s="29" t="s">
        <v>30</v>
      </c>
      <c r="F575" s="35" t="s">
        <v>15</v>
      </c>
    </row>
    <row r="576" spans="1:6" ht="72" customHeight="1">
      <c r="A576" s="1" t="s">
        <v>31</v>
      </c>
      <c r="B576" s="1">
        <v>575</v>
      </c>
      <c r="C576" s="1" t="s">
        <v>608</v>
      </c>
      <c r="D576">
        <f>IMAGE("https://raw.githubusercontent.com/stautonico/pokemon-home-pokedex/main/sprites/gothorita.png", 2)</f>
        <v>0</v>
      </c>
      <c r="E576" s="29" t="s">
        <v>30</v>
      </c>
      <c r="F576" s="35" t="s">
        <v>15</v>
      </c>
    </row>
    <row r="577" spans="1:6" ht="72" customHeight="1">
      <c r="A577" s="1" t="s">
        <v>31</v>
      </c>
      <c r="B577" s="1">
        <v>576</v>
      </c>
      <c r="C577" s="1" t="s">
        <v>609</v>
      </c>
      <c r="D577">
        <f>IMAGE("https://raw.githubusercontent.com/stautonico/pokemon-home-pokedex/main/sprites/gothitelle.png", 2)</f>
        <v>0</v>
      </c>
      <c r="E577" s="29" t="s">
        <v>30</v>
      </c>
      <c r="F577" s="35" t="s">
        <v>15</v>
      </c>
    </row>
    <row r="578" spans="1:6" ht="72" customHeight="1">
      <c r="A578" s="1" t="s">
        <v>31</v>
      </c>
      <c r="B578" s="1">
        <v>577</v>
      </c>
      <c r="C578" s="1" t="s">
        <v>610</v>
      </c>
      <c r="D578">
        <f>IMAGE("https://raw.githubusercontent.com/stautonico/pokemon-home-pokedex/main/sprites/solosis.png", 2)</f>
        <v>0</v>
      </c>
      <c r="E578" s="33" t="s">
        <v>16</v>
      </c>
      <c r="F578" s="25" t="s">
        <v>17</v>
      </c>
    </row>
    <row r="579" spans="1:6" ht="72" customHeight="1">
      <c r="A579" s="1" t="s">
        <v>31</v>
      </c>
      <c r="B579" s="1">
        <v>578</v>
      </c>
      <c r="C579" s="1" t="s">
        <v>611</v>
      </c>
      <c r="D579">
        <f>IMAGE("https://raw.githubusercontent.com/stautonico/pokemon-home-pokedex/main/sprites/duosion.png", 2)</f>
        <v>0</v>
      </c>
      <c r="E579" s="33" t="s">
        <v>16</v>
      </c>
      <c r="F579" s="25" t="s">
        <v>17</v>
      </c>
    </row>
    <row r="580" spans="1:6" ht="72" customHeight="1">
      <c r="A580" s="1" t="s">
        <v>31</v>
      </c>
      <c r="B580" s="1">
        <v>579</v>
      </c>
      <c r="C580" s="1" t="s">
        <v>612</v>
      </c>
      <c r="D580">
        <f>IMAGE("https://raw.githubusercontent.com/stautonico/pokemon-home-pokedex/main/sprites/reuniclus.png", 2)</f>
        <v>0</v>
      </c>
      <c r="E580" s="33" t="s">
        <v>16</v>
      </c>
      <c r="F580" s="25" t="s">
        <v>17</v>
      </c>
    </row>
    <row r="581" spans="1:6" ht="72" customHeight="1">
      <c r="A581" s="1" t="s">
        <v>31</v>
      </c>
      <c r="B581" s="1">
        <v>580</v>
      </c>
      <c r="C581" s="1" t="s">
        <v>613</v>
      </c>
      <c r="D581">
        <f>IMAGE("https://raw.githubusercontent.com/stautonico/pokemon-home-pokedex/main/sprites/ducklett.png", 2)</f>
        <v>0</v>
      </c>
      <c r="E581" s="25" t="s">
        <v>17</v>
      </c>
      <c r="F581" s="5"/>
    </row>
    <row r="582" spans="1:6" ht="72" customHeight="1">
      <c r="A582" s="1" t="s">
        <v>31</v>
      </c>
      <c r="B582" s="1">
        <v>581</v>
      </c>
      <c r="C582" s="1" t="s">
        <v>614</v>
      </c>
      <c r="D582">
        <f>IMAGE("https://raw.githubusercontent.com/stautonico/pokemon-home-pokedex/main/sprites/swanna.png", 2)</f>
        <v>0</v>
      </c>
      <c r="E582" s="25" t="s">
        <v>17</v>
      </c>
      <c r="F582" s="5"/>
    </row>
    <row r="583" spans="1:6" ht="72" customHeight="1">
      <c r="A583" s="1" t="s">
        <v>31</v>
      </c>
      <c r="B583" s="1">
        <v>582</v>
      </c>
      <c r="C583" s="1" t="s">
        <v>615</v>
      </c>
      <c r="D583">
        <f>IMAGE("https://raw.githubusercontent.com/stautonico/pokemon-home-pokedex/main/sprites/vanillite.png", 2)</f>
        <v>0</v>
      </c>
      <c r="E583" s="4" t="s">
        <v>14</v>
      </c>
      <c r="F583" s="5"/>
    </row>
    <row r="584" spans="1:6" ht="72" customHeight="1">
      <c r="A584" s="1" t="s">
        <v>31</v>
      </c>
      <c r="B584" s="1">
        <v>583</v>
      </c>
      <c r="C584" s="1" t="s">
        <v>616</v>
      </c>
      <c r="D584">
        <f>IMAGE("https://raw.githubusercontent.com/stautonico/pokemon-home-pokedex/main/sprites/vanillish.png", 2)</f>
        <v>0</v>
      </c>
      <c r="E584" s="4" t="s">
        <v>14</v>
      </c>
      <c r="F584" s="5"/>
    </row>
    <row r="585" spans="1:6" ht="72" customHeight="1">
      <c r="A585" s="1" t="s">
        <v>31</v>
      </c>
      <c r="B585" s="1">
        <v>584</v>
      </c>
      <c r="C585" s="1" t="s">
        <v>617</v>
      </c>
      <c r="D585">
        <f>IMAGE("https://raw.githubusercontent.com/stautonico/pokemon-home-pokedex/main/sprites/vanilluxe.png", 2)</f>
        <v>0</v>
      </c>
      <c r="E585" s="4" t="s">
        <v>14</v>
      </c>
      <c r="F585" s="5"/>
    </row>
    <row r="586" spans="1:6" ht="72" customHeight="1">
      <c r="A586" s="1" t="s">
        <v>31</v>
      </c>
      <c r="B586" s="1">
        <v>585</v>
      </c>
      <c r="C586" s="1" t="s">
        <v>618</v>
      </c>
      <c r="D586">
        <f>IMAGE("https://raw.githubusercontent.com/stautonico/pokemon-home-pokedex/main/sprites/deerling.png", 2)</f>
        <v>0</v>
      </c>
      <c r="E586" s="29" t="s">
        <v>30</v>
      </c>
      <c r="F586" s="34" t="s">
        <v>22</v>
      </c>
    </row>
    <row r="587" spans="1:6" ht="72" customHeight="1">
      <c r="A587" s="1" t="s">
        <v>31</v>
      </c>
      <c r="B587" s="1">
        <v>586</v>
      </c>
      <c r="C587" s="1" t="s">
        <v>619</v>
      </c>
      <c r="D587">
        <f>IMAGE("https://raw.githubusercontent.com/stautonico/pokemon-home-pokedex/main/sprites/sawsbuck.png", 2)</f>
        <v>0</v>
      </c>
      <c r="E587" s="29" t="s">
        <v>30</v>
      </c>
      <c r="F587" s="34" t="s">
        <v>22</v>
      </c>
    </row>
    <row r="588" spans="1:6" ht="72" customHeight="1">
      <c r="A588" s="1" t="s">
        <v>31</v>
      </c>
      <c r="B588" s="1">
        <v>587</v>
      </c>
      <c r="C588" s="1" t="s">
        <v>620</v>
      </c>
      <c r="D588">
        <f>IMAGE("https://raw.githubusercontent.com/stautonico/pokemon-home-pokedex/main/sprites/emolga.png", 2)</f>
        <v>0</v>
      </c>
      <c r="E588" s="3" t="s">
        <v>12</v>
      </c>
      <c r="F588" s="25" t="s">
        <v>17</v>
      </c>
    </row>
    <row r="589" spans="1:6" ht="72" customHeight="1">
      <c r="A589" s="1" t="s">
        <v>31</v>
      </c>
      <c r="B589" s="1">
        <v>588</v>
      </c>
      <c r="C589" s="1" t="s">
        <v>621</v>
      </c>
      <c r="D589">
        <f>IMAGE("https://raw.githubusercontent.com/stautonico/pokemon-home-pokedex/main/sprites/karrablast.png", 2)</f>
        <v>0</v>
      </c>
      <c r="E589" s="4" t="s">
        <v>14</v>
      </c>
      <c r="F589" s="5"/>
    </row>
    <row r="590" spans="1:6" ht="72" customHeight="1">
      <c r="A590" s="1" t="s">
        <v>31</v>
      </c>
      <c r="B590" s="1">
        <v>589</v>
      </c>
      <c r="C590" s="1" t="s">
        <v>622</v>
      </c>
      <c r="D590">
        <f>IMAGE("https://raw.githubusercontent.com/stautonico/pokemon-home-pokedex/main/sprites/escavalier.png", 2)</f>
        <v>0</v>
      </c>
      <c r="E590" s="4" t="s">
        <v>14</v>
      </c>
      <c r="F590" s="5"/>
    </row>
    <row r="591" spans="1:6" ht="72" customHeight="1">
      <c r="A591" s="1" t="s">
        <v>31</v>
      </c>
      <c r="B591" s="1">
        <v>590</v>
      </c>
      <c r="C591" s="1" t="s">
        <v>623</v>
      </c>
      <c r="D591">
        <f>IMAGE("https://raw.githubusercontent.com/stautonico/pokemon-home-pokedex/main/sprites/foongus.png", 2)</f>
        <v>0</v>
      </c>
      <c r="E591" s="29" t="s">
        <v>30</v>
      </c>
      <c r="F591" s="3" t="s">
        <v>12</v>
      </c>
    </row>
    <row r="592" spans="1:6" ht="72" customHeight="1">
      <c r="A592" s="1" t="s">
        <v>31</v>
      </c>
      <c r="B592" s="1">
        <v>591</v>
      </c>
      <c r="C592" s="1" t="s">
        <v>624</v>
      </c>
      <c r="D592">
        <f>IMAGE("https://raw.githubusercontent.com/stautonico/pokemon-home-pokedex/main/sprites/amoonguss.png", 2)</f>
        <v>0</v>
      </c>
      <c r="E592" s="29" t="s">
        <v>30</v>
      </c>
      <c r="F592" s="3" t="s">
        <v>12</v>
      </c>
    </row>
    <row r="593" spans="1:6" ht="72" customHeight="1">
      <c r="A593" s="1" t="s">
        <v>31</v>
      </c>
      <c r="B593" s="1">
        <v>592</v>
      </c>
      <c r="C593" s="1" t="s">
        <v>625</v>
      </c>
      <c r="D593">
        <f>IMAGE("https://raw.githubusercontent.com/stautonico/pokemon-home-pokedex/main/sprites/frillish.png", 2)</f>
        <v>0</v>
      </c>
      <c r="E593" s="4" t="s">
        <v>14</v>
      </c>
      <c r="F593" s="5"/>
    </row>
    <row r="594" spans="1:6" ht="72" customHeight="1">
      <c r="A594" s="1" t="s">
        <v>31</v>
      </c>
      <c r="B594" s="1">
        <v>593</v>
      </c>
      <c r="C594" s="1" t="s">
        <v>626</v>
      </c>
      <c r="D594">
        <f>IMAGE("https://raw.githubusercontent.com/stautonico/pokemon-home-pokedex/main/sprites/jellicent.png", 2)</f>
        <v>0</v>
      </c>
      <c r="E594" s="4" t="s">
        <v>14</v>
      </c>
      <c r="F594" s="5"/>
    </row>
    <row r="595" spans="1:6" ht="72" customHeight="1">
      <c r="A595" s="1" t="s">
        <v>31</v>
      </c>
      <c r="B595" s="1">
        <v>594</v>
      </c>
      <c r="C595" s="1" t="s">
        <v>627</v>
      </c>
      <c r="D595">
        <f>IMAGE("https://raw.githubusercontent.com/stautonico/pokemon-home-pokedex/main/sprites/alomomola.png", 2)</f>
        <v>0</v>
      </c>
      <c r="E595" s="29" t="s">
        <v>30</v>
      </c>
      <c r="F595" s="25" t="s">
        <v>17</v>
      </c>
    </row>
    <row r="596" spans="1:6" ht="72" customHeight="1">
      <c r="A596" s="1" t="s">
        <v>31</v>
      </c>
      <c r="B596" s="1">
        <v>595</v>
      </c>
      <c r="C596" s="1" t="s">
        <v>628</v>
      </c>
      <c r="D596">
        <f>IMAGE("https://raw.githubusercontent.com/stautonico/pokemon-home-pokedex/main/sprites/joltik.png", 2)</f>
        <v>0</v>
      </c>
      <c r="E596" s="4" t="s">
        <v>14</v>
      </c>
      <c r="F596" s="5"/>
    </row>
    <row r="597" spans="1:6" ht="72" customHeight="1">
      <c r="A597" s="1" t="s">
        <v>31</v>
      </c>
      <c r="B597" s="1">
        <v>596</v>
      </c>
      <c r="C597" s="1" t="s">
        <v>629</v>
      </c>
      <c r="D597">
        <f>IMAGE("https://raw.githubusercontent.com/stautonico/pokemon-home-pokedex/main/sprites/galvantula.png", 2)</f>
        <v>0</v>
      </c>
      <c r="E597" s="4" t="s">
        <v>14</v>
      </c>
      <c r="F597" s="5"/>
    </row>
    <row r="598" spans="1:6" ht="72" customHeight="1">
      <c r="A598" s="1" t="s">
        <v>31</v>
      </c>
      <c r="B598" s="1">
        <v>597</v>
      </c>
      <c r="C598" s="1" t="s">
        <v>630</v>
      </c>
      <c r="D598">
        <f>IMAGE("https://raw.githubusercontent.com/stautonico/pokemon-home-pokedex/main/sprites/ferroseed.png", 2)</f>
        <v>0</v>
      </c>
      <c r="E598" s="4" t="s">
        <v>14</v>
      </c>
      <c r="F598" s="5"/>
    </row>
    <row r="599" spans="1:6" ht="72" customHeight="1">
      <c r="A599" s="1" t="s">
        <v>31</v>
      </c>
      <c r="B599" s="1">
        <v>598</v>
      </c>
      <c r="C599" s="1" t="s">
        <v>631</v>
      </c>
      <c r="D599">
        <f>IMAGE("https://raw.githubusercontent.com/stautonico/pokemon-home-pokedex/main/sprites/ferrothorn.png", 2)</f>
        <v>0</v>
      </c>
      <c r="E599" s="4" t="s">
        <v>14</v>
      </c>
      <c r="F599" s="5"/>
    </row>
    <row r="600" spans="1:6" ht="72" customHeight="1">
      <c r="A600" s="1" t="s">
        <v>31</v>
      </c>
      <c r="B600" s="1">
        <v>599</v>
      </c>
      <c r="C600" s="1" t="s">
        <v>632</v>
      </c>
      <c r="D600">
        <f>IMAGE("https://raw.githubusercontent.com/stautonico/pokemon-home-pokedex/main/sprites/klink.png", 2)</f>
        <v>0</v>
      </c>
      <c r="E600" s="4" t="s">
        <v>14</v>
      </c>
      <c r="F600" s="5"/>
    </row>
    <row r="601" spans="1:6" ht="72" customHeight="1">
      <c r="A601" s="1" t="s">
        <v>31</v>
      </c>
      <c r="B601" s="1">
        <v>600</v>
      </c>
      <c r="C601" s="1" t="s">
        <v>633</v>
      </c>
      <c r="D601">
        <f>IMAGE("https://raw.githubusercontent.com/stautonico/pokemon-home-pokedex/main/sprites/klang.png", 2)</f>
        <v>0</v>
      </c>
      <c r="E601" s="4" t="s">
        <v>14</v>
      </c>
      <c r="F601" s="5"/>
    </row>
    <row r="602" spans="1:6" ht="72" customHeight="1">
      <c r="A602" s="1" t="s">
        <v>31</v>
      </c>
      <c r="B602" s="1">
        <v>601</v>
      </c>
      <c r="C602" s="1" t="s">
        <v>634</v>
      </c>
      <c r="D602">
        <f>IMAGE("https://raw.githubusercontent.com/stautonico/pokemon-home-pokedex/main/sprites/klinklang.png", 2)</f>
        <v>0</v>
      </c>
      <c r="E602" s="4" t="s">
        <v>14</v>
      </c>
      <c r="F602" s="5"/>
    </row>
    <row r="603" spans="1:6" ht="72" customHeight="1">
      <c r="A603" s="1" t="s">
        <v>31</v>
      </c>
      <c r="B603" s="1">
        <v>602</v>
      </c>
      <c r="C603" s="1" t="s">
        <v>635</v>
      </c>
      <c r="D603">
        <f>IMAGE("https://raw.githubusercontent.com/stautonico/pokemon-home-pokedex/main/sprites/tynamo.png", 2)</f>
        <v>0</v>
      </c>
      <c r="E603" s="29" t="s">
        <v>30</v>
      </c>
      <c r="F603" s="32" t="s">
        <v>18</v>
      </c>
    </row>
    <row r="604" spans="1:6" ht="72" customHeight="1">
      <c r="A604" s="1" t="s">
        <v>31</v>
      </c>
      <c r="B604" s="1">
        <v>603</v>
      </c>
      <c r="C604" s="1" t="s">
        <v>636</v>
      </c>
      <c r="D604">
        <f>IMAGE("https://raw.githubusercontent.com/stautonico/pokemon-home-pokedex/main/sprites/eelektrik.png", 2)</f>
        <v>0</v>
      </c>
      <c r="E604" s="29" t="s">
        <v>30</v>
      </c>
      <c r="F604" s="32" t="s">
        <v>18</v>
      </c>
    </row>
    <row r="605" spans="1:6" ht="72" customHeight="1">
      <c r="A605" s="1" t="s">
        <v>31</v>
      </c>
      <c r="B605" s="1">
        <v>604</v>
      </c>
      <c r="C605" s="1" t="s">
        <v>637</v>
      </c>
      <c r="D605">
        <f>IMAGE("https://raw.githubusercontent.com/stautonico/pokemon-home-pokedex/main/sprites/eelektross.png", 2)</f>
        <v>0</v>
      </c>
      <c r="E605" s="29" t="s">
        <v>30</v>
      </c>
      <c r="F605" s="32" t="s">
        <v>18</v>
      </c>
    </row>
    <row r="606" spans="1:6" ht="72" customHeight="1">
      <c r="A606" s="1" t="s">
        <v>31</v>
      </c>
      <c r="B606" s="1">
        <v>605</v>
      </c>
      <c r="C606" s="1" t="s">
        <v>638</v>
      </c>
      <c r="D606">
        <f>IMAGE("https://raw.githubusercontent.com/stautonico/pokemon-home-pokedex/main/sprites/elgyem.png", 2)</f>
        <v>0</v>
      </c>
      <c r="E606" s="4" t="s">
        <v>14</v>
      </c>
      <c r="F606" s="5"/>
    </row>
    <row r="607" spans="1:6" ht="72" customHeight="1">
      <c r="A607" s="1" t="s">
        <v>31</v>
      </c>
      <c r="B607" s="1">
        <v>606</v>
      </c>
      <c r="C607" s="1" t="s">
        <v>639</v>
      </c>
      <c r="D607">
        <f>IMAGE("https://raw.githubusercontent.com/stautonico/pokemon-home-pokedex/main/sprites/beheeyem.png", 2)</f>
        <v>0</v>
      </c>
      <c r="E607" s="4" t="s">
        <v>14</v>
      </c>
      <c r="F607" s="5"/>
    </row>
    <row r="608" spans="1:6" ht="72" customHeight="1">
      <c r="A608" s="1" t="s">
        <v>31</v>
      </c>
      <c r="B608" s="1">
        <v>607</v>
      </c>
      <c r="C608" s="1" t="s">
        <v>640</v>
      </c>
      <c r="D608">
        <f>IMAGE("https://raw.githubusercontent.com/stautonico/pokemon-home-pokedex/main/sprites/litwick.png", 2)</f>
        <v>0</v>
      </c>
      <c r="E608" s="4" t="s">
        <v>14</v>
      </c>
      <c r="F608" s="5"/>
    </row>
    <row r="609" spans="1:6" ht="72" customHeight="1">
      <c r="A609" s="1" t="s">
        <v>31</v>
      </c>
      <c r="B609" s="1">
        <v>608</v>
      </c>
      <c r="C609" s="1" t="s">
        <v>641</v>
      </c>
      <c r="D609">
        <f>IMAGE("https://raw.githubusercontent.com/stautonico/pokemon-home-pokedex/main/sprites/lampent.png", 2)</f>
        <v>0</v>
      </c>
      <c r="E609" s="4" t="s">
        <v>14</v>
      </c>
      <c r="F609" s="5"/>
    </row>
    <row r="610" spans="1:6" ht="72" customHeight="1">
      <c r="A610" s="1" t="s">
        <v>31</v>
      </c>
      <c r="B610" s="1">
        <v>609</v>
      </c>
      <c r="C610" s="1" t="s">
        <v>642</v>
      </c>
      <c r="D610">
        <f>IMAGE("https://raw.githubusercontent.com/stautonico/pokemon-home-pokedex/main/sprites/chandelure.png", 2)</f>
        <v>0</v>
      </c>
      <c r="E610" s="4" t="s">
        <v>14</v>
      </c>
      <c r="F610" s="5"/>
    </row>
    <row r="611" spans="1:6" ht="72" customHeight="1">
      <c r="A611" s="1" t="s">
        <v>31</v>
      </c>
      <c r="B611" s="1">
        <v>610</v>
      </c>
      <c r="C611" s="1" t="s">
        <v>643</v>
      </c>
      <c r="D611">
        <f>IMAGE("https://raw.githubusercontent.com/stautonico/pokemon-home-pokedex/main/sprites/axew.png", 2)</f>
        <v>0</v>
      </c>
      <c r="E611" s="29" t="s">
        <v>30</v>
      </c>
      <c r="F611" s="4" t="s">
        <v>14</v>
      </c>
    </row>
    <row r="612" spans="1:6" ht="72" customHeight="1">
      <c r="A612" s="1" t="s">
        <v>31</v>
      </c>
      <c r="B612" s="1">
        <v>611</v>
      </c>
      <c r="C612" s="1" t="s">
        <v>644</v>
      </c>
      <c r="D612">
        <f>IMAGE("https://raw.githubusercontent.com/stautonico/pokemon-home-pokedex/main/sprites/fraxure.png", 2)</f>
        <v>0</v>
      </c>
      <c r="E612" s="29" t="s">
        <v>30</v>
      </c>
      <c r="F612" s="4" t="s">
        <v>14</v>
      </c>
    </row>
    <row r="613" spans="1:6" ht="72" customHeight="1">
      <c r="A613" s="1" t="s">
        <v>31</v>
      </c>
      <c r="B613" s="1">
        <v>612</v>
      </c>
      <c r="C613" s="1" t="s">
        <v>645</v>
      </c>
      <c r="D613">
        <f>IMAGE("https://raw.githubusercontent.com/stautonico/pokemon-home-pokedex/main/sprites/haxorus.png", 2)</f>
        <v>0</v>
      </c>
      <c r="E613" s="29" t="s">
        <v>30</v>
      </c>
      <c r="F613" s="4" t="s">
        <v>14</v>
      </c>
    </row>
    <row r="614" spans="1:6" ht="72" customHeight="1">
      <c r="A614" s="1" t="s">
        <v>31</v>
      </c>
      <c r="B614" s="1">
        <v>613</v>
      </c>
      <c r="C614" s="1" t="s">
        <v>646</v>
      </c>
      <c r="D614">
        <f>IMAGE("https://raw.githubusercontent.com/stautonico/pokemon-home-pokedex/main/sprites/cubchoo.png", 2)</f>
        <v>0</v>
      </c>
      <c r="E614" s="29" t="s">
        <v>30</v>
      </c>
      <c r="F614" s="4" t="s">
        <v>14</v>
      </c>
    </row>
    <row r="615" spans="1:6" ht="72" customHeight="1">
      <c r="A615" s="1" t="s">
        <v>31</v>
      </c>
      <c r="B615" s="1">
        <v>614</v>
      </c>
      <c r="C615" s="1" t="s">
        <v>647</v>
      </c>
      <c r="D615">
        <f>IMAGE("https://raw.githubusercontent.com/stautonico/pokemon-home-pokedex/main/sprites/beartic.png", 2)</f>
        <v>0</v>
      </c>
      <c r="E615" s="29" t="s">
        <v>30</v>
      </c>
      <c r="F615" s="4" t="s">
        <v>14</v>
      </c>
    </row>
    <row r="616" spans="1:6" ht="72" customHeight="1">
      <c r="A616" s="1" t="s">
        <v>31</v>
      </c>
      <c r="B616" s="1">
        <v>615</v>
      </c>
      <c r="C616" s="1" t="s">
        <v>648</v>
      </c>
      <c r="D616">
        <f>IMAGE("https://raw.githubusercontent.com/stautonico/pokemon-home-pokedex/main/sprites/cryogonal.png", 2)</f>
        <v>0</v>
      </c>
      <c r="E616" s="29" t="s">
        <v>30</v>
      </c>
      <c r="F616" s="25" t="s">
        <v>17</v>
      </c>
    </row>
    <row r="617" spans="1:6" ht="72" customHeight="1">
      <c r="A617" s="1" t="s">
        <v>31</v>
      </c>
      <c r="B617" s="1">
        <v>616</v>
      </c>
      <c r="C617" s="1" t="s">
        <v>649</v>
      </c>
      <c r="D617">
        <f>IMAGE("https://raw.githubusercontent.com/stautonico/pokemon-home-pokedex/main/sprites/shelmet.png", 2)</f>
        <v>0</v>
      </c>
      <c r="E617" s="4" t="s">
        <v>14</v>
      </c>
      <c r="F617" s="5"/>
    </row>
    <row r="618" spans="1:6" ht="72" customHeight="1">
      <c r="A618" s="1" t="s">
        <v>31</v>
      </c>
      <c r="B618" s="1">
        <v>617</v>
      </c>
      <c r="C618" s="1" t="s">
        <v>650</v>
      </c>
      <c r="D618">
        <f>IMAGE("https://raw.githubusercontent.com/stautonico/pokemon-home-pokedex/main/sprites/accelgor.png", 2)</f>
        <v>0</v>
      </c>
      <c r="E618" s="4" t="s">
        <v>14</v>
      </c>
      <c r="F618" s="5"/>
    </row>
    <row r="619" spans="1:6" ht="72" customHeight="1">
      <c r="A619" s="1" t="s">
        <v>31</v>
      </c>
      <c r="B619" s="1">
        <v>618</v>
      </c>
      <c r="C619" s="1" t="s">
        <v>651</v>
      </c>
      <c r="D619">
        <f>IMAGE("https://raw.githubusercontent.com/stautonico/pokemon-home-pokedex/main/sprites/stunfisk.png", 2)</f>
        <v>0</v>
      </c>
      <c r="E619" s="4" t="s">
        <v>14</v>
      </c>
      <c r="F619" s="5"/>
    </row>
    <row r="620" spans="1:6" ht="72" customHeight="1">
      <c r="A620" s="1" t="s">
        <v>31</v>
      </c>
      <c r="B620" s="1">
        <v>619</v>
      </c>
      <c r="C620" s="1" t="s">
        <v>652</v>
      </c>
      <c r="D620">
        <f>IMAGE("https://raw.githubusercontent.com/stautonico/pokemon-home-pokedex/main/sprites/mienfoo.png", 2)</f>
        <v>0</v>
      </c>
      <c r="E620" s="3" t="s">
        <v>12</v>
      </c>
      <c r="F620" s="32" t="s">
        <v>18</v>
      </c>
    </row>
    <row r="621" spans="1:6" ht="72" customHeight="1">
      <c r="A621" s="1" t="s">
        <v>31</v>
      </c>
      <c r="B621" s="1">
        <v>620</v>
      </c>
      <c r="C621" s="1" t="s">
        <v>653</v>
      </c>
      <c r="D621">
        <f>IMAGE("https://raw.githubusercontent.com/stautonico/pokemon-home-pokedex/main/sprites/mienshao.png", 2)</f>
        <v>0</v>
      </c>
      <c r="E621" s="3" t="s">
        <v>12</v>
      </c>
      <c r="F621" s="32" t="s">
        <v>18</v>
      </c>
    </row>
    <row r="622" spans="1:6" ht="72" customHeight="1">
      <c r="A622" s="1" t="s">
        <v>31</v>
      </c>
      <c r="B622" s="1">
        <v>621</v>
      </c>
      <c r="C622" s="1" t="s">
        <v>654</v>
      </c>
      <c r="D622">
        <f>IMAGE("https://raw.githubusercontent.com/stautonico/pokemon-home-pokedex/main/sprites/druddigon.png", 2)</f>
        <v>0</v>
      </c>
      <c r="E622" s="3" t="s">
        <v>12</v>
      </c>
      <c r="F622" s="32" t="s">
        <v>18</v>
      </c>
    </row>
    <row r="623" spans="1:6" ht="72" customHeight="1">
      <c r="A623" s="1" t="s">
        <v>31</v>
      </c>
      <c r="B623" s="1">
        <v>622</v>
      </c>
      <c r="C623" s="1" t="s">
        <v>655</v>
      </c>
      <c r="D623">
        <f>IMAGE("https://raw.githubusercontent.com/stautonico/pokemon-home-pokedex/main/sprites/golett.png", 2)</f>
        <v>0</v>
      </c>
      <c r="E623" s="4" t="s">
        <v>14</v>
      </c>
      <c r="F623" s="5"/>
    </row>
    <row r="624" spans="1:6" ht="72" customHeight="1">
      <c r="A624" s="1" t="s">
        <v>31</v>
      </c>
      <c r="B624" s="1">
        <v>623</v>
      </c>
      <c r="C624" s="1" t="s">
        <v>656</v>
      </c>
      <c r="D624">
        <f>IMAGE("https://raw.githubusercontent.com/stautonico/pokemon-home-pokedex/main/sprites/golurk.png", 2)</f>
        <v>0</v>
      </c>
      <c r="E624" s="4" t="s">
        <v>14</v>
      </c>
      <c r="F624" s="5"/>
    </row>
    <row r="625" spans="1:6" ht="72" customHeight="1">
      <c r="A625" s="1" t="s">
        <v>31</v>
      </c>
      <c r="B625" s="1">
        <v>624</v>
      </c>
      <c r="C625" s="1" t="s">
        <v>657</v>
      </c>
      <c r="D625">
        <f>IMAGE("https://raw.githubusercontent.com/stautonico/pokemon-home-pokedex/main/sprites/pawniard.png", 2)</f>
        <v>0</v>
      </c>
      <c r="E625" s="29" t="s">
        <v>30</v>
      </c>
      <c r="F625" s="4" t="s">
        <v>14</v>
      </c>
    </row>
    <row r="626" spans="1:6" ht="72" customHeight="1">
      <c r="A626" s="1" t="s">
        <v>31</v>
      </c>
      <c r="B626" s="1">
        <v>625</v>
      </c>
      <c r="C626" s="1" t="s">
        <v>658</v>
      </c>
      <c r="D626">
        <f>IMAGE("https://raw.githubusercontent.com/stautonico/pokemon-home-pokedex/main/sprites/bisharp.png", 2)</f>
        <v>0</v>
      </c>
      <c r="E626" s="29" t="s">
        <v>30</v>
      </c>
      <c r="F626" s="4" t="s">
        <v>14</v>
      </c>
    </row>
    <row r="627" spans="1:6" ht="72" customHeight="1">
      <c r="A627" s="1" t="s">
        <v>31</v>
      </c>
      <c r="B627" s="1">
        <v>626</v>
      </c>
      <c r="C627" s="1" t="s">
        <v>659</v>
      </c>
      <c r="D627">
        <f>IMAGE("https://raw.githubusercontent.com/stautonico/pokemon-home-pokedex/main/sprites/bouffalant.png", 2)</f>
        <v>0</v>
      </c>
      <c r="E627" s="3" t="s">
        <v>12</v>
      </c>
      <c r="F627" s="34" t="s">
        <v>22</v>
      </c>
    </row>
    <row r="628" spans="1:6" ht="72" customHeight="1">
      <c r="A628" s="1" t="s">
        <v>31</v>
      </c>
      <c r="B628" s="1">
        <v>627</v>
      </c>
      <c r="C628" s="1" t="s">
        <v>660</v>
      </c>
      <c r="D628">
        <f>IMAGE("https://raw.githubusercontent.com/stautonico/pokemon-home-pokedex/main/sprites/rufflet.png", 2)</f>
        <v>0</v>
      </c>
      <c r="E628" s="29" t="s">
        <v>30</v>
      </c>
      <c r="F628" s="35" t="s">
        <v>15</v>
      </c>
    </row>
    <row r="629" spans="1:6" ht="72" customHeight="1">
      <c r="A629" s="1" t="s">
        <v>31</v>
      </c>
      <c r="B629" s="1">
        <v>628</v>
      </c>
      <c r="C629" s="1" t="s">
        <v>661</v>
      </c>
      <c r="D629">
        <f>IMAGE("https://raw.githubusercontent.com/stautonico/pokemon-home-pokedex/main/sprites/braviary.png", 2)</f>
        <v>0</v>
      </c>
      <c r="E629" s="29" t="s">
        <v>30</v>
      </c>
      <c r="F629" s="35" t="s">
        <v>15</v>
      </c>
    </row>
    <row r="630" spans="1:6" ht="72" customHeight="1">
      <c r="A630" s="1" t="s">
        <v>31</v>
      </c>
      <c r="B630" s="1">
        <v>629</v>
      </c>
      <c r="C630" s="1" t="s">
        <v>662</v>
      </c>
      <c r="D630">
        <f>IMAGE("https://raw.githubusercontent.com/stautonico/pokemon-home-pokedex/main/sprites/vullaby.png", 2)</f>
        <v>0</v>
      </c>
      <c r="E630" s="33" t="s">
        <v>16</v>
      </c>
      <c r="F630" s="42" t="s">
        <v>21</v>
      </c>
    </row>
    <row r="631" spans="1:6" ht="72" customHeight="1">
      <c r="A631" s="1" t="s">
        <v>31</v>
      </c>
      <c r="B631" s="1">
        <v>630</v>
      </c>
      <c r="C631" s="1" t="s">
        <v>663</v>
      </c>
      <c r="D631">
        <f>IMAGE("https://raw.githubusercontent.com/stautonico/pokemon-home-pokedex/main/sprites/mandibuzz.png", 2)</f>
        <v>0</v>
      </c>
      <c r="E631" s="33" t="s">
        <v>16</v>
      </c>
      <c r="F631" s="42" t="s">
        <v>21</v>
      </c>
    </row>
    <row r="632" spans="1:6" ht="72" customHeight="1">
      <c r="A632" s="1" t="s">
        <v>31</v>
      </c>
      <c r="B632" s="1">
        <v>631</v>
      </c>
      <c r="C632" s="1" t="s">
        <v>664</v>
      </c>
      <c r="D632">
        <f>IMAGE("https://raw.githubusercontent.com/stautonico/pokemon-home-pokedex/main/sprites/heatmor.png", 2)</f>
        <v>0</v>
      </c>
      <c r="E632" s="4" t="s">
        <v>14</v>
      </c>
      <c r="F632" s="5"/>
    </row>
    <row r="633" spans="1:6" ht="72" customHeight="1">
      <c r="A633" s="1" t="s">
        <v>31</v>
      </c>
      <c r="B633" s="1">
        <v>632</v>
      </c>
      <c r="C633" s="1" t="s">
        <v>665</v>
      </c>
      <c r="D633">
        <f>IMAGE("https://raw.githubusercontent.com/stautonico/pokemon-home-pokedex/main/sprites/durant.png", 2)</f>
        <v>0</v>
      </c>
      <c r="E633" s="4" t="s">
        <v>14</v>
      </c>
      <c r="F633" s="5"/>
    </row>
    <row r="634" spans="1:6" ht="72" customHeight="1">
      <c r="A634" s="1" t="s">
        <v>31</v>
      </c>
      <c r="B634" s="1">
        <v>633</v>
      </c>
      <c r="C634" s="1" t="s">
        <v>666</v>
      </c>
      <c r="D634">
        <f>IMAGE("https://raw.githubusercontent.com/stautonico/pokemon-home-pokedex/main/sprites/deino.png", 2)</f>
        <v>0</v>
      </c>
      <c r="E634" s="38" t="s">
        <v>28</v>
      </c>
      <c r="F634" s="34" t="s">
        <v>22</v>
      </c>
    </row>
    <row r="635" spans="1:6" ht="72" customHeight="1">
      <c r="A635" s="1" t="s">
        <v>31</v>
      </c>
      <c r="B635" s="1">
        <v>634</v>
      </c>
      <c r="C635" s="1" t="s">
        <v>667</v>
      </c>
      <c r="D635">
        <f>IMAGE("https://raw.githubusercontent.com/stautonico/pokemon-home-pokedex/main/sprites/zweilous.png", 2)</f>
        <v>0</v>
      </c>
      <c r="E635" s="38" t="s">
        <v>28</v>
      </c>
      <c r="F635" s="34" t="s">
        <v>22</v>
      </c>
    </row>
    <row r="636" spans="1:6" ht="72" customHeight="1">
      <c r="A636" s="1" t="s">
        <v>31</v>
      </c>
      <c r="B636" s="1">
        <v>635</v>
      </c>
      <c r="C636" s="1" t="s">
        <v>668</v>
      </c>
      <c r="D636">
        <f>IMAGE("https://raw.githubusercontent.com/stautonico/pokemon-home-pokedex/main/sprites/hydreigon.png", 2)</f>
        <v>0</v>
      </c>
      <c r="E636" s="38" t="s">
        <v>28</v>
      </c>
      <c r="F636" s="34" t="s">
        <v>22</v>
      </c>
    </row>
    <row r="637" spans="1:6" ht="72" customHeight="1">
      <c r="A637" s="1" t="s">
        <v>31</v>
      </c>
      <c r="B637" s="1">
        <v>636</v>
      </c>
      <c r="C637" s="1" t="s">
        <v>669</v>
      </c>
      <c r="D637">
        <f>IMAGE("https://raw.githubusercontent.com/stautonico/pokemon-home-pokedex/main/sprites/larvesta.png", 2)</f>
        <v>0</v>
      </c>
      <c r="E637" s="29" t="s">
        <v>30</v>
      </c>
      <c r="F637" s="3" t="s">
        <v>12</v>
      </c>
    </row>
    <row r="638" spans="1:6" ht="72" customHeight="1">
      <c r="A638" s="1" t="s">
        <v>31</v>
      </c>
      <c r="B638" s="1">
        <v>637</v>
      </c>
      <c r="C638" s="1" t="s">
        <v>670</v>
      </c>
      <c r="D638">
        <f>IMAGE("https://raw.githubusercontent.com/stautonico/pokemon-home-pokedex/main/sprites/volcarona.png", 2)</f>
        <v>0</v>
      </c>
      <c r="E638" s="29" t="s">
        <v>30</v>
      </c>
      <c r="F638" s="3" t="s">
        <v>12</v>
      </c>
    </row>
    <row r="639" spans="1:6" ht="72" customHeight="1">
      <c r="A639" s="1" t="s">
        <v>31</v>
      </c>
      <c r="B639" s="1">
        <v>638</v>
      </c>
      <c r="C639" s="1" t="s">
        <v>671</v>
      </c>
      <c r="D639">
        <f>IMAGE("https://raw.githubusercontent.com/stautonico/pokemon-home-pokedex/main/sprites/cobalion.png", 2)</f>
        <v>0</v>
      </c>
      <c r="E639" s="32" t="s">
        <v>18</v>
      </c>
      <c r="F639" s="5"/>
    </row>
    <row r="640" spans="1:6" ht="72" customHeight="1">
      <c r="A640" s="1" t="s">
        <v>31</v>
      </c>
      <c r="B640" s="1">
        <v>639</v>
      </c>
      <c r="C640" s="1" t="s">
        <v>672</v>
      </c>
      <c r="D640">
        <f>IMAGE("https://raw.githubusercontent.com/stautonico/pokemon-home-pokedex/main/sprites/terrakion.png", 2)</f>
        <v>0</v>
      </c>
      <c r="E640" s="32" t="s">
        <v>18</v>
      </c>
      <c r="F640" s="5"/>
    </row>
    <row r="641" spans="1:6" ht="72" customHeight="1">
      <c r="A641" s="1" t="s">
        <v>31</v>
      </c>
      <c r="B641" s="1">
        <v>640</v>
      </c>
      <c r="C641" s="1" t="s">
        <v>673</v>
      </c>
      <c r="D641">
        <f>IMAGE("https://raw.githubusercontent.com/stautonico/pokemon-home-pokedex/main/sprites/virizion.png", 2)</f>
        <v>0</v>
      </c>
      <c r="E641" s="32" t="s">
        <v>18</v>
      </c>
      <c r="F641" s="5"/>
    </row>
    <row r="642" spans="1:6" ht="72" customHeight="1">
      <c r="A642" s="1" t="s">
        <v>31</v>
      </c>
      <c r="B642" s="1">
        <v>641</v>
      </c>
      <c r="C642" s="1" t="s">
        <v>674</v>
      </c>
      <c r="D642">
        <f>IMAGE("https://raw.githubusercontent.com/stautonico/pokemon-home-pokedex/main/sprites/tornadus.png", 2)</f>
        <v>0</v>
      </c>
      <c r="E642" s="41" t="s">
        <v>20</v>
      </c>
      <c r="F642" s="40" t="s">
        <v>23</v>
      </c>
    </row>
    <row r="643" spans="1:6" ht="72" customHeight="1">
      <c r="A643" s="1" t="s">
        <v>31</v>
      </c>
      <c r="B643" s="1">
        <v>642</v>
      </c>
      <c r="C643" s="1" t="s">
        <v>675</v>
      </c>
      <c r="D643">
        <f>IMAGE("https://raw.githubusercontent.com/stautonico/pokemon-home-pokedex/main/sprites/thundurus.png", 2)</f>
        <v>0</v>
      </c>
      <c r="E643" s="42" t="s">
        <v>21</v>
      </c>
      <c r="F643" s="43" t="s">
        <v>24</v>
      </c>
    </row>
    <row r="644" spans="1:6" ht="72" customHeight="1">
      <c r="A644" s="1" t="s">
        <v>31</v>
      </c>
      <c r="B644" s="1">
        <v>643</v>
      </c>
      <c r="C644" s="1" t="s">
        <v>676</v>
      </c>
      <c r="D644">
        <f>IMAGE("https://raw.githubusercontent.com/stautonico/pokemon-home-pokedex/main/sprites/reshiram.png", 2)</f>
        <v>0</v>
      </c>
      <c r="E644" s="41" t="s">
        <v>20</v>
      </c>
      <c r="F644" s="40" t="s">
        <v>23</v>
      </c>
    </row>
    <row r="645" spans="1:6" ht="72" customHeight="1">
      <c r="A645" s="1" t="s">
        <v>31</v>
      </c>
      <c r="B645" s="1">
        <v>644</v>
      </c>
      <c r="C645" s="1" t="s">
        <v>677</v>
      </c>
      <c r="D645">
        <f>IMAGE("https://raw.githubusercontent.com/stautonico/pokemon-home-pokedex/main/sprites/zekrom.png", 2)</f>
        <v>0</v>
      </c>
      <c r="E645" s="42" t="s">
        <v>21</v>
      </c>
      <c r="F645" s="43" t="s">
        <v>24</v>
      </c>
    </row>
    <row r="646" spans="1:6" ht="72" customHeight="1">
      <c r="A646" s="1" t="s">
        <v>31</v>
      </c>
      <c r="B646" s="1">
        <v>645</v>
      </c>
      <c r="C646" s="1" t="s">
        <v>678</v>
      </c>
      <c r="D646">
        <f>IMAGE("https://raw.githubusercontent.com/stautonico/pokemon-home-pokedex/main/sprites/landorus.png", 2)</f>
        <v>0</v>
      </c>
      <c r="E646" s="32" t="s">
        <v>18</v>
      </c>
      <c r="F646" s="5"/>
    </row>
    <row r="647" spans="1:6" ht="72" customHeight="1">
      <c r="A647" s="1" t="s">
        <v>31</v>
      </c>
      <c r="B647" s="1">
        <v>646</v>
      </c>
      <c r="C647" s="1" t="s">
        <v>679</v>
      </c>
      <c r="D647">
        <f>IMAGE("https://raw.githubusercontent.com/stautonico/pokemon-home-pokedex/main/sprites/kyurem.png", 2)</f>
        <v>0</v>
      </c>
      <c r="E647" s="32" t="s">
        <v>18</v>
      </c>
      <c r="F647" s="5"/>
    </row>
    <row r="648" spans="1:6" ht="72" customHeight="1">
      <c r="A648" s="1" t="s">
        <v>31</v>
      </c>
      <c r="B648" s="1">
        <v>647</v>
      </c>
      <c r="C648" s="1" t="s">
        <v>680</v>
      </c>
      <c r="D648">
        <f>IMAGE("https://raw.githubusercontent.com/stautonico/pokemon-home-pokedex/main/sprites/keldeo.png", 2)</f>
        <v>0</v>
      </c>
      <c r="E648" s="39" t="s">
        <v>25</v>
      </c>
      <c r="F648" s="5"/>
    </row>
    <row r="649" spans="1:6" ht="72" customHeight="1">
      <c r="A649" s="1" t="s">
        <v>31</v>
      </c>
      <c r="B649" s="1">
        <v>648</v>
      </c>
      <c r="C649" s="1" t="s">
        <v>681</v>
      </c>
      <c r="D649">
        <f>IMAGE("https://raw.githubusercontent.com/stautonico/pokemon-home-pokedex/main/sprites/meloetta.png", 2)</f>
        <v>0</v>
      </c>
      <c r="E649" s="39" t="s">
        <v>25</v>
      </c>
      <c r="F649" s="5"/>
    </row>
    <row r="650" spans="1:6" ht="72" customHeight="1">
      <c r="A650" s="1" t="s">
        <v>31</v>
      </c>
      <c r="B650" s="1">
        <v>649</v>
      </c>
      <c r="C650" s="1" t="s">
        <v>682</v>
      </c>
      <c r="D650">
        <f>IMAGE("https://raw.githubusercontent.com/stautonico/pokemon-home-pokedex/main/sprites/genesect.png", 2)</f>
        <v>0</v>
      </c>
      <c r="E650" s="39" t="s">
        <v>25</v>
      </c>
      <c r="F650" s="5"/>
    </row>
    <row r="651" spans="1:6" ht="72" customHeight="1">
      <c r="A651" s="1" t="s">
        <v>31</v>
      </c>
      <c r="B651" s="1">
        <v>650</v>
      </c>
      <c r="C651" s="1" t="s">
        <v>683</v>
      </c>
      <c r="D651">
        <f>IMAGE("https://raw.githubusercontent.com/stautonico/pokemon-home-pokedex/main/sprites/chespin.png", 2)</f>
        <v>0</v>
      </c>
      <c r="E651" s="32" t="s">
        <v>18</v>
      </c>
      <c r="F651" s="25" t="s">
        <v>17</v>
      </c>
    </row>
    <row r="652" spans="1:6" ht="72" customHeight="1">
      <c r="A652" s="1" t="s">
        <v>31</v>
      </c>
      <c r="B652" s="1">
        <v>651</v>
      </c>
      <c r="C652" s="1" t="s">
        <v>684</v>
      </c>
      <c r="D652">
        <f>IMAGE("https://raw.githubusercontent.com/stautonico/pokemon-home-pokedex/main/sprites/quilladin.png", 2)</f>
        <v>0</v>
      </c>
      <c r="E652" s="32" t="s">
        <v>18</v>
      </c>
      <c r="F652" s="25" t="s">
        <v>17</v>
      </c>
    </row>
    <row r="653" spans="1:6" ht="72" customHeight="1">
      <c r="A653" s="1" t="s">
        <v>31</v>
      </c>
      <c r="B653" s="1">
        <v>652</v>
      </c>
      <c r="C653" s="1" t="s">
        <v>685</v>
      </c>
      <c r="D653">
        <f>IMAGE("https://raw.githubusercontent.com/stautonico/pokemon-home-pokedex/main/sprites/chesnaught.png", 2)</f>
        <v>0</v>
      </c>
      <c r="E653" s="32" t="s">
        <v>18</v>
      </c>
      <c r="F653" s="25" t="s">
        <v>17</v>
      </c>
    </row>
    <row r="654" spans="1:6" ht="72" customHeight="1">
      <c r="A654" s="1" t="s">
        <v>31</v>
      </c>
      <c r="B654" s="1">
        <v>653</v>
      </c>
      <c r="C654" s="1" t="s">
        <v>686</v>
      </c>
      <c r="D654">
        <f>IMAGE("https://raw.githubusercontent.com/stautonico/pokemon-home-pokedex/main/sprites/fennekin.png", 2)</f>
        <v>0</v>
      </c>
      <c r="E654" s="32" t="s">
        <v>18</v>
      </c>
      <c r="F654" s="25" t="s">
        <v>17</v>
      </c>
    </row>
    <row r="655" spans="1:6" ht="72" customHeight="1">
      <c r="A655" s="1" t="s">
        <v>31</v>
      </c>
      <c r="B655" s="1">
        <v>654</v>
      </c>
      <c r="C655" s="1" t="s">
        <v>687</v>
      </c>
      <c r="D655">
        <f>IMAGE("https://raw.githubusercontent.com/stautonico/pokemon-home-pokedex/main/sprites/braixen.png", 2)</f>
        <v>0</v>
      </c>
      <c r="E655" s="32" t="s">
        <v>18</v>
      </c>
      <c r="F655" s="25" t="s">
        <v>17</v>
      </c>
    </row>
    <row r="656" spans="1:6" ht="72" customHeight="1">
      <c r="A656" s="1" t="s">
        <v>31</v>
      </c>
      <c r="B656" s="1">
        <v>655</v>
      </c>
      <c r="C656" s="1" t="s">
        <v>688</v>
      </c>
      <c r="D656">
        <f>IMAGE("https://raw.githubusercontent.com/stautonico/pokemon-home-pokedex/main/sprites/delphox.png", 2)</f>
        <v>0</v>
      </c>
      <c r="E656" s="32" t="s">
        <v>18</v>
      </c>
      <c r="F656" s="25" t="s">
        <v>17</v>
      </c>
    </row>
    <row r="657" spans="1:6" ht="72" customHeight="1">
      <c r="A657" s="1" t="s">
        <v>31</v>
      </c>
      <c r="B657" s="1">
        <v>656</v>
      </c>
      <c r="C657" s="1" t="s">
        <v>689</v>
      </c>
      <c r="D657">
        <f>IMAGE("https://raw.githubusercontent.com/stautonico/pokemon-home-pokedex/main/sprites/froakie.png", 2)</f>
        <v>0</v>
      </c>
      <c r="E657" s="32" t="s">
        <v>18</v>
      </c>
      <c r="F657" s="25" t="s">
        <v>17</v>
      </c>
    </row>
    <row r="658" spans="1:6" ht="72" customHeight="1">
      <c r="A658" s="1" t="s">
        <v>31</v>
      </c>
      <c r="B658" s="1">
        <v>657</v>
      </c>
      <c r="C658" s="1" t="s">
        <v>690</v>
      </c>
      <c r="D658">
        <f>IMAGE("https://raw.githubusercontent.com/stautonico/pokemon-home-pokedex/main/sprites/frogadier.png", 2)</f>
        <v>0</v>
      </c>
      <c r="E658" s="32" t="s">
        <v>18</v>
      </c>
      <c r="F658" s="25" t="s">
        <v>17</v>
      </c>
    </row>
    <row r="659" spans="1:6" ht="72" customHeight="1">
      <c r="A659" s="1" t="s">
        <v>31</v>
      </c>
      <c r="B659" s="1">
        <v>658</v>
      </c>
      <c r="C659" s="1" t="s">
        <v>691</v>
      </c>
      <c r="D659">
        <f>IMAGE("https://raw.githubusercontent.com/stautonico/pokemon-home-pokedex/main/sprites/greninja.png", 2)</f>
        <v>0</v>
      </c>
      <c r="E659" s="32" t="s">
        <v>18</v>
      </c>
      <c r="F659" s="25" t="s">
        <v>17</v>
      </c>
    </row>
    <row r="660" spans="1:6" ht="72" customHeight="1">
      <c r="A660" s="1" t="s">
        <v>31</v>
      </c>
      <c r="B660" s="1">
        <v>659</v>
      </c>
      <c r="C660" s="1" t="s">
        <v>692</v>
      </c>
      <c r="D660">
        <f>IMAGE("https://raw.githubusercontent.com/stautonico/pokemon-home-pokedex/main/sprites/bunnelby.png", 2)</f>
        <v>0</v>
      </c>
      <c r="E660" s="4" t="s">
        <v>14</v>
      </c>
      <c r="F660" s="5"/>
    </row>
    <row r="661" spans="1:6" ht="72" customHeight="1">
      <c r="A661" s="1" t="s">
        <v>31</v>
      </c>
      <c r="B661" s="1">
        <v>660</v>
      </c>
      <c r="C661" s="1" t="s">
        <v>693</v>
      </c>
      <c r="D661">
        <f>IMAGE("https://raw.githubusercontent.com/stautonico/pokemon-home-pokedex/main/sprites/diggersby.png", 2)</f>
        <v>0</v>
      </c>
      <c r="E661" s="4" t="s">
        <v>14</v>
      </c>
      <c r="F661" s="5"/>
    </row>
    <row r="662" spans="1:6" ht="72" customHeight="1">
      <c r="A662" s="1" t="s">
        <v>31</v>
      </c>
      <c r="B662" s="1">
        <v>661</v>
      </c>
      <c r="C662" s="1" t="s">
        <v>694</v>
      </c>
      <c r="D662">
        <f>IMAGE("https://raw.githubusercontent.com/stautonico/pokemon-home-pokedex/main/sprites/fletchling.png", 2)</f>
        <v>0</v>
      </c>
      <c r="E662" s="29" t="s">
        <v>30</v>
      </c>
      <c r="F662" s="3" t="s">
        <v>12</v>
      </c>
    </row>
    <row r="663" spans="1:6" ht="72" customHeight="1">
      <c r="A663" s="1" t="s">
        <v>31</v>
      </c>
      <c r="B663" s="1">
        <v>662</v>
      </c>
      <c r="C663" s="1" t="s">
        <v>695</v>
      </c>
      <c r="D663">
        <f>IMAGE("https://raw.githubusercontent.com/stautonico/pokemon-home-pokedex/main/sprites/fletchinder.png", 2)</f>
        <v>0</v>
      </c>
      <c r="E663" s="29" t="s">
        <v>30</v>
      </c>
      <c r="F663" s="3" t="s">
        <v>12</v>
      </c>
    </row>
    <row r="664" spans="1:6" ht="72" customHeight="1">
      <c r="A664" s="1" t="s">
        <v>31</v>
      </c>
      <c r="B664" s="1">
        <v>663</v>
      </c>
      <c r="C664" s="1" t="s">
        <v>696</v>
      </c>
      <c r="D664">
        <f>IMAGE("https://raw.githubusercontent.com/stautonico/pokemon-home-pokedex/main/sprites/talonflame.png", 2)</f>
        <v>0</v>
      </c>
      <c r="E664" s="29" t="s">
        <v>30</v>
      </c>
      <c r="F664" s="3" t="s">
        <v>12</v>
      </c>
    </row>
    <row r="665" spans="1:6" ht="72" customHeight="1">
      <c r="A665" s="1" t="s">
        <v>31</v>
      </c>
      <c r="B665" s="1">
        <v>664</v>
      </c>
      <c r="C665" s="1" t="s">
        <v>697</v>
      </c>
      <c r="D665">
        <f>IMAGE("https://raw.githubusercontent.com/stautonico/pokemon-home-pokedex/main/sprites/scatterbug.png", 2)</f>
        <v>0</v>
      </c>
      <c r="E665" s="29" t="s">
        <v>30</v>
      </c>
      <c r="F665" s="25" t="s">
        <v>17</v>
      </c>
    </row>
    <row r="666" spans="1:6" ht="72" customHeight="1">
      <c r="A666" s="1" t="s">
        <v>31</v>
      </c>
      <c r="B666" s="1">
        <v>665</v>
      </c>
      <c r="C666" s="1" t="s">
        <v>698</v>
      </c>
      <c r="D666">
        <f>IMAGE("https://raw.githubusercontent.com/stautonico/pokemon-home-pokedex/main/sprites/spewpa.png", 2)</f>
        <v>0</v>
      </c>
      <c r="E666" s="29" t="s">
        <v>30</v>
      </c>
      <c r="F666" s="25" t="s">
        <v>17</v>
      </c>
    </row>
    <row r="667" spans="1:6" ht="72" customHeight="1">
      <c r="A667" s="1" t="s">
        <v>31</v>
      </c>
      <c r="B667" s="1">
        <v>666</v>
      </c>
      <c r="C667" s="1" t="s">
        <v>699</v>
      </c>
      <c r="D667">
        <f>IMAGE("https://raw.githubusercontent.com/stautonico/pokemon-home-pokedex/main/sprites/vivillon.png", 2)</f>
        <v>0</v>
      </c>
      <c r="E667" s="29" t="s">
        <v>30</v>
      </c>
      <c r="F667" s="25" t="s">
        <v>17</v>
      </c>
    </row>
    <row r="668" spans="1:6" ht="72" customHeight="1">
      <c r="A668" s="1" t="s">
        <v>31</v>
      </c>
      <c r="B668" s="1">
        <v>667</v>
      </c>
      <c r="C668" s="1" t="s">
        <v>700</v>
      </c>
      <c r="D668">
        <f>IMAGE("https://raw.githubusercontent.com/stautonico/pokemon-home-pokedex/main/sprites/litleo.png", 2)</f>
        <v>0</v>
      </c>
      <c r="E668" s="29" t="s">
        <v>30</v>
      </c>
      <c r="F668" s="25" t="s">
        <v>17</v>
      </c>
    </row>
    <row r="669" spans="1:6" ht="72" customHeight="1">
      <c r="A669" s="1" t="s">
        <v>31</v>
      </c>
      <c r="B669" s="1">
        <v>668</v>
      </c>
      <c r="C669" s="1" t="s">
        <v>701</v>
      </c>
      <c r="D669">
        <f>IMAGE("https://raw.githubusercontent.com/stautonico/pokemon-home-pokedex/main/sprites/pyroar.png", 2)</f>
        <v>0</v>
      </c>
      <c r="E669" s="29" t="s">
        <v>30</v>
      </c>
      <c r="F669" s="25" t="s">
        <v>17</v>
      </c>
    </row>
    <row r="670" spans="1:6" ht="72" customHeight="1">
      <c r="A670" s="1" t="s">
        <v>31</v>
      </c>
      <c r="B670" s="1">
        <v>669</v>
      </c>
      <c r="C670" s="1" t="s">
        <v>702</v>
      </c>
      <c r="D670">
        <f>IMAGE("https://raw.githubusercontent.com/stautonico/pokemon-home-pokedex/main/sprites/flabebe.png", 2)</f>
        <v>0</v>
      </c>
      <c r="E670" s="29" t="s">
        <v>30</v>
      </c>
      <c r="F670" s="25" t="s">
        <v>17</v>
      </c>
    </row>
    <row r="671" spans="1:6" ht="72" customHeight="1">
      <c r="A671" s="1" t="s">
        <v>31</v>
      </c>
      <c r="B671" s="1">
        <v>670</v>
      </c>
      <c r="C671" s="1" t="s">
        <v>703</v>
      </c>
      <c r="D671">
        <f>IMAGE("https://raw.githubusercontent.com/stautonico/pokemon-home-pokedex/main/sprites/floette.png", 2)</f>
        <v>0</v>
      </c>
      <c r="E671" s="29" t="s">
        <v>30</v>
      </c>
      <c r="F671" s="25" t="s">
        <v>17</v>
      </c>
    </row>
    <row r="672" spans="1:6" ht="72" customHeight="1">
      <c r="A672" s="1" t="s">
        <v>31</v>
      </c>
      <c r="B672" s="1">
        <v>671</v>
      </c>
      <c r="C672" s="1" t="s">
        <v>704</v>
      </c>
      <c r="D672">
        <f>IMAGE("https://raw.githubusercontent.com/stautonico/pokemon-home-pokedex/main/sprites/florges.png", 2)</f>
        <v>0</v>
      </c>
      <c r="E672" s="29" t="s">
        <v>30</v>
      </c>
      <c r="F672" s="25" t="s">
        <v>17</v>
      </c>
    </row>
    <row r="673" spans="1:6" ht="72" customHeight="1">
      <c r="A673" s="1" t="s">
        <v>31</v>
      </c>
      <c r="B673" s="1">
        <v>672</v>
      </c>
      <c r="C673" s="1" t="s">
        <v>705</v>
      </c>
      <c r="D673">
        <f>IMAGE("https://raw.githubusercontent.com/stautonico/pokemon-home-pokedex/main/sprites/skiddo.png", 2)</f>
        <v>0</v>
      </c>
      <c r="E673" s="29" t="s">
        <v>30</v>
      </c>
      <c r="F673" s="25" t="s">
        <v>17</v>
      </c>
    </row>
    <row r="674" spans="1:6" ht="72" customHeight="1">
      <c r="A674" s="1" t="s">
        <v>31</v>
      </c>
      <c r="B674" s="1">
        <v>673</v>
      </c>
      <c r="C674" s="1" t="s">
        <v>706</v>
      </c>
      <c r="D674">
        <f>IMAGE("https://raw.githubusercontent.com/stautonico/pokemon-home-pokedex/main/sprites/gogoat.png", 2)</f>
        <v>0</v>
      </c>
      <c r="E674" s="29" t="s">
        <v>30</v>
      </c>
      <c r="F674" s="25" t="s">
        <v>17</v>
      </c>
    </row>
    <row r="675" spans="1:6" ht="72" customHeight="1">
      <c r="A675" s="1" t="s">
        <v>31</v>
      </c>
      <c r="B675" s="1">
        <v>674</v>
      </c>
      <c r="C675" s="1" t="s">
        <v>707</v>
      </c>
      <c r="D675">
        <f>IMAGE("https://raw.githubusercontent.com/stautonico/pokemon-home-pokedex/main/sprites/pancham.png", 2)</f>
        <v>0</v>
      </c>
      <c r="E675" s="4" t="s">
        <v>14</v>
      </c>
      <c r="F675" s="5"/>
    </row>
    <row r="676" spans="1:6" ht="72" customHeight="1">
      <c r="A676" s="1" t="s">
        <v>31</v>
      </c>
      <c r="B676" s="1">
        <v>675</v>
      </c>
      <c r="C676" s="1" t="s">
        <v>708</v>
      </c>
      <c r="D676">
        <f>IMAGE("https://raw.githubusercontent.com/stautonico/pokemon-home-pokedex/main/sprites/pangoro.png", 2)</f>
        <v>0</v>
      </c>
      <c r="E676" s="4" t="s">
        <v>14</v>
      </c>
      <c r="F676" s="5"/>
    </row>
    <row r="677" spans="1:6" ht="72" customHeight="1">
      <c r="A677" s="1" t="s">
        <v>31</v>
      </c>
      <c r="B677" s="1">
        <v>676</v>
      </c>
      <c r="C677" s="1" t="s">
        <v>709</v>
      </c>
      <c r="D677">
        <f>IMAGE("https://raw.githubusercontent.com/stautonico/pokemon-home-pokedex/main/sprites/furfrou.png", 2)</f>
        <v>0</v>
      </c>
      <c r="E677" s="25" t="s">
        <v>17</v>
      </c>
      <c r="F677" s="5"/>
    </row>
    <row r="678" spans="1:6" ht="72" customHeight="1">
      <c r="A678" s="1" t="s">
        <v>31</v>
      </c>
      <c r="B678" s="1">
        <v>677</v>
      </c>
      <c r="C678" s="1" t="s">
        <v>710</v>
      </c>
      <c r="D678">
        <f>IMAGE("https://raw.githubusercontent.com/stautonico/pokemon-home-pokedex/main/sprites/espurr.png", 2)</f>
        <v>0</v>
      </c>
      <c r="E678" s="4" t="s">
        <v>14</v>
      </c>
      <c r="F678" s="5"/>
    </row>
    <row r="679" spans="1:6" ht="72" customHeight="1">
      <c r="A679" s="1" t="s">
        <v>31</v>
      </c>
      <c r="B679" s="1">
        <v>678</v>
      </c>
      <c r="C679" s="1" t="s">
        <v>711</v>
      </c>
      <c r="D679">
        <f>IMAGE("https://raw.githubusercontent.com/stautonico/pokemon-home-pokedex/main/sprites/meowstic.png", 2)</f>
        <v>0</v>
      </c>
      <c r="E679" s="4" t="s">
        <v>14</v>
      </c>
      <c r="F679" s="5"/>
    </row>
    <row r="680" spans="1:6" ht="72" customHeight="1">
      <c r="A680" s="1" t="s">
        <v>31</v>
      </c>
      <c r="B680" s="1">
        <v>679</v>
      </c>
      <c r="C680" s="1" t="s">
        <v>712</v>
      </c>
      <c r="D680">
        <f>IMAGE("https://raw.githubusercontent.com/stautonico/pokemon-home-pokedex/main/sprites/honedge.png", 2)</f>
        <v>0</v>
      </c>
      <c r="E680" s="4" t="s">
        <v>14</v>
      </c>
      <c r="F680" s="5"/>
    </row>
    <row r="681" spans="1:6" ht="72" customHeight="1">
      <c r="A681" s="1" t="s">
        <v>31</v>
      </c>
      <c r="B681" s="1">
        <v>680</v>
      </c>
      <c r="C681" s="1" t="s">
        <v>713</v>
      </c>
      <c r="D681">
        <f>IMAGE("https://raw.githubusercontent.com/stautonico/pokemon-home-pokedex/main/sprites/doublade.png", 2)</f>
        <v>0</v>
      </c>
      <c r="E681" s="4" t="s">
        <v>14</v>
      </c>
      <c r="F681" s="5"/>
    </row>
    <row r="682" spans="1:6" ht="72" customHeight="1">
      <c r="A682" s="1" t="s">
        <v>31</v>
      </c>
      <c r="B682" s="1">
        <v>681</v>
      </c>
      <c r="C682" s="1" t="s">
        <v>714</v>
      </c>
      <c r="D682">
        <f>IMAGE("https://raw.githubusercontent.com/stautonico/pokemon-home-pokedex/main/sprites/aegislash.png", 2)</f>
        <v>0</v>
      </c>
      <c r="E682" s="4" t="s">
        <v>14</v>
      </c>
      <c r="F682" s="5"/>
    </row>
    <row r="683" spans="1:6" ht="72" customHeight="1">
      <c r="A683" s="1" t="s">
        <v>31</v>
      </c>
      <c r="B683" s="1">
        <v>682</v>
      </c>
      <c r="C683" s="1" t="s">
        <v>715</v>
      </c>
      <c r="D683">
        <f>IMAGE("https://raw.githubusercontent.com/stautonico/pokemon-home-pokedex/main/sprites/spritzee.png", 2)</f>
        <v>0</v>
      </c>
      <c r="E683" s="33" t="s">
        <v>16</v>
      </c>
      <c r="F683" s="5" t="s">
        <v>716</v>
      </c>
    </row>
    <row r="684" spans="1:6" ht="72" customHeight="1">
      <c r="A684" s="1" t="s">
        <v>31</v>
      </c>
      <c r="B684" s="1">
        <v>683</v>
      </c>
      <c r="C684" s="1" t="s">
        <v>717</v>
      </c>
      <c r="D684">
        <f>IMAGE("https://raw.githubusercontent.com/stautonico/pokemon-home-pokedex/main/sprites/aromatisse.png", 2)</f>
        <v>0</v>
      </c>
      <c r="E684" s="33" t="s">
        <v>16</v>
      </c>
      <c r="F684" s="5" t="s">
        <v>716</v>
      </c>
    </row>
    <row r="685" spans="1:6" ht="72" customHeight="1">
      <c r="A685" s="1" t="s">
        <v>31</v>
      </c>
      <c r="B685" s="1">
        <v>684</v>
      </c>
      <c r="C685" s="1" t="s">
        <v>718</v>
      </c>
      <c r="D685">
        <f>IMAGE("https://raw.githubusercontent.com/stautonico/pokemon-home-pokedex/main/sprites/swirlix.png", 2)</f>
        <v>0</v>
      </c>
      <c r="E685" s="35" t="s">
        <v>15</v>
      </c>
      <c r="F685" s="5" t="s">
        <v>377</v>
      </c>
    </row>
    <row r="686" spans="1:6" ht="72" customHeight="1">
      <c r="A686" s="1" t="s">
        <v>31</v>
      </c>
      <c r="B686" s="1">
        <v>685</v>
      </c>
      <c r="C686" s="1" t="s">
        <v>719</v>
      </c>
      <c r="D686">
        <f>IMAGE("https://raw.githubusercontent.com/stautonico/pokemon-home-pokedex/main/sprites/slurpuff.png", 2)</f>
        <v>0</v>
      </c>
      <c r="E686" s="35" t="s">
        <v>15</v>
      </c>
      <c r="F686" s="5" t="s">
        <v>377</v>
      </c>
    </row>
    <row r="687" spans="1:6" ht="72" customHeight="1">
      <c r="A687" s="1" t="s">
        <v>31</v>
      </c>
      <c r="B687" s="1">
        <v>686</v>
      </c>
      <c r="C687" s="1" t="s">
        <v>720</v>
      </c>
      <c r="D687">
        <f>IMAGE("https://raw.githubusercontent.com/stautonico/pokemon-home-pokedex/main/sprites/inkay.png", 2)</f>
        <v>0</v>
      </c>
      <c r="E687" s="4" t="s">
        <v>14</v>
      </c>
      <c r="F687" s="5"/>
    </row>
    <row r="688" spans="1:6" ht="72" customHeight="1">
      <c r="A688" s="1" t="s">
        <v>31</v>
      </c>
      <c r="B688" s="1">
        <v>687</v>
      </c>
      <c r="C688" s="1" t="s">
        <v>721</v>
      </c>
      <c r="D688">
        <f>IMAGE("https://raw.githubusercontent.com/stautonico/pokemon-home-pokedex/main/sprites/malamar.png", 2)</f>
        <v>0</v>
      </c>
      <c r="E688" s="4" t="s">
        <v>14</v>
      </c>
      <c r="F688" s="5"/>
    </row>
    <row r="689" spans="1:6" ht="72" customHeight="1">
      <c r="A689" s="1" t="s">
        <v>31</v>
      </c>
      <c r="B689" s="1">
        <v>688</v>
      </c>
      <c r="C689" s="1" t="s">
        <v>722</v>
      </c>
      <c r="D689">
        <f>IMAGE("https://raw.githubusercontent.com/stautonico/pokemon-home-pokedex/main/sprites/binacle.png", 2)</f>
        <v>0</v>
      </c>
      <c r="E689" s="4" t="s">
        <v>14</v>
      </c>
      <c r="F689" s="5"/>
    </row>
    <row r="690" spans="1:6" ht="72" customHeight="1">
      <c r="A690" s="1" t="s">
        <v>31</v>
      </c>
      <c r="B690" s="1">
        <v>689</v>
      </c>
      <c r="C690" s="1" t="s">
        <v>723</v>
      </c>
      <c r="D690">
        <f>IMAGE("https://raw.githubusercontent.com/stautonico/pokemon-home-pokedex/main/sprites/barbaracle.png", 2)</f>
        <v>0</v>
      </c>
      <c r="E690" s="4" t="s">
        <v>14</v>
      </c>
      <c r="F690" s="5"/>
    </row>
    <row r="691" spans="1:6" ht="72" customHeight="1">
      <c r="A691" s="1" t="s">
        <v>31</v>
      </c>
      <c r="B691" s="1">
        <v>690</v>
      </c>
      <c r="C691" s="1" t="s">
        <v>724</v>
      </c>
      <c r="D691">
        <f>IMAGE("https://raw.githubusercontent.com/stautonico/pokemon-home-pokedex/main/sprites/skrelp.png", 2)</f>
        <v>0</v>
      </c>
      <c r="E691" s="38" t="s">
        <v>28</v>
      </c>
      <c r="F691" s="33" t="s">
        <v>16</v>
      </c>
    </row>
    <row r="692" spans="1:6" ht="72" customHeight="1">
      <c r="A692" s="1" t="s">
        <v>31</v>
      </c>
      <c r="B692" s="1">
        <v>691</v>
      </c>
      <c r="C692" s="1" t="s">
        <v>725</v>
      </c>
      <c r="D692">
        <f>IMAGE("https://raw.githubusercontent.com/stautonico/pokemon-home-pokedex/main/sprites/dragalge.png", 2)</f>
        <v>0</v>
      </c>
      <c r="E692" s="38" t="s">
        <v>28</v>
      </c>
      <c r="F692" s="33" t="s">
        <v>16</v>
      </c>
    </row>
    <row r="693" spans="1:6" ht="72" customHeight="1">
      <c r="A693" s="1" t="s">
        <v>31</v>
      </c>
      <c r="B693" s="1">
        <v>692</v>
      </c>
      <c r="C693" s="1" t="s">
        <v>726</v>
      </c>
      <c r="D693">
        <f>IMAGE("https://raw.githubusercontent.com/stautonico/pokemon-home-pokedex/main/sprites/clauncher.png", 2)</f>
        <v>0</v>
      </c>
      <c r="E693" s="37" t="s">
        <v>29</v>
      </c>
      <c r="F693" s="41" t="s">
        <v>20</v>
      </c>
    </row>
    <row r="694" spans="1:6" ht="72" customHeight="1">
      <c r="A694" s="1" t="s">
        <v>31</v>
      </c>
      <c r="B694" s="1">
        <v>693</v>
      </c>
      <c r="C694" s="1" t="s">
        <v>727</v>
      </c>
      <c r="D694">
        <f>IMAGE("https://raw.githubusercontent.com/stautonico/pokemon-home-pokedex/main/sprites/clawitzer.png", 2)</f>
        <v>0</v>
      </c>
      <c r="E694" s="37" t="s">
        <v>29</v>
      </c>
      <c r="F694" s="41" t="s">
        <v>20</v>
      </c>
    </row>
    <row r="695" spans="1:6" ht="72" customHeight="1">
      <c r="A695" s="1" t="s">
        <v>31</v>
      </c>
      <c r="B695" s="1">
        <v>694</v>
      </c>
      <c r="C695" s="1" t="s">
        <v>728</v>
      </c>
      <c r="D695">
        <f>IMAGE("https://raw.githubusercontent.com/stautonico/pokemon-home-pokedex/main/sprites/helioptile.png", 2)</f>
        <v>0</v>
      </c>
      <c r="E695" s="4" t="s">
        <v>14</v>
      </c>
      <c r="F695" s="5"/>
    </row>
    <row r="696" spans="1:6" ht="72" customHeight="1">
      <c r="A696" s="1" t="s">
        <v>31</v>
      </c>
      <c r="B696" s="1">
        <v>695</v>
      </c>
      <c r="C696" s="1" t="s">
        <v>729</v>
      </c>
      <c r="D696">
        <f>IMAGE("https://raw.githubusercontent.com/stautonico/pokemon-home-pokedex/main/sprites/heliolisk.png", 2)</f>
        <v>0</v>
      </c>
      <c r="E696" s="4" t="s">
        <v>14</v>
      </c>
      <c r="F696" s="5"/>
    </row>
    <row r="697" spans="1:6" ht="72" customHeight="1">
      <c r="A697" s="1" t="s">
        <v>31</v>
      </c>
      <c r="B697" s="1">
        <v>696</v>
      </c>
      <c r="C697" s="1" t="s">
        <v>730</v>
      </c>
      <c r="D697">
        <f>IMAGE("https://raw.githubusercontent.com/stautonico/pokemon-home-pokedex/main/sprites/tyrunt.png", 2)</f>
        <v>0</v>
      </c>
      <c r="E697" s="25" t="s">
        <v>17</v>
      </c>
      <c r="F697" s="32" t="s">
        <v>18</v>
      </c>
    </row>
    <row r="698" spans="1:6" ht="72" customHeight="1">
      <c r="A698" s="1" t="s">
        <v>31</v>
      </c>
      <c r="B698" s="1">
        <v>697</v>
      </c>
      <c r="C698" s="1" t="s">
        <v>731</v>
      </c>
      <c r="D698">
        <f>IMAGE("https://raw.githubusercontent.com/stautonico/pokemon-home-pokedex/main/sprites/tyrantrum.png", 2)</f>
        <v>0</v>
      </c>
      <c r="E698" s="25" t="s">
        <v>17</v>
      </c>
      <c r="F698" s="32" t="s">
        <v>18</v>
      </c>
    </row>
    <row r="699" spans="1:6" ht="72" customHeight="1">
      <c r="A699" s="1" t="s">
        <v>31</v>
      </c>
      <c r="B699" s="1">
        <v>698</v>
      </c>
      <c r="C699" s="1" t="s">
        <v>732</v>
      </c>
      <c r="D699">
        <f>IMAGE("https://raw.githubusercontent.com/stautonico/pokemon-home-pokedex/main/sprites/amaura.png", 2)</f>
        <v>0</v>
      </c>
      <c r="E699" s="25" t="s">
        <v>17</v>
      </c>
      <c r="F699" s="32" t="s">
        <v>18</v>
      </c>
    </row>
    <row r="700" spans="1:6" ht="72" customHeight="1">
      <c r="A700" s="1" t="s">
        <v>31</v>
      </c>
      <c r="B700" s="1">
        <v>699</v>
      </c>
      <c r="C700" s="1" t="s">
        <v>733</v>
      </c>
      <c r="D700">
        <f>IMAGE("https://raw.githubusercontent.com/stautonico/pokemon-home-pokedex/main/sprites/aurorus.png", 2)</f>
        <v>0</v>
      </c>
      <c r="E700" s="25" t="s">
        <v>17</v>
      </c>
      <c r="F700" s="32" t="s">
        <v>18</v>
      </c>
    </row>
    <row r="701" spans="1:6" ht="72" customHeight="1">
      <c r="A701" s="1" t="s">
        <v>31</v>
      </c>
      <c r="B701" s="1">
        <v>700</v>
      </c>
      <c r="C701" s="1" t="s">
        <v>734</v>
      </c>
      <c r="D701">
        <f>IMAGE("https://raw.githubusercontent.com/stautonico/pokemon-home-pokedex/main/sprites/sylveon.png", 2)</f>
        <v>0</v>
      </c>
      <c r="E701" s="29" t="s">
        <v>30</v>
      </c>
      <c r="F701" s="4" t="s">
        <v>14</v>
      </c>
    </row>
    <row r="702" spans="1:6" ht="72" customHeight="1">
      <c r="A702" s="1" t="s">
        <v>31</v>
      </c>
      <c r="B702" s="1">
        <v>701</v>
      </c>
      <c r="C702" s="1" t="s">
        <v>735</v>
      </c>
      <c r="D702">
        <f>IMAGE("https://raw.githubusercontent.com/stautonico/pokemon-home-pokedex/main/sprites/hawlucha.png", 2)</f>
        <v>0</v>
      </c>
      <c r="E702" s="29" t="s">
        <v>30</v>
      </c>
      <c r="F702" s="4" t="s">
        <v>14</v>
      </c>
    </row>
    <row r="703" spans="1:6" ht="72" customHeight="1">
      <c r="A703" s="1" t="s">
        <v>31</v>
      </c>
      <c r="B703" s="1">
        <v>702</v>
      </c>
      <c r="C703" s="1" t="s">
        <v>736</v>
      </c>
      <c r="D703">
        <f>IMAGE("https://raw.githubusercontent.com/stautonico/pokemon-home-pokedex/main/sprites/dedenne.png", 2)</f>
        <v>0</v>
      </c>
      <c r="E703" s="29" t="s">
        <v>30</v>
      </c>
      <c r="F703" s="3" t="s">
        <v>12</v>
      </c>
    </row>
    <row r="704" spans="1:6" ht="72" customHeight="1">
      <c r="A704" s="1" t="s">
        <v>31</v>
      </c>
      <c r="B704" s="1">
        <v>703</v>
      </c>
      <c r="C704" s="1" t="s">
        <v>737</v>
      </c>
      <c r="D704">
        <f>IMAGE("https://raw.githubusercontent.com/stautonico/pokemon-home-pokedex/main/sprites/carbink.png", 2)</f>
        <v>0</v>
      </c>
      <c r="E704" s="25" t="s">
        <v>17</v>
      </c>
      <c r="F704" s="5"/>
    </row>
    <row r="705" spans="1:6" ht="72" customHeight="1">
      <c r="A705" s="1" t="s">
        <v>31</v>
      </c>
      <c r="B705" s="1">
        <v>704</v>
      </c>
      <c r="C705" s="1" t="s">
        <v>738</v>
      </c>
      <c r="D705">
        <f>IMAGE("https://raw.githubusercontent.com/stautonico/pokemon-home-pokedex/main/sprites/goomy.png", 2)</f>
        <v>0</v>
      </c>
      <c r="E705" s="29" t="s">
        <v>30</v>
      </c>
      <c r="F705" s="33" t="s">
        <v>16</v>
      </c>
    </row>
    <row r="706" spans="1:6" ht="72" customHeight="1">
      <c r="A706" s="1" t="s">
        <v>31</v>
      </c>
      <c r="B706" s="1">
        <v>705</v>
      </c>
      <c r="C706" s="1" t="s">
        <v>739</v>
      </c>
      <c r="D706">
        <f>IMAGE("https://raw.githubusercontent.com/stautonico/pokemon-home-pokedex/main/sprites/sliggoo.png", 2)</f>
        <v>0</v>
      </c>
      <c r="E706" s="29" t="s">
        <v>30</v>
      </c>
      <c r="F706" s="33" t="s">
        <v>16</v>
      </c>
    </row>
    <row r="707" spans="1:6" ht="72" customHeight="1">
      <c r="A707" s="1" t="s">
        <v>31</v>
      </c>
      <c r="B707" s="1">
        <v>706</v>
      </c>
      <c r="C707" s="1" t="s">
        <v>740</v>
      </c>
      <c r="D707">
        <f>IMAGE("https://raw.githubusercontent.com/stautonico/pokemon-home-pokedex/main/sprites/goodra.png", 2)</f>
        <v>0</v>
      </c>
      <c r="E707" s="29" t="s">
        <v>30</v>
      </c>
      <c r="F707" s="33" t="s">
        <v>16</v>
      </c>
    </row>
    <row r="708" spans="1:6" ht="72" customHeight="1">
      <c r="A708" s="1" t="s">
        <v>31</v>
      </c>
      <c r="B708" s="1">
        <v>707</v>
      </c>
      <c r="C708" s="1" t="s">
        <v>741</v>
      </c>
      <c r="D708">
        <f>IMAGE("https://raw.githubusercontent.com/stautonico/pokemon-home-pokedex/main/sprites/klefki.png", 2)</f>
        <v>0</v>
      </c>
      <c r="E708" s="29" t="s">
        <v>30</v>
      </c>
      <c r="F708" s="3" t="s">
        <v>12</v>
      </c>
    </row>
    <row r="709" spans="1:6" ht="72" customHeight="1">
      <c r="A709" s="1" t="s">
        <v>31</v>
      </c>
      <c r="B709" s="1">
        <v>708</v>
      </c>
      <c r="C709" s="1" t="s">
        <v>742</v>
      </c>
      <c r="D709">
        <f>IMAGE("https://raw.githubusercontent.com/stautonico/pokemon-home-pokedex/main/sprites/phantump.png", 2)</f>
        <v>0</v>
      </c>
      <c r="E709" s="4" t="s">
        <v>14</v>
      </c>
      <c r="F709" s="5"/>
    </row>
    <row r="710" spans="1:6" ht="72" customHeight="1">
      <c r="A710" s="1" t="s">
        <v>31</v>
      </c>
      <c r="B710" s="1">
        <v>709</v>
      </c>
      <c r="C710" s="1" t="s">
        <v>743</v>
      </c>
      <c r="D710">
        <f>IMAGE("https://raw.githubusercontent.com/stautonico/pokemon-home-pokedex/main/sprites/trevenant.png", 2)</f>
        <v>0</v>
      </c>
      <c r="E710" s="4" t="s">
        <v>14</v>
      </c>
      <c r="F710" s="5"/>
    </row>
    <row r="711" spans="1:6" ht="72" customHeight="1">
      <c r="A711" s="1" t="s">
        <v>31</v>
      </c>
      <c r="B711" s="1">
        <v>710</v>
      </c>
      <c r="C711" s="1" t="s">
        <v>744</v>
      </c>
      <c r="D711">
        <f>IMAGE("https://raw.githubusercontent.com/stautonico/pokemon-home-pokedex/main/sprites/pumpkaboo.png", 2)</f>
        <v>0</v>
      </c>
      <c r="E711" s="4" t="s">
        <v>14</v>
      </c>
      <c r="F711" s="5"/>
    </row>
    <row r="712" spans="1:6" ht="72" customHeight="1">
      <c r="A712" s="1" t="s">
        <v>31</v>
      </c>
      <c r="B712" s="1">
        <v>711</v>
      </c>
      <c r="C712" s="1" t="s">
        <v>745</v>
      </c>
      <c r="D712">
        <f>IMAGE("https://raw.githubusercontent.com/stautonico/pokemon-home-pokedex/main/sprites/gourgeist.png", 2)</f>
        <v>0</v>
      </c>
      <c r="E712" s="4" t="s">
        <v>14</v>
      </c>
      <c r="F712" s="5"/>
    </row>
    <row r="713" spans="1:6" ht="72" customHeight="1">
      <c r="A713" s="1" t="s">
        <v>31</v>
      </c>
      <c r="B713" s="1">
        <v>712</v>
      </c>
      <c r="C713" s="1" t="s">
        <v>746</v>
      </c>
      <c r="D713">
        <f>IMAGE("https://raw.githubusercontent.com/stautonico/pokemon-home-pokedex/main/sprites/bergmite.png", 2)</f>
        <v>0</v>
      </c>
      <c r="E713" s="29" t="s">
        <v>30</v>
      </c>
      <c r="F713" s="4" t="s">
        <v>14</v>
      </c>
    </row>
    <row r="714" spans="1:6" ht="72" customHeight="1">
      <c r="A714" s="1" t="s">
        <v>31</v>
      </c>
      <c r="B714" s="1">
        <v>713</v>
      </c>
      <c r="C714" s="1" t="s">
        <v>747</v>
      </c>
      <c r="D714">
        <f>IMAGE("https://raw.githubusercontent.com/stautonico/pokemon-home-pokedex/main/sprites/avalugg.png", 2)</f>
        <v>0</v>
      </c>
      <c r="E714" s="29" t="s">
        <v>30</v>
      </c>
      <c r="F714" s="4" t="s">
        <v>14</v>
      </c>
    </row>
    <row r="715" spans="1:6" ht="72" customHeight="1">
      <c r="A715" s="1" t="s">
        <v>31</v>
      </c>
      <c r="B715" s="1">
        <v>714</v>
      </c>
      <c r="C715" s="1" t="s">
        <v>748</v>
      </c>
      <c r="D715">
        <f>IMAGE("https://raw.githubusercontent.com/stautonico/pokemon-home-pokedex/main/sprites/noibat.png", 2)</f>
        <v>0</v>
      </c>
      <c r="E715" s="29" t="s">
        <v>30</v>
      </c>
      <c r="F715" s="4" t="s">
        <v>14</v>
      </c>
    </row>
    <row r="716" spans="1:6" ht="72" customHeight="1">
      <c r="A716" s="1" t="s">
        <v>31</v>
      </c>
      <c r="B716" s="1">
        <v>715</v>
      </c>
      <c r="C716" s="1" t="s">
        <v>749</v>
      </c>
      <c r="D716">
        <f>IMAGE("https://raw.githubusercontent.com/stautonico/pokemon-home-pokedex/main/sprites/noivern.png", 2)</f>
        <v>0</v>
      </c>
      <c r="E716" s="29" t="s">
        <v>30</v>
      </c>
      <c r="F716" s="4" t="s">
        <v>14</v>
      </c>
    </row>
    <row r="717" spans="1:6" ht="72" customHeight="1">
      <c r="A717" s="1" t="s">
        <v>31</v>
      </c>
      <c r="B717" s="1">
        <v>716</v>
      </c>
      <c r="C717" s="1" t="s">
        <v>750</v>
      </c>
      <c r="D717">
        <f>IMAGE("https://raw.githubusercontent.com/stautonico/pokemon-home-pokedex/main/sprites/xerneas.png", 2)</f>
        <v>0</v>
      </c>
      <c r="E717" s="41" t="s">
        <v>20</v>
      </c>
      <c r="F717" s="5" t="s">
        <v>377</v>
      </c>
    </row>
    <row r="718" spans="1:6" ht="72" customHeight="1">
      <c r="A718" s="1" t="s">
        <v>31</v>
      </c>
      <c r="B718" s="1">
        <v>717</v>
      </c>
      <c r="C718" s="1" t="s">
        <v>751</v>
      </c>
      <c r="D718">
        <f>IMAGE("https://raw.githubusercontent.com/stautonico/pokemon-home-pokedex/main/sprites/yveltal.png", 2)</f>
        <v>0</v>
      </c>
      <c r="E718" s="42" t="s">
        <v>21</v>
      </c>
      <c r="F718" s="5" t="s">
        <v>716</v>
      </c>
    </row>
    <row r="719" spans="1:6" ht="72" customHeight="1">
      <c r="A719" s="1" t="s">
        <v>31</v>
      </c>
      <c r="B719" s="1">
        <v>718</v>
      </c>
      <c r="C719" s="1" t="s">
        <v>752</v>
      </c>
      <c r="D719">
        <f>IMAGE("https://raw.githubusercontent.com/stautonico/pokemon-home-pokedex/main/sprites/zygarde.png", 2)</f>
        <v>0</v>
      </c>
      <c r="E719" s="25" t="s">
        <v>17</v>
      </c>
      <c r="F719" s="5"/>
    </row>
    <row r="720" spans="1:6" ht="72" customHeight="1">
      <c r="A720" s="1" t="s">
        <v>31</v>
      </c>
      <c r="B720" s="1">
        <v>719</v>
      </c>
      <c r="C720" s="1" t="s">
        <v>753</v>
      </c>
      <c r="D720">
        <f>IMAGE("https://raw.githubusercontent.com/stautonico/pokemon-home-pokedex/main/sprites/diancie.png", 2)</f>
        <v>0</v>
      </c>
      <c r="E720" s="39" t="s">
        <v>25</v>
      </c>
      <c r="F720" s="5"/>
    </row>
    <row r="721" spans="1:6" ht="72" customHeight="1">
      <c r="A721" s="1" t="s">
        <v>31</v>
      </c>
      <c r="B721" s="1">
        <v>720</v>
      </c>
      <c r="C721" s="1" t="s">
        <v>754</v>
      </c>
      <c r="D721">
        <f>IMAGE("https://raw.githubusercontent.com/stautonico/pokemon-home-pokedex/main/sprites/hoopa.png", 2)</f>
        <v>0</v>
      </c>
      <c r="E721" s="39" t="s">
        <v>25</v>
      </c>
      <c r="F721" s="5"/>
    </row>
    <row r="722" spans="1:6" ht="72" customHeight="1">
      <c r="A722" s="1" t="s">
        <v>31</v>
      </c>
      <c r="B722" s="1">
        <v>721</v>
      </c>
      <c r="C722" s="1" t="s">
        <v>755</v>
      </c>
      <c r="D722">
        <f>IMAGE("https://raw.githubusercontent.com/stautonico/pokemon-home-pokedex/main/sprites/volcanion.png", 2)</f>
        <v>0</v>
      </c>
      <c r="E722" s="39" t="s">
        <v>25</v>
      </c>
      <c r="F722" s="5"/>
    </row>
    <row r="723" spans="1:6" ht="72" customHeight="1">
      <c r="A723" s="1" t="s">
        <v>31</v>
      </c>
      <c r="B723" s="1">
        <v>722</v>
      </c>
      <c r="C723" s="1" t="s">
        <v>756</v>
      </c>
      <c r="D723">
        <f>IMAGE("https://raw.githubusercontent.com/stautonico/pokemon-home-pokedex/main/sprites/rowlet.png", 2)</f>
        <v>0</v>
      </c>
      <c r="E723" s="32" t="s">
        <v>18</v>
      </c>
      <c r="F723" s="5" t="s">
        <v>528</v>
      </c>
    </row>
    <row r="724" spans="1:6" ht="72" customHeight="1">
      <c r="A724" s="1" t="s">
        <v>31</v>
      </c>
      <c r="B724" s="1">
        <v>723</v>
      </c>
      <c r="C724" s="1" t="s">
        <v>757</v>
      </c>
      <c r="D724">
        <f>IMAGE("https://raw.githubusercontent.com/stautonico/pokemon-home-pokedex/main/sprites/dartrix.png", 2)</f>
        <v>0</v>
      </c>
      <c r="E724" s="32" t="s">
        <v>18</v>
      </c>
      <c r="F724" s="5" t="s">
        <v>528</v>
      </c>
    </row>
    <row r="725" spans="1:6" ht="72" customHeight="1">
      <c r="A725" s="1" t="s">
        <v>31</v>
      </c>
      <c r="B725" s="1">
        <v>724</v>
      </c>
      <c r="C725" s="1" t="s">
        <v>758</v>
      </c>
      <c r="D725">
        <f>IMAGE("https://raw.githubusercontent.com/stautonico/pokemon-home-pokedex/main/sprites/decidueye.png", 2)</f>
        <v>0</v>
      </c>
      <c r="E725" s="32" t="s">
        <v>18</v>
      </c>
      <c r="F725" s="5" t="s">
        <v>528</v>
      </c>
    </row>
    <row r="726" spans="1:6" ht="72" customHeight="1">
      <c r="A726" s="1" t="s">
        <v>31</v>
      </c>
      <c r="B726" s="1">
        <v>725</v>
      </c>
      <c r="C726" s="1" t="s">
        <v>759</v>
      </c>
      <c r="D726">
        <f>IMAGE("https://raw.githubusercontent.com/stautonico/pokemon-home-pokedex/main/sprites/litten.png", 2)</f>
        <v>0</v>
      </c>
      <c r="E726" s="32" t="s">
        <v>18</v>
      </c>
      <c r="F726" s="5" t="s">
        <v>528</v>
      </c>
    </row>
    <row r="727" spans="1:6" ht="72" customHeight="1">
      <c r="A727" s="1" t="s">
        <v>31</v>
      </c>
      <c r="B727" s="1">
        <v>726</v>
      </c>
      <c r="C727" s="1" t="s">
        <v>760</v>
      </c>
      <c r="D727">
        <f>IMAGE("https://raw.githubusercontent.com/stautonico/pokemon-home-pokedex/main/sprites/torracat.png", 2)</f>
        <v>0</v>
      </c>
      <c r="E727" s="32" t="s">
        <v>18</v>
      </c>
      <c r="F727" s="5" t="s">
        <v>528</v>
      </c>
    </row>
    <row r="728" spans="1:6" ht="72" customHeight="1">
      <c r="A728" s="1" t="s">
        <v>31</v>
      </c>
      <c r="B728" s="1">
        <v>727</v>
      </c>
      <c r="C728" s="1" t="s">
        <v>761</v>
      </c>
      <c r="D728">
        <f>IMAGE("https://raw.githubusercontent.com/stautonico/pokemon-home-pokedex/main/sprites/incineroar.png", 2)</f>
        <v>0</v>
      </c>
      <c r="E728" s="32" t="s">
        <v>18</v>
      </c>
      <c r="F728" s="5" t="s">
        <v>528</v>
      </c>
    </row>
    <row r="729" spans="1:6" ht="72" customHeight="1">
      <c r="A729" s="1" t="s">
        <v>31</v>
      </c>
      <c r="B729" s="1">
        <v>728</v>
      </c>
      <c r="C729" s="1" t="s">
        <v>762</v>
      </c>
      <c r="D729">
        <f>IMAGE("https://raw.githubusercontent.com/stautonico/pokemon-home-pokedex/main/sprites/popplio.png", 2)</f>
        <v>0</v>
      </c>
      <c r="E729" s="32" t="s">
        <v>18</v>
      </c>
      <c r="F729" s="5" t="s">
        <v>528</v>
      </c>
    </row>
    <row r="730" spans="1:6" ht="72" customHeight="1">
      <c r="A730" s="1" t="s">
        <v>31</v>
      </c>
      <c r="B730" s="1">
        <v>729</v>
      </c>
      <c r="C730" s="1" t="s">
        <v>763</v>
      </c>
      <c r="D730">
        <f>IMAGE("https://raw.githubusercontent.com/stautonico/pokemon-home-pokedex/main/sprites/brionne.png", 2)</f>
        <v>0</v>
      </c>
      <c r="E730" s="32" t="s">
        <v>18</v>
      </c>
      <c r="F730" s="5" t="s">
        <v>528</v>
      </c>
    </row>
    <row r="731" spans="1:6" ht="72" customHeight="1">
      <c r="A731" s="1" t="s">
        <v>31</v>
      </c>
      <c r="B731" s="1">
        <v>730</v>
      </c>
      <c r="C731" s="1" t="s">
        <v>764</v>
      </c>
      <c r="D731">
        <f>IMAGE("https://raw.githubusercontent.com/stautonico/pokemon-home-pokedex/main/sprites/primarina.png", 2)</f>
        <v>0</v>
      </c>
      <c r="E731" s="32" t="s">
        <v>18</v>
      </c>
      <c r="F731" s="5" t="s">
        <v>528</v>
      </c>
    </row>
    <row r="732" spans="1:6" ht="72" customHeight="1">
      <c r="A732" s="1" t="s">
        <v>31</v>
      </c>
      <c r="B732" s="1">
        <v>731</v>
      </c>
      <c r="C732" s="1" t="s">
        <v>765</v>
      </c>
      <c r="D732">
        <f>IMAGE("https://raw.githubusercontent.com/stautonico/pokemon-home-pokedex/main/sprites/pikipek.png", 2)</f>
        <v>0</v>
      </c>
      <c r="E732" s="32" t="s">
        <v>18</v>
      </c>
      <c r="F732" s="5"/>
    </row>
    <row r="733" spans="1:6" ht="72" customHeight="1">
      <c r="A733" s="1" t="s">
        <v>31</v>
      </c>
      <c r="B733" s="1">
        <v>732</v>
      </c>
      <c r="C733" s="1" t="s">
        <v>766</v>
      </c>
      <c r="D733">
        <f>IMAGE("https://raw.githubusercontent.com/stautonico/pokemon-home-pokedex/main/sprites/trumbeak.png", 2)</f>
        <v>0</v>
      </c>
      <c r="E733" s="32" t="s">
        <v>18</v>
      </c>
      <c r="F733" s="5"/>
    </row>
    <row r="734" spans="1:6" ht="72" customHeight="1">
      <c r="A734" s="1" t="s">
        <v>31</v>
      </c>
      <c r="B734" s="1">
        <v>733</v>
      </c>
      <c r="C734" s="1" t="s">
        <v>767</v>
      </c>
      <c r="D734">
        <f>IMAGE("https://raw.githubusercontent.com/stautonico/pokemon-home-pokedex/main/sprites/toucannon.png", 2)</f>
        <v>0</v>
      </c>
      <c r="E734" s="32" t="s">
        <v>18</v>
      </c>
      <c r="F734" s="5"/>
    </row>
    <row r="735" spans="1:6" ht="72" customHeight="1">
      <c r="A735" s="1" t="s">
        <v>31</v>
      </c>
      <c r="B735" s="1">
        <v>734</v>
      </c>
      <c r="C735" s="1" t="s">
        <v>768</v>
      </c>
      <c r="D735">
        <f>IMAGE("https://raw.githubusercontent.com/stautonico/pokemon-home-pokedex/main/sprites/yungoos.png", 2)</f>
        <v>0</v>
      </c>
      <c r="E735" s="29" t="s">
        <v>30</v>
      </c>
      <c r="F735" s="32" t="s">
        <v>18</v>
      </c>
    </row>
    <row r="736" spans="1:6" ht="72" customHeight="1">
      <c r="A736" s="1" t="s">
        <v>31</v>
      </c>
      <c r="B736" s="1">
        <v>735</v>
      </c>
      <c r="C736" s="1" t="s">
        <v>769</v>
      </c>
      <c r="D736">
        <f>IMAGE("https://raw.githubusercontent.com/stautonico/pokemon-home-pokedex/main/sprites/gumshoos.png", 2)</f>
        <v>0</v>
      </c>
      <c r="E736" s="29" t="s">
        <v>30</v>
      </c>
      <c r="F736" s="32" t="s">
        <v>18</v>
      </c>
    </row>
    <row r="737" spans="1:6" ht="72" customHeight="1">
      <c r="A737" s="1" t="s">
        <v>31</v>
      </c>
      <c r="B737" s="1">
        <v>736</v>
      </c>
      <c r="C737" s="1" t="s">
        <v>770</v>
      </c>
      <c r="D737">
        <f>IMAGE("https://raw.githubusercontent.com/stautonico/pokemon-home-pokedex/main/sprites/grubbin.png", 2)</f>
        <v>0</v>
      </c>
      <c r="E737" s="4" t="s">
        <v>14</v>
      </c>
      <c r="F737" s="5"/>
    </row>
    <row r="738" spans="1:6" ht="72" customHeight="1">
      <c r="A738" s="1" t="s">
        <v>31</v>
      </c>
      <c r="B738" s="1">
        <v>737</v>
      </c>
      <c r="C738" s="1" t="s">
        <v>771</v>
      </c>
      <c r="D738">
        <f>IMAGE("https://raw.githubusercontent.com/stautonico/pokemon-home-pokedex/main/sprites/charjabug.png", 2)</f>
        <v>0</v>
      </c>
      <c r="E738" s="4" t="s">
        <v>14</v>
      </c>
      <c r="F738" s="5"/>
    </row>
    <row r="739" spans="1:6" ht="72" customHeight="1">
      <c r="A739" s="1" t="s">
        <v>31</v>
      </c>
      <c r="B739" s="1">
        <v>738</v>
      </c>
      <c r="C739" s="1" t="s">
        <v>772</v>
      </c>
      <c r="D739">
        <f>IMAGE("https://raw.githubusercontent.com/stautonico/pokemon-home-pokedex/main/sprites/vikavolt.png", 2)</f>
        <v>0</v>
      </c>
      <c r="E739" s="4" t="s">
        <v>14</v>
      </c>
      <c r="F739" s="5"/>
    </row>
    <row r="740" spans="1:6" ht="72" customHeight="1">
      <c r="A740" s="1" t="s">
        <v>31</v>
      </c>
      <c r="B740" s="1">
        <v>739</v>
      </c>
      <c r="C740" s="1" t="s">
        <v>773</v>
      </c>
      <c r="D740">
        <f>IMAGE("https://raw.githubusercontent.com/stautonico/pokemon-home-pokedex/main/sprites/crabrawler.png", 2)</f>
        <v>0</v>
      </c>
      <c r="E740" s="29" t="s">
        <v>30</v>
      </c>
      <c r="F740" s="32" t="s">
        <v>18</v>
      </c>
    </row>
    <row r="741" spans="1:6" ht="72" customHeight="1">
      <c r="A741" s="1" t="s">
        <v>31</v>
      </c>
      <c r="B741" s="1">
        <v>740</v>
      </c>
      <c r="C741" s="1" t="s">
        <v>774</v>
      </c>
      <c r="D741">
        <f>IMAGE("https://raw.githubusercontent.com/stautonico/pokemon-home-pokedex/main/sprites/crabominable.png", 2)</f>
        <v>0</v>
      </c>
      <c r="E741" s="29" t="s">
        <v>30</v>
      </c>
      <c r="F741" s="32" t="s">
        <v>18</v>
      </c>
    </row>
    <row r="742" spans="1:6" ht="72" customHeight="1">
      <c r="A742" s="1" t="s">
        <v>31</v>
      </c>
      <c r="B742" s="1">
        <v>10123</v>
      </c>
      <c r="C742" s="1" t="s">
        <v>775</v>
      </c>
      <c r="D742">
        <f>IMAGE("https://raw.githubusercontent.com/stautonico/pokemon-home-pokedex/main/sprites/oricorio.png", 2)</f>
        <v>0</v>
      </c>
      <c r="E742" s="29" t="s">
        <v>30</v>
      </c>
      <c r="F742" s="32" t="s">
        <v>18</v>
      </c>
    </row>
    <row r="743" spans="1:6" ht="72" customHeight="1">
      <c r="A743" s="1" t="s">
        <v>31</v>
      </c>
      <c r="B743" s="1">
        <v>742</v>
      </c>
      <c r="C743" s="1" t="s">
        <v>776</v>
      </c>
      <c r="D743">
        <f>IMAGE("https://raw.githubusercontent.com/stautonico/pokemon-home-pokedex/main/sprites/cutiefly.png", 2)</f>
        <v>0</v>
      </c>
      <c r="E743" s="4" t="s">
        <v>14</v>
      </c>
      <c r="F743" s="5"/>
    </row>
    <row r="744" spans="1:6" ht="72" customHeight="1">
      <c r="A744" s="1" t="s">
        <v>31</v>
      </c>
      <c r="B744" s="1">
        <v>743</v>
      </c>
      <c r="C744" s="1" t="s">
        <v>777</v>
      </c>
      <c r="D744">
        <f>IMAGE("https://raw.githubusercontent.com/stautonico/pokemon-home-pokedex/main/sprites/ribombee.png", 2)</f>
        <v>0</v>
      </c>
      <c r="E744" s="4" t="s">
        <v>14</v>
      </c>
      <c r="F744" s="5"/>
    </row>
    <row r="745" spans="1:6" ht="72" customHeight="1">
      <c r="A745" s="1" t="s">
        <v>31</v>
      </c>
      <c r="B745" s="1">
        <v>744</v>
      </c>
      <c r="C745" s="1" t="s">
        <v>778</v>
      </c>
      <c r="D745">
        <f>IMAGE("https://raw.githubusercontent.com/stautonico/pokemon-home-pokedex/main/sprites/rockruff.png", 2)</f>
        <v>0</v>
      </c>
      <c r="E745" s="29" t="s">
        <v>30</v>
      </c>
      <c r="F745" s="3" t="s">
        <v>12</v>
      </c>
    </row>
    <row r="746" spans="1:6" ht="72" customHeight="1">
      <c r="A746" s="1" t="s">
        <v>31</v>
      </c>
      <c r="B746" s="1">
        <v>745</v>
      </c>
      <c r="C746" s="1" t="s">
        <v>779</v>
      </c>
      <c r="D746">
        <f>IMAGE("https://raw.githubusercontent.com/stautonico/pokemon-home-pokedex/main/sprites/lycanroc.png", 2)</f>
        <v>0</v>
      </c>
      <c r="E746" s="29" t="s">
        <v>30</v>
      </c>
      <c r="F746" s="3" t="s">
        <v>12</v>
      </c>
    </row>
    <row r="747" spans="1:6" ht="72" customHeight="1">
      <c r="A747" s="1" t="s">
        <v>31</v>
      </c>
      <c r="B747" s="1">
        <v>746</v>
      </c>
      <c r="C747" s="1" t="s">
        <v>780</v>
      </c>
      <c r="D747">
        <f>IMAGE("https://raw.githubusercontent.com/stautonico/pokemon-home-pokedex/main/sprites/wishiwashi.png", 2)</f>
        <v>0</v>
      </c>
      <c r="E747" s="4" t="s">
        <v>14</v>
      </c>
      <c r="F747" s="5"/>
    </row>
    <row r="748" spans="1:6" ht="72" customHeight="1">
      <c r="A748" s="1" t="s">
        <v>31</v>
      </c>
      <c r="B748" s="1">
        <v>747</v>
      </c>
      <c r="C748" s="1" t="s">
        <v>781</v>
      </c>
      <c r="D748">
        <f>IMAGE("https://raw.githubusercontent.com/stautonico/pokemon-home-pokedex/main/sprites/mareanie.png", 2)</f>
        <v>0</v>
      </c>
      <c r="E748" s="29" t="s">
        <v>30</v>
      </c>
      <c r="F748" s="4" t="s">
        <v>14</v>
      </c>
    </row>
    <row r="749" spans="1:6" ht="72" customHeight="1">
      <c r="A749" s="1" t="s">
        <v>31</v>
      </c>
      <c r="B749" s="1">
        <v>748</v>
      </c>
      <c r="C749" s="1" t="s">
        <v>782</v>
      </c>
      <c r="D749">
        <f>IMAGE("https://raw.githubusercontent.com/stautonico/pokemon-home-pokedex/main/sprites/toxapex.png", 2)</f>
        <v>0</v>
      </c>
      <c r="E749" s="29" t="s">
        <v>30</v>
      </c>
      <c r="F749" s="4" t="s">
        <v>14</v>
      </c>
    </row>
    <row r="750" spans="1:6" ht="72" customHeight="1">
      <c r="A750" s="1" t="s">
        <v>31</v>
      </c>
      <c r="B750" s="1">
        <v>749</v>
      </c>
      <c r="C750" s="1" t="s">
        <v>783</v>
      </c>
      <c r="D750">
        <f>IMAGE("https://raw.githubusercontent.com/stautonico/pokemon-home-pokedex/main/sprites/mudbray.png", 2)</f>
        <v>0</v>
      </c>
      <c r="E750" s="29" t="s">
        <v>30</v>
      </c>
      <c r="F750" s="4" t="s">
        <v>14</v>
      </c>
    </row>
    <row r="751" spans="1:6" ht="72" customHeight="1">
      <c r="A751" s="1" t="s">
        <v>31</v>
      </c>
      <c r="B751" s="1">
        <v>750</v>
      </c>
      <c r="C751" s="1" t="s">
        <v>784</v>
      </c>
      <c r="D751">
        <f>IMAGE("https://raw.githubusercontent.com/stautonico/pokemon-home-pokedex/main/sprites/mudsdale.png", 2)</f>
        <v>0</v>
      </c>
      <c r="E751" s="29" t="s">
        <v>30</v>
      </c>
      <c r="F751" s="4" t="s">
        <v>14</v>
      </c>
    </row>
    <row r="752" spans="1:6" ht="72" customHeight="1">
      <c r="A752" s="1" t="s">
        <v>31</v>
      </c>
      <c r="B752" s="1">
        <v>751</v>
      </c>
      <c r="C752" s="1" t="s">
        <v>785</v>
      </c>
      <c r="D752">
        <f>IMAGE("https://raw.githubusercontent.com/stautonico/pokemon-home-pokedex/main/sprites/dewpider.png", 2)</f>
        <v>0</v>
      </c>
      <c r="E752" s="4" t="s">
        <v>14</v>
      </c>
      <c r="F752" s="5"/>
    </row>
    <row r="753" spans="1:6" ht="72" customHeight="1">
      <c r="A753" s="1" t="s">
        <v>31</v>
      </c>
      <c r="B753" s="1">
        <v>752</v>
      </c>
      <c r="C753" s="1" t="s">
        <v>786</v>
      </c>
      <c r="D753">
        <f>IMAGE("https://raw.githubusercontent.com/stautonico/pokemon-home-pokedex/main/sprites/araquanid.png", 2)</f>
        <v>0</v>
      </c>
      <c r="E753" s="4" t="s">
        <v>14</v>
      </c>
      <c r="F753" s="5"/>
    </row>
    <row r="754" spans="1:6" ht="72" customHeight="1">
      <c r="A754" s="1" t="s">
        <v>31</v>
      </c>
      <c r="B754" s="1">
        <v>753</v>
      </c>
      <c r="C754" s="1" t="s">
        <v>787</v>
      </c>
      <c r="D754">
        <f>IMAGE("https://raw.githubusercontent.com/stautonico/pokemon-home-pokedex/main/sprites/fomantis.png", 2)</f>
        <v>0</v>
      </c>
      <c r="E754" s="29" t="s">
        <v>30</v>
      </c>
      <c r="F754" s="3" t="s">
        <v>12</v>
      </c>
    </row>
    <row r="755" spans="1:6" ht="72" customHeight="1">
      <c r="A755" s="1" t="s">
        <v>31</v>
      </c>
      <c r="B755" s="1">
        <v>754</v>
      </c>
      <c r="C755" s="1" t="s">
        <v>788</v>
      </c>
      <c r="D755">
        <f>IMAGE("https://raw.githubusercontent.com/stautonico/pokemon-home-pokedex/main/sprites/lurantis.png", 2)</f>
        <v>0</v>
      </c>
      <c r="E755" s="29" t="s">
        <v>30</v>
      </c>
      <c r="F755" s="3" t="s">
        <v>12</v>
      </c>
    </row>
    <row r="756" spans="1:6" ht="72" customHeight="1">
      <c r="A756" s="1" t="s">
        <v>31</v>
      </c>
      <c r="B756" s="1">
        <v>755</v>
      </c>
      <c r="C756" s="1" t="s">
        <v>789</v>
      </c>
      <c r="D756">
        <f>IMAGE("https://raw.githubusercontent.com/stautonico/pokemon-home-pokedex/main/sprites/morelull.png", 2)</f>
        <v>0</v>
      </c>
      <c r="E756" s="4" t="s">
        <v>14</v>
      </c>
      <c r="F756" s="5"/>
    </row>
    <row r="757" spans="1:6" ht="72" customHeight="1">
      <c r="A757" s="1" t="s">
        <v>31</v>
      </c>
      <c r="B757" s="1">
        <v>756</v>
      </c>
      <c r="C757" s="1" t="s">
        <v>790</v>
      </c>
      <c r="D757">
        <f>IMAGE("https://raw.githubusercontent.com/stautonico/pokemon-home-pokedex/main/sprites/shiinotic.png", 2)</f>
        <v>0</v>
      </c>
      <c r="E757" s="4" t="s">
        <v>14</v>
      </c>
      <c r="F757" s="5"/>
    </row>
    <row r="758" spans="1:6" ht="72" customHeight="1">
      <c r="A758" s="1" t="s">
        <v>31</v>
      </c>
      <c r="B758" s="1">
        <v>757</v>
      </c>
      <c r="C758" s="1" t="s">
        <v>791</v>
      </c>
      <c r="D758">
        <f>IMAGE("https://raw.githubusercontent.com/stautonico/pokemon-home-pokedex/main/sprites/salandit.png", 2)</f>
        <v>0</v>
      </c>
      <c r="E758" s="29" t="s">
        <v>30</v>
      </c>
      <c r="F758" s="4" t="s">
        <v>14</v>
      </c>
    </row>
    <row r="759" spans="1:6" ht="72" customHeight="1">
      <c r="A759" s="1" t="s">
        <v>31</v>
      </c>
      <c r="B759" s="1">
        <v>758</v>
      </c>
      <c r="C759" s="1" t="s">
        <v>792</v>
      </c>
      <c r="D759">
        <f>IMAGE("https://raw.githubusercontent.com/stautonico/pokemon-home-pokedex/main/sprites/salazzle.png", 2)</f>
        <v>0</v>
      </c>
      <c r="E759" s="29" t="s">
        <v>30</v>
      </c>
      <c r="F759" s="4" t="s">
        <v>14</v>
      </c>
    </row>
    <row r="760" spans="1:6" ht="72" customHeight="1">
      <c r="A760" s="1" t="s">
        <v>31</v>
      </c>
      <c r="B760" s="1">
        <v>759</v>
      </c>
      <c r="C760" s="1" t="s">
        <v>793</v>
      </c>
      <c r="D760">
        <f>IMAGE("https://raw.githubusercontent.com/stautonico/pokemon-home-pokedex/main/sprites/stufful.png", 2)</f>
        <v>0</v>
      </c>
      <c r="E760" s="4" t="s">
        <v>14</v>
      </c>
      <c r="F760" s="5"/>
    </row>
    <row r="761" spans="1:6" ht="72" customHeight="1">
      <c r="A761" s="1" t="s">
        <v>31</v>
      </c>
      <c r="B761" s="1">
        <v>760</v>
      </c>
      <c r="C761" s="1" t="s">
        <v>794</v>
      </c>
      <c r="D761">
        <f>IMAGE("https://raw.githubusercontent.com/stautonico/pokemon-home-pokedex/main/sprites/bewear.png", 2)</f>
        <v>0</v>
      </c>
      <c r="E761" s="4" t="s">
        <v>14</v>
      </c>
      <c r="F761" s="5"/>
    </row>
    <row r="762" spans="1:6" ht="72" customHeight="1">
      <c r="A762" s="1" t="s">
        <v>31</v>
      </c>
      <c r="B762" s="1">
        <v>761</v>
      </c>
      <c r="C762" s="1" t="s">
        <v>795</v>
      </c>
      <c r="D762">
        <f>IMAGE("https://raw.githubusercontent.com/stautonico/pokemon-home-pokedex/main/sprites/bounsweet.png", 2)</f>
        <v>0</v>
      </c>
      <c r="E762" s="29" t="s">
        <v>30</v>
      </c>
      <c r="F762" s="4" t="s">
        <v>14</v>
      </c>
    </row>
    <row r="763" spans="1:6" ht="72" customHeight="1">
      <c r="A763" s="1" t="s">
        <v>31</v>
      </c>
      <c r="B763" s="1">
        <v>762</v>
      </c>
      <c r="C763" s="1" t="s">
        <v>796</v>
      </c>
      <c r="D763">
        <f>IMAGE("https://raw.githubusercontent.com/stautonico/pokemon-home-pokedex/main/sprites/steenee.png", 2)</f>
        <v>0</v>
      </c>
      <c r="E763" s="29" t="s">
        <v>30</v>
      </c>
      <c r="F763" s="4" t="s">
        <v>14</v>
      </c>
    </row>
    <row r="764" spans="1:6" ht="72" customHeight="1">
      <c r="A764" s="1" t="s">
        <v>31</v>
      </c>
      <c r="B764" s="1">
        <v>763</v>
      </c>
      <c r="C764" s="1" t="s">
        <v>797</v>
      </c>
      <c r="D764">
        <f>IMAGE("https://raw.githubusercontent.com/stautonico/pokemon-home-pokedex/main/sprites/tsareena.png", 2)</f>
        <v>0</v>
      </c>
      <c r="E764" s="29" t="s">
        <v>30</v>
      </c>
      <c r="F764" s="4" t="s">
        <v>14</v>
      </c>
    </row>
    <row r="765" spans="1:6" ht="72" customHeight="1">
      <c r="A765" s="1" t="s">
        <v>31</v>
      </c>
      <c r="B765" s="1">
        <v>764</v>
      </c>
      <c r="C765" s="1" t="s">
        <v>798</v>
      </c>
      <c r="D765">
        <f>IMAGE("https://raw.githubusercontent.com/stautonico/pokemon-home-pokedex/main/sprites/comfey.png", 2)</f>
        <v>0</v>
      </c>
      <c r="E765" s="3" t="s">
        <v>12</v>
      </c>
      <c r="F765" s="32" t="s">
        <v>18</v>
      </c>
    </row>
    <row r="766" spans="1:6" ht="72" customHeight="1">
      <c r="A766" s="1" t="s">
        <v>31</v>
      </c>
      <c r="B766" s="1">
        <v>765</v>
      </c>
      <c r="C766" s="1" t="s">
        <v>799</v>
      </c>
      <c r="D766">
        <f>IMAGE("https://raw.githubusercontent.com/stautonico/pokemon-home-pokedex/main/sprites/oranguru.png", 2)</f>
        <v>0</v>
      </c>
      <c r="E766" s="38" t="s">
        <v>28</v>
      </c>
      <c r="F766" s="33" t="s">
        <v>16</v>
      </c>
    </row>
    <row r="767" spans="1:6" ht="72" customHeight="1">
      <c r="A767" s="1" t="s">
        <v>31</v>
      </c>
      <c r="B767" s="1">
        <v>766</v>
      </c>
      <c r="C767" s="1" t="s">
        <v>800</v>
      </c>
      <c r="D767">
        <f>IMAGE("https://raw.githubusercontent.com/stautonico/pokemon-home-pokedex/main/sprites/passimian.png", 2)</f>
        <v>0</v>
      </c>
      <c r="E767" s="37" t="s">
        <v>29</v>
      </c>
      <c r="F767" s="41" t="s">
        <v>20</v>
      </c>
    </row>
    <row r="768" spans="1:6" ht="72" customHeight="1">
      <c r="A768" s="1" t="s">
        <v>31</v>
      </c>
      <c r="B768" s="1">
        <v>767</v>
      </c>
      <c r="C768" s="1" t="s">
        <v>801</v>
      </c>
      <c r="D768">
        <f>IMAGE("https://raw.githubusercontent.com/stautonico/pokemon-home-pokedex/main/sprites/wimpod.png", 2)</f>
        <v>0</v>
      </c>
      <c r="E768" s="4" t="s">
        <v>14</v>
      </c>
      <c r="F768" s="5"/>
    </row>
    <row r="769" spans="1:6" ht="72" customHeight="1">
      <c r="A769" s="1" t="s">
        <v>31</v>
      </c>
      <c r="B769" s="1">
        <v>768</v>
      </c>
      <c r="C769" s="1" t="s">
        <v>802</v>
      </c>
      <c r="D769">
        <f>IMAGE("https://raw.githubusercontent.com/stautonico/pokemon-home-pokedex/main/sprites/golisopod.png", 2)</f>
        <v>0</v>
      </c>
      <c r="E769" s="4" t="s">
        <v>14</v>
      </c>
      <c r="F769" s="5"/>
    </row>
    <row r="770" spans="1:6" ht="72" customHeight="1">
      <c r="A770" s="1" t="s">
        <v>31</v>
      </c>
      <c r="B770" s="1">
        <v>769</v>
      </c>
      <c r="C770" s="1" t="s">
        <v>803</v>
      </c>
      <c r="D770">
        <f>IMAGE("https://raw.githubusercontent.com/stautonico/pokemon-home-pokedex/main/sprites/sandygast.png", 2)</f>
        <v>0</v>
      </c>
      <c r="E770" s="29" t="s">
        <v>30</v>
      </c>
      <c r="F770" s="3" t="s">
        <v>12</v>
      </c>
    </row>
    <row r="771" spans="1:6" ht="72" customHeight="1">
      <c r="A771" s="1" t="s">
        <v>31</v>
      </c>
      <c r="B771" s="1">
        <v>770</v>
      </c>
      <c r="C771" s="1" t="s">
        <v>804</v>
      </c>
      <c r="D771">
        <f>IMAGE("https://raw.githubusercontent.com/stautonico/pokemon-home-pokedex/main/sprites/palossand.png", 2)</f>
        <v>0</v>
      </c>
      <c r="E771" s="29" t="s">
        <v>30</v>
      </c>
      <c r="F771" s="3" t="s">
        <v>12</v>
      </c>
    </row>
    <row r="772" spans="1:6" ht="72" customHeight="1">
      <c r="A772" s="1" t="s">
        <v>31</v>
      </c>
      <c r="B772" s="1">
        <v>771</v>
      </c>
      <c r="C772" s="1" t="s">
        <v>805</v>
      </c>
      <c r="D772">
        <f>IMAGE("https://raw.githubusercontent.com/stautonico/pokemon-home-pokedex/main/sprites/pyukumuku.png", 2)</f>
        <v>0</v>
      </c>
      <c r="E772" s="4" t="s">
        <v>14</v>
      </c>
      <c r="F772" s="5"/>
    </row>
    <row r="773" spans="1:6" ht="72" customHeight="1">
      <c r="A773" s="1" t="s">
        <v>31</v>
      </c>
      <c r="B773" s="1">
        <v>772</v>
      </c>
      <c r="C773" s="1" t="s">
        <v>806</v>
      </c>
      <c r="D773">
        <f>IMAGE("https://raw.githubusercontent.com/stautonico/pokemon-home-pokedex/main/sprites/typenull.png", 2)</f>
        <v>0</v>
      </c>
      <c r="E773" s="4" t="s">
        <v>14</v>
      </c>
      <c r="F773" s="5"/>
    </row>
    <row r="774" spans="1:6" ht="72" customHeight="1">
      <c r="A774" s="1" t="s">
        <v>31</v>
      </c>
      <c r="B774" s="1">
        <v>773</v>
      </c>
      <c r="C774" s="1" t="s">
        <v>807</v>
      </c>
      <c r="D774">
        <f>IMAGE("https://raw.githubusercontent.com/stautonico/pokemon-home-pokedex/main/sprites/silvally.png", 2)</f>
        <v>0</v>
      </c>
      <c r="E774" s="4" t="s">
        <v>14</v>
      </c>
      <c r="F774" s="5"/>
    </row>
    <row r="775" spans="1:6" ht="72" customHeight="1">
      <c r="A775" s="1" t="s">
        <v>31</v>
      </c>
      <c r="B775" s="1">
        <v>10136</v>
      </c>
      <c r="C775" s="1" t="s">
        <v>808</v>
      </c>
      <c r="D775">
        <f>IMAGE("https://raw.githubusercontent.com/stautonico/pokemon-home-pokedex/main/sprites/minior-red.png", 2)</f>
        <v>0</v>
      </c>
      <c r="E775" s="32" t="s">
        <v>18</v>
      </c>
      <c r="F775" s="5"/>
    </row>
    <row r="776" spans="1:6" ht="72" customHeight="1">
      <c r="A776" s="1" t="s">
        <v>31</v>
      </c>
      <c r="B776" s="1">
        <v>775</v>
      </c>
      <c r="C776" s="1" t="s">
        <v>809</v>
      </c>
      <c r="D776">
        <f>IMAGE("https://raw.githubusercontent.com/stautonico/pokemon-home-pokedex/main/sprites/komala.png", 2)</f>
        <v>0</v>
      </c>
      <c r="E776" s="29" t="s">
        <v>30</v>
      </c>
      <c r="F776" s="32" t="s">
        <v>18</v>
      </c>
    </row>
    <row r="777" spans="1:6" ht="72" customHeight="1">
      <c r="A777" s="1" t="s">
        <v>31</v>
      </c>
      <c r="B777" s="1">
        <v>776</v>
      </c>
      <c r="C777" s="1" t="s">
        <v>810</v>
      </c>
      <c r="D777">
        <f>IMAGE("https://raw.githubusercontent.com/stautonico/pokemon-home-pokedex/main/sprites/turtonator.png", 2)</f>
        <v>0</v>
      </c>
      <c r="E777" s="35" t="s">
        <v>15</v>
      </c>
      <c r="F777" s="41" t="s">
        <v>20</v>
      </c>
    </row>
    <row r="778" spans="1:6" ht="72" customHeight="1">
      <c r="A778" s="1" t="s">
        <v>31</v>
      </c>
      <c r="B778" s="1">
        <v>777</v>
      </c>
      <c r="C778" s="1" t="s">
        <v>811</v>
      </c>
      <c r="D778">
        <f>IMAGE("https://raw.githubusercontent.com/stautonico/pokemon-home-pokedex/main/sprites/togedemaru.png", 2)</f>
        <v>0</v>
      </c>
      <c r="E778" s="4" t="s">
        <v>14</v>
      </c>
      <c r="F778" s="5"/>
    </row>
    <row r="779" spans="1:6" ht="72" customHeight="1">
      <c r="A779" s="1" t="s">
        <v>31</v>
      </c>
      <c r="B779" s="1">
        <v>778</v>
      </c>
      <c r="C779" s="1" t="s">
        <v>812</v>
      </c>
      <c r="D779">
        <f>IMAGE("https://raw.githubusercontent.com/stautonico/pokemon-home-pokedex/main/sprites/mimikyu.png", 2)</f>
        <v>0</v>
      </c>
      <c r="E779" s="29" t="s">
        <v>30</v>
      </c>
      <c r="F779" s="4" t="s">
        <v>14</v>
      </c>
    </row>
    <row r="780" spans="1:6" ht="72" customHeight="1">
      <c r="A780" s="1" t="s">
        <v>31</v>
      </c>
      <c r="B780" s="1">
        <v>779</v>
      </c>
      <c r="C780" s="1" t="s">
        <v>813</v>
      </c>
      <c r="D780">
        <f>IMAGE("https://raw.githubusercontent.com/stautonico/pokemon-home-pokedex/main/sprites/bruxish.png", 2)</f>
        <v>0</v>
      </c>
      <c r="E780" s="29" t="s">
        <v>30</v>
      </c>
      <c r="F780" s="32" t="s">
        <v>18</v>
      </c>
    </row>
    <row r="781" spans="1:6" ht="72" customHeight="1">
      <c r="A781" s="1" t="s">
        <v>31</v>
      </c>
      <c r="B781" s="1">
        <v>780</v>
      </c>
      <c r="C781" s="1" t="s">
        <v>814</v>
      </c>
      <c r="D781">
        <f>IMAGE("https://raw.githubusercontent.com/stautonico/pokemon-home-pokedex/main/sprites/drampa.png", 2)</f>
        <v>0</v>
      </c>
      <c r="E781" s="33" t="s">
        <v>16</v>
      </c>
      <c r="F781" s="42" t="s">
        <v>21</v>
      </c>
    </row>
    <row r="782" spans="1:6" ht="72" customHeight="1">
      <c r="A782" s="1" t="s">
        <v>31</v>
      </c>
      <c r="B782" s="1">
        <v>781</v>
      </c>
      <c r="C782" s="1" t="s">
        <v>815</v>
      </c>
      <c r="D782">
        <f>IMAGE("https://raw.githubusercontent.com/stautonico/pokemon-home-pokedex/main/sprites/dhelmise.png", 2)</f>
        <v>0</v>
      </c>
      <c r="E782" s="4" t="s">
        <v>14</v>
      </c>
      <c r="F782" s="5"/>
    </row>
    <row r="783" spans="1:6" ht="72" customHeight="1">
      <c r="A783" s="1" t="s">
        <v>31</v>
      </c>
      <c r="B783" s="1">
        <v>782</v>
      </c>
      <c r="C783" s="1" t="s">
        <v>816</v>
      </c>
      <c r="D783">
        <f>IMAGE("https://raw.githubusercontent.com/stautonico/pokemon-home-pokedex/main/sprites/jangmo-o.png", 2)</f>
        <v>0</v>
      </c>
      <c r="E783" s="35" t="s">
        <v>15</v>
      </c>
      <c r="F783" s="32" t="s">
        <v>18</v>
      </c>
    </row>
    <row r="784" spans="1:6" ht="72" customHeight="1">
      <c r="A784" s="1" t="s">
        <v>31</v>
      </c>
      <c r="B784" s="1">
        <v>783</v>
      </c>
      <c r="C784" s="1" t="s">
        <v>817</v>
      </c>
      <c r="D784">
        <f>IMAGE("https://raw.githubusercontent.com/stautonico/pokemon-home-pokedex/main/sprites/hakamo-o.png", 2)</f>
        <v>0</v>
      </c>
      <c r="E784" s="35" t="s">
        <v>15</v>
      </c>
      <c r="F784" s="32" t="s">
        <v>18</v>
      </c>
    </row>
    <row r="785" spans="1:6" ht="72" customHeight="1">
      <c r="A785" s="1" t="s">
        <v>31</v>
      </c>
      <c r="B785" s="1">
        <v>784</v>
      </c>
      <c r="C785" s="1" t="s">
        <v>818</v>
      </c>
      <c r="D785">
        <f>IMAGE("https://raw.githubusercontent.com/stautonico/pokemon-home-pokedex/main/sprites/kommo-o.png", 2)</f>
        <v>0</v>
      </c>
      <c r="E785" s="35" t="s">
        <v>15</v>
      </c>
      <c r="F785" s="32" t="s">
        <v>18</v>
      </c>
    </row>
    <row r="786" spans="1:6" ht="72" customHeight="1">
      <c r="A786" s="1" t="s">
        <v>31</v>
      </c>
      <c r="B786" s="1">
        <v>785</v>
      </c>
      <c r="C786" s="1" t="s">
        <v>819</v>
      </c>
      <c r="D786">
        <f>IMAGE("https://raw.githubusercontent.com/stautonico/pokemon-home-pokedex/main/sprites/tapu-koko.png", 2)</f>
        <v>0</v>
      </c>
      <c r="E786" s="32" t="s">
        <v>18</v>
      </c>
      <c r="F786" s="5"/>
    </row>
    <row r="787" spans="1:6" ht="72" customHeight="1">
      <c r="A787" s="1" t="s">
        <v>31</v>
      </c>
      <c r="B787" s="1">
        <v>786</v>
      </c>
      <c r="C787" s="1" t="s">
        <v>820</v>
      </c>
      <c r="D787">
        <f>IMAGE("https://raw.githubusercontent.com/stautonico/pokemon-home-pokedex/main/sprites/tapu-lele.png", 2)</f>
        <v>0</v>
      </c>
      <c r="E787" s="32" t="s">
        <v>18</v>
      </c>
      <c r="F787" s="5"/>
    </row>
    <row r="788" spans="1:6" ht="72" customHeight="1">
      <c r="A788" s="1" t="s">
        <v>31</v>
      </c>
      <c r="B788" s="1">
        <v>787</v>
      </c>
      <c r="C788" s="1" t="s">
        <v>821</v>
      </c>
      <c r="D788">
        <f>IMAGE("https://raw.githubusercontent.com/stautonico/pokemon-home-pokedex/main/sprites/tapu-bulu.png", 2)</f>
        <v>0</v>
      </c>
      <c r="E788" s="32" t="s">
        <v>18</v>
      </c>
      <c r="F788" s="5"/>
    </row>
    <row r="789" spans="1:6" ht="72" customHeight="1">
      <c r="A789" s="1" t="s">
        <v>31</v>
      </c>
      <c r="B789" s="1">
        <v>788</v>
      </c>
      <c r="C789" s="1" t="s">
        <v>822</v>
      </c>
      <c r="D789">
        <f>IMAGE("https://raw.githubusercontent.com/stautonico/pokemon-home-pokedex/main/sprites/tapu-fini.png", 2)</f>
        <v>0</v>
      </c>
      <c r="E789" s="32" t="s">
        <v>18</v>
      </c>
      <c r="F789" s="5"/>
    </row>
    <row r="790" spans="1:6" ht="72" customHeight="1">
      <c r="A790" s="1" t="s">
        <v>31</v>
      </c>
      <c r="B790" s="1">
        <v>789</v>
      </c>
      <c r="C790" s="1" t="s">
        <v>823</v>
      </c>
      <c r="D790">
        <f>IMAGE("https://raw.githubusercontent.com/stautonico/pokemon-home-pokedex/main/sprites/cosmog.png", 2)</f>
        <v>0</v>
      </c>
      <c r="E790" s="32" t="s">
        <v>18</v>
      </c>
      <c r="F790" s="5"/>
    </row>
    <row r="791" spans="1:6" ht="72" customHeight="1">
      <c r="A791" s="1" t="s">
        <v>31</v>
      </c>
      <c r="B791" s="1">
        <v>790</v>
      </c>
      <c r="C791" s="1" t="s">
        <v>824</v>
      </c>
      <c r="D791">
        <f>IMAGE("https://raw.githubusercontent.com/stautonico/pokemon-home-pokedex/main/sprites/cosmoem.png", 2)</f>
        <v>0</v>
      </c>
      <c r="E791" s="32" t="s">
        <v>18</v>
      </c>
      <c r="F791" s="5"/>
    </row>
    <row r="792" spans="1:6" ht="72" customHeight="1">
      <c r="A792" s="1" t="s">
        <v>31</v>
      </c>
      <c r="B792" s="1">
        <v>791</v>
      </c>
      <c r="C792" s="1" t="s">
        <v>825</v>
      </c>
      <c r="D792">
        <f>IMAGE("https://raw.githubusercontent.com/stautonico/pokemon-home-pokedex/main/sprites/solgaleo.png", 2)</f>
        <v>0</v>
      </c>
      <c r="E792" s="41" t="s">
        <v>20</v>
      </c>
      <c r="F792" s="5"/>
    </row>
    <row r="793" spans="1:6" ht="72" customHeight="1">
      <c r="A793" s="1" t="s">
        <v>31</v>
      </c>
      <c r="B793" s="1">
        <v>792</v>
      </c>
      <c r="C793" s="1" t="s">
        <v>826</v>
      </c>
      <c r="D793">
        <f>IMAGE("https://raw.githubusercontent.com/stautonico/pokemon-home-pokedex/main/sprites/lunala.png", 2)</f>
        <v>0</v>
      </c>
      <c r="E793" s="42" t="s">
        <v>21</v>
      </c>
      <c r="F793" s="5"/>
    </row>
    <row r="794" spans="1:6" ht="72" customHeight="1">
      <c r="A794" s="1" t="s">
        <v>31</v>
      </c>
      <c r="B794" s="1">
        <v>793</v>
      </c>
      <c r="C794" s="1" t="s">
        <v>827</v>
      </c>
      <c r="D794">
        <f>IMAGE("https://raw.githubusercontent.com/stautonico/pokemon-home-pokedex/main/sprites/nihilego.png", 2)</f>
        <v>0</v>
      </c>
      <c r="E794" s="32" t="s">
        <v>18</v>
      </c>
      <c r="F794" s="5"/>
    </row>
    <row r="795" spans="1:6" ht="72" customHeight="1">
      <c r="A795" s="1" t="s">
        <v>31</v>
      </c>
      <c r="B795" s="1">
        <v>794</v>
      </c>
      <c r="C795" s="1" t="s">
        <v>828</v>
      </c>
      <c r="D795">
        <f>IMAGE("https://raw.githubusercontent.com/stautonico/pokemon-home-pokedex/main/sprites/buzzwole.png", 2)</f>
        <v>0</v>
      </c>
      <c r="E795" s="41" t="s">
        <v>20</v>
      </c>
      <c r="F795" s="5"/>
    </row>
    <row r="796" spans="1:6" ht="72" customHeight="1">
      <c r="A796" s="1" t="s">
        <v>31</v>
      </c>
      <c r="B796" s="1">
        <v>795</v>
      </c>
      <c r="C796" s="1" t="s">
        <v>829</v>
      </c>
      <c r="D796">
        <f>IMAGE("https://raw.githubusercontent.com/stautonico/pokemon-home-pokedex/main/sprites/pheromosa.png", 2)</f>
        <v>0</v>
      </c>
      <c r="E796" s="42" t="s">
        <v>21</v>
      </c>
      <c r="F796" s="5"/>
    </row>
    <row r="797" spans="1:6" ht="72" customHeight="1">
      <c r="A797" s="1" t="s">
        <v>31</v>
      </c>
      <c r="B797" s="1">
        <v>796</v>
      </c>
      <c r="C797" s="1" t="s">
        <v>830</v>
      </c>
      <c r="D797">
        <f>IMAGE("https://raw.githubusercontent.com/stautonico/pokemon-home-pokedex/main/sprites/xurkitree.png", 2)</f>
        <v>0</v>
      </c>
      <c r="E797" s="32" t="s">
        <v>18</v>
      </c>
      <c r="F797" s="5"/>
    </row>
    <row r="798" spans="1:6" ht="72" customHeight="1">
      <c r="A798" s="1" t="s">
        <v>31</v>
      </c>
      <c r="B798" s="1">
        <v>797</v>
      </c>
      <c r="C798" s="1" t="s">
        <v>831</v>
      </c>
      <c r="D798">
        <f>IMAGE("https://raw.githubusercontent.com/stautonico/pokemon-home-pokedex/main/sprites/celesteela.png", 2)</f>
        <v>0</v>
      </c>
      <c r="E798" s="42" t="s">
        <v>21</v>
      </c>
      <c r="F798" s="5"/>
    </row>
    <row r="799" spans="1:6" ht="72" customHeight="1">
      <c r="A799" s="1" t="s">
        <v>31</v>
      </c>
      <c r="B799" s="1">
        <v>798</v>
      </c>
      <c r="C799" s="1" t="s">
        <v>832</v>
      </c>
      <c r="D799">
        <f>IMAGE("https://raw.githubusercontent.com/stautonico/pokemon-home-pokedex/main/sprites/kartana.png", 2)</f>
        <v>0</v>
      </c>
      <c r="E799" s="41" t="s">
        <v>20</v>
      </c>
      <c r="F799" s="5"/>
    </row>
    <row r="800" spans="1:6" ht="72" customHeight="1">
      <c r="A800" s="1" t="s">
        <v>31</v>
      </c>
      <c r="B800" s="1">
        <v>799</v>
      </c>
      <c r="C800" s="1" t="s">
        <v>833</v>
      </c>
      <c r="D800">
        <f>IMAGE("https://raw.githubusercontent.com/stautonico/pokemon-home-pokedex/main/sprites/guzzlord.png", 2)</f>
        <v>0</v>
      </c>
      <c r="E800" s="32" t="s">
        <v>18</v>
      </c>
      <c r="F800" s="5"/>
    </row>
    <row r="801" spans="1:6" ht="72" customHeight="1">
      <c r="A801" s="1" t="s">
        <v>31</v>
      </c>
      <c r="B801" s="1">
        <v>800</v>
      </c>
      <c r="C801" s="1" t="s">
        <v>834</v>
      </c>
      <c r="D801">
        <f>IMAGE("https://raw.githubusercontent.com/stautonico/pokemon-home-pokedex/main/sprites/necrozma.png", 2)</f>
        <v>0</v>
      </c>
      <c r="E801" s="32" t="s">
        <v>18</v>
      </c>
      <c r="F801" s="5"/>
    </row>
    <row r="802" spans="1:6" ht="72" customHeight="1">
      <c r="A802" s="1" t="s">
        <v>31</v>
      </c>
      <c r="B802" s="1">
        <v>801</v>
      </c>
      <c r="C802" s="1" t="s">
        <v>835</v>
      </c>
      <c r="D802">
        <f>IMAGE("https://raw.githubusercontent.com/stautonico/pokemon-home-pokedex/main/sprites/magearna.png", 2)</f>
        <v>0</v>
      </c>
      <c r="E802" s="32" t="s">
        <v>18</v>
      </c>
      <c r="F802" s="5"/>
    </row>
    <row r="803" spans="1:6" ht="72" customHeight="1">
      <c r="A803" s="1" t="s">
        <v>31</v>
      </c>
      <c r="B803" s="1">
        <v>802</v>
      </c>
      <c r="C803" s="1" t="s">
        <v>836</v>
      </c>
      <c r="D803">
        <f>IMAGE("https://raw.githubusercontent.com/stautonico/pokemon-home-pokedex/main/sprites/marshadow.png", 2)</f>
        <v>0</v>
      </c>
      <c r="E803" s="39" t="s">
        <v>25</v>
      </c>
      <c r="F803" s="5"/>
    </row>
    <row r="804" spans="1:6" ht="72" customHeight="1">
      <c r="A804" s="1" t="s">
        <v>31</v>
      </c>
      <c r="B804" s="1">
        <v>803</v>
      </c>
      <c r="C804" s="1" t="s">
        <v>837</v>
      </c>
      <c r="D804">
        <f>IMAGE("https://raw.githubusercontent.com/stautonico/pokemon-home-pokedex/main/sprites/poipole.png", 2)</f>
        <v>0</v>
      </c>
      <c r="E804" s="32" t="s">
        <v>18</v>
      </c>
      <c r="F804" s="5"/>
    </row>
    <row r="805" spans="1:6" ht="72" customHeight="1">
      <c r="A805" s="1" t="s">
        <v>31</v>
      </c>
      <c r="B805" s="1">
        <v>804</v>
      </c>
      <c r="C805" s="1" t="s">
        <v>838</v>
      </c>
      <c r="D805">
        <f>IMAGE("https://raw.githubusercontent.com/stautonico/pokemon-home-pokedex/main/sprites/naganadel.png", 2)</f>
        <v>0</v>
      </c>
      <c r="E805" s="32" t="s">
        <v>18</v>
      </c>
      <c r="F805" s="5"/>
    </row>
    <row r="806" spans="1:6" ht="72" customHeight="1">
      <c r="A806" s="1" t="s">
        <v>31</v>
      </c>
      <c r="B806" s="1">
        <v>805</v>
      </c>
      <c r="C806" s="1" t="s">
        <v>839</v>
      </c>
      <c r="D806">
        <f>IMAGE("https://raw.githubusercontent.com/stautonico/pokemon-home-pokedex/main/sprites/stakataka.png", 2)</f>
        <v>0</v>
      </c>
      <c r="E806" s="42" t="s">
        <v>21</v>
      </c>
      <c r="F806" s="5"/>
    </row>
    <row r="807" spans="1:6" ht="72" customHeight="1">
      <c r="A807" s="1" t="s">
        <v>31</v>
      </c>
      <c r="B807" s="1">
        <v>806</v>
      </c>
      <c r="C807" s="1" t="s">
        <v>840</v>
      </c>
      <c r="D807">
        <f>IMAGE("https://raw.githubusercontent.com/stautonico/pokemon-home-pokedex/main/sprites/blacephalon.png", 2)</f>
        <v>0</v>
      </c>
      <c r="E807" s="41" t="s">
        <v>20</v>
      </c>
      <c r="F807" s="5"/>
    </row>
    <row r="808" spans="1:6" ht="72" customHeight="1">
      <c r="A808" s="1" t="s">
        <v>31</v>
      </c>
      <c r="B808" s="1">
        <v>807</v>
      </c>
      <c r="C808" s="1" t="s">
        <v>841</v>
      </c>
      <c r="D808">
        <f>IMAGE("https://raw.githubusercontent.com/stautonico/pokemon-home-pokedex/main/sprites/zeraora.png", 2)</f>
        <v>0</v>
      </c>
      <c r="E808" s="39" t="s">
        <v>25</v>
      </c>
      <c r="F808" s="5"/>
    </row>
    <row r="809" spans="1:6" ht="72" customHeight="1">
      <c r="A809" s="1" t="s">
        <v>31</v>
      </c>
      <c r="B809" s="1">
        <v>808</v>
      </c>
      <c r="C809" s="1" t="s">
        <v>842</v>
      </c>
      <c r="D809">
        <f>IMAGE("https://raw.githubusercontent.com/stautonico/pokemon-home-pokedex/main/sprites/meltan.png", 2)</f>
        <v>0</v>
      </c>
      <c r="E809" s="44" t="s">
        <v>26</v>
      </c>
      <c r="F809" s="5"/>
    </row>
    <row r="810" spans="1:6" ht="72" customHeight="1">
      <c r="A810" s="1" t="s">
        <v>31</v>
      </c>
      <c r="B810" s="1">
        <v>809</v>
      </c>
      <c r="C810" s="1" t="s">
        <v>843</v>
      </c>
      <c r="D810">
        <f>IMAGE("https://raw.githubusercontent.com/stautonico/pokemon-home-pokedex/main/sprites/melmetal.png", 2)</f>
        <v>0</v>
      </c>
      <c r="E810" s="44" t="s">
        <v>26</v>
      </c>
      <c r="F810" s="5"/>
    </row>
    <row r="811" spans="1:6" ht="72" customHeight="1">
      <c r="A811" s="1" t="s">
        <v>31</v>
      </c>
      <c r="B811" s="1">
        <v>810</v>
      </c>
      <c r="C811" s="1" t="s">
        <v>844</v>
      </c>
      <c r="D811">
        <f>IMAGE("https://raw.githubusercontent.com/stautonico/pokemon-home-pokedex/main/sprites/grookey.png", 2)</f>
        <v>0</v>
      </c>
      <c r="E811" s="4" t="s">
        <v>14</v>
      </c>
      <c r="F811" s="5"/>
    </row>
    <row r="812" spans="1:6" ht="72" customHeight="1">
      <c r="A812" s="1" t="s">
        <v>31</v>
      </c>
      <c r="B812" s="1">
        <v>811</v>
      </c>
      <c r="C812" s="1" t="s">
        <v>845</v>
      </c>
      <c r="D812">
        <f>IMAGE("https://raw.githubusercontent.com/stautonico/pokemon-home-pokedex/main/sprites/thwackey.png", 2)</f>
        <v>0</v>
      </c>
      <c r="E812" s="4" t="s">
        <v>14</v>
      </c>
      <c r="F812" s="5"/>
    </row>
    <row r="813" spans="1:6" ht="72" customHeight="1">
      <c r="A813" s="1" t="s">
        <v>31</v>
      </c>
      <c r="B813" s="1">
        <v>812</v>
      </c>
      <c r="C813" s="1" t="s">
        <v>846</v>
      </c>
      <c r="D813">
        <f>IMAGE("https://raw.githubusercontent.com/stautonico/pokemon-home-pokedex/main/sprites/rillaboom.png", 2)</f>
        <v>0</v>
      </c>
      <c r="E813" s="4" t="s">
        <v>14</v>
      </c>
      <c r="F813" s="5"/>
    </row>
    <row r="814" spans="1:6" ht="72" customHeight="1">
      <c r="A814" s="1" t="s">
        <v>31</v>
      </c>
      <c r="B814" s="1">
        <v>813</v>
      </c>
      <c r="C814" s="1" t="s">
        <v>847</v>
      </c>
      <c r="D814">
        <f>IMAGE("https://raw.githubusercontent.com/stautonico/pokemon-home-pokedex/main/sprites/scorbunny.png", 2)</f>
        <v>0</v>
      </c>
      <c r="E814" s="4" t="s">
        <v>14</v>
      </c>
      <c r="F814" s="5"/>
    </row>
    <row r="815" spans="1:6" ht="72" customHeight="1">
      <c r="A815" s="1" t="s">
        <v>31</v>
      </c>
      <c r="B815" s="1">
        <v>814</v>
      </c>
      <c r="C815" s="1" t="s">
        <v>848</v>
      </c>
      <c r="D815">
        <f>IMAGE("https://raw.githubusercontent.com/stautonico/pokemon-home-pokedex/main/sprites/raboot.png", 2)</f>
        <v>0</v>
      </c>
      <c r="E815" s="4" t="s">
        <v>14</v>
      </c>
      <c r="F815" s="5"/>
    </row>
    <row r="816" spans="1:6" ht="72" customHeight="1">
      <c r="A816" s="1" t="s">
        <v>31</v>
      </c>
      <c r="B816" s="1">
        <v>815</v>
      </c>
      <c r="C816" s="1" t="s">
        <v>849</v>
      </c>
      <c r="D816">
        <f>IMAGE("https://raw.githubusercontent.com/stautonico/pokemon-home-pokedex/main/sprites/cinderace.png", 2)</f>
        <v>0</v>
      </c>
      <c r="E816" s="4" t="s">
        <v>14</v>
      </c>
      <c r="F816" s="5"/>
    </row>
    <row r="817" spans="1:6" ht="72" customHeight="1">
      <c r="A817" s="1" t="s">
        <v>31</v>
      </c>
      <c r="B817" s="1">
        <v>816</v>
      </c>
      <c r="C817" s="1" t="s">
        <v>850</v>
      </c>
      <c r="D817">
        <f>IMAGE("https://raw.githubusercontent.com/stautonico/pokemon-home-pokedex/main/sprites/sobble.png", 2)</f>
        <v>0</v>
      </c>
      <c r="E817" s="4" t="s">
        <v>14</v>
      </c>
      <c r="F817" s="5"/>
    </row>
    <row r="818" spans="1:6" ht="72" customHeight="1">
      <c r="A818" s="1" t="s">
        <v>31</v>
      </c>
      <c r="B818" s="1">
        <v>817</v>
      </c>
      <c r="C818" s="1" t="s">
        <v>851</v>
      </c>
      <c r="D818">
        <f>IMAGE("https://raw.githubusercontent.com/stautonico/pokemon-home-pokedex/main/sprites/drizzile.png", 2)</f>
        <v>0</v>
      </c>
      <c r="E818" s="4" t="s">
        <v>14</v>
      </c>
      <c r="F818" s="5"/>
    </row>
    <row r="819" spans="1:6" ht="72" customHeight="1">
      <c r="A819" s="1" t="s">
        <v>31</v>
      </c>
      <c r="B819" s="1">
        <v>818</v>
      </c>
      <c r="C819" s="1" t="s">
        <v>852</v>
      </c>
      <c r="D819">
        <f>IMAGE("https://raw.githubusercontent.com/stautonico/pokemon-home-pokedex/main/sprites/inteleon.png", 2)</f>
        <v>0</v>
      </c>
      <c r="E819" s="4" t="s">
        <v>14</v>
      </c>
      <c r="F819" s="5"/>
    </row>
    <row r="820" spans="1:6" ht="72" customHeight="1">
      <c r="A820" s="1" t="s">
        <v>31</v>
      </c>
      <c r="B820" s="1">
        <v>819</v>
      </c>
      <c r="C820" s="1" t="s">
        <v>853</v>
      </c>
      <c r="D820">
        <f>IMAGE("https://raw.githubusercontent.com/stautonico/pokemon-home-pokedex/main/sprites/skwovet.png", 2)</f>
        <v>0</v>
      </c>
      <c r="E820" s="29" t="s">
        <v>30</v>
      </c>
      <c r="F820" s="4" t="s">
        <v>14</v>
      </c>
    </row>
    <row r="821" spans="1:6" ht="72" customHeight="1">
      <c r="A821" s="1" t="s">
        <v>31</v>
      </c>
      <c r="B821" s="1">
        <v>820</v>
      </c>
      <c r="C821" s="1" t="s">
        <v>854</v>
      </c>
      <c r="D821">
        <f>IMAGE("https://raw.githubusercontent.com/stautonico/pokemon-home-pokedex/main/sprites/greedent.png", 2)</f>
        <v>0</v>
      </c>
      <c r="E821" s="29" t="s">
        <v>30</v>
      </c>
      <c r="F821" s="4" t="s">
        <v>14</v>
      </c>
    </row>
    <row r="822" spans="1:6" ht="72" customHeight="1">
      <c r="A822" s="1" t="s">
        <v>31</v>
      </c>
      <c r="B822" s="1">
        <v>821</v>
      </c>
      <c r="C822" s="1" t="s">
        <v>855</v>
      </c>
      <c r="D822">
        <f>IMAGE("https://raw.githubusercontent.com/stautonico/pokemon-home-pokedex/main/sprites/rookidee.png", 2)</f>
        <v>0</v>
      </c>
      <c r="E822" s="29" t="s">
        <v>30</v>
      </c>
      <c r="F822" s="4" t="s">
        <v>14</v>
      </c>
    </row>
    <row r="823" spans="1:6" ht="72" customHeight="1">
      <c r="A823" s="1" t="s">
        <v>31</v>
      </c>
      <c r="B823" s="1">
        <v>822</v>
      </c>
      <c r="C823" s="1" t="s">
        <v>856</v>
      </c>
      <c r="D823">
        <f>IMAGE("https://raw.githubusercontent.com/stautonico/pokemon-home-pokedex/main/sprites/corvisquire.png", 2)</f>
        <v>0</v>
      </c>
      <c r="E823" s="29" t="s">
        <v>30</v>
      </c>
      <c r="F823" s="4" t="s">
        <v>14</v>
      </c>
    </row>
    <row r="824" spans="1:6" ht="72" customHeight="1">
      <c r="A824" s="1" t="s">
        <v>31</v>
      </c>
      <c r="B824" s="1">
        <v>823</v>
      </c>
      <c r="C824" s="1" t="s">
        <v>857</v>
      </c>
      <c r="D824">
        <f>IMAGE("https://raw.githubusercontent.com/stautonico/pokemon-home-pokedex/main/sprites/corviknight.png", 2)</f>
        <v>0</v>
      </c>
      <c r="E824" s="29" t="s">
        <v>30</v>
      </c>
      <c r="F824" s="4" t="s">
        <v>14</v>
      </c>
    </row>
    <row r="825" spans="1:6" ht="72" customHeight="1">
      <c r="A825" s="1" t="s">
        <v>31</v>
      </c>
      <c r="B825" s="1">
        <v>824</v>
      </c>
      <c r="C825" s="1" t="s">
        <v>858</v>
      </c>
      <c r="D825">
        <f>IMAGE("https://raw.githubusercontent.com/stautonico/pokemon-home-pokedex/main/sprites/blipbug.png", 2)</f>
        <v>0</v>
      </c>
      <c r="E825" s="4" t="s">
        <v>14</v>
      </c>
      <c r="F825" s="5"/>
    </row>
    <row r="826" spans="1:6" ht="72" customHeight="1">
      <c r="A826" s="1" t="s">
        <v>31</v>
      </c>
      <c r="B826" s="1">
        <v>825</v>
      </c>
      <c r="C826" s="1" t="s">
        <v>859</v>
      </c>
      <c r="D826">
        <f>IMAGE("https://raw.githubusercontent.com/stautonico/pokemon-home-pokedex/main/sprites/dottler.png", 2)</f>
        <v>0</v>
      </c>
      <c r="E826" s="4" t="s">
        <v>14</v>
      </c>
      <c r="F826" s="5"/>
    </row>
    <row r="827" spans="1:6" ht="72" customHeight="1">
      <c r="A827" s="1" t="s">
        <v>31</v>
      </c>
      <c r="B827" s="1">
        <v>826</v>
      </c>
      <c r="C827" s="1" t="s">
        <v>860</v>
      </c>
      <c r="D827">
        <f>IMAGE("https://raw.githubusercontent.com/stautonico/pokemon-home-pokedex/main/sprites/orbeetle.png", 2)</f>
        <v>0</v>
      </c>
      <c r="E827" s="4" t="s">
        <v>14</v>
      </c>
      <c r="F827" s="5"/>
    </row>
    <row r="828" spans="1:6" ht="72" customHeight="1">
      <c r="A828" s="1" t="s">
        <v>31</v>
      </c>
      <c r="B828" s="1">
        <v>827</v>
      </c>
      <c r="C828" s="1" t="s">
        <v>861</v>
      </c>
      <c r="D828">
        <f>IMAGE("https://raw.githubusercontent.com/stautonico/pokemon-home-pokedex/main/sprites/nickit.png", 2)</f>
        <v>0</v>
      </c>
      <c r="E828" s="4" t="s">
        <v>14</v>
      </c>
      <c r="F828" s="5"/>
    </row>
    <row r="829" spans="1:6" ht="72" customHeight="1">
      <c r="A829" s="1" t="s">
        <v>31</v>
      </c>
      <c r="B829" s="1">
        <v>828</v>
      </c>
      <c r="C829" s="1" t="s">
        <v>862</v>
      </c>
      <c r="D829">
        <f>IMAGE("https://raw.githubusercontent.com/stautonico/pokemon-home-pokedex/main/sprites/thievul.png", 2)</f>
        <v>0</v>
      </c>
      <c r="E829" s="4" t="s">
        <v>14</v>
      </c>
      <c r="F829" s="5"/>
    </row>
    <row r="830" spans="1:6" ht="72" customHeight="1">
      <c r="A830" s="1" t="s">
        <v>31</v>
      </c>
      <c r="B830" s="1">
        <v>829</v>
      </c>
      <c r="C830" s="1" t="s">
        <v>863</v>
      </c>
      <c r="D830">
        <f>IMAGE("https://raw.githubusercontent.com/stautonico/pokemon-home-pokedex/main/sprites/gossifleur.png", 2)</f>
        <v>0</v>
      </c>
      <c r="E830" s="4" t="s">
        <v>14</v>
      </c>
      <c r="F830" s="5"/>
    </row>
    <row r="831" spans="1:6" ht="72" customHeight="1">
      <c r="A831" s="1" t="s">
        <v>31</v>
      </c>
      <c r="B831" s="1">
        <v>830</v>
      </c>
      <c r="C831" s="1" t="s">
        <v>864</v>
      </c>
      <c r="D831">
        <f>IMAGE("https://raw.githubusercontent.com/stautonico/pokemon-home-pokedex/main/sprites/eldegoss.png", 2)</f>
        <v>0</v>
      </c>
      <c r="E831" s="4" t="s">
        <v>14</v>
      </c>
      <c r="F831" s="5"/>
    </row>
    <row r="832" spans="1:6" ht="72" customHeight="1">
      <c r="A832" s="1" t="s">
        <v>31</v>
      </c>
      <c r="B832" s="1">
        <v>831</v>
      </c>
      <c r="C832" s="1" t="s">
        <v>865</v>
      </c>
      <c r="D832">
        <f>IMAGE("https://raw.githubusercontent.com/stautonico/pokemon-home-pokedex/main/sprites/wooloo.png", 2)</f>
        <v>0</v>
      </c>
      <c r="E832" s="4" t="s">
        <v>14</v>
      </c>
      <c r="F832" s="5"/>
    </row>
    <row r="833" spans="1:6" ht="72" customHeight="1">
      <c r="A833" s="1" t="s">
        <v>31</v>
      </c>
      <c r="B833" s="1">
        <v>832</v>
      </c>
      <c r="C833" s="1" t="s">
        <v>866</v>
      </c>
      <c r="D833">
        <f>IMAGE("https://raw.githubusercontent.com/stautonico/pokemon-home-pokedex/main/sprites/dubwool.png", 2)</f>
        <v>0</v>
      </c>
      <c r="E833" s="4" t="s">
        <v>14</v>
      </c>
      <c r="F833" s="5"/>
    </row>
    <row r="834" spans="1:6" ht="72" customHeight="1">
      <c r="A834" s="1" t="s">
        <v>31</v>
      </c>
      <c r="B834" s="1">
        <v>833</v>
      </c>
      <c r="C834" s="1" t="s">
        <v>867</v>
      </c>
      <c r="D834">
        <f>IMAGE("https://raw.githubusercontent.com/stautonico/pokemon-home-pokedex/main/sprites/chewtle.png", 2)</f>
        <v>0</v>
      </c>
      <c r="E834" s="29" t="s">
        <v>30</v>
      </c>
      <c r="F834" s="4" t="s">
        <v>14</v>
      </c>
    </row>
    <row r="835" spans="1:6" ht="72" customHeight="1">
      <c r="A835" s="1" t="s">
        <v>31</v>
      </c>
      <c r="B835" s="1">
        <v>834</v>
      </c>
      <c r="C835" s="1" t="s">
        <v>868</v>
      </c>
      <c r="D835">
        <f>IMAGE("https://raw.githubusercontent.com/stautonico/pokemon-home-pokedex/main/sprites/drednaw.png", 2)</f>
        <v>0</v>
      </c>
      <c r="E835" s="29" t="s">
        <v>30</v>
      </c>
      <c r="F835" s="4" t="s">
        <v>14</v>
      </c>
    </row>
    <row r="836" spans="1:6" ht="72" customHeight="1">
      <c r="A836" s="1" t="s">
        <v>31</v>
      </c>
      <c r="B836" s="1">
        <v>835</v>
      </c>
      <c r="C836" s="1" t="s">
        <v>869</v>
      </c>
      <c r="D836">
        <f>IMAGE("https://raw.githubusercontent.com/stautonico/pokemon-home-pokedex/main/sprites/yamper.png", 2)</f>
        <v>0</v>
      </c>
      <c r="E836" s="4" t="s">
        <v>14</v>
      </c>
      <c r="F836" s="5"/>
    </row>
    <row r="837" spans="1:6" ht="72" customHeight="1">
      <c r="A837" s="1" t="s">
        <v>31</v>
      </c>
      <c r="B837" s="1">
        <v>836</v>
      </c>
      <c r="C837" s="1" t="s">
        <v>870</v>
      </c>
      <c r="D837">
        <f>IMAGE("https://raw.githubusercontent.com/stautonico/pokemon-home-pokedex/main/sprites/boltund.png", 2)</f>
        <v>0</v>
      </c>
      <c r="E837" s="4" t="s">
        <v>14</v>
      </c>
      <c r="F837" s="5"/>
    </row>
    <row r="838" spans="1:6" ht="72" customHeight="1">
      <c r="A838" s="1" t="s">
        <v>31</v>
      </c>
      <c r="B838" s="1">
        <v>837</v>
      </c>
      <c r="C838" s="1" t="s">
        <v>871</v>
      </c>
      <c r="D838">
        <f>IMAGE("https://raw.githubusercontent.com/stautonico/pokemon-home-pokedex/main/sprites/rolycoly.png", 2)</f>
        <v>0</v>
      </c>
      <c r="E838" s="29" t="s">
        <v>30</v>
      </c>
      <c r="F838" s="4" t="s">
        <v>14</v>
      </c>
    </row>
    <row r="839" spans="1:6" ht="72" customHeight="1">
      <c r="A839" s="1" t="s">
        <v>31</v>
      </c>
      <c r="B839" s="1">
        <v>838</v>
      </c>
      <c r="C839" s="1" t="s">
        <v>872</v>
      </c>
      <c r="D839">
        <f>IMAGE("https://raw.githubusercontent.com/stautonico/pokemon-home-pokedex/main/sprites/carkol.png", 2)</f>
        <v>0</v>
      </c>
      <c r="E839" s="29" t="s">
        <v>30</v>
      </c>
      <c r="F839" s="4" t="s">
        <v>14</v>
      </c>
    </row>
    <row r="840" spans="1:6" ht="72" customHeight="1">
      <c r="A840" s="1" t="s">
        <v>31</v>
      </c>
      <c r="B840" s="1">
        <v>839</v>
      </c>
      <c r="C840" s="1" t="s">
        <v>873</v>
      </c>
      <c r="D840">
        <f>IMAGE("https://raw.githubusercontent.com/stautonico/pokemon-home-pokedex/main/sprites/coalossal.png", 2)</f>
        <v>0</v>
      </c>
      <c r="E840" s="29" t="s">
        <v>30</v>
      </c>
      <c r="F840" s="4" t="s">
        <v>14</v>
      </c>
    </row>
    <row r="841" spans="1:6" ht="72" customHeight="1">
      <c r="A841" s="1" t="s">
        <v>31</v>
      </c>
      <c r="B841" s="1">
        <v>840</v>
      </c>
      <c r="C841" s="1" t="s">
        <v>874</v>
      </c>
      <c r="D841">
        <f>IMAGE("https://raw.githubusercontent.com/stautonico/pokemon-home-pokedex/main/sprites/applin.png", 2)</f>
        <v>0</v>
      </c>
      <c r="E841" s="29" t="s">
        <v>30</v>
      </c>
      <c r="F841" s="4" t="s">
        <v>14</v>
      </c>
    </row>
    <row r="842" spans="1:6" ht="72" customHeight="1">
      <c r="A842" s="1" t="s">
        <v>31</v>
      </c>
      <c r="B842" s="1">
        <v>841</v>
      </c>
      <c r="C842" s="1" t="s">
        <v>875</v>
      </c>
      <c r="D842">
        <f>IMAGE("https://raw.githubusercontent.com/stautonico/pokemon-home-pokedex/main/sprites/flapple.png", 2)</f>
        <v>0</v>
      </c>
      <c r="E842" s="29" t="s">
        <v>30</v>
      </c>
      <c r="F842" s="35" t="s">
        <v>15</v>
      </c>
    </row>
    <row r="843" spans="1:6" ht="72" customHeight="1">
      <c r="A843" s="1" t="s">
        <v>31</v>
      </c>
      <c r="B843" s="1">
        <v>842</v>
      </c>
      <c r="C843" s="1" t="s">
        <v>876</v>
      </c>
      <c r="D843">
        <f>IMAGE("https://raw.githubusercontent.com/stautonico/pokemon-home-pokedex/main/sprites/appletun.png", 2)</f>
        <v>0</v>
      </c>
      <c r="E843" s="29" t="s">
        <v>30</v>
      </c>
      <c r="F843" s="33" t="s">
        <v>16</v>
      </c>
    </row>
    <row r="844" spans="1:6" ht="72" customHeight="1">
      <c r="A844" s="1" t="s">
        <v>31</v>
      </c>
      <c r="B844" s="1">
        <v>843</v>
      </c>
      <c r="C844" s="1" t="s">
        <v>877</v>
      </c>
      <c r="D844">
        <f>IMAGE("https://raw.githubusercontent.com/stautonico/pokemon-home-pokedex/main/sprites/silicobra.png", 2)</f>
        <v>0</v>
      </c>
      <c r="E844" s="29" t="s">
        <v>30</v>
      </c>
      <c r="F844" s="4" t="s">
        <v>14</v>
      </c>
    </row>
    <row r="845" spans="1:6" ht="72" customHeight="1">
      <c r="A845" s="1" t="s">
        <v>31</v>
      </c>
      <c r="B845" s="1">
        <v>844</v>
      </c>
      <c r="C845" s="1" t="s">
        <v>878</v>
      </c>
      <c r="D845">
        <f>IMAGE("https://raw.githubusercontent.com/stautonico/pokemon-home-pokedex/main/sprites/sandaconda.png", 2)</f>
        <v>0</v>
      </c>
      <c r="E845" s="29" t="s">
        <v>30</v>
      </c>
      <c r="F845" s="4" t="s">
        <v>14</v>
      </c>
    </row>
    <row r="846" spans="1:6" ht="72" customHeight="1">
      <c r="A846" s="1" t="s">
        <v>31</v>
      </c>
      <c r="B846" s="1">
        <v>845</v>
      </c>
      <c r="C846" s="1" t="s">
        <v>879</v>
      </c>
      <c r="D846">
        <f>IMAGE("https://raw.githubusercontent.com/stautonico/pokemon-home-pokedex/main/sprites/cramorant.png", 2)</f>
        <v>0</v>
      </c>
      <c r="E846" s="4" t="s">
        <v>14</v>
      </c>
      <c r="F846" s="5"/>
    </row>
    <row r="847" spans="1:6" ht="72" customHeight="1">
      <c r="A847" s="1" t="s">
        <v>31</v>
      </c>
      <c r="B847" s="1">
        <v>846</v>
      </c>
      <c r="C847" s="1" t="s">
        <v>880</v>
      </c>
      <c r="D847">
        <f>IMAGE("https://raw.githubusercontent.com/stautonico/pokemon-home-pokedex/main/sprites/arrokuda.png", 2)</f>
        <v>0</v>
      </c>
      <c r="E847" s="29" t="s">
        <v>30</v>
      </c>
      <c r="F847" s="4" t="s">
        <v>14</v>
      </c>
    </row>
    <row r="848" spans="1:6" ht="72" customHeight="1">
      <c r="A848" s="1" t="s">
        <v>31</v>
      </c>
      <c r="B848" s="1">
        <v>847</v>
      </c>
      <c r="C848" s="1" t="s">
        <v>881</v>
      </c>
      <c r="D848">
        <f>IMAGE("https://raw.githubusercontent.com/stautonico/pokemon-home-pokedex/main/sprites/barraskewda.png", 2)</f>
        <v>0</v>
      </c>
      <c r="E848" s="29" t="s">
        <v>30</v>
      </c>
      <c r="F848" s="4" t="s">
        <v>14</v>
      </c>
    </row>
    <row r="849" spans="1:6" ht="72" customHeight="1">
      <c r="A849" s="1" t="s">
        <v>31</v>
      </c>
      <c r="B849" s="1">
        <v>848</v>
      </c>
      <c r="C849" s="1" t="s">
        <v>882</v>
      </c>
      <c r="D849">
        <f>IMAGE("https://raw.githubusercontent.com/stautonico/pokemon-home-pokedex/main/sprites/toxel.png", 2)</f>
        <v>0</v>
      </c>
      <c r="E849" s="29" t="s">
        <v>30</v>
      </c>
      <c r="F849" s="4" t="s">
        <v>14</v>
      </c>
    </row>
    <row r="850" spans="1:6" ht="72" customHeight="1">
      <c r="A850" s="1" t="s">
        <v>31</v>
      </c>
      <c r="B850" s="1">
        <v>849</v>
      </c>
      <c r="C850" s="1" t="s">
        <v>883</v>
      </c>
      <c r="D850">
        <f>IMAGE("https://raw.githubusercontent.com/stautonico/pokemon-home-pokedex/main/sprites/toxtricity.png", 2)</f>
        <v>0</v>
      </c>
      <c r="E850" s="29" t="s">
        <v>30</v>
      </c>
      <c r="F850" s="4" t="s">
        <v>14</v>
      </c>
    </row>
    <row r="851" spans="1:6" ht="72" customHeight="1">
      <c r="A851" s="1" t="s">
        <v>31</v>
      </c>
      <c r="B851" s="1">
        <v>850</v>
      </c>
      <c r="C851" s="1" t="s">
        <v>884</v>
      </c>
      <c r="D851">
        <f>IMAGE("https://raw.githubusercontent.com/stautonico/pokemon-home-pokedex/main/sprites/sizzlipede.png", 2)</f>
        <v>0</v>
      </c>
      <c r="E851" s="4" t="s">
        <v>14</v>
      </c>
      <c r="F851" s="5"/>
    </row>
    <row r="852" spans="1:6" ht="72" customHeight="1">
      <c r="A852" s="1" t="s">
        <v>31</v>
      </c>
      <c r="B852" s="1">
        <v>851</v>
      </c>
      <c r="C852" s="1" t="s">
        <v>885</v>
      </c>
      <c r="D852">
        <f>IMAGE("https://raw.githubusercontent.com/stautonico/pokemon-home-pokedex/main/sprites/centiskorch.png", 2)</f>
        <v>0</v>
      </c>
      <c r="E852" s="4" t="s">
        <v>14</v>
      </c>
      <c r="F852" s="5"/>
    </row>
    <row r="853" spans="1:6" ht="72" customHeight="1">
      <c r="A853" s="1" t="s">
        <v>31</v>
      </c>
      <c r="B853" s="1">
        <v>852</v>
      </c>
      <c r="C853" s="1" t="s">
        <v>886</v>
      </c>
      <c r="D853">
        <f>IMAGE("https://raw.githubusercontent.com/stautonico/pokemon-home-pokedex/main/sprites/clobbopus.png", 2)</f>
        <v>0</v>
      </c>
      <c r="E853" s="4" t="s">
        <v>14</v>
      </c>
      <c r="F853" s="5"/>
    </row>
    <row r="854" spans="1:6" ht="72" customHeight="1">
      <c r="A854" s="1" t="s">
        <v>31</v>
      </c>
      <c r="B854" s="1">
        <v>853</v>
      </c>
      <c r="C854" s="1" t="s">
        <v>887</v>
      </c>
      <c r="D854">
        <f>IMAGE("https://raw.githubusercontent.com/stautonico/pokemon-home-pokedex/main/sprites/grapploct.png", 2)</f>
        <v>0</v>
      </c>
      <c r="E854" s="4" t="s">
        <v>14</v>
      </c>
      <c r="F854" s="5"/>
    </row>
    <row r="855" spans="1:6" ht="72" customHeight="1">
      <c r="A855" s="1" t="s">
        <v>31</v>
      </c>
      <c r="B855" s="1">
        <v>854</v>
      </c>
      <c r="C855" s="1" t="s">
        <v>888</v>
      </c>
      <c r="D855">
        <f>IMAGE("https://raw.githubusercontent.com/stautonico/pokemon-home-pokedex/main/sprites/sinistea.png", 2)</f>
        <v>0</v>
      </c>
      <c r="E855" s="29" t="s">
        <v>30</v>
      </c>
      <c r="F855" s="4" t="s">
        <v>14</v>
      </c>
    </row>
    <row r="856" spans="1:6" ht="72" customHeight="1">
      <c r="A856" s="1" t="s">
        <v>31</v>
      </c>
      <c r="B856" s="1">
        <v>855</v>
      </c>
      <c r="C856" s="1" t="s">
        <v>889</v>
      </c>
      <c r="D856">
        <f>IMAGE("https://raw.githubusercontent.com/stautonico/pokemon-home-pokedex/main/sprites/polteageist.png", 2)</f>
        <v>0</v>
      </c>
      <c r="E856" s="29" t="s">
        <v>30</v>
      </c>
      <c r="F856" s="4" t="s">
        <v>14</v>
      </c>
    </row>
    <row r="857" spans="1:6" ht="72" customHeight="1">
      <c r="A857" s="1" t="s">
        <v>31</v>
      </c>
      <c r="B857" s="1">
        <v>856</v>
      </c>
      <c r="C857" s="1" t="s">
        <v>890</v>
      </c>
      <c r="D857">
        <f>IMAGE("https://raw.githubusercontent.com/stautonico/pokemon-home-pokedex/main/sprites/hatenna.png", 2)</f>
        <v>0</v>
      </c>
      <c r="E857" s="29" t="s">
        <v>30</v>
      </c>
      <c r="F857" s="4" t="s">
        <v>14</v>
      </c>
    </row>
    <row r="858" spans="1:6" ht="72" customHeight="1">
      <c r="A858" s="1" t="s">
        <v>31</v>
      </c>
      <c r="B858" s="1">
        <v>857</v>
      </c>
      <c r="C858" s="1" t="s">
        <v>891</v>
      </c>
      <c r="D858">
        <f>IMAGE("https://raw.githubusercontent.com/stautonico/pokemon-home-pokedex/main/sprites/hattrem.png", 2)</f>
        <v>0</v>
      </c>
      <c r="E858" s="29" t="s">
        <v>30</v>
      </c>
      <c r="F858" s="4" t="s">
        <v>14</v>
      </c>
    </row>
    <row r="859" spans="1:6" ht="72" customHeight="1">
      <c r="A859" s="1" t="s">
        <v>31</v>
      </c>
      <c r="B859" s="1">
        <v>858</v>
      </c>
      <c r="C859" s="1" t="s">
        <v>892</v>
      </c>
      <c r="D859">
        <f>IMAGE("https://raw.githubusercontent.com/stautonico/pokemon-home-pokedex/main/sprites/hatterene.png", 2)</f>
        <v>0</v>
      </c>
      <c r="E859" s="29" t="s">
        <v>30</v>
      </c>
      <c r="F859" s="4" t="s">
        <v>14</v>
      </c>
    </row>
    <row r="860" spans="1:6" ht="72" customHeight="1">
      <c r="A860" s="1" t="s">
        <v>31</v>
      </c>
      <c r="B860" s="1">
        <v>859</v>
      </c>
      <c r="C860" s="1" t="s">
        <v>893</v>
      </c>
      <c r="D860">
        <f>IMAGE("https://raw.githubusercontent.com/stautonico/pokemon-home-pokedex/main/sprites/impidimp.png", 2)</f>
        <v>0</v>
      </c>
      <c r="E860" s="29" t="s">
        <v>30</v>
      </c>
      <c r="F860" s="4" t="s">
        <v>14</v>
      </c>
    </row>
    <row r="861" spans="1:6" ht="72" customHeight="1">
      <c r="A861" s="1" t="s">
        <v>31</v>
      </c>
      <c r="B861" s="1">
        <v>860</v>
      </c>
      <c r="C861" s="1" t="s">
        <v>894</v>
      </c>
      <c r="D861">
        <f>IMAGE("https://raw.githubusercontent.com/stautonico/pokemon-home-pokedex/main/sprites/morgrem.png", 2)</f>
        <v>0</v>
      </c>
      <c r="E861" s="29" t="s">
        <v>30</v>
      </c>
      <c r="F861" s="4" t="s">
        <v>14</v>
      </c>
    </row>
    <row r="862" spans="1:6" ht="72" customHeight="1">
      <c r="A862" s="1" t="s">
        <v>31</v>
      </c>
      <c r="B862" s="1">
        <v>861</v>
      </c>
      <c r="C862" s="1" t="s">
        <v>895</v>
      </c>
      <c r="D862">
        <f>IMAGE("https://raw.githubusercontent.com/stautonico/pokemon-home-pokedex/main/sprites/grimmsnarl.png", 2)</f>
        <v>0</v>
      </c>
      <c r="E862" s="29" t="s">
        <v>30</v>
      </c>
      <c r="F862" s="4" t="s">
        <v>14</v>
      </c>
    </row>
    <row r="863" spans="1:6" ht="72" customHeight="1">
      <c r="A863" s="1" t="s">
        <v>31</v>
      </c>
      <c r="B863" s="1">
        <v>862</v>
      </c>
      <c r="C863" s="1" t="s">
        <v>896</v>
      </c>
      <c r="D863">
        <f>IMAGE("https://raw.githubusercontent.com/stautonico/pokemon-home-pokedex/main/sprites/obstagoon.png", 2)</f>
        <v>0</v>
      </c>
      <c r="E863" s="4" t="s">
        <v>14</v>
      </c>
      <c r="F863" s="5"/>
    </row>
    <row r="864" spans="1:6" ht="72" customHeight="1">
      <c r="A864" s="1" t="s">
        <v>31</v>
      </c>
      <c r="B864" s="1">
        <v>863</v>
      </c>
      <c r="C864" s="1" t="s">
        <v>897</v>
      </c>
      <c r="D864">
        <f>IMAGE("https://raw.githubusercontent.com/stautonico/pokemon-home-pokedex/main/sprites/perrserker.png", 2)</f>
        <v>0</v>
      </c>
      <c r="E864" s="4" t="s">
        <v>14</v>
      </c>
      <c r="F864" s="5"/>
    </row>
    <row r="865" spans="1:6" ht="72" customHeight="1">
      <c r="A865" s="1" t="s">
        <v>31</v>
      </c>
      <c r="B865" s="1">
        <v>864</v>
      </c>
      <c r="C865" s="1" t="s">
        <v>898</v>
      </c>
      <c r="D865">
        <f>IMAGE("https://raw.githubusercontent.com/stautonico/pokemon-home-pokedex/main/sprites/cursola.png", 2)</f>
        <v>0</v>
      </c>
      <c r="E865" s="33" t="s">
        <v>16</v>
      </c>
      <c r="F865" s="5"/>
    </row>
    <row r="866" spans="1:6" ht="72" customHeight="1">
      <c r="A866" s="1" t="s">
        <v>31</v>
      </c>
      <c r="B866" s="1">
        <v>865</v>
      </c>
      <c r="C866" s="1" t="s">
        <v>899</v>
      </c>
      <c r="D866">
        <f>IMAGE("https://raw.githubusercontent.com/stautonico/pokemon-home-pokedex/main/sprites/sirfetchd.png", 2)</f>
        <v>0</v>
      </c>
      <c r="E866" s="35" t="s">
        <v>15</v>
      </c>
      <c r="F866" s="5"/>
    </row>
    <row r="867" spans="1:6" ht="72" customHeight="1">
      <c r="A867" s="1" t="s">
        <v>31</v>
      </c>
      <c r="B867" s="1">
        <v>866</v>
      </c>
      <c r="C867" s="1" t="s">
        <v>900</v>
      </c>
      <c r="D867">
        <f>IMAGE("https://raw.githubusercontent.com/stautonico/pokemon-home-pokedex/main/sprites/mrrime.png", 2)</f>
        <v>0</v>
      </c>
      <c r="E867" s="4" t="s">
        <v>14</v>
      </c>
      <c r="F867" s="5"/>
    </row>
    <row r="868" spans="1:6" ht="72" customHeight="1">
      <c r="A868" s="1" t="s">
        <v>31</v>
      </c>
      <c r="B868" s="1">
        <v>867</v>
      </c>
      <c r="C868" s="1" t="s">
        <v>901</v>
      </c>
      <c r="D868">
        <f>IMAGE("https://raw.githubusercontent.com/stautonico/pokemon-home-pokedex/main/sprites/runerigus.png", 2)</f>
        <v>0</v>
      </c>
      <c r="E868" s="4" t="s">
        <v>14</v>
      </c>
      <c r="F868" s="5"/>
    </row>
    <row r="869" spans="1:6" ht="72" customHeight="1">
      <c r="A869" s="1" t="s">
        <v>31</v>
      </c>
      <c r="B869" s="1">
        <v>868</v>
      </c>
      <c r="C869" s="1" t="s">
        <v>902</v>
      </c>
      <c r="D869">
        <f>IMAGE("https://raw.githubusercontent.com/stautonico/pokemon-home-pokedex/main/sprites/milcery.png", 2)</f>
        <v>0</v>
      </c>
      <c r="E869" s="4" t="s">
        <v>14</v>
      </c>
      <c r="F869" s="5"/>
    </row>
    <row r="870" spans="1:6" ht="72" customHeight="1">
      <c r="A870" s="1" t="s">
        <v>31</v>
      </c>
      <c r="B870" s="1">
        <v>869</v>
      </c>
      <c r="C870" s="1" t="s">
        <v>903</v>
      </c>
      <c r="D870">
        <f>IMAGE("https://raw.githubusercontent.com/stautonico/pokemon-home-pokedex/main/sprites/alcremie.png", 2)</f>
        <v>0</v>
      </c>
      <c r="E870" s="4" t="s">
        <v>14</v>
      </c>
      <c r="F870" s="5"/>
    </row>
    <row r="871" spans="1:6" ht="72" customHeight="1">
      <c r="A871" s="1" t="s">
        <v>31</v>
      </c>
      <c r="B871" s="1">
        <v>870</v>
      </c>
      <c r="C871" s="1" t="s">
        <v>904</v>
      </c>
      <c r="D871">
        <f>IMAGE("https://raw.githubusercontent.com/stautonico/pokemon-home-pokedex/main/sprites/falinks.png", 2)</f>
        <v>0</v>
      </c>
      <c r="E871" s="29" t="s">
        <v>30</v>
      </c>
      <c r="F871" s="4" t="s">
        <v>14</v>
      </c>
    </row>
    <row r="872" spans="1:6" ht="72" customHeight="1">
      <c r="A872" s="1" t="s">
        <v>31</v>
      </c>
      <c r="B872" s="1">
        <v>871</v>
      </c>
      <c r="C872" s="1" t="s">
        <v>905</v>
      </c>
      <c r="D872">
        <f>IMAGE("https://raw.githubusercontent.com/stautonico/pokemon-home-pokedex/main/sprites/pincurchin.png", 2)</f>
        <v>0</v>
      </c>
      <c r="E872" s="29" t="s">
        <v>30</v>
      </c>
      <c r="F872" s="4" t="s">
        <v>14</v>
      </c>
    </row>
    <row r="873" spans="1:6" ht="72" customHeight="1">
      <c r="A873" s="1" t="s">
        <v>31</v>
      </c>
      <c r="B873" s="1">
        <v>872</v>
      </c>
      <c r="C873" s="1" t="s">
        <v>906</v>
      </c>
      <c r="D873">
        <f>IMAGE("https://raw.githubusercontent.com/stautonico/pokemon-home-pokedex/main/sprites/snom.png", 2)</f>
        <v>0</v>
      </c>
      <c r="E873" s="29" t="s">
        <v>30</v>
      </c>
      <c r="F873" s="4" t="s">
        <v>14</v>
      </c>
    </row>
    <row r="874" spans="1:6" ht="72" customHeight="1">
      <c r="A874" s="1" t="s">
        <v>31</v>
      </c>
      <c r="B874" s="1">
        <v>873</v>
      </c>
      <c r="C874" s="1" t="s">
        <v>907</v>
      </c>
      <c r="D874">
        <f>IMAGE("https://raw.githubusercontent.com/stautonico/pokemon-home-pokedex/main/sprites/frosmoth.png", 2)</f>
        <v>0</v>
      </c>
      <c r="E874" s="29" t="s">
        <v>30</v>
      </c>
      <c r="F874" s="4" t="s">
        <v>14</v>
      </c>
    </row>
    <row r="875" spans="1:6" ht="72" customHeight="1">
      <c r="A875" s="1" t="s">
        <v>31</v>
      </c>
      <c r="B875" s="1">
        <v>874</v>
      </c>
      <c r="C875" s="1" t="s">
        <v>908</v>
      </c>
      <c r="D875">
        <f>IMAGE("https://raw.githubusercontent.com/stautonico/pokemon-home-pokedex/main/sprites/stonjourner.png", 2)</f>
        <v>0</v>
      </c>
      <c r="E875" s="38" t="s">
        <v>28</v>
      </c>
      <c r="F875" s="35" t="s">
        <v>15</v>
      </c>
    </row>
    <row r="876" spans="1:6" ht="72" customHeight="1">
      <c r="A876" s="1" t="s">
        <v>31</v>
      </c>
      <c r="B876" s="1">
        <v>875</v>
      </c>
      <c r="C876" s="1" t="s">
        <v>909</v>
      </c>
      <c r="D876">
        <f>IMAGE("https://raw.githubusercontent.com/stautonico/pokemon-home-pokedex/main/sprites/eiscue.png", 2)</f>
        <v>0</v>
      </c>
      <c r="E876" s="37" t="s">
        <v>29</v>
      </c>
      <c r="F876" s="33" t="s">
        <v>16</v>
      </c>
    </row>
    <row r="877" spans="1:6" ht="72" customHeight="1">
      <c r="A877" s="1" t="s">
        <v>31</v>
      </c>
      <c r="B877" s="1">
        <v>876</v>
      </c>
      <c r="C877" s="1" t="s">
        <v>910</v>
      </c>
      <c r="D877">
        <f>IMAGE("https://raw.githubusercontent.com/stautonico/pokemon-home-pokedex/main/sprites/indeedee.png", 2)</f>
        <v>0</v>
      </c>
      <c r="E877" s="29" t="s">
        <v>30</v>
      </c>
      <c r="F877" s="4" t="s">
        <v>14</v>
      </c>
    </row>
    <row r="878" spans="1:6" ht="72" customHeight="1">
      <c r="A878" s="1" t="s">
        <v>31</v>
      </c>
      <c r="B878" s="1">
        <v>877</v>
      </c>
      <c r="C878" s="1" t="s">
        <v>911</v>
      </c>
      <c r="D878">
        <f>IMAGE("https://raw.githubusercontent.com/stautonico/pokemon-home-pokedex/main/sprites/morpeko.png", 2)</f>
        <v>0</v>
      </c>
      <c r="E878" s="4" t="s">
        <v>14</v>
      </c>
      <c r="F878" s="5"/>
    </row>
    <row r="879" spans="1:6" ht="72" customHeight="1">
      <c r="A879" s="1" t="s">
        <v>31</v>
      </c>
      <c r="B879" s="1">
        <v>878</v>
      </c>
      <c r="C879" s="1" t="s">
        <v>912</v>
      </c>
      <c r="D879">
        <f>IMAGE("https://raw.githubusercontent.com/stautonico/pokemon-home-pokedex/main/sprites/cufant.png", 2)</f>
        <v>0</v>
      </c>
      <c r="E879" s="29" t="s">
        <v>30</v>
      </c>
      <c r="F879" s="4" t="s">
        <v>14</v>
      </c>
    </row>
    <row r="880" spans="1:6" ht="72" customHeight="1">
      <c r="A880" s="1" t="s">
        <v>31</v>
      </c>
      <c r="B880" s="1">
        <v>879</v>
      </c>
      <c r="C880" s="1" t="s">
        <v>913</v>
      </c>
      <c r="D880">
        <f>IMAGE("https://raw.githubusercontent.com/stautonico/pokemon-home-pokedex/main/sprites/copperajah.png", 2)</f>
        <v>0</v>
      </c>
      <c r="E880" s="29" t="s">
        <v>30</v>
      </c>
      <c r="F880" s="4" t="s">
        <v>14</v>
      </c>
    </row>
    <row r="881" spans="1:6" ht="72" customHeight="1">
      <c r="A881" s="1" t="s">
        <v>31</v>
      </c>
      <c r="B881" s="1">
        <v>880</v>
      </c>
      <c r="C881" s="1" t="s">
        <v>914</v>
      </c>
      <c r="D881">
        <f>IMAGE("https://raw.githubusercontent.com/stautonico/pokemon-home-pokedex/main/sprites/dracozolt.png", 2)</f>
        <v>0</v>
      </c>
      <c r="E881" s="4" t="s">
        <v>14</v>
      </c>
      <c r="F881" s="5"/>
    </row>
    <row r="882" spans="1:6" ht="72" customHeight="1">
      <c r="A882" s="1" t="s">
        <v>31</v>
      </c>
      <c r="B882" s="1">
        <v>881</v>
      </c>
      <c r="C882" s="1" t="s">
        <v>915</v>
      </c>
      <c r="D882">
        <f>IMAGE("https://raw.githubusercontent.com/stautonico/pokemon-home-pokedex/main/sprites/arctozolt.png", 2)</f>
        <v>0</v>
      </c>
      <c r="E882" s="4" t="s">
        <v>14</v>
      </c>
      <c r="F882" s="5"/>
    </row>
    <row r="883" spans="1:6" ht="72" customHeight="1">
      <c r="A883" s="1" t="s">
        <v>31</v>
      </c>
      <c r="B883" s="1">
        <v>882</v>
      </c>
      <c r="C883" s="1" t="s">
        <v>916</v>
      </c>
      <c r="D883">
        <f>IMAGE("https://raw.githubusercontent.com/stautonico/pokemon-home-pokedex/main/sprites/dracovish.png", 2)</f>
        <v>0</v>
      </c>
      <c r="E883" s="4" t="s">
        <v>14</v>
      </c>
      <c r="F883" s="5"/>
    </row>
    <row r="884" spans="1:6" ht="72" customHeight="1">
      <c r="A884" s="1" t="s">
        <v>31</v>
      </c>
      <c r="B884" s="1">
        <v>883</v>
      </c>
      <c r="C884" s="1" t="s">
        <v>917</v>
      </c>
      <c r="D884">
        <f>IMAGE("https://raw.githubusercontent.com/stautonico/pokemon-home-pokedex/main/sprites/arctovish.png", 2)</f>
        <v>0</v>
      </c>
      <c r="E884" s="4" t="s">
        <v>14</v>
      </c>
      <c r="F884" s="5"/>
    </row>
    <row r="885" spans="1:6" ht="72" customHeight="1">
      <c r="A885" s="1" t="s">
        <v>31</v>
      </c>
      <c r="B885" s="1">
        <v>884</v>
      </c>
      <c r="C885" s="1" t="s">
        <v>918</v>
      </c>
      <c r="D885">
        <f>IMAGE("https://raw.githubusercontent.com/stautonico/pokemon-home-pokedex/main/sprites/duraludon.png", 2)</f>
        <v>0</v>
      </c>
      <c r="E885" s="4" t="s">
        <v>14</v>
      </c>
      <c r="F885" s="5"/>
    </row>
    <row r="886" spans="1:6" ht="72" customHeight="1">
      <c r="A886" s="1" t="s">
        <v>31</v>
      </c>
      <c r="B886" s="1">
        <v>885</v>
      </c>
      <c r="C886" s="1" t="s">
        <v>919</v>
      </c>
      <c r="D886">
        <f>IMAGE("https://raw.githubusercontent.com/stautonico/pokemon-home-pokedex/main/sprites/dreepy.png", 2)</f>
        <v>0</v>
      </c>
      <c r="E886" s="37" t="s">
        <v>29</v>
      </c>
      <c r="F886" s="4" t="s">
        <v>14</v>
      </c>
    </row>
    <row r="887" spans="1:6" ht="72" customHeight="1">
      <c r="A887" s="1" t="s">
        <v>31</v>
      </c>
      <c r="B887" s="1">
        <v>886</v>
      </c>
      <c r="C887" s="1" t="s">
        <v>920</v>
      </c>
      <c r="D887">
        <f>IMAGE("https://raw.githubusercontent.com/stautonico/pokemon-home-pokedex/main/sprites/drakloak.png", 2)</f>
        <v>0</v>
      </c>
      <c r="E887" s="37" t="s">
        <v>29</v>
      </c>
      <c r="F887" s="4" t="s">
        <v>14</v>
      </c>
    </row>
    <row r="888" spans="1:6" ht="72" customHeight="1">
      <c r="A888" s="1" t="s">
        <v>31</v>
      </c>
      <c r="B888" s="1">
        <v>887</v>
      </c>
      <c r="C888" s="1" t="s">
        <v>921</v>
      </c>
      <c r="D888">
        <f>IMAGE("https://raw.githubusercontent.com/stautonico/pokemon-home-pokedex/main/sprites/dragapult.png", 2)</f>
        <v>0</v>
      </c>
      <c r="E888" s="37" t="s">
        <v>29</v>
      </c>
      <c r="F888" s="4" t="s">
        <v>14</v>
      </c>
    </row>
    <row r="889" spans="1:6" ht="72" customHeight="1">
      <c r="A889" s="1" t="s">
        <v>31</v>
      </c>
      <c r="B889" s="1">
        <v>888</v>
      </c>
      <c r="C889" s="1" t="s">
        <v>922</v>
      </c>
      <c r="D889">
        <f>IMAGE("https://raw.githubusercontent.com/stautonico/pokemon-home-pokedex/main/sprites/zacian.png", 2)</f>
        <v>0</v>
      </c>
      <c r="E889" s="35" t="s">
        <v>15</v>
      </c>
      <c r="F889" s="5"/>
    </row>
    <row r="890" spans="1:6" ht="72" customHeight="1">
      <c r="A890" s="1" t="s">
        <v>31</v>
      </c>
      <c r="B890" s="1">
        <v>889</v>
      </c>
      <c r="C890" s="1" t="s">
        <v>923</v>
      </c>
      <c r="D890">
        <f>IMAGE("https://raw.githubusercontent.com/stautonico/pokemon-home-pokedex/main/sprites/zamazenta.png", 2)</f>
        <v>0</v>
      </c>
      <c r="E890" s="33" t="s">
        <v>16</v>
      </c>
      <c r="F890" s="5"/>
    </row>
    <row r="891" spans="1:6" ht="72" customHeight="1">
      <c r="A891" s="1" t="s">
        <v>31</v>
      </c>
      <c r="B891" s="1">
        <v>890</v>
      </c>
      <c r="C891" s="1" t="s">
        <v>924</v>
      </c>
      <c r="D891">
        <f>IMAGE("https://raw.githubusercontent.com/stautonico/pokemon-home-pokedex/main/sprites/eternatus.png", 2)</f>
        <v>0</v>
      </c>
      <c r="E891" s="4" t="s">
        <v>14</v>
      </c>
      <c r="F891" s="5"/>
    </row>
    <row r="892" spans="1:6" ht="72" customHeight="1">
      <c r="A892" s="1" t="s">
        <v>31</v>
      </c>
      <c r="B892" s="1">
        <v>891</v>
      </c>
      <c r="C892" s="1" t="s">
        <v>925</v>
      </c>
      <c r="D892">
        <f>IMAGE("https://raw.githubusercontent.com/stautonico/pokemon-home-pokedex/main/sprites/kubfu.png", 2)</f>
        <v>0</v>
      </c>
      <c r="E892" s="3" t="s">
        <v>12</v>
      </c>
      <c r="F892" s="5"/>
    </row>
    <row r="893" spans="1:6" ht="72" customHeight="1">
      <c r="A893" s="1" t="s">
        <v>31</v>
      </c>
      <c r="B893" s="1">
        <v>892</v>
      </c>
      <c r="C893" s="1" t="s">
        <v>926</v>
      </c>
      <c r="D893">
        <f>IMAGE("https://raw.githubusercontent.com/stautonico/pokemon-home-pokedex/main/sprites/urshifu.png", 2)</f>
        <v>0</v>
      </c>
      <c r="E893" s="3" t="s">
        <v>12</v>
      </c>
      <c r="F893" s="5"/>
    </row>
    <row r="894" spans="1:6" ht="72" customHeight="1">
      <c r="A894" s="1" t="s">
        <v>31</v>
      </c>
      <c r="B894" s="1">
        <v>893</v>
      </c>
      <c r="C894" s="1" t="s">
        <v>927</v>
      </c>
      <c r="D894">
        <f>IMAGE("https://raw.githubusercontent.com/stautonico/pokemon-home-pokedex/main/sprites/zarude.png", 2)</f>
        <v>0</v>
      </c>
      <c r="E894" s="39" t="s">
        <v>25</v>
      </c>
      <c r="F894" s="5"/>
    </row>
    <row r="895" spans="1:6" ht="72" customHeight="1">
      <c r="A895" s="1" t="s">
        <v>31</v>
      </c>
      <c r="B895" s="1">
        <v>894</v>
      </c>
      <c r="C895" s="1" t="s">
        <v>928</v>
      </c>
      <c r="D895">
        <f>IMAGE("https://raw.githubusercontent.com/stautonico/pokemon-home-pokedex/main/sprites/regieleki.png", 2)</f>
        <v>0</v>
      </c>
      <c r="E895" s="45" t="s">
        <v>13</v>
      </c>
      <c r="F895" s="5"/>
    </row>
    <row r="896" spans="1:6" ht="72" customHeight="1">
      <c r="A896" s="1" t="s">
        <v>31</v>
      </c>
      <c r="B896" s="1">
        <v>895</v>
      </c>
      <c r="C896" s="1" t="s">
        <v>929</v>
      </c>
      <c r="D896">
        <f>IMAGE("https://raw.githubusercontent.com/stautonico/pokemon-home-pokedex/main/sprites/regidrago.png", 2)</f>
        <v>0</v>
      </c>
      <c r="E896" s="45" t="s">
        <v>13</v>
      </c>
      <c r="F896" s="5"/>
    </row>
    <row r="897" spans="1:6" ht="72" customHeight="1">
      <c r="A897" s="1" t="s">
        <v>31</v>
      </c>
      <c r="B897" s="1">
        <v>896</v>
      </c>
      <c r="C897" s="1" t="s">
        <v>930</v>
      </c>
      <c r="D897">
        <f>IMAGE("https://raw.githubusercontent.com/stautonico/pokemon-home-pokedex/main/sprites/glastrier.png", 2)</f>
        <v>0</v>
      </c>
      <c r="E897" s="45" t="s">
        <v>13</v>
      </c>
      <c r="F897" s="5"/>
    </row>
    <row r="898" spans="1:6" ht="72" customHeight="1">
      <c r="A898" s="1" t="s">
        <v>31</v>
      </c>
      <c r="B898" s="1">
        <v>897</v>
      </c>
      <c r="C898" s="1" t="s">
        <v>931</v>
      </c>
      <c r="D898">
        <f>IMAGE("https://raw.githubusercontent.com/stautonico/pokemon-home-pokedex/main/sprites/spectrier.png", 2)</f>
        <v>0</v>
      </c>
      <c r="E898" s="45" t="s">
        <v>13</v>
      </c>
      <c r="F898" s="5"/>
    </row>
    <row r="899" spans="1:6" ht="72" customHeight="1">
      <c r="A899" s="1" t="s">
        <v>31</v>
      </c>
      <c r="B899" s="1">
        <v>898</v>
      </c>
      <c r="C899" s="1" t="s">
        <v>932</v>
      </c>
      <c r="D899">
        <f>IMAGE("https://raw.githubusercontent.com/stautonico/pokemon-home-pokedex/main/sprites/calyrex.png", 2)</f>
        <v>0</v>
      </c>
      <c r="E899" s="45" t="s">
        <v>13</v>
      </c>
      <c r="F899" s="5"/>
    </row>
    <row r="900" spans="1:6" ht="72" customHeight="1">
      <c r="A900" s="1" t="s">
        <v>31</v>
      </c>
      <c r="B900" s="1">
        <v>899</v>
      </c>
      <c r="C900" s="1" t="s">
        <v>933</v>
      </c>
      <c r="D900">
        <f>IMAGE("https://raw.githubusercontent.com/stautonico/pokemon-home-pokedex/main/sprites/wyrdeer.png", 2)</f>
        <v>0</v>
      </c>
      <c r="E900" s="46" t="s">
        <v>27</v>
      </c>
      <c r="F900" s="5"/>
    </row>
    <row r="901" spans="1:6" ht="72" customHeight="1">
      <c r="A901" s="1" t="s">
        <v>31</v>
      </c>
      <c r="B901" s="1">
        <v>900</v>
      </c>
      <c r="C901" s="1" t="s">
        <v>934</v>
      </c>
      <c r="D901">
        <f>IMAGE("https://raw.githubusercontent.com/stautonico/pokemon-home-pokedex/main/sprites/kleavor.png", 2)</f>
        <v>0</v>
      </c>
      <c r="E901" s="46" t="s">
        <v>27</v>
      </c>
      <c r="F901" s="5"/>
    </row>
    <row r="902" spans="1:6" ht="72" customHeight="1">
      <c r="A902" s="1" t="s">
        <v>31</v>
      </c>
      <c r="B902" s="1">
        <v>901</v>
      </c>
      <c r="C902" s="1" t="s">
        <v>935</v>
      </c>
      <c r="D902">
        <f>IMAGE("https://raw.githubusercontent.com/stautonico/pokemon-home-pokedex/main/sprites/ursaluna.png", 2)</f>
        <v>0</v>
      </c>
      <c r="E902" s="46" t="s">
        <v>27</v>
      </c>
      <c r="F902" s="5"/>
    </row>
    <row r="903" spans="1:6" ht="72" customHeight="1">
      <c r="A903" s="1" t="s">
        <v>31</v>
      </c>
      <c r="B903" s="1">
        <v>902</v>
      </c>
      <c r="C903" s="1" t="s">
        <v>936</v>
      </c>
      <c r="D903">
        <f>IMAGE("https://raw.githubusercontent.com/stautonico/pokemon-home-pokedex/main/sprites/basculegion.png", 2)</f>
        <v>0</v>
      </c>
      <c r="E903" s="46" t="s">
        <v>27</v>
      </c>
      <c r="F903" s="5"/>
    </row>
    <row r="904" spans="1:6" ht="72" customHeight="1">
      <c r="A904" s="1" t="s">
        <v>31</v>
      </c>
      <c r="B904" s="1">
        <v>903</v>
      </c>
      <c r="C904" s="1" t="s">
        <v>937</v>
      </c>
      <c r="D904">
        <f>IMAGE("https://raw.githubusercontent.com/stautonico/pokemon-home-pokedex/main/sprites/sneasler.png", 2)</f>
        <v>0</v>
      </c>
      <c r="E904" s="46" t="s">
        <v>27</v>
      </c>
      <c r="F904" s="5"/>
    </row>
    <row r="905" spans="1:6" ht="72" customHeight="1">
      <c r="A905" s="1" t="s">
        <v>31</v>
      </c>
      <c r="B905" s="1">
        <v>904</v>
      </c>
      <c r="C905" s="1" t="s">
        <v>938</v>
      </c>
      <c r="D905">
        <f>IMAGE("https://raw.githubusercontent.com/stautonico/pokemon-home-pokedex/main/sprites/overqwil.png", 2)</f>
        <v>0</v>
      </c>
      <c r="E905" s="46" t="s">
        <v>27</v>
      </c>
      <c r="F905" s="5"/>
    </row>
    <row r="906" spans="1:6" ht="72" customHeight="1">
      <c r="A906" s="1" t="s">
        <v>31</v>
      </c>
      <c r="B906" s="1">
        <v>905</v>
      </c>
      <c r="C906" s="1" t="s">
        <v>939</v>
      </c>
      <c r="D906">
        <f>IMAGE("https://raw.githubusercontent.com/stautonico/pokemon-home-pokedex/main/sprites/enamorus.png", 2)</f>
        <v>0</v>
      </c>
      <c r="E906" s="46" t="s">
        <v>27</v>
      </c>
      <c r="F906" s="5"/>
    </row>
    <row r="907" spans="1:6" ht="72" customHeight="1">
      <c r="A907" s="1" t="s">
        <v>31</v>
      </c>
      <c r="B907" s="1">
        <v>906</v>
      </c>
      <c r="C907" s="1" t="s">
        <v>940</v>
      </c>
      <c r="D907">
        <f>IMAGE("https://raw.githubusercontent.com/stautonico/pokemon-home-pokedex/main/sprites/sprigatito.png", 2)</f>
        <v>0</v>
      </c>
      <c r="E907" s="29" t="s">
        <v>30</v>
      </c>
      <c r="F907" s="5"/>
    </row>
    <row r="908" spans="1:6" ht="72" customHeight="1">
      <c r="A908" s="1" t="s">
        <v>31</v>
      </c>
      <c r="B908" s="1">
        <v>907</v>
      </c>
      <c r="C908" s="1" t="s">
        <v>941</v>
      </c>
      <c r="D908">
        <f>IMAGE("https://raw.githubusercontent.com/stautonico/pokemon-home-pokedex/main/sprites/floragato.png", 2)</f>
        <v>0</v>
      </c>
      <c r="E908" s="29" t="s">
        <v>30</v>
      </c>
      <c r="F908" s="5"/>
    </row>
    <row r="909" spans="1:6" ht="72" customHeight="1">
      <c r="A909" s="1" t="s">
        <v>31</v>
      </c>
      <c r="B909" s="1">
        <v>908</v>
      </c>
      <c r="C909" s="1" t="s">
        <v>942</v>
      </c>
      <c r="D909">
        <f>IMAGE("https://raw.githubusercontent.com/stautonico/pokemon-home-pokedex/main/sprites/meowscarada.png", 2)</f>
        <v>0</v>
      </c>
      <c r="E909" s="29" t="s">
        <v>30</v>
      </c>
      <c r="F909" s="5"/>
    </row>
    <row r="910" spans="1:6" ht="72" customHeight="1">
      <c r="A910" s="1" t="s">
        <v>31</v>
      </c>
      <c r="B910" s="1">
        <v>909</v>
      </c>
      <c r="C910" s="1" t="s">
        <v>943</v>
      </c>
      <c r="D910">
        <f>IMAGE("https://raw.githubusercontent.com/stautonico/pokemon-home-pokedex/main/sprites/fuecoco.png", 2)</f>
        <v>0</v>
      </c>
      <c r="E910" s="29" t="s">
        <v>30</v>
      </c>
      <c r="F910" s="5"/>
    </row>
    <row r="911" spans="1:6" ht="72" customHeight="1">
      <c r="A911" s="1" t="s">
        <v>31</v>
      </c>
      <c r="B911" s="1">
        <v>910</v>
      </c>
      <c r="C911" s="1" t="s">
        <v>944</v>
      </c>
      <c r="D911">
        <f>IMAGE("https://raw.githubusercontent.com/stautonico/pokemon-home-pokedex/main/sprites/crocalor.png", 2)</f>
        <v>0</v>
      </c>
      <c r="E911" s="29" t="s">
        <v>30</v>
      </c>
      <c r="F911" s="5"/>
    </row>
    <row r="912" spans="1:6" ht="72" customHeight="1">
      <c r="A912" s="1" t="s">
        <v>31</v>
      </c>
      <c r="B912" s="1">
        <v>911</v>
      </c>
      <c r="C912" s="1" t="s">
        <v>945</v>
      </c>
      <c r="D912">
        <f>IMAGE("https://raw.githubusercontent.com/stautonico/pokemon-home-pokedex/main/sprites/skeledirge.png", 2)</f>
        <v>0</v>
      </c>
      <c r="E912" s="29" t="s">
        <v>30</v>
      </c>
      <c r="F912" s="5"/>
    </row>
    <row r="913" spans="1:6" ht="72" customHeight="1">
      <c r="A913" s="1" t="s">
        <v>31</v>
      </c>
      <c r="B913" s="1">
        <v>912</v>
      </c>
      <c r="C913" s="1" t="s">
        <v>946</v>
      </c>
      <c r="D913">
        <f>IMAGE("https://raw.githubusercontent.com/stautonico/pokemon-home-pokedex/main/sprites/quaxly.png", 2)</f>
        <v>0</v>
      </c>
      <c r="E913" s="29" t="s">
        <v>30</v>
      </c>
      <c r="F913" s="5"/>
    </row>
    <row r="914" spans="1:6" ht="72" customHeight="1">
      <c r="A914" s="1" t="s">
        <v>31</v>
      </c>
      <c r="B914" s="1">
        <v>913</v>
      </c>
      <c r="C914" s="1" t="s">
        <v>947</v>
      </c>
      <c r="D914">
        <f>IMAGE("https://raw.githubusercontent.com/stautonico/pokemon-home-pokedex/main/sprites/quaxwell.png", 2)</f>
        <v>0</v>
      </c>
      <c r="E914" s="29" t="s">
        <v>30</v>
      </c>
      <c r="F914" s="5"/>
    </row>
    <row r="915" spans="1:6" ht="72" customHeight="1">
      <c r="A915" s="1" t="s">
        <v>31</v>
      </c>
      <c r="B915" s="1">
        <v>914</v>
      </c>
      <c r="C915" s="1" t="s">
        <v>948</v>
      </c>
      <c r="D915">
        <f>IMAGE("https://raw.githubusercontent.com/stautonico/pokemon-home-pokedex/main/sprites/quaquaval.png", 2)</f>
        <v>0</v>
      </c>
      <c r="E915" s="29" t="s">
        <v>30</v>
      </c>
      <c r="F915" s="5"/>
    </row>
    <row r="916" spans="1:6" ht="72" customHeight="1">
      <c r="A916" s="1" t="s">
        <v>31</v>
      </c>
      <c r="B916" s="1">
        <v>915</v>
      </c>
      <c r="C916" s="1" t="s">
        <v>949</v>
      </c>
      <c r="D916">
        <f>IMAGE("https://raw.githubusercontent.com/stautonico/pokemon-home-pokedex/main/sprites/lechonk.png", 2)</f>
        <v>0</v>
      </c>
      <c r="E916" s="29" t="s">
        <v>30</v>
      </c>
      <c r="F916" s="5"/>
    </row>
    <row r="917" spans="1:6" ht="72" customHeight="1">
      <c r="A917" s="1" t="s">
        <v>31</v>
      </c>
      <c r="B917" s="1">
        <v>916</v>
      </c>
      <c r="C917" s="1" t="s">
        <v>950</v>
      </c>
      <c r="D917">
        <f>IMAGE("https://raw.githubusercontent.com/stautonico/pokemon-home-pokedex/main/sprites/oinkologne.png", 2)</f>
        <v>0</v>
      </c>
      <c r="E917" s="29" t="s">
        <v>30</v>
      </c>
      <c r="F917" s="5"/>
    </row>
    <row r="918" spans="1:6" ht="72" customHeight="1">
      <c r="A918" s="1" t="s">
        <v>31</v>
      </c>
      <c r="B918" s="1">
        <v>917</v>
      </c>
      <c r="C918" s="1" t="s">
        <v>951</v>
      </c>
      <c r="D918">
        <f>IMAGE("https://raw.githubusercontent.com/stautonico/pokemon-home-pokedex/main/sprites/tarountula.png", 2)</f>
        <v>0</v>
      </c>
      <c r="E918" s="29" t="s">
        <v>30</v>
      </c>
      <c r="F918" s="5"/>
    </row>
    <row r="919" spans="1:6" ht="72" customHeight="1">
      <c r="A919" s="1" t="s">
        <v>31</v>
      </c>
      <c r="B919" s="1">
        <v>918</v>
      </c>
      <c r="C919" s="1" t="s">
        <v>952</v>
      </c>
      <c r="D919">
        <f>IMAGE("https://raw.githubusercontent.com/stautonico/pokemon-home-pokedex/main/sprites/spidops.png", 2)</f>
        <v>0</v>
      </c>
      <c r="E919" s="29" t="s">
        <v>30</v>
      </c>
      <c r="F919" s="5"/>
    </row>
    <row r="920" spans="1:6" ht="72" customHeight="1">
      <c r="A920" s="1" t="s">
        <v>31</v>
      </c>
      <c r="B920" s="1">
        <v>919</v>
      </c>
      <c r="C920" s="1" t="s">
        <v>953</v>
      </c>
      <c r="D920">
        <f>IMAGE("https://raw.githubusercontent.com/stautonico/pokemon-home-pokedex/main/sprites/nymble.png", 2)</f>
        <v>0</v>
      </c>
      <c r="E920" s="29" t="s">
        <v>30</v>
      </c>
      <c r="F920" s="5"/>
    </row>
    <row r="921" spans="1:6" ht="72" customHeight="1">
      <c r="A921" s="1" t="s">
        <v>31</v>
      </c>
      <c r="B921" s="1">
        <v>920</v>
      </c>
      <c r="C921" s="1" t="s">
        <v>954</v>
      </c>
      <c r="D921">
        <f>IMAGE("https://raw.githubusercontent.com/stautonico/pokemon-home-pokedex/main/sprites/lokix.png", 2)</f>
        <v>0</v>
      </c>
      <c r="E921" s="29" t="s">
        <v>30</v>
      </c>
      <c r="F921" s="5"/>
    </row>
    <row r="922" spans="1:6" ht="72" customHeight="1">
      <c r="A922" s="1" t="s">
        <v>31</v>
      </c>
      <c r="B922" s="1">
        <v>921</v>
      </c>
      <c r="C922" s="1" t="s">
        <v>955</v>
      </c>
      <c r="D922">
        <f>IMAGE("https://raw.githubusercontent.com/stautonico/pokemon-home-pokedex/main/sprites/pawmi.png", 2)</f>
        <v>0</v>
      </c>
      <c r="E922" s="29" t="s">
        <v>30</v>
      </c>
      <c r="F922" s="5"/>
    </row>
    <row r="923" spans="1:6" ht="72" customHeight="1">
      <c r="A923" s="1" t="s">
        <v>31</v>
      </c>
      <c r="B923" s="1">
        <v>922</v>
      </c>
      <c r="C923" s="1" t="s">
        <v>956</v>
      </c>
      <c r="D923">
        <f>IMAGE("https://raw.githubusercontent.com/stautonico/pokemon-home-pokedex/main/sprites/pawmo.png", 2)</f>
        <v>0</v>
      </c>
      <c r="E923" s="29" t="s">
        <v>30</v>
      </c>
      <c r="F923" s="5"/>
    </row>
    <row r="924" spans="1:6" ht="72" customHeight="1">
      <c r="A924" s="1" t="s">
        <v>31</v>
      </c>
      <c r="B924" s="1">
        <v>923</v>
      </c>
      <c r="C924" s="1" t="s">
        <v>957</v>
      </c>
      <c r="D924">
        <f>IMAGE("https://raw.githubusercontent.com/stautonico/pokemon-home-pokedex/main/sprites/pawmot.png", 2)</f>
        <v>0</v>
      </c>
      <c r="E924" s="29" t="s">
        <v>30</v>
      </c>
      <c r="F924" s="5"/>
    </row>
    <row r="925" spans="1:6" ht="72" customHeight="1">
      <c r="A925" s="1" t="s">
        <v>31</v>
      </c>
      <c r="B925" s="1">
        <v>924</v>
      </c>
      <c r="C925" s="1" t="s">
        <v>958</v>
      </c>
      <c r="D925">
        <f>IMAGE("https://raw.githubusercontent.com/stautonico/pokemon-home-pokedex/main/sprites/tandemaus.png", 2)</f>
        <v>0</v>
      </c>
      <c r="E925" s="29" t="s">
        <v>30</v>
      </c>
      <c r="F925" s="5"/>
    </row>
    <row r="926" spans="1:6" ht="72" customHeight="1">
      <c r="A926" s="1" t="s">
        <v>31</v>
      </c>
      <c r="B926" s="1">
        <v>925</v>
      </c>
      <c r="C926" s="1" t="s">
        <v>959</v>
      </c>
      <c r="D926">
        <f>IMAGE("https://raw.githubusercontent.com/stautonico/pokemon-home-pokedex/main/sprites/maushold.png", 2)</f>
        <v>0</v>
      </c>
      <c r="E926" s="29" t="s">
        <v>30</v>
      </c>
      <c r="F926" s="5"/>
    </row>
    <row r="927" spans="1:6" ht="72" customHeight="1">
      <c r="A927" s="1" t="s">
        <v>31</v>
      </c>
      <c r="B927" s="1">
        <v>926</v>
      </c>
      <c r="C927" s="1" t="s">
        <v>960</v>
      </c>
      <c r="D927">
        <f>IMAGE("https://raw.githubusercontent.com/stautonico/pokemon-home-pokedex/main/sprites/fidough.png", 2)</f>
        <v>0</v>
      </c>
      <c r="E927" s="29" t="s">
        <v>30</v>
      </c>
      <c r="F927" s="5"/>
    </row>
    <row r="928" spans="1:6" ht="72" customHeight="1">
      <c r="A928" s="1" t="s">
        <v>31</v>
      </c>
      <c r="B928" s="1">
        <v>927</v>
      </c>
      <c r="C928" s="1" t="s">
        <v>961</v>
      </c>
      <c r="D928">
        <f>IMAGE("https://raw.githubusercontent.com/stautonico/pokemon-home-pokedex/main/sprites/dachsbun.png", 2)</f>
        <v>0</v>
      </c>
      <c r="E928" s="29" t="s">
        <v>30</v>
      </c>
      <c r="F928" s="5"/>
    </row>
    <row r="929" spans="1:6" ht="72" customHeight="1">
      <c r="A929" s="1" t="s">
        <v>31</v>
      </c>
      <c r="B929" s="1">
        <v>928</v>
      </c>
      <c r="C929" s="1" t="s">
        <v>962</v>
      </c>
      <c r="D929">
        <f>IMAGE("https://raw.githubusercontent.com/stautonico/pokemon-home-pokedex/main/sprites/smoliv.png", 2)</f>
        <v>0</v>
      </c>
      <c r="E929" s="29" t="s">
        <v>30</v>
      </c>
      <c r="F929" s="5"/>
    </row>
    <row r="930" spans="1:6" ht="72" customHeight="1">
      <c r="A930" s="1" t="s">
        <v>31</v>
      </c>
      <c r="B930" s="1">
        <v>929</v>
      </c>
      <c r="C930" s="1" t="s">
        <v>963</v>
      </c>
      <c r="D930">
        <f>IMAGE("https://raw.githubusercontent.com/stautonico/pokemon-home-pokedex/main/sprites/dolliv.png", 2)</f>
        <v>0</v>
      </c>
      <c r="E930" s="29" t="s">
        <v>30</v>
      </c>
      <c r="F930" s="5"/>
    </row>
    <row r="931" spans="1:6" ht="72" customHeight="1">
      <c r="A931" s="1" t="s">
        <v>31</v>
      </c>
      <c r="B931" s="1">
        <v>930</v>
      </c>
      <c r="C931" s="1" t="s">
        <v>964</v>
      </c>
      <c r="D931">
        <f>IMAGE("https://raw.githubusercontent.com/stautonico/pokemon-home-pokedex/main/sprites/arboliva.png", 2)</f>
        <v>0</v>
      </c>
      <c r="E931" s="29" t="s">
        <v>30</v>
      </c>
      <c r="F931" s="5"/>
    </row>
    <row r="932" spans="1:6" ht="72" customHeight="1">
      <c r="A932" s="1" t="s">
        <v>31</v>
      </c>
      <c r="B932" s="1">
        <v>931</v>
      </c>
      <c r="C932" s="1" t="s">
        <v>965</v>
      </c>
      <c r="D932">
        <f>IMAGE("https://raw.githubusercontent.com/stautonico/pokemon-home-pokedex/main/sprites/squawkabilly.png", 2)</f>
        <v>0</v>
      </c>
      <c r="E932" s="29" t="s">
        <v>30</v>
      </c>
      <c r="F932" s="5"/>
    </row>
    <row r="933" spans="1:6" ht="72" customHeight="1">
      <c r="A933" s="1" t="s">
        <v>31</v>
      </c>
      <c r="B933" s="1">
        <v>932</v>
      </c>
      <c r="C933" s="1" t="s">
        <v>966</v>
      </c>
      <c r="D933">
        <f>IMAGE("https://raw.githubusercontent.com/stautonico/pokemon-home-pokedex/main/sprites/nacli.png", 2)</f>
        <v>0</v>
      </c>
      <c r="E933" s="29" t="s">
        <v>30</v>
      </c>
      <c r="F933" s="5"/>
    </row>
    <row r="934" spans="1:6" ht="72" customHeight="1">
      <c r="A934" s="1" t="s">
        <v>31</v>
      </c>
      <c r="B934" s="1">
        <v>933</v>
      </c>
      <c r="C934" s="1" t="s">
        <v>967</v>
      </c>
      <c r="D934">
        <f>IMAGE("https://raw.githubusercontent.com/stautonico/pokemon-home-pokedex/main/sprites/naclstack.png", 2)</f>
        <v>0</v>
      </c>
      <c r="E934" s="29" t="s">
        <v>30</v>
      </c>
      <c r="F934" s="5"/>
    </row>
    <row r="935" spans="1:6" ht="72" customHeight="1">
      <c r="A935" s="1" t="s">
        <v>31</v>
      </c>
      <c r="B935" s="1">
        <v>934</v>
      </c>
      <c r="C935" s="1" t="s">
        <v>968</v>
      </c>
      <c r="D935">
        <f>IMAGE("https://raw.githubusercontent.com/stautonico/pokemon-home-pokedex/main/sprites/garganacl.png", 2)</f>
        <v>0</v>
      </c>
      <c r="E935" s="29" t="s">
        <v>30</v>
      </c>
      <c r="F935" s="5"/>
    </row>
    <row r="936" spans="1:6" ht="72" customHeight="1">
      <c r="A936" s="1" t="s">
        <v>31</v>
      </c>
      <c r="B936" s="1">
        <v>935</v>
      </c>
      <c r="C936" s="1" t="s">
        <v>969</v>
      </c>
      <c r="D936">
        <f>IMAGE("https://raw.githubusercontent.com/stautonico/pokemon-home-pokedex/main/sprites/charcadet.png", 2)</f>
        <v>0</v>
      </c>
      <c r="E936" s="29" t="s">
        <v>30</v>
      </c>
      <c r="F936" s="5"/>
    </row>
    <row r="937" spans="1:6" ht="72" customHeight="1">
      <c r="A937" s="1" t="s">
        <v>31</v>
      </c>
      <c r="B937" s="1">
        <v>936</v>
      </c>
      <c r="C937" s="1" t="s">
        <v>970</v>
      </c>
      <c r="D937">
        <f>IMAGE("https://raw.githubusercontent.com/stautonico/pokemon-home-pokedex/main/sprites/armarouge.png", 2)</f>
        <v>0</v>
      </c>
      <c r="E937" s="29" t="s">
        <v>30</v>
      </c>
      <c r="F937" s="5"/>
    </row>
    <row r="938" spans="1:6" ht="72" customHeight="1">
      <c r="A938" s="1" t="s">
        <v>31</v>
      </c>
      <c r="B938" s="1">
        <v>937</v>
      </c>
      <c r="C938" s="1" t="s">
        <v>971</v>
      </c>
      <c r="D938">
        <f>IMAGE("https://raw.githubusercontent.com/stautonico/pokemon-home-pokedex/main/sprites/ceruledge.png", 2)</f>
        <v>0</v>
      </c>
      <c r="E938" s="29" t="s">
        <v>30</v>
      </c>
      <c r="F938" s="5"/>
    </row>
    <row r="939" spans="1:6" ht="72" customHeight="1">
      <c r="A939" s="1" t="s">
        <v>31</v>
      </c>
      <c r="B939" s="1">
        <v>938</v>
      </c>
      <c r="C939" s="1" t="s">
        <v>972</v>
      </c>
      <c r="D939">
        <f>IMAGE("https://raw.githubusercontent.com/stautonico/pokemon-home-pokedex/main/sprites/tadbulb.png", 2)</f>
        <v>0</v>
      </c>
      <c r="E939" s="29" t="s">
        <v>30</v>
      </c>
      <c r="F939" s="5"/>
    </row>
    <row r="940" spans="1:6" ht="72" customHeight="1">
      <c r="A940" s="1" t="s">
        <v>31</v>
      </c>
      <c r="B940" s="1">
        <v>939</v>
      </c>
      <c r="C940" s="1" t="s">
        <v>973</v>
      </c>
      <c r="D940">
        <f>IMAGE("https://raw.githubusercontent.com/stautonico/pokemon-home-pokedex/main/sprites/bellibolt.png", 2)</f>
        <v>0</v>
      </c>
      <c r="E940" s="29" t="s">
        <v>30</v>
      </c>
      <c r="F940" s="5"/>
    </row>
    <row r="941" spans="1:6" ht="72" customHeight="1">
      <c r="A941" s="1" t="s">
        <v>31</v>
      </c>
      <c r="B941" s="1">
        <v>940</v>
      </c>
      <c r="C941" s="1" t="s">
        <v>974</v>
      </c>
      <c r="D941">
        <f>IMAGE("https://raw.githubusercontent.com/stautonico/pokemon-home-pokedex/main/sprites/wattrel.png", 2)</f>
        <v>0</v>
      </c>
      <c r="E941" s="29" t="s">
        <v>30</v>
      </c>
      <c r="F941" s="5"/>
    </row>
    <row r="942" spans="1:6" ht="72" customHeight="1">
      <c r="A942" s="1" t="s">
        <v>31</v>
      </c>
      <c r="B942" s="1">
        <v>941</v>
      </c>
      <c r="C942" s="1" t="s">
        <v>975</v>
      </c>
      <c r="D942">
        <f>IMAGE("https://raw.githubusercontent.com/stautonico/pokemon-home-pokedex/main/sprites/kilowattrel.png", 2)</f>
        <v>0</v>
      </c>
      <c r="E942" s="29" t="s">
        <v>30</v>
      </c>
      <c r="F942" s="5"/>
    </row>
    <row r="943" spans="1:6" ht="72" customHeight="1">
      <c r="A943" s="1" t="s">
        <v>31</v>
      </c>
      <c r="B943" s="1">
        <v>942</v>
      </c>
      <c r="C943" s="1" t="s">
        <v>976</v>
      </c>
      <c r="D943">
        <f>IMAGE("https://raw.githubusercontent.com/stautonico/pokemon-home-pokedex/main/sprites/maschiff.png", 2)</f>
        <v>0</v>
      </c>
      <c r="E943" s="29" t="s">
        <v>30</v>
      </c>
      <c r="F943" s="5"/>
    </row>
    <row r="944" spans="1:6" ht="72" customHeight="1">
      <c r="A944" s="1" t="s">
        <v>31</v>
      </c>
      <c r="B944" s="1">
        <v>943</v>
      </c>
      <c r="C944" s="1" t="s">
        <v>977</v>
      </c>
      <c r="D944">
        <f>IMAGE("https://raw.githubusercontent.com/stautonico/pokemon-home-pokedex/main/sprites/mabosstiff.png", 2)</f>
        <v>0</v>
      </c>
      <c r="E944" s="29" t="s">
        <v>30</v>
      </c>
      <c r="F944" s="5"/>
    </row>
    <row r="945" spans="1:6" ht="72" customHeight="1">
      <c r="A945" s="1" t="s">
        <v>31</v>
      </c>
      <c r="B945" s="1">
        <v>944</v>
      </c>
      <c r="C945" s="1" t="s">
        <v>978</v>
      </c>
      <c r="D945">
        <f>IMAGE("https://raw.githubusercontent.com/stautonico/pokemon-home-pokedex/main/sprites/shroodle.png", 2)</f>
        <v>0</v>
      </c>
      <c r="E945" s="29" t="s">
        <v>30</v>
      </c>
      <c r="F945" s="5"/>
    </row>
    <row r="946" spans="1:6" ht="72" customHeight="1">
      <c r="A946" s="1" t="s">
        <v>31</v>
      </c>
      <c r="B946" s="1">
        <v>945</v>
      </c>
      <c r="C946" s="1" t="s">
        <v>979</v>
      </c>
      <c r="D946">
        <f>IMAGE("https://raw.githubusercontent.com/stautonico/pokemon-home-pokedex/main/sprites/grafaiai.png", 2)</f>
        <v>0</v>
      </c>
      <c r="E946" s="29" t="s">
        <v>30</v>
      </c>
      <c r="F946" s="5"/>
    </row>
    <row r="947" spans="1:6" ht="72" customHeight="1">
      <c r="A947" s="1" t="s">
        <v>31</v>
      </c>
      <c r="B947" s="1">
        <v>946</v>
      </c>
      <c r="C947" s="1" t="s">
        <v>980</v>
      </c>
      <c r="D947">
        <f>IMAGE("https://raw.githubusercontent.com/stautonico/pokemon-home-pokedex/main/sprites/bramblin.png", 2)</f>
        <v>0</v>
      </c>
      <c r="E947" s="29" t="s">
        <v>30</v>
      </c>
      <c r="F947" s="5"/>
    </row>
    <row r="948" spans="1:6" ht="72" customHeight="1">
      <c r="A948" s="1" t="s">
        <v>31</v>
      </c>
      <c r="B948" s="1">
        <v>947</v>
      </c>
      <c r="C948" s="1" t="s">
        <v>981</v>
      </c>
      <c r="D948">
        <f>IMAGE("https://raw.githubusercontent.com/stautonico/pokemon-home-pokedex/main/sprites/brambleghast.png", 2)</f>
        <v>0</v>
      </c>
      <c r="E948" s="29" t="s">
        <v>30</v>
      </c>
      <c r="F948" s="5"/>
    </row>
    <row r="949" spans="1:6" ht="72" customHeight="1">
      <c r="A949" s="1" t="s">
        <v>31</v>
      </c>
      <c r="B949" s="1">
        <v>948</v>
      </c>
      <c r="C949" s="1" t="s">
        <v>982</v>
      </c>
      <c r="D949">
        <f>IMAGE("https://raw.githubusercontent.com/stautonico/pokemon-home-pokedex/main/sprites/toedscool.png", 2)</f>
        <v>0</v>
      </c>
      <c r="E949" s="29" t="s">
        <v>30</v>
      </c>
      <c r="F949" s="5"/>
    </row>
    <row r="950" spans="1:6" ht="72" customHeight="1">
      <c r="A950" s="1" t="s">
        <v>31</v>
      </c>
      <c r="B950" s="1">
        <v>949</v>
      </c>
      <c r="C950" s="1" t="s">
        <v>983</v>
      </c>
      <c r="D950">
        <f>IMAGE("https://raw.githubusercontent.com/stautonico/pokemon-home-pokedex/main/sprites/toedscruel.png", 2)</f>
        <v>0</v>
      </c>
      <c r="E950" s="29" t="s">
        <v>30</v>
      </c>
      <c r="F950" s="5"/>
    </row>
    <row r="951" spans="1:6" ht="72" customHeight="1">
      <c r="A951" s="1" t="s">
        <v>31</v>
      </c>
      <c r="B951" s="1">
        <v>950</v>
      </c>
      <c r="C951" s="1" t="s">
        <v>984</v>
      </c>
      <c r="D951">
        <f>IMAGE("https://raw.githubusercontent.com/stautonico/pokemon-home-pokedex/main/sprites/klawf.png", 2)</f>
        <v>0</v>
      </c>
      <c r="E951" s="29" t="s">
        <v>30</v>
      </c>
      <c r="F951" s="5"/>
    </row>
    <row r="952" spans="1:6" ht="72" customHeight="1">
      <c r="A952" s="1" t="s">
        <v>31</v>
      </c>
      <c r="B952" s="1">
        <v>951</v>
      </c>
      <c r="C952" s="1" t="s">
        <v>985</v>
      </c>
      <c r="D952">
        <f>IMAGE("https://raw.githubusercontent.com/stautonico/pokemon-home-pokedex/main/sprites/capsakid.png", 2)</f>
        <v>0</v>
      </c>
      <c r="E952" s="29" t="s">
        <v>30</v>
      </c>
      <c r="F952" s="5"/>
    </row>
    <row r="953" spans="1:6" ht="72" customHeight="1">
      <c r="A953" s="1" t="s">
        <v>31</v>
      </c>
      <c r="B953" s="1">
        <v>952</v>
      </c>
      <c r="C953" s="1" t="s">
        <v>986</v>
      </c>
      <c r="D953">
        <f>IMAGE("https://raw.githubusercontent.com/stautonico/pokemon-home-pokedex/main/sprites/scovillain.png", 2)</f>
        <v>0</v>
      </c>
      <c r="E953" s="29" t="s">
        <v>30</v>
      </c>
      <c r="F953" s="5"/>
    </row>
    <row r="954" spans="1:6" ht="72" customHeight="1">
      <c r="A954" s="1" t="s">
        <v>31</v>
      </c>
      <c r="B954" s="1">
        <v>953</v>
      </c>
      <c r="C954" s="1" t="s">
        <v>987</v>
      </c>
      <c r="D954">
        <f>IMAGE("https://raw.githubusercontent.com/stautonico/pokemon-home-pokedex/main/sprites/rellor.png", 2)</f>
        <v>0</v>
      </c>
      <c r="E954" s="29" t="s">
        <v>30</v>
      </c>
      <c r="F954" s="5"/>
    </row>
    <row r="955" spans="1:6" ht="72" customHeight="1">
      <c r="A955" s="1" t="s">
        <v>31</v>
      </c>
      <c r="B955" s="1">
        <v>954</v>
      </c>
      <c r="C955" s="1" t="s">
        <v>988</v>
      </c>
      <c r="D955">
        <f>IMAGE("https://raw.githubusercontent.com/stautonico/pokemon-home-pokedex/main/sprites/rabsca.png", 2)</f>
        <v>0</v>
      </c>
      <c r="E955" s="29" t="s">
        <v>30</v>
      </c>
      <c r="F955" s="5"/>
    </row>
    <row r="956" spans="1:6" ht="72" customHeight="1">
      <c r="A956" s="1" t="s">
        <v>31</v>
      </c>
      <c r="B956" s="1">
        <v>955</v>
      </c>
      <c r="C956" s="1" t="s">
        <v>989</v>
      </c>
      <c r="D956">
        <f>IMAGE("https://raw.githubusercontent.com/stautonico/pokemon-home-pokedex/main/sprites/flittle.png", 2)</f>
        <v>0</v>
      </c>
      <c r="E956" s="29" t="s">
        <v>30</v>
      </c>
      <c r="F956" s="5"/>
    </row>
    <row r="957" spans="1:6" ht="72" customHeight="1">
      <c r="A957" s="1" t="s">
        <v>31</v>
      </c>
      <c r="B957" s="1">
        <v>956</v>
      </c>
      <c r="C957" s="1" t="s">
        <v>990</v>
      </c>
      <c r="D957">
        <f>IMAGE("https://raw.githubusercontent.com/stautonico/pokemon-home-pokedex/main/sprites/espathra.png", 2)</f>
        <v>0</v>
      </c>
      <c r="E957" s="29" t="s">
        <v>30</v>
      </c>
      <c r="F957" s="5"/>
    </row>
    <row r="958" spans="1:6" ht="72" customHeight="1">
      <c r="A958" s="1" t="s">
        <v>31</v>
      </c>
      <c r="B958" s="1">
        <v>957</v>
      </c>
      <c r="C958" s="1" t="s">
        <v>991</v>
      </c>
      <c r="D958">
        <f>IMAGE("https://raw.githubusercontent.com/stautonico/pokemon-home-pokedex/main/sprites/tinkatink.png", 2)</f>
        <v>0</v>
      </c>
      <c r="E958" s="29" t="s">
        <v>30</v>
      </c>
      <c r="F958" s="5"/>
    </row>
    <row r="959" spans="1:6" ht="72" customHeight="1">
      <c r="A959" s="1" t="s">
        <v>31</v>
      </c>
      <c r="B959" s="1">
        <v>958</v>
      </c>
      <c r="C959" s="1" t="s">
        <v>992</v>
      </c>
      <c r="D959">
        <f>IMAGE("https://raw.githubusercontent.com/stautonico/pokemon-home-pokedex/main/sprites/tinkatuff.png", 2)</f>
        <v>0</v>
      </c>
      <c r="E959" s="29" t="s">
        <v>30</v>
      </c>
      <c r="F959" s="5"/>
    </row>
    <row r="960" spans="1:6" ht="72" customHeight="1">
      <c r="A960" s="1" t="s">
        <v>31</v>
      </c>
      <c r="B960" s="1">
        <v>959</v>
      </c>
      <c r="C960" s="1" t="s">
        <v>993</v>
      </c>
      <c r="D960">
        <f>IMAGE("https://raw.githubusercontent.com/stautonico/pokemon-home-pokedex/main/sprites/tinkaton.png", 2)</f>
        <v>0</v>
      </c>
      <c r="E960" s="29" t="s">
        <v>30</v>
      </c>
      <c r="F960" s="5"/>
    </row>
    <row r="961" spans="1:6" ht="72" customHeight="1">
      <c r="A961" s="1" t="s">
        <v>31</v>
      </c>
      <c r="B961" s="1">
        <v>960</v>
      </c>
      <c r="C961" s="1" t="s">
        <v>994</v>
      </c>
      <c r="D961">
        <f>IMAGE("https://raw.githubusercontent.com/stautonico/pokemon-home-pokedex/main/sprites/wiglett.png", 2)</f>
        <v>0</v>
      </c>
      <c r="E961" s="29" t="s">
        <v>30</v>
      </c>
      <c r="F961" s="5"/>
    </row>
    <row r="962" spans="1:6" ht="72" customHeight="1">
      <c r="A962" s="1" t="s">
        <v>31</v>
      </c>
      <c r="B962" s="1">
        <v>961</v>
      </c>
      <c r="C962" s="1" t="s">
        <v>995</v>
      </c>
      <c r="D962">
        <f>IMAGE("https://raw.githubusercontent.com/stautonico/pokemon-home-pokedex/main/sprites/wugtrio.png", 2)</f>
        <v>0</v>
      </c>
      <c r="E962" s="29" t="s">
        <v>30</v>
      </c>
      <c r="F962" s="5"/>
    </row>
    <row r="963" spans="1:6" ht="72" customHeight="1">
      <c r="A963" s="1" t="s">
        <v>31</v>
      </c>
      <c r="B963" s="1">
        <v>962</v>
      </c>
      <c r="C963" s="1" t="s">
        <v>996</v>
      </c>
      <c r="D963">
        <f>IMAGE("https://raw.githubusercontent.com/stautonico/pokemon-home-pokedex/main/sprites/bombirdier.png", 2)</f>
        <v>0</v>
      </c>
      <c r="E963" s="29" t="s">
        <v>30</v>
      </c>
      <c r="F963" s="5"/>
    </row>
    <row r="964" spans="1:6" ht="72" customHeight="1">
      <c r="A964" s="1" t="s">
        <v>31</v>
      </c>
      <c r="B964" s="1">
        <v>963</v>
      </c>
      <c r="C964" s="1" t="s">
        <v>997</v>
      </c>
      <c r="D964">
        <f>IMAGE("https://raw.githubusercontent.com/stautonico/pokemon-home-pokedex/main/sprites/finizen.png", 2)</f>
        <v>0</v>
      </c>
      <c r="E964" s="29" t="s">
        <v>30</v>
      </c>
      <c r="F964" s="5"/>
    </row>
    <row r="965" spans="1:6" ht="72" customHeight="1">
      <c r="A965" s="1" t="s">
        <v>31</v>
      </c>
      <c r="B965" s="1">
        <v>964</v>
      </c>
      <c r="C965" s="1" t="s">
        <v>998</v>
      </c>
      <c r="D965">
        <f>IMAGE("https://raw.githubusercontent.com/stautonico/pokemon-home-pokedex/main/sprites/palafin.png", 2)</f>
        <v>0</v>
      </c>
      <c r="E965" s="29" t="s">
        <v>30</v>
      </c>
      <c r="F965" s="5"/>
    </row>
    <row r="966" spans="1:6" ht="72" customHeight="1">
      <c r="A966" s="1" t="s">
        <v>31</v>
      </c>
      <c r="B966" s="1">
        <v>965</v>
      </c>
      <c r="C966" s="1" t="s">
        <v>999</v>
      </c>
      <c r="D966">
        <f>IMAGE("https://raw.githubusercontent.com/stautonico/pokemon-home-pokedex/main/sprites/varoom.png", 2)</f>
        <v>0</v>
      </c>
      <c r="E966" s="29" t="s">
        <v>30</v>
      </c>
      <c r="F966" s="5"/>
    </row>
    <row r="967" spans="1:6" ht="72" customHeight="1">
      <c r="A967" s="1" t="s">
        <v>31</v>
      </c>
      <c r="B967" s="1">
        <v>966</v>
      </c>
      <c r="C967" s="1" t="s">
        <v>1000</v>
      </c>
      <c r="D967">
        <f>IMAGE("https://raw.githubusercontent.com/stautonico/pokemon-home-pokedex/main/sprites/revavroom.png", 2)</f>
        <v>0</v>
      </c>
      <c r="E967" s="29" t="s">
        <v>30</v>
      </c>
      <c r="F967" s="5"/>
    </row>
    <row r="968" spans="1:6" ht="72" customHeight="1">
      <c r="A968" s="1" t="s">
        <v>31</v>
      </c>
      <c r="B968" s="1">
        <v>967</v>
      </c>
      <c r="C968" s="1" t="s">
        <v>1001</v>
      </c>
      <c r="D968">
        <f>IMAGE("https://raw.githubusercontent.com/stautonico/pokemon-home-pokedex/main/sprites/cyclizar.png", 2)</f>
        <v>0</v>
      </c>
      <c r="E968" s="29" t="s">
        <v>30</v>
      </c>
      <c r="F968" s="5"/>
    </row>
    <row r="969" spans="1:6" ht="72" customHeight="1">
      <c r="A969" s="1" t="s">
        <v>31</v>
      </c>
      <c r="B969" s="1">
        <v>968</v>
      </c>
      <c r="C969" s="1" t="s">
        <v>1002</v>
      </c>
      <c r="D969">
        <f>IMAGE("https://raw.githubusercontent.com/stautonico/pokemon-home-pokedex/main/sprites/orthworm.png", 2)</f>
        <v>0</v>
      </c>
      <c r="E969" s="29" t="s">
        <v>30</v>
      </c>
      <c r="F969" s="5"/>
    </row>
    <row r="970" spans="1:6" ht="72" customHeight="1">
      <c r="A970" s="1" t="s">
        <v>31</v>
      </c>
      <c r="B970" s="1">
        <v>969</v>
      </c>
      <c r="C970" s="1" t="s">
        <v>1003</v>
      </c>
      <c r="D970">
        <f>IMAGE("https://raw.githubusercontent.com/stautonico/pokemon-home-pokedex/main/sprites/glimmet.png", 2)</f>
        <v>0</v>
      </c>
      <c r="E970" s="29" t="s">
        <v>30</v>
      </c>
      <c r="F970" s="5"/>
    </row>
    <row r="971" spans="1:6" ht="72" customHeight="1">
      <c r="A971" s="1" t="s">
        <v>31</v>
      </c>
      <c r="B971" s="1">
        <v>970</v>
      </c>
      <c r="C971" s="1" t="s">
        <v>1004</v>
      </c>
      <c r="D971">
        <f>IMAGE("https://raw.githubusercontent.com/stautonico/pokemon-home-pokedex/main/sprites/glimmora.png", 2)</f>
        <v>0</v>
      </c>
      <c r="E971" s="29" t="s">
        <v>30</v>
      </c>
      <c r="F971" s="5"/>
    </row>
    <row r="972" spans="1:6" ht="72" customHeight="1">
      <c r="A972" s="1" t="s">
        <v>31</v>
      </c>
      <c r="B972" s="1">
        <v>971</v>
      </c>
      <c r="C972" s="1" t="s">
        <v>1005</v>
      </c>
      <c r="D972">
        <f>IMAGE("https://raw.githubusercontent.com/stautonico/pokemon-home-pokedex/main/sprites/greavard.png", 2)</f>
        <v>0</v>
      </c>
      <c r="E972" s="29" t="s">
        <v>30</v>
      </c>
      <c r="F972" s="5"/>
    </row>
    <row r="973" spans="1:6" ht="72" customHeight="1">
      <c r="A973" s="1" t="s">
        <v>31</v>
      </c>
      <c r="B973" s="1">
        <v>972</v>
      </c>
      <c r="C973" s="1" t="s">
        <v>1006</v>
      </c>
      <c r="D973">
        <f>IMAGE("https://raw.githubusercontent.com/stautonico/pokemon-home-pokedex/main/sprites/houndstone.png", 2)</f>
        <v>0</v>
      </c>
      <c r="E973" s="29" t="s">
        <v>30</v>
      </c>
      <c r="F973" s="5"/>
    </row>
    <row r="974" spans="1:6" ht="72" customHeight="1">
      <c r="A974" s="1" t="s">
        <v>31</v>
      </c>
      <c r="B974" s="1">
        <v>973</v>
      </c>
      <c r="C974" s="1" t="s">
        <v>1007</v>
      </c>
      <c r="D974">
        <f>IMAGE("https://raw.githubusercontent.com/stautonico/pokemon-home-pokedex/main/sprites/flamigo.png", 2)</f>
        <v>0</v>
      </c>
      <c r="E974" s="29" t="s">
        <v>30</v>
      </c>
      <c r="F974" s="5"/>
    </row>
    <row r="975" spans="1:6" ht="72" customHeight="1">
      <c r="A975" s="1" t="s">
        <v>31</v>
      </c>
      <c r="B975" s="1">
        <v>974</v>
      </c>
      <c r="C975" s="1" t="s">
        <v>1008</v>
      </c>
      <c r="D975">
        <f>IMAGE("https://raw.githubusercontent.com/stautonico/pokemon-home-pokedex/main/sprites/cetoddle.png", 2)</f>
        <v>0</v>
      </c>
      <c r="E975" s="29" t="s">
        <v>30</v>
      </c>
      <c r="F975" s="5"/>
    </row>
    <row r="976" spans="1:6" ht="72" customHeight="1">
      <c r="A976" s="1" t="s">
        <v>31</v>
      </c>
      <c r="B976" s="1">
        <v>975</v>
      </c>
      <c r="C976" s="1" t="s">
        <v>1009</v>
      </c>
      <c r="D976">
        <f>IMAGE("https://raw.githubusercontent.com/stautonico/pokemon-home-pokedex/main/sprites/cetitan.png", 2)</f>
        <v>0</v>
      </c>
      <c r="E976" s="29" t="s">
        <v>30</v>
      </c>
      <c r="F976" s="5"/>
    </row>
    <row r="977" spans="1:6" ht="72" customHeight="1">
      <c r="A977" s="1" t="s">
        <v>31</v>
      </c>
      <c r="B977" s="1">
        <v>976</v>
      </c>
      <c r="C977" s="1" t="s">
        <v>1010</v>
      </c>
      <c r="D977">
        <f>IMAGE("https://raw.githubusercontent.com/stautonico/pokemon-home-pokedex/main/sprites/veluza.png", 2)</f>
        <v>0</v>
      </c>
      <c r="E977" s="29" t="s">
        <v>30</v>
      </c>
      <c r="F977" s="5"/>
    </row>
    <row r="978" spans="1:6" ht="72" customHeight="1">
      <c r="A978" s="1" t="s">
        <v>31</v>
      </c>
      <c r="B978" s="1">
        <v>977</v>
      </c>
      <c r="C978" s="1" t="s">
        <v>1011</v>
      </c>
      <c r="D978">
        <f>IMAGE("https://raw.githubusercontent.com/stautonico/pokemon-home-pokedex/main/sprites/dondozo.png", 2)</f>
        <v>0</v>
      </c>
      <c r="E978" s="29" t="s">
        <v>30</v>
      </c>
      <c r="F978" s="5"/>
    </row>
    <row r="979" spans="1:6" ht="72" customHeight="1">
      <c r="A979" s="1" t="s">
        <v>31</v>
      </c>
      <c r="B979" s="1">
        <v>978</v>
      </c>
      <c r="C979" s="1" t="s">
        <v>1012</v>
      </c>
      <c r="D979">
        <f>IMAGE("https://raw.githubusercontent.com/stautonico/pokemon-home-pokedex/main/sprites/tatsugiri.png", 2)</f>
        <v>0</v>
      </c>
      <c r="E979" s="29" t="s">
        <v>30</v>
      </c>
      <c r="F979" s="5"/>
    </row>
    <row r="980" spans="1:6" ht="72" customHeight="1">
      <c r="A980" s="1" t="s">
        <v>31</v>
      </c>
      <c r="B980" s="1">
        <v>979</v>
      </c>
      <c r="C980" s="1" t="s">
        <v>1013</v>
      </c>
      <c r="D980">
        <f>IMAGE("https://raw.githubusercontent.com/stautonico/pokemon-home-pokedex/main/sprites/annihilape.png", 2)</f>
        <v>0</v>
      </c>
      <c r="E980" s="29" t="s">
        <v>30</v>
      </c>
      <c r="F980" s="5"/>
    </row>
    <row r="981" spans="1:6" ht="72" customHeight="1">
      <c r="A981" s="1" t="s">
        <v>31</v>
      </c>
      <c r="B981" s="1">
        <v>980</v>
      </c>
      <c r="C981" s="1" t="s">
        <v>1014</v>
      </c>
      <c r="D981">
        <f>IMAGE("https://raw.githubusercontent.com/stautonico/pokemon-home-pokedex/main/sprites/clodsire.png", 2)</f>
        <v>0</v>
      </c>
      <c r="E981" s="29" t="s">
        <v>30</v>
      </c>
      <c r="F981" s="5"/>
    </row>
    <row r="982" spans="1:6" ht="72" customHeight="1">
      <c r="A982" s="1" t="s">
        <v>31</v>
      </c>
      <c r="B982" s="1">
        <v>981</v>
      </c>
      <c r="C982" s="1" t="s">
        <v>1015</v>
      </c>
      <c r="D982">
        <f>IMAGE("https://raw.githubusercontent.com/stautonico/pokemon-home-pokedex/main/sprites/farigiraf.png", 2)</f>
        <v>0</v>
      </c>
      <c r="E982" s="29" t="s">
        <v>30</v>
      </c>
      <c r="F982" s="5"/>
    </row>
    <row r="983" spans="1:6" ht="72" customHeight="1">
      <c r="A983" s="1" t="s">
        <v>31</v>
      </c>
      <c r="B983" s="1">
        <v>982</v>
      </c>
      <c r="C983" s="1" t="s">
        <v>1016</v>
      </c>
      <c r="D983">
        <f>IMAGE("https://raw.githubusercontent.com/stautonico/pokemon-home-pokedex/main/sprites/dudunsparce.png", 2)</f>
        <v>0</v>
      </c>
      <c r="E983" s="29" t="s">
        <v>30</v>
      </c>
      <c r="F983" s="5"/>
    </row>
    <row r="984" spans="1:6" ht="72" customHeight="1">
      <c r="A984" s="1" t="s">
        <v>31</v>
      </c>
      <c r="B984" s="1">
        <v>983</v>
      </c>
      <c r="C984" s="1" t="s">
        <v>1017</v>
      </c>
      <c r="D984">
        <f>IMAGE("https://raw.githubusercontent.com/stautonico/pokemon-home-pokedex/main/sprites/kingambit.png", 2)</f>
        <v>0</v>
      </c>
      <c r="E984" s="29" t="s">
        <v>30</v>
      </c>
      <c r="F984" s="5"/>
    </row>
    <row r="985" spans="1:6" ht="72" customHeight="1">
      <c r="A985" s="1" t="s">
        <v>31</v>
      </c>
      <c r="B985" s="1">
        <v>984</v>
      </c>
      <c r="C985" s="1" t="s">
        <v>1018</v>
      </c>
      <c r="D985">
        <f>IMAGE("https://raw.githubusercontent.com/stautonico/pokemon-home-pokedex/main/sprites/great-tusk.png", 2)</f>
        <v>0</v>
      </c>
      <c r="E985" s="29" t="s">
        <v>30</v>
      </c>
      <c r="F985" s="5"/>
    </row>
    <row r="986" spans="1:6" ht="72" customHeight="1">
      <c r="A986" s="1" t="s">
        <v>31</v>
      </c>
      <c r="B986" s="1">
        <v>985</v>
      </c>
      <c r="C986" s="1" t="s">
        <v>1019</v>
      </c>
      <c r="D986">
        <f>IMAGE("https://raw.githubusercontent.com/stautonico/pokemon-home-pokedex/main/sprites/scream-tail.png", 2)</f>
        <v>0</v>
      </c>
      <c r="E986" s="29" t="s">
        <v>30</v>
      </c>
      <c r="F986" s="5"/>
    </row>
    <row r="987" spans="1:6" ht="72" customHeight="1">
      <c r="A987" s="1" t="s">
        <v>31</v>
      </c>
      <c r="B987" s="1">
        <v>986</v>
      </c>
      <c r="C987" s="1" t="s">
        <v>1020</v>
      </c>
      <c r="D987">
        <f>IMAGE("https://raw.githubusercontent.com/stautonico/pokemon-home-pokedex/main/sprites/brute-bonnet.png", 2)</f>
        <v>0</v>
      </c>
      <c r="E987" s="29" t="s">
        <v>30</v>
      </c>
      <c r="F987" s="5"/>
    </row>
    <row r="988" spans="1:6" ht="72" customHeight="1">
      <c r="A988" s="1" t="s">
        <v>31</v>
      </c>
      <c r="B988" s="1">
        <v>987</v>
      </c>
      <c r="C988" s="1" t="s">
        <v>1021</v>
      </c>
      <c r="D988">
        <f>IMAGE("https://raw.githubusercontent.com/stautonico/pokemon-home-pokedex/main/sprites/flutter-mane.png", 2)</f>
        <v>0</v>
      </c>
      <c r="E988" s="29" t="s">
        <v>30</v>
      </c>
      <c r="F988" s="5"/>
    </row>
    <row r="989" spans="1:6" ht="72" customHeight="1">
      <c r="A989" s="1" t="s">
        <v>31</v>
      </c>
      <c r="B989" s="1">
        <v>988</v>
      </c>
      <c r="C989" s="1" t="s">
        <v>1022</v>
      </c>
      <c r="D989">
        <f>IMAGE("https://raw.githubusercontent.com/stautonico/pokemon-home-pokedex/main/sprites/slither-wing.png", 2)</f>
        <v>0</v>
      </c>
      <c r="E989" s="29" t="s">
        <v>30</v>
      </c>
      <c r="F989" s="5"/>
    </row>
    <row r="990" spans="1:6" ht="72" customHeight="1">
      <c r="A990" s="1" t="s">
        <v>31</v>
      </c>
      <c r="B990" s="1">
        <v>989</v>
      </c>
      <c r="C990" s="1" t="s">
        <v>1023</v>
      </c>
      <c r="D990">
        <f>IMAGE("https://raw.githubusercontent.com/stautonico/pokemon-home-pokedex/main/sprites/sandy-shocks.png", 2)</f>
        <v>0</v>
      </c>
      <c r="E990" s="29" t="s">
        <v>30</v>
      </c>
      <c r="F990" s="5"/>
    </row>
    <row r="991" spans="1:6" ht="72" customHeight="1">
      <c r="A991" s="1" t="s">
        <v>31</v>
      </c>
      <c r="B991" s="1">
        <v>990</v>
      </c>
      <c r="C991" s="1" t="s">
        <v>1024</v>
      </c>
      <c r="D991">
        <f>IMAGE("https://raw.githubusercontent.com/stautonico/pokemon-home-pokedex/main/sprites/iron-treads.png", 2)</f>
        <v>0</v>
      </c>
      <c r="E991" s="29" t="s">
        <v>30</v>
      </c>
      <c r="F991" s="5"/>
    </row>
    <row r="992" spans="1:6" ht="72" customHeight="1">
      <c r="A992" s="1" t="s">
        <v>31</v>
      </c>
      <c r="B992" s="1">
        <v>991</v>
      </c>
      <c r="C992" s="1" t="s">
        <v>1025</v>
      </c>
      <c r="D992">
        <f>IMAGE("https://raw.githubusercontent.com/stautonico/pokemon-home-pokedex/main/sprites/iron-bundle.png", 2)</f>
        <v>0</v>
      </c>
      <c r="E992" s="29" t="s">
        <v>30</v>
      </c>
      <c r="F992" s="5"/>
    </row>
    <row r="993" spans="1:6" ht="72" customHeight="1">
      <c r="A993" s="1" t="s">
        <v>31</v>
      </c>
      <c r="B993" s="1">
        <v>992</v>
      </c>
      <c r="C993" s="1" t="s">
        <v>1026</v>
      </c>
      <c r="D993">
        <f>IMAGE("https://raw.githubusercontent.com/stautonico/pokemon-home-pokedex/main/sprites/iron-hands.png", 2)</f>
        <v>0</v>
      </c>
      <c r="E993" s="29" t="s">
        <v>30</v>
      </c>
      <c r="F993" s="5"/>
    </row>
    <row r="994" spans="1:6" ht="72" customHeight="1">
      <c r="A994" s="1" t="s">
        <v>31</v>
      </c>
      <c r="B994" s="1">
        <v>993</v>
      </c>
      <c r="C994" s="1" t="s">
        <v>1027</v>
      </c>
      <c r="D994">
        <f>IMAGE("https://raw.githubusercontent.com/stautonico/pokemon-home-pokedex/main/sprites/iron-jugulis.png", 2)</f>
        <v>0</v>
      </c>
      <c r="E994" s="29" t="s">
        <v>30</v>
      </c>
      <c r="F994" s="5"/>
    </row>
    <row r="995" spans="1:6" ht="72" customHeight="1">
      <c r="A995" s="1" t="s">
        <v>31</v>
      </c>
      <c r="B995" s="1">
        <v>994</v>
      </c>
      <c r="C995" s="1" t="s">
        <v>1028</v>
      </c>
      <c r="D995">
        <f>IMAGE("https://raw.githubusercontent.com/stautonico/pokemon-home-pokedex/main/sprites/iron-moth.png", 2)</f>
        <v>0</v>
      </c>
      <c r="E995" s="29" t="s">
        <v>30</v>
      </c>
      <c r="F995" s="5"/>
    </row>
    <row r="996" spans="1:6" ht="72" customHeight="1">
      <c r="A996" s="1" t="s">
        <v>31</v>
      </c>
      <c r="B996" s="1">
        <v>995</v>
      </c>
      <c r="C996" s="1" t="s">
        <v>1029</v>
      </c>
      <c r="D996">
        <f>IMAGE("https://raw.githubusercontent.com/stautonico/pokemon-home-pokedex/main/sprites/iron-thorns.png", 2)</f>
        <v>0</v>
      </c>
      <c r="E996" s="29" t="s">
        <v>30</v>
      </c>
      <c r="F996" s="5"/>
    </row>
    <row r="997" spans="1:6" ht="72" customHeight="1">
      <c r="A997" s="1" t="s">
        <v>31</v>
      </c>
      <c r="B997" s="1">
        <v>996</v>
      </c>
      <c r="C997" s="1" t="s">
        <v>1030</v>
      </c>
      <c r="D997">
        <f>IMAGE("https://raw.githubusercontent.com/stautonico/pokemon-home-pokedex/main/sprites/frigibax.png", 2)</f>
        <v>0</v>
      </c>
      <c r="E997" s="29" t="s">
        <v>30</v>
      </c>
      <c r="F997" s="5"/>
    </row>
    <row r="998" spans="1:6" ht="72" customHeight="1">
      <c r="A998" s="1" t="s">
        <v>31</v>
      </c>
      <c r="B998" s="1">
        <v>997</v>
      </c>
      <c r="C998" s="1" t="s">
        <v>1031</v>
      </c>
      <c r="D998">
        <f>IMAGE("https://raw.githubusercontent.com/stautonico/pokemon-home-pokedex/main/sprites/arctibax.png", 2)</f>
        <v>0</v>
      </c>
      <c r="E998" s="29" t="s">
        <v>30</v>
      </c>
      <c r="F998" s="5"/>
    </row>
    <row r="999" spans="1:6" ht="72" customHeight="1">
      <c r="A999" s="1" t="s">
        <v>31</v>
      </c>
      <c r="B999" s="1">
        <v>998</v>
      </c>
      <c r="C999" s="1" t="s">
        <v>1032</v>
      </c>
      <c r="D999">
        <f>IMAGE("https://raw.githubusercontent.com/stautonico/pokemon-home-pokedex/main/sprites/baxcalibur.png", 2)</f>
        <v>0</v>
      </c>
      <c r="E999" s="29" t="s">
        <v>30</v>
      </c>
      <c r="F999" s="5"/>
    </row>
    <row r="1000" spans="1:6" ht="72" customHeight="1">
      <c r="A1000" s="1" t="s">
        <v>31</v>
      </c>
      <c r="B1000" s="1">
        <v>999</v>
      </c>
      <c r="C1000" s="1" t="s">
        <v>1033</v>
      </c>
      <c r="D1000">
        <f>IMAGE("https://raw.githubusercontent.com/stautonico/pokemon-home-pokedex/main/sprites/gimmighoul.png", 2)</f>
        <v>0</v>
      </c>
      <c r="E1000" s="29" t="s">
        <v>30</v>
      </c>
      <c r="F1000" s="5"/>
    </row>
    <row r="1001" spans="1:6" ht="72" customHeight="1">
      <c r="A1001" s="1" t="s">
        <v>31</v>
      </c>
      <c r="B1001" s="1">
        <v>1000</v>
      </c>
      <c r="C1001" s="1" t="s">
        <v>1034</v>
      </c>
      <c r="D1001">
        <f>IMAGE("https://raw.githubusercontent.com/stautonico/pokemon-home-pokedex/main/sprites/gholdengo.png", 2)</f>
        <v>0</v>
      </c>
      <c r="E1001" s="29" t="s">
        <v>30</v>
      </c>
      <c r="F1001" s="5"/>
    </row>
    <row r="1002" spans="1:6" ht="72" customHeight="1">
      <c r="A1002" s="1" t="s">
        <v>31</v>
      </c>
      <c r="B1002" s="1">
        <v>1001</v>
      </c>
      <c r="C1002" s="1" t="s">
        <v>1035</v>
      </c>
      <c r="D1002">
        <f>IMAGE("https://raw.githubusercontent.com/stautonico/pokemon-home-pokedex/main/sprites/wo-chien.png", 2)</f>
        <v>0</v>
      </c>
      <c r="E1002" s="29" t="s">
        <v>30</v>
      </c>
      <c r="F1002" s="5"/>
    </row>
    <row r="1003" spans="1:6" ht="72" customHeight="1">
      <c r="A1003" s="1" t="s">
        <v>31</v>
      </c>
      <c r="B1003" s="1">
        <v>1002</v>
      </c>
      <c r="C1003" s="1" t="s">
        <v>1036</v>
      </c>
      <c r="D1003">
        <f>IMAGE("https://raw.githubusercontent.com/stautonico/pokemon-home-pokedex/main/sprites/chien-pao.png", 2)</f>
        <v>0</v>
      </c>
      <c r="E1003" s="29" t="s">
        <v>30</v>
      </c>
      <c r="F1003" s="5"/>
    </row>
    <row r="1004" spans="1:6" ht="72" customHeight="1">
      <c r="A1004" s="1" t="s">
        <v>31</v>
      </c>
      <c r="B1004" s="1">
        <v>1003</v>
      </c>
      <c r="C1004" s="1" t="s">
        <v>1037</v>
      </c>
      <c r="D1004">
        <f>IMAGE("https://raw.githubusercontent.com/stautonico/pokemon-home-pokedex/main/sprites/ting-lu.png", 2)</f>
        <v>0</v>
      </c>
      <c r="E1004" s="29" t="s">
        <v>30</v>
      </c>
      <c r="F1004" s="5"/>
    </row>
    <row r="1005" spans="1:6" ht="72" customHeight="1">
      <c r="A1005" s="1" t="s">
        <v>31</v>
      </c>
      <c r="B1005" s="1">
        <v>1004</v>
      </c>
      <c r="C1005" s="1" t="s">
        <v>1038</v>
      </c>
      <c r="D1005">
        <f>IMAGE("https://raw.githubusercontent.com/stautonico/pokemon-home-pokedex/main/sprites/chi-yu.png", 2)</f>
        <v>0</v>
      </c>
      <c r="E1005" s="29" t="s">
        <v>30</v>
      </c>
      <c r="F1005" s="5"/>
    </row>
    <row r="1006" spans="1:6" ht="72" customHeight="1">
      <c r="A1006" s="1" t="s">
        <v>31</v>
      </c>
      <c r="B1006" s="1">
        <v>1005</v>
      </c>
      <c r="C1006" s="1" t="s">
        <v>1039</v>
      </c>
      <c r="D1006">
        <f>IMAGE("https://raw.githubusercontent.com/stautonico/pokemon-home-pokedex/main/sprites/roaring-moon.png", 2)</f>
        <v>0</v>
      </c>
      <c r="E1006" s="29" t="s">
        <v>30</v>
      </c>
      <c r="F1006" s="5"/>
    </row>
    <row r="1007" spans="1:6" ht="72" customHeight="1">
      <c r="A1007" s="1" t="s">
        <v>31</v>
      </c>
      <c r="B1007" s="1">
        <v>1006</v>
      </c>
      <c r="C1007" s="1" t="s">
        <v>1040</v>
      </c>
      <c r="D1007">
        <f>IMAGE("https://raw.githubusercontent.com/stautonico/pokemon-home-pokedex/main/sprites/iron-valiant.png", 2)</f>
        <v>0</v>
      </c>
      <c r="E1007" s="29" t="s">
        <v>30</v>
      </c>
      <c r="F1007" s="5"/>
    </row>
    <row r="1008" spans="1:6" ht="72" customHeight="1">
      <c r="A1008" s="1" t="s">
        <v>31</v>
      </c>
      <c r="B1008" s="1">
        <v>1007</v>
      </c>
      <c r="C1008" s="1" t="s">
        <v>1041</v>
      </c>
      <c r="D1008">
        <f>IMAGE("https://raw.githubusercontent.com/stautonico/pokemon-home-pokedex/main/sprites/koraidon.png", 2)</f>
        <v>0</v>
      </c>
      <c r="E1008" s="29" t="s">
        <v>30</v>
      </c>
      <c r="F1008" s="5"/>
    </row>
    <row r="1009" spans="1:6" ht="72" customHeight="1">
      <c r="A1009" s="1" t="s">
        <v>31</v>
      </c>
      <c r="B1009" s="1">
        <v>1008</v>
      </c>
      <c r="C1009" s="1" t="s">
        <v>1042</v>
      </c>
      <c r="D1009">
        <f>IMAGE("https://raw.githubusercontent.com/stautonico/pokemon-home-pokedex/main/sprites/miraidon.png", 2)</f>
        <v>0</v>
      </c>
      <c r="E1009" s="29" t="s">
        <v>30</v>
      </c>
      <c r="F1009" s="5"/>
    </row>
    <row r="1010" spans="1:6" ht="72" customHeight="1">
      <c r="A1010" s="1" t="s">
        <v>31</v>
      </c>
      <c r="B1010" s="1">
        <v>1009</v>
      </c>
      <c r="C1010" s="1" t="s">
        <v>1043</v>
      </c>
      <c r="D1010">
        <f>IMAGE("https://raw.githubusercontent.com/stautonico/pokemon-home-pokedex/main/sprites/walking-wake.png", 2)</f>
        <v>0</v>
      </c>
      <c r="E1010" s="29" t="s">
        <v>30</v>
      </c>
      <c r="F1010" s="5"/>
    </row>
    <row r="1011" spans="1:6" ht="72" customHeight="1">
      <c r="A1011" s="1" t="s">
        <v>31</v>
      </c>
      <c r="B1011" s="1">
        <v>1010</v>
      </c>
      <c r="C1011" s="1" t="s">
        <v>1044</v>
      </c>
      <c r="D1011">
        <f>IMAGE("https://raw.githubusercontent.com/stautonico/pokemon-home-pokedex/main/sprites/iron-leaves.png", 2)</f>
        <v>0</v>
      </c>
      <c r="E1011" s="29" t="s">
        <v>30</v>
      </c>
      <c r="F1011" s="5"/>
    </row>
    <row r="1012" spans="1:6" ht="72" customHeight="1">
      <c r="A1012" s="1" t="s">
        <v>31</v>
      </c>
      <c r="B1012" s="1">
        <v>3</v>
      </c>
      <c r="C1012" s="1" t="s">
        <v>1045</v>
      </c>
      <c r="D1012">
        <f>IMAGE("https://raw.githubusercontent.com/stautonico/pokemon-home-pokedex/main/sprites/venusaur-f.png", 2)</f>
        <v>0</v>
      </c>
      <c r="E1012" s="2" t="s">
        <v>9</v>
      </c>
      <c r="F1012" s="3" t="s">
        <v>12</v>
      </c>
    </row>
    <row r="1013" spans="1:6" ht="72" customHeight="1">
      <c r="A1013" s="1" t="s">
        <v>31</v>
      </c>
      <c r="B1013" s="1">
        <v>12</v>
      </c>
      <c r="C1013" s="1" t="s">
        <v>1046</v>
      </c>
      <c r="D1013">
        <f>IMAGE("https://raw.githubusercontent.com/stautonico/pokemon-home-pokedex/main/sprites/butterfree-f.png", 2)</f>
        <v>0</v>
      </c>
      <c r="E1013" s="4" t="s">
        <v>14</v>
      </c>
      <c r="F1013" s="5"/>
    </row>
    <row r="1014" spans="1:6" ht="72" customHeight="1">
      <c r="A1014" s="1" t="s">
        <v>31</v>
      </c>
      <c r="B1014" s="1">
        <v>19</v>
      </c>
      <c r="C1014" s="1" t="s">
        <v>1047</v>
      </c>
      <c r="D1014">
        <f>IMAGE("https://raw.githubusercontent.com/stautonico/pokemon-home-pokedex/main/sprites/rattata-f.png", 2)</f>
        <v>0</v>
      </c>
      <c r="E1014" s="2" t="s">
        <v>9</v>
      </c>
      <c r="F1014" s="5"/>
    </row>
    <row r="1015" spans="1:6" ht="72" customHeight="1">
      <c r="A1015" s="1" t="s">
        <v>31</v>
      </c>
      <c r="B1015" s="1">
        <v>20</v>
      </c>
      <c r="C1015" s="1" t="s">
        <v>1048</v>
      </c>
      <c r="D1015">
        <f>IMAGE("https://raw.githubusercontent.com/stautonico/pokemon-home-pokedex/main/sprites/raticate-f.png", 2)</f>
        <v>0</v>
      </c>
      <c r="E1015" s="2" t="s">
        <v>9</v>
      </c>
      <c r="F1015" s="5"/>
    </row>
    <row r="1016" spans="1:6" ht="72" customHeight="1">
      <c r="A1016" s="1" t="s">
        <v>31</v>
      </c>
      <c r="B1016" s="1">
        <v>25</v>
      </c>
      <c r="C1016" s="1" t="s">
        <v>1049</v>
      </c>
      <c r="D1016">
        <f>IMAGE("https://raw.githubusercontent.com/stautonico/pokemon-home-pokedex/main/sprites/pikachu-f.png", 2)</f>
        <v>0</v>
      </c>
      <c r="E1016" s="29" t="s">
        <v>30</v>
      </c>
      <c r="F1016" s="4" t="s">
        <v>14</v>
      </c>
    </row>
    <row r="1017" spans="1:6" ht="72" customHeight="1">
      <c r="A1017" s="1" t="s">
        <v>31</v>
      </c>
      <c r="B1017" s="1">
        <v>26</v>
      </c>
      <c r="C1017" s="1" t="s">
        <v>1050</v>
      </c>
      <c r="D1017">
        <f>IMAGE("https://raw.githubusercontent.com/stautonico/pokemon-home-pokedex/main/sprites/raichu-f.png", 2)</f>
        <v>0</v>
      </c>
      <c r="E1017" s="29" t="s">
        <v>30</v>
      </c>
      <c r="F1017" s="4" t="s">
        <v>14</v>
      </c>
    </row>
    <row r="1018" spans="1:6" ht="72" customHeight="1">
      <c r="A1018" s="1" t="s">
        <v>31</v>
      </c>
      <c r="B1018" s="1">
        <v>41</v>
      </c>
      <c r="C1018" s="1" t="s">
        <v>1051</v>
      </c>
      <c r="D1018">
        <f>IMAGE("https://raw.githubusercontent.com/stautonico/pokemon-home-pokedex/main/sprites/zubat-f.png", 2)</f>
        <v>0</v>
      </c>
      <c r="E1018" s="2" t="s">
        <v>9</v>
      </c>
      <c r="F1018" s="5"/>
    </row>
    <row r="1019" spans="1:6" ht="72" customHeight="1">
      <c r="A1019" s="1" t="s">
        <v>31</v>
      </c>
      <c r="B1019" s="1">
        <v>42</v>
      </c>
      <c r="C1019" s="1" t="s">
        <v>1052</v>
      </c>
      <c r="D1019">
        <f>IMAGE("https://raw.githubusercontent.com/stautonico/pokemon-home-pokedex/main/sprites/golbat-f.png", 2)</f>
        <v>0</v>
      </c>
      <c r="E1019" s="2" t="s">
        <v>9</v>
      </c>
      <c r="F1019" s="5"/>
    </row>
    <row r="1020" spans="1:6" ht="72" customHeight="1">
      <c r="A1020" s="1" t="s">
        <v>31</v>
      </c>
      <c r="B1020" s="1">
        <v>44</v>
      </c>
      <c r="C1020" s="1" t="s">
        <v>1053</v>
      </c>
      <c r="D1020">
        <f>IMAGE("https://raw.githubusercontent.com/stautonico/pokemon-home-pokedex/main/sprites/gloom-f.png", 2)</f>
        <v>0</v>
      </c>
      <c r="E1020" s="4" t="s">
        <v>14</v>
      </c>
      <c r="F1020" s="5"/>
    </row>
    <row r="1021" spans="1:6" ht="72" customHeight="1">
      <c r="A1021" s="1" t="s">
        <v>31</v>
      </c>
      <c r="B1021" s="1">
        <v>45</v>
      </c>
      <c r="C1021" s="1" t="s">
        <v>1054</v>
      </c>
      <c r="D1021">
        <f>IMAGE("https://raw.githubusercontent.com/stautonico/pokemon-home-pokedex/main/sprites/vileplume-f.png", 2)</f>
        <v>0</v>
      </c>
      <c r="E1021" s="4" t="s">
        <v>14</v>
      </c>
      <c r="F1021" s="5"/>
    </row>
    <row r="1022" spans="1:6" ht="72" customHeight="1">
      <c r="A1022" s="1" t="s">
        <v>31</v>
      </c>
      <c r="B1022" s="1">
        <v>64</v>
      </c>
      <c r="C1022" s="1" t="s">
        <v>1055</v>
      </c>
      <c r="D1022">
        <f>IMAGE("https://raw.githubusercontent.com/stautonico/pokemon-home-pokedex/main/sprites/kadabra-f.png", 2)</f>
        <v>0</v>
      </c>
      <c r="E1022" s="3" t="s">
        <v>12</v>
      </c>
      <c r="F1022" s="5"/>
    </row>
    <row r="1023" spans="1:6" ht="72" customHeight="1">
      <c r="A1023" s="1" t="s">
        <v>31</v>
      </c>
      <c r="B1023" s="1">
        <v>65</v>
      </c>
      <c r="C1023" s="1" t="s">
        <v>1056</v>
      </c>
      <c r="D1023">
        <f>IMAGE("https://raw.githubusercontent.com/stautonico/pokemon-home-pokedex/main/sprites/alakazam-f.png", 2)</f>
        <v>0</v>
      </c>
      <c r="E1023" s="3" t="s">
        <v>12</v>
      </c>
      <c r="F1023" s="5"/>
    </row>
    <row r="1024" spans="1:6" ht="72" customHeight="1">
      <c r="A1024" s="1" t="s">
        <v>31</v>
      </c>
      <c r="B1024" s="1">
        <v>84</v>
      </c>
      <c r="C1024" s="1" t="s">
        <v>1057</v>
      </c>
      <c r="D1024">
        <f>IMAGE("https://raw.githubusercontent.com/stautonico/pokemon-home-pokedex/main/sprites/doduo-f.png", 2)</f>
        <v>0</v>
      </c>
      <c r="E1024" s="2" t="s">
        <v>9</v>
      </c>
      <c r="F1024" s="5"/>
    </row>
    <row r="1025" spans="1:6" ht="72" customHeight="1">
      <c r="A1025" s="1" t="s">
        <v>31</v>
      </c>
      <c r="B1025" s="1">
        <v>85</v>
      </c>
      <c r="C1025" s="1" t="s">
        <v>1058</v>
      </c>
      <c r="D1025">
        <f>IMAGE("https://raw.githubusercontent.com/stautonico/pokemon-home-pokedex/main/sprites/dodrio-f.png", 2)</f>
        <v>0</v>
      </c>
      <c r="E1025" s="2" t="s">
        <v>9</v>
      </c>
      <c r="F1025" s="5"/>
    </row>
    <row r="1026" spans="1:6" ht="72" customHeight="1">
      <c r="A1026" s="1" t="s">
        <v>31</v>
      </c>
      <c r="B1026" s="1">
        <v>97</v>
      </c>
      <c r="C1026" s="1" t="s">
        <v>1059</v>
      </c>
      <c r="D1026">
        <f>IMAGE("https://raw.githubusercontent.com/stautonico/pokemon-home-pokedex/main/sprites/hypno-f.png", 2)</f>
        <v>0</v>
      </c>
      <c r="E1026" s="29" t="s">
        <v>30</v>
      </c>
      <c r="F1026" s="2" t="s">
        <v>9</v>
      </c>
    </row>
    <row r="1027" spans="1:6" ht="72" customHeight="1">
      <c r="A1027" s="1" t="s">
        <v>31</v>
      </c>
      <c r="B1027" s="1">
        <v>111</v>
      </c>
      <c r="C1027" s="1" t="s">
        <v>1060</v>
      </c>
      <c r="D1027">
        <f>IMAGE("https://raw.githubusercontent.com/stautonico/pokemon-home-pokedex/main/sprites/rhyhorn-f.png", 2)</f>
        <v>0</v>
      </c>
      <c r="E1027" s="4" t="s">
        <v>14</v>
      </c>
      <c r="F1027" s="5"/>
    </row>
    <row r="1028" spans="1:6" ht="72" customHeight="1">
      <c r="A1028" s="1" t="s">
        <v>31</v>
      </c>
      <c r="B1028" s="1">
        <v>112</v>
      </c>
      <c r="C1028" s="1" t="s">
        <v>1061</v>
      </c>
      <c r="D1028">
        <f>IMAGE("https://raw.githubusercontent.com/stautonico/pokemon-home-pokedex/main/sprites/rhydon-f.png", 2)</f>
        <v>0</v>
      </c>
      <c r="E1028" s="4" t="s">
        <v>14</v>
      </c>
      <c r="F1028" s="5"/>
    </row>
    <row r="1029" spans="1:6" ht="72" customHeight="1">
      <c r="A1029" s="1" t="s">
        <v>31</v>
      </c>
      <c r="B1029" s="1">
        <v>118</v>
      </c>
      <c r="C1029" s="1" t="s">
        <v>1062</v>
      </c>
      <c r="D1029">
        <f>IMAGE("https://raw.githubusercontent.com/stautonico/pokemon-home-pokedex/main/sprites/goldeen-f.png", 2)</f>
        <v>0</v>
      </c>
      <c r="E1029" s="4" t="s">
        <v>14</v>
      </c>
      <c r="F1029" s="5"/>
    </row>
    <row r="1030" spans="1:6" ht="72" customHeight="1">
      <c r="A1030" s="1" t="s">
        <v>31</v>
      </c>
      <c r="B1030" s="1">
        <v>119</v>
      </c>
      <c r="C1030" s="1" t="s">
        <v>1063</v>
      </c>
      <c r="D1030">
        <f>IMAGE("https://raw.githubusercontent.com/stautonico/pokemon-home-pokedex/main/sprites/seaking-f.png", 2)</f>
        <v>0</v>
      </c>
      <c r="E1030" s="4" t="s">
        <v>14</v>
      </c>
      <c r="F1030" s="5"/>
    </row>
    <row r="1031" spans="1:6" ht="72" customHeight="1">
      <c r="A1031" s="1" t="s">
        <v>31</v>
      </c>
      <c r="B1031" s="1">
        <v>123</v>
      </c>
      <c r="C1031" s="1" t="s">
        <v>1064</v>
      </c>
      <c r="D1031">
        <f>IMAGE("https://raw.githubusercontent.com/stautonico/pokemon-home-pokedex/main/sprites/scyther-f.png", 2)</f>
        <v>0</v>
      </c>
      <c r="E1031" s="29" t="s">
        <v>30</v>
      </c>
      <c r="F1031" s="3" t="s">
        <v>12</v>
      </c>
    </row>
    <row r="1032" spans="1:6" ht="72" customHeight="1">
      <c r="A1032" s="1" t="s">
        <v>31</v>
      </c>
      <c r="B1032" s="1">
        <v>129</v>
      </c>
      <c r="C1032" s="1" t="s">
        <v>1065</v>
      </c>
      <c r="D1032">
        <f>IMAGE("https://raw.githubusercontent.com/stautonico/pokemon-home-pokedex/main/sprites/magikarp-f.png", 2)</f>
        <v>0</v>
      </c>
      <c r="E1032" s="29" t="s">
        <v>30</v>
      </c>
      <c r="F1032" s="4" t="s">
        <v>14</v>
      </c>
    </row>
    <row r="1033" spans="1:6" ht="72" customHeight="1">
      <c r="A1033" s="1" t="s">
        <v>31</v>
      </c>
      <c r="B1033" s="1">
        <v>130</v>
      </c>
      <c r="C1033" s="1" t="s">
        <v>1066</v>
      </c>
      <c r="D1033">
        <f>IMAGE("https://raw.githubusercontent.com/stautonico/pokemon-home-pokedex/main/sprites/gyarados-f.png", 2)</f>
        <v>0</v>
      </c>
      <c r="E1033" s="29" t="s">
        <v>30</v>
      </c>
      <c r="F1033" s="4" t="s">
        <v>14</v>
      </c>
    </row>
    <row r="1034" spans="1:6" ht="72" customHeight="1">
      <c r="A1034" s="1" t="s">
        <v>31</v>
      </c>
      <c r="B1034" s="1">
        <v>133</v>
      </c>
      <c r="C1034" s="1" t="s">
        <v>1067</v>
      </c>
      <c r="D1034">
        <f>IMAGE("https://raw.githubusercontent.com/stautonico/pokemon-home-pokedex/main/sprites/eevee-f.png", 2)</f>
        <v>0</v>
      </c>
      <c r="E1034" s="29" t="s">
        <v>30</v>
      </c>
      <c r="F1034" s="4" t="s">
        <v>14</v>
      </c>
    </row>
    <row r="1035" spans="1:6" ht="72" customHeight="1">
      <c r="A1035" s="1" t="s">
        <v>31</v>
      </c>
      <c r="B1035" s="1">
        <v>154</v>
      </c>
      <c r="C1035" s="1" t="s">
        <v>1068</v>
      </c>
      <c r="D1035">
        <f>IMAGE("https://raw.githubusercontent.com/stautonico/pokemon-home-pokedex/main/sprites/meganium-f.png", 2)</f>
        <v>0</v>
      </c>
      <c r="E1035" s="36" t="s">
        <v>19</v>
      </c>
      <c r="F1035" s="34" t="s">
        <v>22</v>
      </c>
    </row>
    <row r="1036" spans="1:6" ht="72" customHeight="1">
      <c r="A1036" s="1" t="s">
        <v>31</v>
      </c>
      <c r="B1036" s="1">
        <v>165</v>
      </c>
      <c r="C1036" s="1" t="s">
        <v>1069</v>
      </c>
      <c r="D1036">
        <f>IMAGE("https://raw.githubusercontent.com/stautonico/pokemon-home-pokedex/main/sprites/ledyba-f.png", 2)</f>
        <v>0</v>
      </c>
      <c r="E1036" s="36" t="s">
        <v>19</v>
      </c>
      <c r="F1036" s="5"/>
    </row>
    <row r="1037" spans="1:6" ht="72" customHeight="1">
      <c r="A1037" s="1" t="s">
        <v>31</v>
      </c>
      <c r="B1037" s="1">
        <v>166</v>
      </c>
      <c r="C1037" s="1" t="s">
        <v>1070</v>
      </c>
      <c r="D1037">
        <f>IMAGE("https://raw.githubusercontent.com/stautonico/pokemon-home-pokedex/main/sprites/ledian-f.png", 2)</f>
        <v>0</v>
      </c>
      <c r="E1037" s="36" t="s">
        <v>19</v>
      </c>
      <c r="F1037" s="5"/>
    </row>
    <row r="1038" spans="1:6" ht="72" customHeight="1">
      <c r="A1038" s="1" t="s">
        <v>31</v>
      </c>
      <c r="B1038" s="1">
        <v>178</v>
      </c>
      <c r="C1038" s="1" t="s">
        <v>1071</v>
      </c>
      <c r="D1038">
        <f>IMAGE("https://raw.githubusercontent.com/stautonico/pokemon-home-pokedex/main/sprites/xatu-f.png", 2)</f>
        <v>0</v>
      </c>
      <c r="E1038" s="4" t="s">
        <v>14</v>
      </c>
      <c r="F1038" s="5"/>
    </row>
    <row r="1039" spans="1:6" ht="72" customHeight="1">
      <c r="A1039" s="1" t="s">
        <v>31</v>
      </c>
      <c r="B1039" s="1">
        <v>185</v>
      </c>
      <c r="C1039" s="1" t="s">
        <v>1072</v>
      </c>
      <c r="D1039">
        <f>IMAGE("https://raw.githubusercontent.com/stautonico/pokemon-home-pokedex/main/sprites/sudowoodo-f.png", 2)</f>
        <v>0</v>
      </c>
      <c r="E1039" s="29" t="s">
        <v>30</v>
      </c>
      <c r="F1039" s="4" t="s">
        <v>14</v>
      </c>
    </row>
    <row r="1040" spans="1:6" ht="72" customHeight="1">
      <c r="A1040" s="1" t="s">
        <v>31</v>
      </c>
      <c r="B1040" s="1">
        <v>186</v>
      </c>
      <c r="C1040" s="1" t="s">
        <v>1073</v>
      </c>
      <c r="D1040">
        <f>IMAGE("https://raw.githubusercontent.com/stautonico/pokemon-home-pokedex/main/sprites/politoed-f.png", 2)</f>
        <v>0</v>
      </c>
      <c r="E1040" s="3" t="s">
        <v>12</v>
      </c>
      <c r="F1040" s="36" t="s">
        <v>19</v>
      </c>
    </row>
    <row r="1041" spans="1:6" ht="72" customHeight="1">
      <c r="A1041" s="1" t="s">
        <v>31</v>
      </c>
      <c r="B1041" s="1">
        <v>190</v>
      </c>
      <c r="C1041" s="1" t="s">
        <v>1074</v>
      </c>
      <c r="D1041">
        <f>IMAGE("https://raw.githubusercontent.com/stautonico/pokemon-home-pokedex/main/sprites/aipom-f.png", 2)</f>
        <v>0</v>
      </c>
      <c r="E1041" s="36" t="s">
        <v>19</v>
      </c>
      <c r="F1041" s="5"/>
    </row>
    <row r="1042" spans="1:6" ht="72" customHeight="1">
      <c r="A1042" s="1" t="s">
        <v>31</v>
      </c>
      <c r="B1042" s="1">
        <v>194</v>
      </c>
      <c r="C1042" s="1" t="s">
        <v>1075</v>
      </c>
      <c r="D1042">
        <f>IMAGE("https://raw.githubusercontent.com/stautonico/pokemon-home-pokedex/main/sprites/wooper-f.png", 2)</f>
        <v>0</v>
      </c>
      <c r="E1042" s="4" t="s">
        <v>14</v>
      </c>
      <c r="F1042" s="5"/>
    </row>
    <row r="1043" spans="1:6" ht="72" customHeight="1">
      <c r="A1043" s="1" t="s">
        <v>31</v>
      </c>
      <c r="B1043" s="1">
        <v>195</v>
      </c>
      <c r="C1043" s="1" t="s">
        <v>1076</v>
      </c>
      <c r="D1043">
        <f>IMAGE("https://raw.githubusercontent.com/stautonico/pokemon-home-pokedex/main/sprites/quagsire-f.png", 2)</f>
        <v>0</v>
      </c>
      <c r="E1043" s="4" t="s">
        <v>14</v>
      </c>
      <c r="F1043" s="5"/>
    </row>
    <row r="1044" spans="1:6" ht="72" customHeight="1">
      <c r="A1044" s="1" t="s">
        <v>31</v>
      </c>
      <c r="B1044" s="1">
        <v>198</v>
      </c>
      <c r="C1044" s="1" t="s">
        <v>1077</v>
      </c>
      <c r="D1044">
        <f>IMAGE("https://raw.githubusercontent.com/stautonico/pokemon-home-pokedex/main/sprites/murkrow-f.png", 2)</f>
        <v>0</v>
      </c>
      <c r="E1044" s="29" t="s">
        <v>30</v>
      </c>
      <c r="F1044" s="36" t="s">
        <v>19</v>
      </c>
    </row>
    <row r="1045" spans="1:6" ht="72" customHeight="1">
      <c r="A1045" s="1" t="s">
        <v>31</v>
      </c>
      <c r="B1045" s="1">
        <v>202</v>
      </c>
      <c r="C1045" s="1" t="s">
        <v>1078</v>
      </c>
      <c r="D1045">
        <f>IMAGE("https://raw.githubusercontent.com/stautonico/pokemon-home-pokedex/main/sprites/wobbuffet-f.png", 2)</f>
        <v>0</v>
      </c>
      <c r="E1045" s="4" t="s">
        <v>14</v>
      </c>
      <c r="F1045" s="5"/>
    </row>
    <row r="1046" spans="1:6" ht="72" customHeight="1">
      <c r="A1046" s="1" t="s">
        <v>31</v>
      </c>
      <c r="B1046" s="1">
        <v>203</v>
      </c>
      <c r="C1046" s="1" t="s">
        <v>1079</v>
      </c>
      <c r="D1046">
        <f>IMAGE("https://raw.githubusercontent.com/stautonico/pokemon-home-pokedex/main/sprites/girafarig-f.png", 2)</f>
        <v>0</v>
      </c>
      <c r="E1046" s="29" t="s">
        <v>30</v>
      </c>
      <c r="F1046" s="34" t="s">
        <v>22</v>
      </c>
    </row>
    <row r="1047" spans="1:6" ht="72" customHeight="1">
      <c r="A1047" s="1" t="s">
        <v>31</v>
      </c>
      <c r="B1047" s="1">
        <v>207</v>
      </c>
      <c r="C1047" s="1" t="s">
        <v>1080</v>
      </c>
      <c r="D1047">
        <f>IMAGE("https://raw.githubusercontent.com/stautonico/pokemon-home-pokedex/main/sprites/gligar-f.png", 2)</f>
        <v>0</v>
      </c>
      <c r="E1047" s="36" t="s">
        <v>19</v>
      </c>
      <c r="F1047" s="5"/>
    </row>
    <row r="1048" spans="1:6" ht="72" customHeight="1">
      <c r="A1048" s="1" t="s">
        <v>31</v>
      </c>
      <c r="B1048" s="1">
        <v>208</v>
      </c>
      <c r="C1048" s="1" t="s">
        <v>1081</v>
      </c>
      <c r="D1048">
        <f>IMAGE("https://raw.githubusercontent.com/stautonico/pokemon-home-pokedex/main/sprites/steelix-f.png", 2)</f>
        <v>0</v>
      </c>
      <c r="E1048" s="4" t="s">
        <v>14</v>
      </c>
      <c r="F1048" s="5"/>
    </row>
    <row r="1049" spans="1:6" ht="72" customHeight="1">
      <c r="A1049" s="1" t="s">
        <v>31</v>
      </c>
      <c r="B1049" s="1">
        <v>212</v>
      </c>
      <c r="C1049" s="1" t="s">
        <v>1082</v>
      </c>
      <c r="D1049">
        <f>IMAGE("https://raw.githubusercontent.com/stautonico/pokemon-home-pokedex/main/sprites/scizor-f.png", 2)</f>
        <v>0</v>
      </c>
      <c r="E1049" s="29" t="s">
        <v>30</v>
      </c>
      <c r="F1049" s="3" t="s">
        <v>12</v>
      </c>
    </row>
    <row r="1050" spans="1:6" ht="72" customHeight="1">
      <c r="A1050" s="1" t="s">
        <v>31</v>
      </c>
      <c r="B1050" s="1">
        <v>214</v>
      </c>
      <c r="C1050" s="1" t="s">
        <v>1083</v>
      </c>
      <c r="D1050">
        <f>IMAGE("https://raw.githubusercontent.com/stautonico/pokemon-home-pokedex/main/sprites/heracross-f.png", 2)</f>
        <v>0</v>
      </c>
      <c r="E1050" s="29" t="s">
        <v>30</v>
      </c>
      <c r="F1050" s="3" t="s">
        <v>12</v>
      </c>
    </row>
    <row r="1051" spans="1:6" ht="72" customHeight="1">
      <c r="A1051" s="1" t="s">
        <v>31</v>
      </c>
      <c r="B1051" s="1">
        <v>215</v>
      </c>
      <c r="C1051" s="1" t="s">
        <v>1084</v>
      </c>
      <c r="D1051">
        <f>IMAGE("https://raw.githubusercontent.com/stautonico/pokemon-home-pokedex/main/sprites/sneasel-f.png", 2)</f>
        <v>0</v>
      </c>
      <c r="E1051" s="29" t="s">
        <v>30</v>
      </c>
      <c r="F1051" s="4" t="s">
        <v>14</v>
      </c>
    </row>
    <row r="1052" spans="1:6" ht="72" customHeight="1">
      <c r="A1052" s="1" t="s">
        <v>31</v>
      </c>
      <c r="B1052" s="1">
        <v>10235</v>
      </c>
      <c r="C1052" s="1" t="s">
        <v>1085</v>
      </c>
      <c r="D1052">
        <f>IMAGE("https://raw.githubusercontent.com/stautonico/pokemon-home-pokedex/main/sprites/sneasel-hisui-f.png", 2)</f>
        <v>0</v>
      </c>
      <c r="E1052" s="46" t="s">
        <v>27</v>
      </c>
      <c r="F1052" s="5"/>
    </row>
    <row r="1053" spans="1:6" ht="72" customHeight="1">
      <c r="A1053" s="1" t="s">
        <v>31</v>
      </c>
      <c r="B1053" s="1">
        <v>217</v>
      </c>
      <c r="C1053" s="1" t="s">
        <v>1086</v>
      </c>
      <c r="D1053">
        <f>IMAGE("https://raw.githubusercontent.com/stautonico/pokemon-home-pokedex/main/sprites/ursaring-f.png", 2)</f>
        <v>0</v>
      </c>
      <c r="E1053" s="29" t="s">
        <v>30</v>
      </c>
      <c r="F1053" s="36" t="s">
        <v>19</v>
      </c>
    </row>
    <row r="1054" spans="1:6" ht="72" customHeight="1">
      <c r="A1054" s="1" t="s">
        <v>31</v>
      </c>
      <c r="B1054" s="1">
        <v>221</v>
      </c>
      <c r="C1054" s="1" t="s">
        <v>1087</v>
      </c>
      <c r="D1054">
        <f>IMAGE("https://raw.githubusercontent.com/stautonico/pokemon-home-pokedex/main/sprites/piloswine-f.png", 2)</f>
        <v>0</v>
      </c>
      <c r="E1054" s="4" t="s">
        <v>14</v>
      </c>
      <c r="F1054" s="5"/>
    </row>
    <row r="1055" spans="1:6" ht="72" customHeight="1">
      <c r="A1055" s="1" t="s">
        <v>31</v>
      </c>
      <c r="B1055" s="1">
        <v>224</v>
      </c>
      <c r="C1055" s="1" t="s">
        <v>1088</v>
      </c>
      <c r="D1055">
        <f>IMAGE("https://raw.githubusercontent.com/stautonico/pokemon-home-pokedex/main/sprites/octillery-f.png", 2)</f>
        <v>0</v>
      </c>
      <c r="E1055" s="4" t="s">
        <v>14</v>
      </c>
      <c r="F1055" s="5"/>
    </row>
    <row r="1056" spans="1:6" ht="72" customHeight="1">
      <c r="A1056" s="1" t="s">
        <v>31</v>
      </c>
      <c r="B1056" s="1">
        <v>229</v>
      </c>
      <c r="C1056" s="1" t="s">
        <v>1089</v>
      </c>
      <c r="D1056">
        <f>IMAGE("https://raw.githubusercontent.com/stautonico/pokemon-home-pokedex/main/sprites/houndoom-f.png", 2)</f>
        <v>0</v>
      </c>
      <c r="E1056" s="29" t="s">
        <v>30</v>
      </c>
      <c r="F1056" s="36" t="s">
        <v>19</v>
      </c>
    </row>
    <row r="1057" spans="1:6" ht="72" customHeight="1">
      <c r="A1057" s="1" t="s">
        <v>31</v>
      </c>
      <c r="B1057" s="1">
        <v>232</v>
      </c>
      <c r="C1057" s="1" t="s">
        <v>1090</v>
      </c>
      <c r="D1057">
        <f>IMAGE("https://raw.githubusercontent.com/stautonico/pokemon-home-pokedex/main/sprites/donphan-f.png", 2)</f>
        <v>0</v>
      </c>
      <c r="E1057" s="29" t="s">
        <v>30</v>
      </c>
      <c r="F1057" s="36" t="s">
        <v>19</v>
      </c>
    </row>
    <row r="1058" spans="1:6" ht="72" customHeight="1">
      <c r="A1058" s="1" t="s">
        <v>31</v>
      </c>
      <c r="B1058" s="1">
        <v>255</v>
      </c>
      <c r="C1058" s="1" t="s">
        <v>1091</v>
      </c>
      <c r="D1058">
        <f>IMAGE("https://raw.githubusercontent.com/stautonico/pokemon-home-pokedex/main/sprites/torchic-f.png", 2)</f>
        <v>0</v>
      </c>
      <c r="E1058" s="32" t="s">
        <v>18</v>
      </c>
      <c r="F1058" s="34" t="s">
        <v>22</v>
      </c>
    </row>
    <row r="1059" spans="1:6" ht="72" customHeight="1">
      <c r="A1059" s="1" t="s">
        <v>31</v>
      </c>
      <c r="B1059" s="1">
        <v>256</v>
      </c>
      <c r="C1059" s="1" t="s">
        <v>1092</v>
      </c>
      <c r="D1059">
        <f>IMAGE("https://raw.githubusercontent.com/stautonico/pokemon-home-pokedex/main/sprites/combusken-f.png", 2)</f>
        <v>0</v>
      </c>
      <c r="E1059" s="32" t="s">
        <v>18</v>
      </c>
      <c r="F1059" s="34" t="s">
        <v>22</v>
      </c>
    </row>
    <row r="1060" spans="1:6" ht="72" customHeight="1">
      <c r="A1060" s="1" t="s">
        <v>31</v>
      </c>
      <c r="B1060" s="1">
        <v>257</v>
      </c>
      <c r="C1060" s="1" t="s">
        <v>1093</v>
      </c>
      <c r="D1060">
        <f>IMAGE("https://raw.githubusercontent.com/stautonico/pokemon-home-pokedex/main/sprites/blaziken-f.png", 2)</f>
        <v>0</v>
      </c>
      <c r="E1060" s="32" t="s">
        <v>18</v>
      </c>
      <c r="F1060" s="34" t="s">
        <v>22</v>
      </c>
    </row>
    <row r="1061" spans="1:6" ht="72" customHeight="1">
      <c r="A1061" s="1" t="s">
        <v>31</v>
      </c>
      <c r="B1061" s="1">
        <v>267</v>
      </c>
      <c r="C1061" s="1" t="s">
        <v>1094</v>
      </c>
      <c r="D1061">
        <f>IMAGE("https://raw.githubusercontent.com/stautonico/pokemon-home-pokedex/main/sprites/beautifly-f.png", 2)</f>
        <v>0</v>
      </c>
      <c r="E1061" s="34" t="s">
        <v>22</v>
      </c>
      <c r="F1061" s="5"/>
    </row>
    <row r="1062" spans="1:6" ht="72" customHeight="1">
      <c r="A1062" s="1" t="s">
        <v>31</v>
      </c>
      <c r="B1062" s="1">
        <v>269</v>
      </c>
      <c r="C1062" s="1" t="s">
        <v>1095</v>
      </c>
      <c r="D1062">
        <f>IMAGE("https://raw.githubusercontent.com/stautonico/pokemon-home-pokedex/main/sprites/dustox-f.png", 2)</f>
        <v>0</v>
      </c>
      <c r="E1062" s="34" t="s">
        <v>22</v>
      </c>
      <c r="F1062" s="5"/>
    </row>
    <row r="1063" spans="1:6" ht="72" customHeight="1">
      <c r="A1063" s="1" t="s">
        <v>31</v>
      </c>
      <c r="B1063" s="1">
        <v>272</v>
      </c>
      <c r="C1063" s="1" t="s">
        <v>1096</v>
      </c>
      <c r="D1063">
        <f>IMAGE("https://raw.githubusercontent.com/stautonico/pokemon-home-pokedex/main/sprites/ludicolo-f.png", 2)</f>
        <v>0</v>
      </c>
      <c r="E1063" s="33" t="s">
        <v>16</v>
      </c>
      <c r="F1063" s="25" t="s">
        <v>17</v>
      </c>
    </row>
    <row r="1064" spans="1:6" ht="72" customHeight="1">
      <c r="A1064" s="1" t="s">
        <v>31</v>
      </c>
      <c r="B1064" s="1">
        <v>274</v>
      </c>
      <c r="C1064" s="1" t="s">
        <v>1097</v>
      </c>
      <c r="D1064">
        <f>IMAGE("https://raw.githubusercontent.com/stautonico/pokemon-home-pokedex/main/sprites/nuzleaf-f.png", 2)</f>
        <v>0</v>
      </c>
      <c r="E1064" s="35" t="s">
        <v>15</v>
      </c>
      <c r="F1064" s="25" t="s">
        <v>17</v>
      </c>
    </row>
    <row r="1065" spans="1:6" ht="72" customHeight="1">
      <c r="A1065" s="1" t="s">
        <v>31</v>
      </c>
      <c r="B1065" s="1">
        <v>275</v>
      </c>
      <c r="C1065" s="1" t="s">
        <v>1098</v>
      </c>
      <c r="D1065">
        <f>IMAGE("https://raw.githubusercontent.com/stautonico/pokemon-home-pokedex/main/sprites/shiftry-f.png", 2)</f>
        <v>0</v>
      </c>
      <c r="E1065" s="35" t="s">
        <v>15</v>
      </c>
      <c r="F1065" s="25" t="s">
        <v>17</v>
      </c>
    </row>
    <row r="1066" spans="1:6" ht="72" customHeight="1">
      <c r="A1066" s="1" t="s">
        <v>31</v>
      </c>
      <c r="B1066" s="1">
        <v>307</v>
      </c>
      <c r="C1066" s="1" t="s">
        <v>1099</v>
      </c>
      <c r="D1066">
        <f>IMAGE("https://raw.githubusercontent.com/stautonico/pokemon-home-pokedex/main/sprites/meditite-f.png", 2)</f>
        <v>0</v>
      </c>
      <c r="E1066" s="29" t="s">
        <v>30</v>
      </c>
      <c r="F1066" s="34" t="s">
        <v>22</v>
      </c>
    </row>
    <row r="1067" spans="1:6" ht="72" customHeight="1">
      <c r="A1067" s="1" t="s">
        <v>31</v>
      </c>
      <c r="B1067" s="1">
        <v>308</v>
      </c>
      <c r="C1067" s="1" t="s">
        <v>1100</v>
      </c>
      <c r="D1067">
        <f>IMAGE("https://raw.githubusercontent.com/stautonico/pokemon-home-pokedex/main/sprites/medicham-f.png", 2)</f>
        <v>0</v>
      </c>
      <c r="E1067" s="29" t="s">
        <v>30</v>
      </c>
      <c r="F1067" s="34" t="s">
        <v>22</v>
      </c>
    </row>
    <row r="1068" spans="1:6" ht="72" customHeight="1">
      <c r="A1068" s="1" t="s">
        <v>31</v>
      </c>
      <c r="B1068" s="1">
        <v>315</v>
      </c>
      <c r="C1068" s="1" t="s">
        <v>1101</v>
      </c>
      <c r="D1068">
        <f>IMAGE("https://raw.githubusercontent.com/stautonico/pokemon-home-pokedex/main/sprites/roselia-f.png", 2)</f>
        <v>0</v>
      </c>
      <c r="E1068" s="4" t="s">
        <v>14</v>
      </c>
      <c r="F1068" s="5"/>
    </row>
    <row r="1069" spans="1:6" ht="72" customHeight="1">
      <c r="A1069" s="1" t="s">
        <v>31</v>
      </c>
      <c r="B1069" s="1">
        <v>316</v>
      </c>
      <c r="C1069" s="1" t="s">
        <v>1102</v>
      </c>
      <c r="D1069">
        <f>IMAGE("https://raw.githubusercontent.com/stautonico/pokemon-home-pokedex/main/sprites/gulpin-f.png", 2)</f>
        <v>0</v>
      </c>
      <c r="E1069" s="37" t="s">
        <v>29</v>
      </c>
      <c r="F1069" s="34" t="s">
        <v>22</v>
      </c>
    </row>
    <row r="1070" spans="1:6" ht="72" customHeight="1">
      <c r="A1070" s="1" t="s">
        <v>31</v>
      </c>
      <c r="B1070" s="1">
        <v>317</v>
      </c>
      <c r="C1070" s="1" t="s">
        <v>1103</v>
      </c>
      <c r="D1070">
        <f>IMAGE("https://raw.githubusercontent.com/stautonico/pokemon-home-pokedex/main/sprites/swalot-f.png", 2)</f>
        <v>0</v>
      </c>
      <c r="E1070" s="37" t="s">
        <v>29</v>
      </c>
      <c r="F1070" s="34" t="s">
        <v>22</v>
      </c>
    </row>
    <row r="1071" spans="1:6" ht="72" customHeight="1">
      <c r="A1071" s="1" t="s">
        <v>31</v>
      </c>
      <c r="B1071" s="1">
        <v>322</v>
      </c>
      <c r="C1071" s="1" t="s">
        <v>1104</v>
      </c>
      <c r="D1071">
        <f>IMAGE("https://raw.githubusercontent.com/stautonico/pokemon-home-pokedex/main/sprites/numel-f.png", 2)</f>
        <v>0</v>
      </c>
      <c r="E1071" s="29" t="s">
        <v>30</v>
      </c>
      <c r="F1071" s="34" t="s">
        <v>22</v>
      </c>
    </row>
    <row r="1072" spans="1:6" ht="72" customHeight="1">
      <c r="A1072" s="1" t="s">
        <v>31</v>
      </c>
      <c r="B1072" s="1">
        <v>323</v>
      </c>
      <c r="C1072" s="1" t="s">
        <v>1105</v>
      </c>
      <c r="D1072">
        <f>IMAGE("https://raw.githubusercontent.com/stautonico/pokemon-home-pokedex/main/sprites/camerupt-f.png", 2)</f>
        <v>0</v>
      </c>
      <c r="E1072" s="29" t="s">
        <v>30</v>
      </c>
      <c r="F1072" s="34" t="s">
        <v>22</v>
      </c>
    </row>
    <row r="1073" spans="1:6" ht="72" customHeight="1">
      <c r="A1073" s="1" t="s">
        <v>31</v>
      </c>
      <c r="B1073" s="1">
        <v>332</v>
      </c>
      <c r="C1073" s="1" t="s">
        <v>1106</v>
      </c>
      <c r="D1073">
        <f>IMAGE("https://raw.githubusercontent.com/stautonico/pokemon-home-pokedex/main/sprites/cacturne-f.png", 2)</f>
        <v>0</v>
      </c>
      <c r="E1073" s="29" t="s">
        <v>30</v>
      </c>
      <c r="F1073" s="34" t="s">
        <v>22</v>
      </c>
    </row>
    <row r="1074" spans="1:6" ht="72" customHeight="1">
      <c r="A1074" s="1" t="s">
        <v>31</v>
      </c>
      <c r="B1074" s="1">
        <v>350</v>
      </c>
      <c r="C1074" s="1" t="s">
        <v>1107</v>
      </c>
      <c r="D1074">
        <f>IMAGE("https://raw.githubusercontent.com/stautonico/pokemon-home-pokedex/main/sprites/milotic-f.png", 2)</f>
        <v>0</v>
      </c>
      <c r="E1074" s="4" t="s">
        <v>14</v>
      </c>
      <c r="F1074" s="5"/>
    </row>
    <row r="1075" spans="1:6" ht="72" customHeight="1">
      <c r="A1075" s="1" t="s">
        <v>31</v>
      </c>
      <c r="B1075" s="1">
        <v>369</v>
      </c>
      <c r="C1075" s="1" t="s">
        <v>1108</v>
      </c>
      <c r="D1075">
        <f>IMAGE("https://raw.githubusercontent.com/stautonico/pokemon-home-pokedex/main/sprites/relicanth-f.png", 2)</f>
        <v>0</v>
      </c>
      <c r="E1075" s="34" t="s">
        <v>22</v>
      </c>
      <c r="F1075" s="5"/>
    </row>
    <row r="1076" spans="1:6" ht="72" customHeight="1">
      <c r="A1076" s="1" t="s">
        <v>31</v>
      </c>
      <c r="B1076" s="1">
        <v>396</v>
      </c>
      <c r="C1076" s="1" t="s">
        <v>1109</v>
      </c>
      <c r="D1076">
        <f>IMAGE("https://raw.githubusercontent.com/stautonico/pokemon-home-pokedex/main/sprites/starly-f.png", 2)</f>
        <v>0</v>
      </c>
      <c r="E1076" s="29" t="s">
        <v>30</v>
      </c>
      <c r="F1076" s="25" t="s">
        <v>17</v>
      </c>
    </row>
    <row r="1077" spans="1:6" ht="72" customHeight="1">
      <c r="A1077" s="1" t="s">
        <v>31</v>
      </c>
      <c r="B1077" s="1">
        <v>397</v>
      </c>
      <c r="C1077" s="1" t="s">
        <v>1110</v>
      </c>
      <c r="D1077">
        <f>IMAGE("https://raw.githubusercontent.com/stautonico/pokemon-home-pokedex/main/sprites/staravia-f.png", 2)</f>
        <v>0</v>
      </c>
      <c r="E1077" s="29" t="s">
        <v>30</v>
      </c>
      <c r="F1077" s="25" t="s">
        <v>17</v>
      </c>
    </row>
    <row r="1078" spans="1:6" ht="72" customHeight="1">
      <c r="A1078" s="1" t="s">
        <v>31</v>
      </c>
      <c r="B1078" s="1">
        <v>398</v>
      </c>
      <c r="C1078" s="1" t="s">
        <v>1111</v>
      </c>
      <c r="D1078">
        <f>IMAGE("https://raw.githubusercontent.com/stautonico/pokemon-home-pokedex/main/sprites/staraptor-f.png", 2)</f>
        <v>0</v>
      </c>
      <c r="E1078" s="29" t="s">
        <v>30</v>
      </c>
      <c r="F1078" s="25" t="s">
        <v>17</v>
      </c>
    </row>
    <row r="1079" spans="1:6" ht="72" customHeight="1">
      <c r="A1079" s="1" t="s">
        <v>31</v>
      </c>
      <c r="B1079" s="1">
        <v>399</v>
      </c>
      <c r="C1079" s="1" t="s">
        <v>1112</v>
      </c>
      <c r="D1079">
        <f>IMAGE("https://raw.githubusercontent.com/stautonico/pokemon-home-pokedex/main/sprites/bidoof-f.png", 2)</f>
        <v>0</v>
      </c>
      <c r="E1079" s="25" t="s">
        <v>17</v>
      </c>
      <c r="F1079" s="5"/>
    </row>
    <row r="1080" spans="1:6" ht="72" customHeight="1">
      <c r="A1080" s="1" t="s">
        <v>31</v>
      </c>
      <c r="B1080" s="1">
        <v>400</v>
      </c>
      <c r="C1080" s="1" t="s">
        <v>1113</v>
      </c>
      <c r="D1080">
        <f>IMAGE("https://raw.githubusercontent.com/stautonico/pokemon-home-pokedex/main/sprites/bibarel-f.png", 2)</f>
        <v>0</v>
      </c>
      <c r="E1080" s="25" t="s">
        <v>17</v>
      </c>
      <c r="F1080" s="5"/>
    </row>
    <row r="1081" spans="1:6" ht="72" customHeight="1">
      <c r="A1081" s="1" t="s">
        <v>31</v>
      </c>
      <c r="B1081" s="1">
        <v>401</v>
      </c>
      <c r="C1081" s="1" t="s">
        <v>1114</v>
      </c>
      <c r="D1081">
        <f>IMAGE("https://raw.githubusercontent.com/stautonico/pokemon-home-pokedex/main/sprites/kricketot-f.png", 2)</f>
        <v>0</v>
      </c>
      <c r="E1081" s="29" t="s">
        <v>30</v>
      </c>
      <c r="F1081" s="40" t="s">
        <v>23</v>
      </c>
    </row>
    <row r="1082" spans="1:6" ht="72" customHeight="1">
      <c r="A1082" s="1" t="s">
        <v>31</v>
      </c>
      <c r="B1082" s="1">
        <v>402</v>
      </c>
      <c r="C1082" s="1" t="s">
        <v>1115</v>
      </c>
      <c r="D1082">
        <f>IMAGE("https://raw.githubusercontent.com/stautonico/pokemon-home-pokedex/main/sprites/kricketune-f.png", 2)</f>
        <v>0</v>
      </c>
      <c r="E1082" s="29" t="s">
        <v>30</v>
      </c>
      <c r="F1082" s="40" t="s">
        <v>23</v>
      </c>
    </row>
    <row r="1083" spans="1:6" ht="72" customHeight="1">
      <c r="A1083" s="1" t="s">
        <v>31</v>
      </c>
      <c r="B1083" s="1">
        <v>403</v>
      </c>
      <c r="C1083" s="1" t="s">
        <v>1116</v>
      </c>
      <c r="D1083">
        <f>IMAGE("https://raw.githubusercontent.com/stautonico/pokemon-home-pokedex/main/sprites/shinx-f.png", 2)</f>
        <v>0</v>
      </c>
      <c r="E1083" s="29" t="s">
        <v>30</v>
      </c>
      <c r="F1083" s="3" t="s">
        <v>12</v>
      </c>
    </row>
    <row r="1084" spans="1:6" ht="72" customHeight="1">
      <c r="A1084" s="1" t="s">
        <v>31</v>
      </c>
      <c r="B1084" s="1">
        <v>404</v>
      </c>
      <c r="C1084" s="1" t="s">
        <v>1117</v>
      </c>
      <c r="D1084">
        <f>IMAGE("https://raw.githubusercontent.com/stautonico/pokemon-home-pokedex/main/sprites/luxio-f.png", 2)</f>
        <v>0</v>
      </c>
      <c r="E1084" s="29" t="s">
        <v>30</v>
      </c>
      <c r="F1084" s="3" t="s">
        <v>12</v>
      </c>
    </row>
    <row r="1085" spans="1:6" ht="72" customHeight="1">
      <c r="A1085" s="1" t="s">
        <v>31</v>
      </c>
      <c r="B1085" s="1">
        <v>405</v>
      </c>
      <c r="C1085" s="1" t="s">
        <v>1118</v>
      </c>
      <c r="D1085">
        <f>IMAGE("https://raw.githubusercontent.com/stautonico/pokemon-home-pokedex/main/sprites/luxray-f.png", 2)</f>
        <v>0</v>
      </c>
      <c r="E1085" s="29" t="s">
        <v>30</v>
      </c>
      <c r="F1085" s="3" t="s">
        <v>12</v>
      </c>
    </row>
    <row r="1086" spans="1:6" ht="72" customHeight="1">
      <c r="A1086" s="1" t="s">
        <v>31</v>
      </c>
      <c r="B1086" s="1">
        <v>407</v>
      </c>
      <c r="C1086" s="1" t="s">
        <v>1119</v>
      </c>
      <c r="D1086">
        <f>IMAGE("https://raw.githubusercontent.com/stautonico/pokemon-home-pokedex/main/sprites/roserade-f.png", 2)</f>
        <v>0</v>
      </c>
      <c r="E1086" s="4" t="s">
        <v>14</v>
      </c>
      <c r="F1086" s="5"/>
    </row>
    <row r="1087" spans="1:6" ht="72" customHeight="1">
      <c r="A1087" s="1" t="s">
        <v>31</v>
      </c>
      <c r="B1087" s="1">
        <v>415</v>
      </c>
      <c r="C1087" s="1" t="s">
        <v>1120</v>
      </c>
      <c r="D1087">
        <f>IMAGE("https://raw.githubusercontent.com/stautonico/pokemon-home-pokedex/main/sprites/combee-f.png", 2)</f>
        <v>0</v>
      </c>
      <c r="E1087" s="29" t="s">
        <v>30</v>
      </c>
      <c r="F1087" s="4" t="s">
        <v>14</v>
      </c>
    </row>
    <row r="1088" spans="1:6" ht="72" customHeight="1">
      <c r="A1088" s="1" t="s">
        <v>31</v>
      </c>
      <c r="B1088" s="1">
        <v>417</v>
      </c>
      <c r="C1088" s="1" t="s">
        <v>1121</v>
      </c>
      <c r="D1088">
        <f>IMAGE("https://raw.githubusercontent.com/stautonico/pokemon-home-pokedex/main/sprites/pachirisu-f.png", 2)</f>
        <v>0</v>
      </c>
      <c r="E1088" s="29" t="s">
        <v>30</v>
      </c>
      <c r="F1088" s="25" t="s">
        <v>17</v>
      </c>
    </row>
    <row r="1089" spans="1:6" ht="72" customHeight="1">
      <c r="A1089" s="1" t="s">
        <v>31</v>
      </c>
      <c r="B1089" s="1">
        <v>418</v>
      </c>
      <c r="C1089" s="1" t="s">
        <v>1122</v>
      </c>
      <c r="D1089">
        <f>IMAGE("https://raw.githubusercontent.com/stautonico/pokemon-home-pokedex/main/sprites/buizel-f.png", 2)</f>
        <v>0</v>
      </c>
      <c r="E1089" s="29" t="s">
        <v>30</v>
      </c>
      <c r="F1089" s="25" t="s">
        <v>17</v>
      </c>
    </row>
    <row r="1090" spans="1:6" ht="72" customHeight="1">
      <c r="A1090" s="1" t="s">
        <v>31</v>
      </c>
      <c r="B1090" s="1">
        <v>419</v>
      </c>
      <c r="C1090" s="1" t="s">
        <v>1123</v>
      </c>
      <c r="D1090">
        <f>IMAGE("https://raw.githubusercontent.com/stautonico/pokemon-home-pokedex/main/sprites/floatzel-f.png", 2)</f>
        <v>0</v>
      </c>
      <c r="E1090" s="29" t="s">
        <v>30</v>
      </c>
      <c r="F1090" s="25" t="s">
        <v>17</v>
      </c>
    </row>
    <row r="1091" spans="1:6" ht="72" customHeight="1">
      <c r="A1091" s="1" t="s">
        <v>31</v>
      </c>
      <c r="B1091" s="1">
        <v>424</v>
      </c>
      <c r="C1091" s="1" t="s">
        <v>1124</v>
      </c>
      <c r="D1091">
        <f>IMAGE("https://raw.githubusercontent.com/stautonico/pokemon-home-pokedex/main/sprites/ambipom-f.png", 2)</f>
        <v>0</v>
      </c>
      <c r="E1091" s="34" t="s">
        <v>22</v>
      </c>
      <c r="F1091" s="5"/>
    </row>
    <row r="1092" spans="1:6" ht="72" customHeight="1">
      <c r="A1092" s="1" t="s">
        <v>31</v>
      </c>
      <c r="B1092" s="1">
        <v>443</v>
      </c>
      <c r="C1092" s="1" t="s">
        <v>1125</v>
      </c>
      <c r="D1092">
        <f>IMAGE("https://raw.githubusercontent.com/stautonico/pokemon-home-pokedex/main/sprites/gible-f.png", 2)</f>
        <v>0</v>
      </c>
      <c r="E1092" s="29" t="s">
        <v>30</v>
      </c>
      <c r="F1092" s="25" t="s">
        <v>17</v>
      </c>
    </row>
    <row r="1093" spans="1:6" ht="72" customHeight="1">
      <c r="A1093" s="1" t="s">
        <v>31</v>
      </c>
      <c r="B1093" s="1">
        <v>444</v>
      </c>
      <c r="C1093" s="1" t="s">
        <v>1126</v>
      </c>
      <c r="D1093">
        <f>IMAGE("https://raw.githubusercontent.com/stautonico/pokemon-home-pokedex/main/sprites/gabite-f.png", 2)</f>
        <v>0</v>
      </c>
      <c r="E1093" s="29" t="s">
        <v>30</v>
      </c>
      <c r="F1093" s="25" t="s">
        <v>17</v>
      </c>
    </row>
    <row r="1094" spans="1:6" ht="72" customHeight="1">
      <c r="A1094" s="1" t="s">
        <v>31</v>
      </c>
      <c r="B1094" s="1">
        <v>445</v>
      </c>
      <c r="C1094" s="1" t="s">
        <v>1127</v>
      </c>
      <c r="D1094">
        <f>IMAGE("https://raw.githubusercontent.com/stautonico/pokemon-home-pokedex/main/sprites/garchomp-f.png", 2)</f>
        <v>0</v>
      </c>
      <c r="E1094" s="29" t="s">
        <v>30</v>
      </c>
      <c r="F1094" s="25" t="s">
        <v>17</v>
      </c>
    </row>
    <row r="1095" spans="1:6" ht="72" customHeight="1">
      <c r="A1095" s="1" t="s">
        <v>31</v>
      </c>
      <c r="B1095" s="1">
        <v>449</v>
      </c>
      <c r="C1095" s="1" t="s">
        <v>1128</v>
      </c>
      <c r="D1095">
        <f>IMAGE("https://raw.githubusercontent.com/stautonico/pokemon-home-pokedex/main/sprites/hippopotas-f.png", 2)</f>
        <v>0</v>
      </c>
      <c r="E1095" s="29" t="s">
        <v>30</v>
      </c>
      <c r="F1095" s="4" t="s">
        <v>14</v>
      </c>
    </row>
    <row r="1096" spans="1:6" ht="72" customHeight="1">
      <c r="A1096" s="1" t="s">
        <v>31</v>
      </c>
      <c r="B1096" s="1">
        <v>450</v>
      </c>
      <c r="C1096" s="1" t="s">
        <v>1129</v>
      </c>
      <c r="D1096">
        <f>IMAGE("https://raw.githubusercontent.com/stautonico/pokemon-home-pokedex/main/sprites/hippowdon-f.png", 2)</f>
        <v>0</v>
      </c>
      <c r="E1096" s="29" t="s">
        <v>30</v>
      </c>
      <c r="F1096" s="4" t="s">
        <v>14</v>
      </c>
    </row>
    <row r="1097" spans="1:6" ht="72" customHeight="1">
      <c r="A1097" s="1" t="s">
        <v>31</v>
      </c>
      <c r="B1097" s="1">
        <v>453</v>
      </c>
      <c r="C1097" s="1" t="s">
        <v>1130</v>
      </c>
      <c r="D1097">
        <f>IMAGE("https://raw.githubusercontent.com/stautonico/pokemon-home-pokedex/main/sprites/croagunk-f.png", 2)</f>
        <v>0</v>
      </c>
      <c r="E1097" s="29" t="s">
        <v>30</v>
      </c>
      <c r="F1097" s="33" t="s">
        <v>16</v>
      </c>
    </row>
    <row r="1098" spans="1:6" ht="72" customHeight="1">
      <c r="A1098" s="1" t="s">
        <v>31</v>
      </c>
      <c r="B1098" s="1">
        <v>454</v>
      </c>
      <c r="C1098" s="1" t="s">
        <v>1131</v>
      </c>
      <c r="D1098">
        <f>IMAGE("https://raw.githubusercontent.com/stautonico/pokemon-home-pokedex/main/sprites/toxicroak-f.png", 2)</f>
        <v>0</v>
      </c>
      <c r="E1098" s="29" t="s">
        <v>30</v>
      </c>
      <c r="F1098" s="33" t="s">
        <v>16</v>
      </c>
    </row>
    <row r="1099" spans="1:6" ht="72" customHeight="1">
      <c r="A1099" s="1" t="s">
        <v>31</v>
      </c>
      <c r="B1099" s="1">
        <v>456</v>
      </c>
      <c r="C1099" s="1" t="s">
        <v>1132</v>
      </c>
      <c r="D1099">
        <f>IMAGE("https://raw.githubusercontent.com/stautonico/pokemon-home-pokedex/main/sprites/finneon-f.png", 2)</f>
        <v>0</v>
      </c>
      <c r="E1099" s="29" t="s">
        <v>30</v>
      </c>
      <c r="F1099" s="32" t="s">
        <v>18</v>
      </c>
    </row>
    <row r="1100" spans="1:6" ht="72" customHeight="1">
      <c r="A1100" s="1" t="s">
        <v>31</v>
      </c>
      <c r="B1100" s="1">
        <v>457</v>
      </c>
      <c r="C1100" s="1" t="s">
        <v>1133</v>
      </c>
      <c r="D1100">
        <f>IMAGE("https://raw.githubusercontent.com/stautonico/pokemon-home-pokedex/main/sprites/lumineon-f.png", 2)</f>
        <v>0</v>
      </c>
      <c r="E1100" s="29" t="s">
        <v>30</v>
      </c>
      <c r="F1100" s="32" t="s">
        <v>18</v>
      </c>
    </row>
    <row r="1101" spans="1:6" ht="72" customHeight="1">
      <c r="A1101" s="1" t="s">
        <v>31</v>
      </c>
      <c r="B1101" s="1">
        <v>459</v>
      </c>
      <c r="C1101" s="1" t="s">
        <v>1134</v>
      </c>
      <c r="D1101">
        <f>IMAGE("https://raw.githubusercontent.com/stautonico/pokemon-home-pokedex/main/sprites/snover-f.png", 2)</f>
        <v>0</v>
      </c>
      <c r="E1101" s="29" t="s">
        <v>30</v>
      </c>
      <c r="F1101" s="4" t="s">
        <v>14</v>
      </c>
    </row>
    <row r="1102" spans="1:6" ht="72" customHeight="1">
      <c r="A1102" s="1" t="s">
        <v>31</v>
      </c>
      <c r="B1102" s="1">
        <v>460</v>
      </c>
      <c r="C1102" s="1" t="s">
        <v>1135</v>
      </c>
      <c r="D1102">
        <f>IMAGE("https://raw.githubusercontent.com/stautonico/pokemon-home-pokedex/main/sprites/abomasnow-f.png", 2)</f>
        <v>0</v>
      </c>
      <c r="E1102" s="29" t="s">
        <v>30</v>
      </c>
      <c r="F1102" s="4" t="s">
        <v>14</v>
      </c>
    </row>
    <row r="1103" spans="1:6" ht="72" customHeight="1">
      <c r="A1103" s="1" t="s">
        <v>31</v>
      </c>
      <c r="B1103" s="1">
        <v>461</v>
      </c>
      <c r="C1103" s="1" t="s">
        <v>1136</v>
      </c>
      <c r="D1103">
        <f>IMAGE("https://raw.githubusercontent.com/stautonico/pokemon-home-pokedex/main/sprites/weavile-f.png", 2)</f>
        <v>0</v>
      </c>
      <c r="E1103" s="29" t="s">
        <v>30</v>
      </c>
      <c r="F1103" s="4" t="s">
        <v>14</v>
      </c>
    </row>
    <row r="1104" spans="1:6" ht="72" customHeight="1">
      <c r="A1104" s="1" t="s">
        <v>31</v>
      </c>
      <c r="B1104" s="1">
        <v>464</v>
      </c>
      <c r="C1104" s="1" t="s">
        <v>1137</v>
      </c>
      <c r="D1104">
        <f>IMAGE("https://raw.githubusercontent.com/stautonico/pokemon-home-pokedex/main/sprites/rhyperior-f.png", 2)</f>
        <v>0</v>
      </c>
      <c r="E1104" s="4" t="s">
        <v>14</v>
      </c>
      <c r="F1104" s="5"/>
    </row>
    <row r="1105" spans="1:6" ht="72" customHeight="1">
      <c r="A1105" s="1" t="s">
        <v>31</v>
      </c>
      <c r="B1105" s="1">
        <v>465</v>
      </c>
      <c r="C1105" s="1" t="s">
        <v>1138</v>
      </c>
      <c r="D1105">
        <f>IMAGE("https://raw.githubusercontent.com/stautonico/pokemon-home-pokedex/main/sprites/tangrowth-f.png", 2)</f>
        <v>0</v>
      </c>
      <c r="E1105" s="3" t="s">
        <v>12</v>
      </c>
      <c r="F1105" s="34" t="s">
        <v>22</v>
      </c>
    </row>
    <row r="1106" spans="1:6" ht="72" customHeight="1">
      <c r="A1106" s="1" t="s">
        <v>31</v>
      </c>
      <c r="B1106" s="1">
        <v>473</v>
      </c>
      <c r="C1106" s="1" t="s">
        <v>1139</v>
      </c>
      <c r="D1106">
        <f>IMAGE("https://raw.githubusercontent.com/stautonico/pokemon-home-pokedex/main/sprites/mamoswine-f.png", 2)</f>
        <v>0</v>
      </c>
      <c r="E1106" s="4" t="s">
        <v>14</v>
      </c>
      <c r="F1106" s="5"/>
    </row>
    <row r="1107" spans="1:6" ht="72" customHeight="1">
      <c r="A1107" s="1" t="s">
        <v>31</v>
      </c>
      <c r="B1107" s="1">
        <v>521</v>
      </c>
      <c r="C1107" s="1" t="s">
        <v>1140</v>
      </c>
      <c r="D1107">
        <f>IMAGE("https://raw.githubusercontent.com/stautonico/pokemon-home-pokedex/main/sprites/unfezant-f.png", 2)</f>
        <v>0</v>
      </c>
      <c r="E1107" s="4" t="s">
        <v>14</v>
      </c>
      <c r="F1107" s="5"/>
    </row>
    <row r="1108" spans="1:6" ht="72" customHeight="1">
      <c r="A1108" s="1" t="s">
        <v>31</v>
      </c>
      <c r="B1108" s="1">
        <v>592</v>
      </c>
      <c r="C1108" s="1" t="s">
        <v>1141</v>
      </c>
      <c r="D1108">
        <f>IMAGE("https://raw.githubusercontent.com/stautonico/pokemon-home-pokedex/main/sprites/frillish-f.png", 2)</f>
        <v>0</v>
      </c>
      <c r="E1108" s="4" t="s">
        <v>14</v>
      </c>
      <c r="F1108" s="5"/>
    </row>
    <row r="1109" spans="1:6" ht="72" customHeight="1">
      <c r="A1109" s="1" t="s">
        <v>31</v>
      </c>
      <c r="B1109" s="1">
        <v>593</v>
      </c>
      <c r="C1109" s="1" t="s">
        <v>1142</v>
      </c>
      <c r="D1109">
        <f>IMAGE("https://raw.githubusercontent.com/stautonico/pokemon-home-pokedex/main/sprites/jellicent-f.png", 2)</f>
        <v>0</v>
      </c>
      <c r="E1109" s="4" t="s">
        <v>14</v>
      </c>
      <c r="F1109" s="5"/>
    </row>
    <row r="1110" spans="1:6" ht="72" customHeight="1">
      <c r="A1110" s="1" t="s">
        <v>31</v>
      </c>
      <c r="B1110" s="1">
        <v>668</v>
      </c>
      <c r="C1110" s="1" t="s">
        <v>1143</v>
      </c>
      <c r="D1110">
        <f>IMAGE("https://raw.githubusercontent.com/stautonico/pokemon-home-pokedex/main/sprites/pyroar-f.png", 2)</f>
        <v>0</v>
      </c>
      <c r="E1110" s="29" t="s">
        <v>30</v>
      </c>
      <c r="F1110" s="25" t="s">
        <v>17</v>
      </c>
    </row>
    <row r="1111" spans="1:6" ht="72" customHeight="1">
      <c r="A1111" s="1" t="s">
        <v>31</v>
      </c>
      <c r="B1111" s="1">
        <v>678</v>
      </c>
      <c r="C1111" s="1" t="s">
        <v>1144</v>
      </c>
      <c r="D1111">
        <f>IMAGE("https://raw.githubusercontent.com/stautonico/pokemon-home-pokedex/main/sprites/meowstic-f.png", 2)</f>
        <v>0</v>
      </c>
      <c r="E1111" s="4" t="s">
        <v>14</v>
      </c>
      <c r="F1111" s="5"/>
    </row>
    <row r="1112" spans="1:6" ht="72" customHeight="1">
      <c r="A1112" s="1" t="s">
        <v>31</v>
      </c>
      <c r="B1112" s="1">
        <v>876</v>
      </c>
      <c r="C1112" s="1" t="s">
        <v>1145</v>
      </c>
      <c r="D1112">
        <f>IMAGE("https://raw.githubusercontent.com/stautonico/pokemon-home-pokedex/main/sprites/indeedee-f.png", 2)</f>
        <v>0</v>
      </c>
      <c r="E1112" s="29" t="s">
        <v>30</v>
      </c>
      <c r="F1112" s="4" t="s">
        <v>14</v>
      </c>
    </row>
    <row r="1113" spans="1:6" ht="72" customHeight="1">
      <c r="A1113" s="1" t="s">
        <v>31</v>
      </c>
      <c r="B1113" s="1">
        <v>902</v>
      </c>
      <c r="C1113" s="1" t="s">
        <v>1146</v>
      </c>
      <c r="D1113">
        <f>IMAGE("https://raw.githubusercontent.com/stautonico/pokemon-home-pokedex/main/sprites/basculegion-f.png", 2)</f>
        <v>0</v>
      </c>
      <c r="E1113" s="46" t="s">
        <v>27</v>
      </c>
      <c r="F1113" s="5"/>
    </row>
    <row r="1114" spans="1:6" ht="72" customHeight="1">
      <c r="A1114" s="1" t="s">
        <v>31</v>
      </c>
      <c r="B1114" s="1">
        <v>10254</v>
      </c>
      <c r="C1114" s="1" t="s">
        <v>1147</v>
      </c>
      <c r="D1114">
        <f>IMAGE("https://raw.githubusercontent.com/stautonico/pokemon-home-pokedex/main/sprites/oinkologne-f.png", 2)</f>
        <v>0</v>
      </c>
      <c r="E1114" s="29" t="s">
        <v>30</v>
      </c>
      <c r="F1114" s="5"/>
    </row>
    <row r="1115" spans="1:6" ht="72" customHeight="1">
      <c r="A1115" s="1" t="s">
        <v>31</v>
      </c>
      <c r="B1115" s="1">
        <v>10094</v>
      </c>
      <c r="C1115" s="1" t="s">
        <v>1148</v>
      </c>
      <c r="D1115">
        <f>IMAGE("https://raw.githubusercontent.com/stautonico/pokemon-home-pokedex/main/sprites/pikachu-original.png", 2)</f>
        <v>0</v>
      </c>
      <c r="E1115" s="39" t="s">
        <v>25</v>
      </c>
      <c r="F1115" s="44" t="s">
        <v>26</v>
      </c>
    </row>
    <row r="1116" spans="1:6" ht="72" customHeight="1">
      <c r="A1116" s="1" t="s">
        <v>31</v>
      </c>
      <c r="B1116" s="1">
        <v>10095</v>
      </c>
      <c r="C1116" s="1" t="s">
        <v>1149</v>
      </c>
      <c r="D1116">
        <f>IMAGE("https://raw.githubusercontent.com/stautonico/pokemon-home-pokedex/main/sprites/pikachu-hoenn.png", 2)</f>
        <v>0</v>
      </c>
      <c r="E1116" s="39" t="s">
        <v>25</v>
      </c>
      <c r="F1116" s="44" t="s">
        <v>26</v>
      </c>
    </row>
    <row r="1117" spans="1:6" ht="72" customHeight="1">
      <c r="A1117" s="1" t="s">
        <v>31</v>
      </c>
      <c r="B1117" s="1">
        <v>10096</v>
      </c>
      <c r="C1117" s="1" t="s">
        <v>1150</v>
      </c>
      <c r="D1117">
        <f>IMAGE("https://raw.githubusercontent.com/stautonico/pokemon-home-pokedex/main/sprites/pikachu-sinnoh.png", 2)</f>
        <v>0</v>
      </c>
      <c r="E1117" s="39" t="s">
        <v>25</v>
      </c>
      <c r="F1117" s="44" t="s">
        <v>26</v>
      </c>
    </row>
    <row r="1118" spans="1:6" ht="72" customHeight="1">
      <c r="A1118" s="1" t="s">
        <v>31</v>
      </c>
      <c r="B1118" s="1">
        <v>10097</v>
      </c>
      <c r="C1118" s="1" t="s">
        <v>1151</v>
      </c>
      <c r="D1118">
        <f>IMAGE("https://raw.githubusercontent.com/stautonico/pokemon-home-pokedex/main/sprites/pikachu-unova.png", 2)</f>
        <v>0</v>
      </c>
      <c r="E1118" s="39" t="s">
        <v>25</v>
      </c>
      <c r="F1118" s="44" t="s">
        <v>26</v>
      </c>
    </row>
    <row r="1119" spans="1:6" ht="72" customHeight="1">
      <c r="A1119" s="1" t="s">
        <v>31</v>
      </c>
      <c r="B1119" s="1">
        <v>10098</v>
      </c>
      <c r="C1119" s="1" t="s">
        <v>1152</v>
      </c>
      <c r="D1119">
        <f>IMAGE("https://raw.githubusercontent.com/stautonico/pokemon-home-pokedex/main/sprites/pikachu-kalos.png", 2)</f>
        <v>0</v>
      </c>
      <c r="E1119" s="39" t="s">
        <v>25</v>
      </c>
      <c r="F1119" s="44" t="s">
        <v>26</v>
      </c>
    </row>
    <row r="1120" spans="1:6" ht="72" customHeight="1">
      <c r="A1120" s="1" t="s">
        <v>31</v>
      </c>
      <c r="B1120" s="1">
        <v>10099</v>
      </c>
      <c r="C1120" s="1" t="s">
        <v>1153</v>
      </c>
      <c r="D1120">
        <f>IMAGE("https://raw.githubusercontent.com/stautonico/pokemon-home-pokedex/main/sprites/pikachu-alola.png", 2)</f>
        <v>0</v>
      </c>
      <c r="E1120" s="39" t="s">
        <v>25</v>
      </c>
      <c r="F1120" s="44" t="s">
        <v>26</v>
      </c>
    </row>
    <row r="1121" spans="1:6" ht="72" customHeight="1">
      <c r="A1121" s="1" t="s">
        <v>31</v>
      </c>
      <c r="B1121" s="1">
        <v>10148</v>
      </c>
      <c r="C1121" s="1" t="s">
        <v>1154</v>
      </c>
      <c r="D1121">
        <f>IMAGE("https://raw.githubusercontent.com/stautonico/pokemon-home-pokedex/main/sprites/pikachu-partner.png", 2)</f>
        <v>0</v>
      </c>
      <c r="E1121" s="39" t="s">
        <v>25</v>
      </c>
      <c r="F1121" s="44" t="s">
        <v>26</v>
      </c>
    </row>
    <row r="1122" spans="1:6" ht="72" customHeight="1">
      <c r="A1122" s="1" t="s">
        <v>31</v>
      </c>
      <c r="B1122" s="1">
        <v>10160</v>
      </c>
      <c r="C1122" s="1" t="s">
        <v>1155</v>
      </c>
      <c r="D1122">
        <f>IMAGE("https://raw.githubusercontent.com/stautonico/pokemon-home-pokedex/main/sprites/pikachu-world.png", 2)</f>
        <v>0</v>
      </c>
      <c r="E1122" s="39" t="s">
        <v>25</v>
      </c>
      <c r="F1122" s="44" t="s">
        <v>26</v>
      </c>
    </row>
    <row r="1123" spans="1:6" ht="72" customHeight="1">
      <c r="A1123" s="1" t="s">
        <v>31</v>
      </c>
      <c r="B1123" s="1">
        <v>201</v>
      </c>
      <c r="C1123" s="1" t="s">
        <v>1156</v>
      </c>
      <c r="D1123">
        <f>IMAGE("https://raw.githubusercontent.com/stautonico/pokemon-home-pokedex/main/sprites/unown-b.png", 2)</f>
        <v>0</v>
      </c>
      <c r="E1123" s="36" t="s">
        <v>19</v>
      </c>
      <c r="F1123" s="5"/>
    </row>
    <row r="1124" spans="1:6" ht="72" customHeight="1">
      <c r="A1124" s="1" t="s">
        <v>31</v>
      </c>
      <c r="B1124" s="1">
        <v>201</v>
      </c>
      <c r="C1124" s="1" t="s">
        <v>1157</v>
      </c>
      <c r="D1124">
        <f>IMAGE("https://raw.githubusercontent.com/stautonico/pokemon-home-pokedex/main/sprites/unown-c.png", 2)</f>
        <v>0</v>
      </c>
      <c r="E1124" s="36" t="s">
        <v>19</v>
      </c>
      <c r="F1124" s="5"/>
    </row>
    <row r="1125" spans="1:6" ht="72" customHeight="1">
      <c r="A1125" s="1" t="s">
        <v>31</v>
      </c>
      <c r="B1125" s="1">
        <v>201</v>
      </c>
      <c r="C1125" s="1" t="s">
        <v>1158</v>
      </c>
      <c r="D1125">
        <f>IMAGE("https://raw.githubusercontent.com/stautonico/pokemon-home-pokedex/main/sprites/unown-d.png", 2)</f>
        <v>0</v>
      </c>
      <c r="E1125" s="36" t="s">
        <v>19</v>
      </c>
      <c r="F1125" s="5"/>
    </row>
    <row r="1126" spans="1:6" ht="72" customHeight="1">
      <c r="A1126" s="1" t="s">
        <v>31</v>
      </c>
      <c r="B1126" s="1">
        <v>201</v>
      </c>
      <c r="C1126" s="1" t="s">
        <v>1159</v>
      </c>
      <c r="D1126">
        <f>IMAGE("https://raw.githubusercontent.com/stautonico/pokemon-home-pokedex/main/sprites/unown-e.png", 2)</f>
        <v>0</v>
      </c>
      <c r="E1126" s="36" t="s">
        <v>19</v>
      </c>
      <c r="F1126" s="5"/>
    </row>
    <row r="1127" spans="1:6" ht="72" customHeight="1">
      <c r="A1127" s="1" t="s">
        <v>31</v>
      </c>
      <c r="B1127" s="1">
        <v>201</v>
      </c>
      <c r="C1127" s="1" t="s">
        <v>1160</v>
      </c>
      <c r="D1127">
        <f>IMAGE("https://raw.githubusercontent.com/stautonico/pokemon-home-pokedex/main/sprites/unown-f.png", 2)</f>
        <v>0</v>
      </c>
      <c r="E1127" s="36" t="s">
        <v>19</v>
      </c>
      <c r="F1127" s="5"/>
    </row>
    <row r="1128" spans="1:6" ht="72" customHeight="1">
      <c r="A1128" s="1" t="s">
        <v>31</v>
      </c>
      <c r="B1128" s="1">
        <v>201</v>
      </c>
      <c r="C1128" s="1" t="s">
        <v>1161</v>
      </c>
      <c r="D1128">
        <f>IMAGE("https://raw.githubusercontent.com/stautonico/pokemon-home-pokedex/main/sprites/unown-g.png", 2)</f>
        <v>0</v>
      </c>
      <c r="E1128" s="36" t="s">
        <v>19</v>
      </c>
      <c r="F1128" s="5"/>
    </row>
    <row r="1129" spans="1:6" ht="72" customHeight="1">
      <c r="A1129" s="1" t="s">
        <v>31</v>
      </c>
      <c r="B1129" s="1">
        <v>201</v>
      </c>
      <c r="C1129" s="1" t="s">
        <v>1162</v>
      </c>
      <c r="D1129">
        <f>IMAGE("https://raw.githubusercontent.com/stautonico/pokemon-home-pokedex/main/sprites/unown-h.png", 2)</f>
        <v>0</v>
      </c>
      <c r="E1129" s="36" t="s">
        <v>19</v>
      </c>
      <c r="F1129" s="5"/>
    </row>
    <row r="1130" spans="1:6" ht="72" customHeight="1">
      <c r="A1130" s="1" t="s">
        <v>31</v>
      </c>
      <c r="B1130" s="1">
        <v>201</v>
      </c>
      <c r="C1130" s="1" t="s">
        <v>1163</v>
      </c>
      <c r="D1130">
        <f>IMAGE("https://raw.githubusercontent.com/stautonico/pokemon-home-pokedex/main/sprites/unown-i.png", 2)</f>
        <v>0</v>
      </c>
      <c r="E1130" s="36" t="s">
        <v>19</v>
      </c>
      <c r="F1130" s="5"/>
    </row>
    <row r="1131" spans="1:6" ht="72" customHeight="1">
      <c r="A1131" s="1" t="s">
        <v>31</v>
      </c>
      <c r="B1131" s="1">
        <v>201</v>
      </c>
      <c r="C1131" s="1" t="s">
        <v>1164</v>
      </c>
      <c r="D1131">
        <f>IMAGE("https://raw.githubusercontent.com/stautonico/pokemon-home-pokedex/main/sprites/unown-j.png", 2)</f>
        <v>0</v>
      </c>
      <c r="E1131" s="36" t="s">
        <v>19</v>
      </c>
      <c r="F1131" s="5"/>
    </row>
    <row r="1132" spans="1:6" ht="72" customHeight="1">
      <c r="A1132" s="1" t="s">
        <v>31</v>
      </c>
      <c r="B1132" s="1">
        <v>201</v>
      </c>
      <c r="C1132" s="1" t="s">
        <v>1165</v>
      </c>
      <c r="D1132">
        <f>IMAGE("https://raw.githubusercontent.com/stautonico/pokemon-home-pokedex/main/sprites/unown-k.png", 2)</f>
        <v>0</v>
      </c>
      <c r="E1132" s="36" t="s">
        <v>19</v>
      </c>
      <c r="F1132" s="5"/>
    </row>
    <row r="1133" spans="1:6" ht="72" customHeight="1">
      <c r="A1133" s="1" t="s">
        <v>31</v>
      </c>
      <c r="B1133" s="1">
        <v>201</v>
      </c>
      <c r="C1133" s="1" t="s">
        <v>1166</v>
      </c>
      <c r="D1133">
        <f>IMAGE("https://raw.githubusercontent.com/stautonico/pokemon-home-pokedex/main/sprites/unown-l.png", 2)</f>
        <v>0</v>
      </c>
      <c r="E1133" s="36" t="s">
        <v>19</v>
      </c>
      <c r="F1133" s="5"/>
    </row>
    <row r="1134" spans="1:6" ht="72" customHeight="1">
      <c r="A1134" s="1" t="s">
        <v>31</v>
      </c>
      <c r="B1134" s="1">
        <v>201</v>
      </c>
      <c r="C1134" s="1" t="s">
        <v>1167</v>
      </c>
      <c r="D1134">
        <f>IMAGE("https://raw.githubusercontent.com/stautonico/pokemon-home-pokedex/main/sprites/unown-m.png", 2)</f>
        <v>0</v>
      </c>
      <c r="E1134" s="36" t="s">
        <v>19</v>
      </c>
      <c r="F1134" s="5"/>
    </row>
    <row r="1135" spans="1:6" ht="72" customHeight="1">
      <c r="A1135" s="1" t="s">
        <v>31</v>
      </c>
      <c r="B1135" s="1">
        <v>201</v>
      </c>
      <c r="C1135" s="1" t="s">
        <v>1168</v>
      </c>
      <c r="D1135">
        <f>IMAGE("https://raw.githubusercontent.com/stautonico/pokemon-home-pokedex/main/sprites/unown-n.png", 2)</f>
        <v>0</v>
      </c>
      <c r="E1135" s="36" t="s">
        <v>19</v>
      </c>
      <c r="F1135" s="5"/>
    </row>
    <row r="1136" spans="1:6" ht="72" customHeight="1">
      <c r="A1136" s="1" t="s">
        <v>31</v>
      </c>
      <c r="B1136" s="1">
        <v>201</v>
      </c>
      <c r="C1136" s="1" t="s">
        <v>1169</v>
      </c>
      <c r="D1136">
        <f>IMAGE("https://raw.githubusercontent.com/stautonico/pokemon-home-pokedex/main/sprites/unown-o.png", 2)</f>
        <v>0</v>
      </c>
      <c r="E1136" s="36" t="s">
        <v>19</v>
      </c>
      <c r="F1136" s="5"/>
    </row>
    <row r="1137" spans="1:6" ht="72" customHeight="1">
      <c r="A1137" s="1" t="s">
        <v>31</v>
      </c>
      <c r="B1137" s="1">
        <v>201</v>
      </c>
      <c r="C1137" s="1" t="s">
        <v>1170</v>
      </c>
      <c r="D1137">
        <f>IMAGE("https://raw.githubusercontent.com/stautonico/pokemon-home-pokedex/main/sprites/unown-p.png", 2)</f>
        <v>0</v>
      </c>
      <c r="E1137" s="36" t="s">
        <v>19</v>
      </c>
      <c r="F1137" s="5"/>
    </row>
    <row r="1138" spans="1:6" ht="72" customHeight="1">
      <c r="A1138" s="1" t="s">
        <v>31</v>
      </c>
      <c r="B1138" s="1">
        <v>201</v>
      </c>
      <c r="C1138" s="1" t="s">
        <v>1171</v>
      </c>
      <c r="D1138">
        <f>IMAGE("https://raw.githubusercontent.com/stautonico/pokemon-home-pokedex/main/sprites/unown-q.png", 2)</f>
        <v>0</v>
      </c>
      <c r="E1138" s="36" t="s">
        <v>19</v>
      </c>
      <c r="F1138" s="5"/>
    </row>
    <row r="1139" spans="1:6" ht="72" customHeight="1">
      <c r="A1139" s="1" t="s">
        <v>31</v>
      </c>
      <c r="B1139" s="1">
        <v>201</v>
      </c>
      <c r="C1139" s="1" t="s">
        <v>1172</v>
      </c>
      <c r="D1139">
        <f>IMAGE("https://raw.githubusercontent.com/stautonico/pokemon-home-pokedex/main/sprites/unown-r.png", 2)</f>
        <v>0</v>
      </c>
      <c r="E1139" s="36" t="s">
        <v>19</v>
      </c>
      <c r="F1139" s="5"/>
    </row>
    <row r="1140" spans="1:6" ht="72" customHeight="1">
      <c r="A1140" s="1" t="s">
        <v>31</v>
      </c>
      <c r="B1140" s="1">
        <v>201</v>
      </c>
      <c r="C1140" s="1" t="s">
        <v>1173</v>
      </c>
      <c r="D1140">
        <f>IMAGE("https://raw.githubusercontent.com/stautonico/pokemon-home-pokedex/main/sprites/unown-s.png", 2)</f>
        <v>0</v>
      </c>
      <c r="E1140" s="36" t="s">
        <v>19</v>
      </c>
      <c r="F1140" s="5"/>
    </row>
    <row r="1141" spans="1:6" ht="72" customHeight="1">
      <c r="A1141" s="1" t="s">
        <v>31</v>
      </c>
      <c r="B1141" s="1">
        <v>201</v>
      </c>
      <c r="C1141" s="1" t="s">
        <v>1174</v>
      </c>
      <c r="D1141">
        <f>IMAGE("https://raw.githubusercontent.com/stautonico/pokemon-home-pokedex/main/sprites/unown-t.png", 2)</f>
        <v>0</v>
      </c>
      <c r="E1141" s="36" t="s">
        <v>19</v>
      </c>
      <c r="F1141" s="5"/>
    </row>
    <row r="1142" spans="1:6" ht="72" customHeight="1">
      <c r="A1142" s="1" t="s">
        <v>31</v>
      </c>
      <c r="B1142" s="1">
        <v>201</v>
      </c>
      <c r="C1142" s="1" t="s">
        <v>1175</v>
      </c>
      <c r="D1142">
        <f>IMAGE("https://raw.githubusercontent.com/stautonico/pokemon-home-pokedex/main/sprites/unown-u.png", 2)</f>
        <v>0</v>
      </c>
      <c r="E1142" s="36" t="s">
        <v>19</v>
      </c>
      <c r="F1142" s="5"/>
    </row>
    <row r="1143" spans="1:6" ht="72" customHeight="1">
      <c r="A1143" s="1" t="s">
        <v>31</v>
      </c>
      <c r="B1143" s="1">
        <v>201</v>
      </c>
      <c r="C1143" s="1" t="s">
        <v>1176</v>
      </c>
      <c r="D1143">
        <f>IMAGE("https://raw.githubusercontent.com/stautonico/pokemon-home-pokedex/main/sprites/unown-v.png", 2)</f>
        <v>0</v>
      </c>
      <c r="E1143" s="36" t="s">
        <v>19</v>
      </c>
      <c r="F1143" s="5"/>
    </row>
    <row r="1144" spans="1:6" ht="72" customHeight="1">
      <c r="A1144" s="1" t="s">
        <v>31</v>
      </c>
      <c r="B1144" s="1">
        <v>201</v>
      </c>
      <c r="C1144" s="1" t="s">
        <v>1177</v>
      </c>
      <c r="D1144">
        <f>IMAGE("https://raw.githubusercontent.com/stautonico/pokemon-home-pokedex/main/sprites/unown-w.png", 2)</f>
        <v>0</v>
      </c>
      <c r="E1144" s="36" t="s">
        <v>19</v>
      </c>
      <c r="F1144" s="5"/>
    </row>
    <row r="1145" spans="1:6" ht="72" customHeight="1">
      <c r="A1145" s="1" t="s">
        <v>31</v>
      </c>
      <c r="B1145" s="1">
        <v>201</v>
      </c>
      <c r="C1145" s="1" t="s">
        <v>1178</v>
      </c>
      <c r="D1145">
        <f>IMAGE("https://raw.githubusercontent.com/stautonico/pokemon-home-pokedex/main/sprites/unown-x.png", 2)</f>
        <v>0</v>
      </c>
      <c r="E1145" s="36" t="s">
        <v>19</v>
      </c>
      <c r="F1145" s="5"/>
    </row>
    <row r="1146" spans="1:6" ht="72" customHeight="1">
      <c r="A1146" s="1" t="s">
        <v>31</v>
      </c>
      <c r="B1146" s="1">
        <v>201</v>
      </c>
      <c r="C1146" s="1" t="s">
        <v>1179</v>
      </c>
      <c r="D1146">
        <f>IMAGE("https://raw.githubusercontent.com/stautonico/pokemon-home-pokedex/main/sprites/unown-y.png", 2)</f>
        <v>0</v>
      </c>
      <c r="E1146" s="36" t="s">
        <v>19</v>
      </c>
      <c r="F1146" s="5"/>
    </row>
    <row r="1147" spans="1:6" ht="72" customHeight="1">
      <c r="A1147" s="1" t="s">
        <v>31</v>
      </c>
      <c r="B1147" s="1">
        <v>201</v>
      </c>
      <c r="C1147" s="1" t="s">
        <v>1180</v>
      </c>
      <c r="D1147">
        <f>IMAGE("https://raw.githubusercontent.com/stautonico/pokemon-home-pokedex/main/sprites/unown-z.png", 2)</f>
        <v>0</v>
      </c>
      <c r="E1147" s="36" t="s">
        <v>19</v>
      </c>
      <c r="F1147" s="5"/>
    </row>
    <row r="1148" spans="1:6" ht="72" customHeight="1">
      <c r="A1148" s="1" t="s">
        <v>31</v>
      </c>
      <c r="B1148" s="1">
        <v>201</v>
      </c>
      <c r="C1148" s="1" t="s">
        <v>1181</v>
      </c>
      <c r="D1148">
        <f>IMAGE("https://raw.githubusercontent.com/stautonico/pokemon-home-pokedex/main/sprites/unown-exclamation.png", 2)</f>
        <v>0</v>
      </c>
      <c r="E1148" s="36" t="s">
        <v>19</v>
      </c>
      <c r="F1148" s="5"/>
    </row>
    <row r="1149" spans="1:6" ht="72" customHeight="1">
      <c r="A1149" s="1" t="s">
        <v>31</v>
      </c>
      <c r="B1149" s="1">
        <v>201</v>
      </c>
      <c r="C1149" s="1" t="s">
        <v>1182</v>
      </c>
      <c r="D1149">
        <f>IMAGE("https://raw.githubusercontent.com/stautonico/pokemon-home-pokedex/main/sprites/unown-question.png", 2)</f>
        <v>0</v>
      </c>
      <c r="E1149" s="36" t="s">
        <v>19</v>
      </c>
      <c r="F1149" s="5"/>
    </row>
    <row r="1150" spans="1:6" ht="72" customHeight="1">
      <c r="A1150" s="1" t="s">
        <v>31</v>
      </c>
      <c r="B1150" s="1">
        <v>10001</v>
      </c>
      <c r="C1150" s="1" t="s">
        <v>1183</v>
      </c>
      <c r="D1150">
        <f>IMAGE("https://raw.githubusercontent.com/stautonico/pokemon-home-pokedex/main/sprites/deoxys-attack.png", 2)</f>
        <v>0</v>
      </c>
      <c r="E1150" s="34" t="s">
        <v>22</v>
      </c>
      <c r="F1150" s="5"/>
    </row>
    <row r="1151" spans="1:6" ht="72" customHeight="1">
      <c r="A1151" s="1" t="s">
        <v>31</v>
      </c>
      <c r="B1151" s="1">
        <v>10002</v>
      </c>
      <c r="C1151" s="1" t="s">
        <v>1184</v>
      </c>
      <c r="D1151">
        <f>IMAGE("https://raw.githubusercontent.com/stautonico/pokemon-home-pokedex/main/sprites/deoxys-defense.png", 2)</f>
        <v>0</v>
      </c>
      <c r="E1151" s="34" t="s">
        <v>22</v>
      </c>
      <c r="F1151" s="5"/>
    </row>
    <row r="1152" spans="1:6" ht="72" customHeight="1">
      <c r="A1152" s="1" t="s">
        <v>31</v>
      </c>
      <c r="B1152" s="1">
        <v>10003</v>
      </c>
      <c r="C1152" s="1" t="s">
        <v>1185</v>
      </c>
      <c r="D1152">
        <f>IMAGE("https://raw.githubusercontent.com/stautonico/pokemon-home-pokedex/main/sprites/deoxys-speed.png", 2)</f>
        <v>0</v>
      </c>
      <c r="E1152" s="34" t="s">
        <v>22</v>
      </c>
      <c r="F1152" s="5"/>
    </row>
    <row r="1153" spans="1:6" ht="72" customHeight="1">
      <c r="A1153" s="1" t="s">
        <v>31</v>
      </c>
      <c r="B1153" s="1">
        <v>412</v>
      </c>
      <c r="C1153" s="1" t="s">
        <v>1186</v>
      </c>
      <c r="D1153">
        <f>IMAGE("https://raw.githubusercontent.com/stautonico/pokemon-home-pokedex/main/sprites/burmy-sandy.png", 2)</f>
        <v>0</v>
      </c>
      <c r="E1153" s="25" t="s">
        <v>17</v>
      </c>
      <c r="F1153" s="5"/>
    </row>
    <row r="1154" spans="1:6" ht="72" customHeight="1">
      <c r="A1154" s="1" t="s">
        <v>31</v>
      </c>
      <c r="B1154" s="1">
        <v>412</v>
      </c>
      <c r="C1154" s="1" t="s">
        <v>1187</v>
      </c>
      <c r="D1154">
        <f>IMAGE("https://raw.githubusercontent.com/stautonico/pokemon-home-pokedex/main/sprites/burmy-trash.png", 2)</f>
        <v>0</v>
      </c>
      <c r="E1154" s="25" t="s">
        <v>17</v>
      </c>
      <c r="F1154" s="5"/>
    </row>
    <row r="1155" spans="1:6" ht="72" customHeight="1">
      <c r="A1155" s="1" t="s">
        <v>31</v>
      </c>
      <c r="B1155" s="1">
        <v>10004</v>
      </c>
      <c r="C1155" s="1" t="s">
        <v>1188</v>
      </c>
      <c r="D1155">
        <f>IMAGE("https://raw.githubusercontent.com/stautonico/pokemon-home-pokedex/main/sprites/wormadam-sandy.png", 2)</f>
        <v>0</v>
      </c>
      <c r="E1155" s="25" t="s">
        <v>17</v>
      </c>
      <c r="F1155" s="5"/>
    </row>
    <row r="1156" spans="1:6" ht="72" customHeight="1">
      <c r="A1156" s="1" t="s">
        <v>31</v>
      </c>
      <c r="B1156" s="1">
        <v>10005</v>
      </c>
      <c r="C1156" s="1" t="s">
        <v>1189</v>
      </c>
      <c r="D1156">
        <f>IMAGE("https://raw.githubusercontent.com/stautonico/pokemon-home-pokedex/main/sprites/wormadam-trash.png", 2)</f>
        <v>0</v>
      </c>
      <c r="E1156" s="25" t="s">
        <v>17</v>
      </c>
      <c r="F1156" s="5"/>
    </row>
    <row r="1157" spans="1:6" ht="72" customHeight="1">
      <c r="A1157" s="1" t="s">
        <v>31</v>
      </c>
      <c r="B1157" s="1">
        <v>422</v>
      </c>
      <c r="C1157" s="1" t="s">
        <v>1190</v>
      </c>
      <c r="D1157">
        <f>IMAGE("https://raw.githubusercontent.com/stautonico/pokemon-home-pokedex/main/sprites/shellos-east.png", 2)</f>
        <v>0</v>
      </c>
      <c r="E1157" s="4" t="s">
        <v>14</v>
      </c>
      <c r="F1157" s="5"/>
    </row>
    <row r="1158" spans="1:6" ht="72" customHeight="1">
      <c r="A1158" s="1" t="s">
        <v>31</v>
      </c>
      <c r="B1158" s="1">
        <v>423</v>
      </c>
      <c r="C1158" s="1" t="s">
        <v>1191</v>
      </c>
      <c r="D1158">
        <f>IMAGE("https://raw.githubusercontent.com/stautonico/pokemon-home-pokedex/main/sprites/gastrodon-east.png", 2)</f>
        <v>0</v>
      </c>
      <c r="E1158" s="4" t="s">
        <v>14</v>
      </c>
      <c r="F1158" s="5"/>
    </row>
    <row r="1159" spans="1:6" ht="72" customHeight="1">
      <c r="A1159" s="1" t="s">
        <v>31</v>
      </c>
      <c r="B1159" s="1">
        <v>10008</v>
      </c>
      <c r="C1159" s="1" t="s">
        <v>1192</v>
      </c>
      <c r="D1159">
        <f>IMAGE("https://raw.githubusercontent.com/stautonico/pokemon-home-pokedex/main/sprites/rotom-heat.png", 2)</f>
        <v>0</v>
      </c>
      <c r="E1159" s="4" t="s">
        <v>14</v>
      </c>
      <c r="F1159" s="5"/>
    </row>
    <row r="1160" spans="1:6" ht="72" customHeight="1">
      <c r="A1160" s="1" t="s">
        <v>31</v>
      </c>
      <c r="B1160" s="1">
        <v>10009</v>
      </c>
      <c r="C1160" s="1" t="s">
        <v>1193</v>
      </c>
      <c r="D1160">
        <f>IMAGE("https://raw.githubusercontent.com/stautonico/pokemon-home-pokedex/main/sprites/rotom-wash.png", 2)</f>
        <v>0</v>
      </c>
      <c r="E1160" s="4" t="s">
        <v>14</v>
      </c>
      <c r="F1160" s="5"/>
    </row>
    <row r="1161" spans="1:6" ht="72" customHeight="1">
      <c r="A1161" s="1" t="s">
        <v>31</v>
      </c>
      <c r="B1161" s="1">
        <v>10010</v>
      </c>
      <c r="C1161" s="1" t="s">
        <v>1194</v>
      </c>
      <c r="D1161">
        <f>IMAGE("https://raw.githubusercontent.com/stautonico/pokemon-home-pokedex/main/sprites/rotom-frost.png", 2)</f>
        <v>0</v>
      </c>
      <c r="E1161" s="4" t="s">
        <v>14</v>
      </c>
      <c r="F1161" s="5"/>
    </row>
    <row r="1162" spans="1:6" ht="72" customHeight="1">
      <c r="A1162" s="1" t="s">
        <v>31</v>
      </c>
      <c r="B1162" s="1">
        <v>10011</v>
      </c>
      <c r="C1162" s="1" t="s">
        <v>1195</v>
      </c>
      <c r="D1162">
        <f>IMAGE("https://raw.githubusercontent.com/stautonico/pokemon-home-pokedex/main/sprites/rotom-fan.png", 2)</f>
        <v>0</v>
      </c>
      <c r="E1162" s="4" t="s">
        <v>14</v>
      </c>
      <c r="F1162" s="5"/>
    </row>
    <row r="1163" spans="1:6" ht="72" customHeight="1">
      <c r="A1163" s="1" t="s">
        <v>31</v>
      </c>
      <c r="B1163" s="1">
        <v>10012</v>
      </c>
      <c r="C1163" s="1" t="s">
        <v>1196</v>
      </c>
      <c r="D1163">
        <f>IMAGE("https://raw.githubusercontent.com/stautonico/pokemon-home-pokedex/main/sprites/rotom-mow.png", 2)</f>
        <v>0</v>
      </c>
      <c r="E1163" s="4" t="s">
        <v>14</v>
      </c>
      <c r="F1163" s="5"/>
    </row>
    <row r="1164" spans="1:6" ht="72" customHeight="1">
      <c r="A1164" s="1" t="s">
        <v>31</v>
      </c>
      <c r="B1164" s="1">
        <v>10006</v>
      </c>
      <c r="C1164" s="1" t="s">
        <v>1197</v>
      </c>
      <c r="D1164">
        <f>IMAGE("https://raw.githubusercontent.com/stautonico/pokemon-home-pokedex/main/sprites/shaymin-sky.png", 2)</f>
        <v>0</v>
      </c>
      <c r="E1164" s="39" t="s">
        <v>25</v>
      </c>
      <c r="F1164" s="5"/>
    </row>
    <row r="1165" spans="1:6" ht="72" customHeight="1">
      <c r="A1165" s="1" t="s">
        <v>31</v>
      </c>
      <c r="B1165" s="1">
        <v>585</v>
      </c>
      <c r="C1165" s="1" t="s">
        <v>1198</v>
      </c>
      <c r="D1165">
        <f>IMAGE("https://raw.githubusercontent.com/stautonico/pokemon-home-pokedex/main/sprites/deerling-summer.png", 2)</f>
        <v>0</v>
      </c>
      <c r="E1165" s="29" t="s">
        <v>30</v>
      </c>
      <c r="F1165" s="34" t="s">
        <v>22</v>
      </c>
    </row>
    <row r="1166" spans="1:6" ht="72" customHeight="1">
      <c r="A1166" s="1" t="s">
        <v>31</v>
      </c>
      <c r="B1166" s="1">
        <v>585</v>
      </c>
      <c r="C1166" s="1" t="s">
        <v>1199</v>
      </c>
      <c r="D1166">
        <f>IMAGE("https://raw.githubusercontent.com/stautonico/pokemon-home-pokedex/main/sprites/deerling-autumn.png", 2)</f>
        <v>0</v>
      </c>
      <c r="E1166" s="29" t="s">
        <v>30</v>
      </c>
      <c r="F1166" s="34" t="s">
        <v>22</v>
      </c>
    </row>
    <row r="1167" spans="1:6" ht="72" customHeight="1">
      <c r="A1167" s="1" t="s">
        <v>31</v>
      </c>
      <c r="B1167" s="1">
        <v>585</v>
      </c>
      <c r="C1167" s="1" t="s">
        <v>1200</v>
      </c>
      <c r="D1167">
        <f>IMAGE("https://raw.githubusercontent.com/stautonico/pokemon-home-pokedex/main/sprites/deerling-winter.png", 2)</f>
        <v>0</v>
      </c>
      <c r="E1167" s="29" t="s">
        <v>30</v>
      </c>
      <c r="F1167" s="34" t="s">
        <v>22</v>
      </c>
    </row>
    <row r="1168" spans="1:6" ht="72" customHeight="1">
      <c r="A1168" s="1" t="s">
        <v>31</v>
      </c>
      <c r="B1168" s="1">
        <v>586</v>
      </c>
      <c r="C1168" s="1" t="s">
        <v>1201</v>
      </c>
      <c r="D1168">
        <f>IMAGE("https://raw.githubusercontent.com/stautonico/pokemon-home-pokedex/main/sprites/sawsbuck-summer.png", 2)</f>
        <v>0</v>
      </c>
      <c r="E1168" s="29" t="s">
        <v>30</v>
      </c>
      <c r="F1168" s="34" t="s">
        <v>22</v>
      </c>
    </row>
    <row r="1169" spans="1:6" ht="72" customHeight="1">
      <c r="A1169" s="1" t="s">
        <v>31</v>
      </c>
      <c r="B1169" s="1">
        <v>586</v>
      </c>
      <c r="C1169" s="1" t="s">
        <v>1202</v>
      </c>
      <c r="D1169">
        <f>IMAGE("https://raw.githubusercontent.com/stautonico/pokemon-home-pokedex/main/sprites/sawsbuck-autumn.png", 2)</f>
        <v>0</v>
      </c>
      <c r="E1169" s="29" t="s">
        <v>30</v>
      </c>
      <c r="F1169" s="34" t="s">
        <v>22</v>
      </c>
    </row>
    <row r="1170" spans="1:6" ht="72" customHeight="1">
      <c r="A1170" s="1" t="s">
        <v>31</v>
      </c>
      <c r="B1170" s="1">
        <v>586</v>
      </c>
      <c r="C1170" s="1" t="s">
        <v>1203</v>
      </c>
      <c r="D1170">
        <f>IMAGE("https://raw.githubusercontent.com/stautonico/pokemon-home-pokedex/main/sprites/sawsbuck-winter.png", 2)</f>
        <v>0</v>
      </c>
      <c r="E1170" s="29" t="s">
        <v>30</v>
      </c>
      <c r="F1170" s="34" t="s">
        <v>22</v>
      </c>
    </row>
    <row r="1171" spans="1:6" ht="72" customHeight="1">
      <c r="A1171" s="1" t="s">
        <v>31</v>
      </c>
      <c r="B1171" s="1">
        <v>10016</v>
      </c>
      <c r="C1171" s="1" t="s">
        <v>1204</v>
      </c>
      <c r="D1171">
        <f>IMAGE("https://raw.githubusercontent.com/stautonico/pokemon-home-pokedex/main/sprites/basculin-blue-striped.png", 2)</f>
        <v>0</v>
      </c>
      <c r="E1171" s="4" t="s">
        <v>14</v>
      </c>
      <c r="F1171" s="5"/>
    </row>
    <row r="1172" spans="1:6" ht="72" customHeight="1">
      <c r="A1172" s="1" t="s">
        <v>31</v>
      </c>
      <c r="B1172" s="1">
        <v>10019</v>
      </c>
      <c r="C1172" s="1" t="s">
        <v>1205</v>
      </c>
      <c r="D1172">
        <f>IMAGE("https://raw.githubusercontent.com/stautonico/pokemon-home-pokedex/main/sprites/tornadus-therian.png", 2)</f>
        <v>0</v>
      </c>
      <c r="E1172" s="41" t="s">
        <v>20</v>
      </c>
      <c r="F1172" s="40" t="s">
        <v>23</v>
      </c>
    </row>
    <row r="1173" spans="1:6" ht="72" customHeight="1">
      <c r="A1173" s="1" t="s">
        <v>31</v>
      </c>
      <c r="B1173" s="1">
        <v>10020</v>
      </c>
      <c r="C1173" s="1" t="s">
        <v>1206</v>
      </c>
      <c r="D1173">
        <f>IMAGE("https://raw.githubusercontent.com/stautonico/pokemon-home-pokedex/main/sprites/thundurus-therian.png", 2)</f>
        <v>0</v>
      </c>
      <c r="E1173" s="42" t="s">
        <v>21</v>
      </c>
      <c r="F1173" s="43" t="s">
        <v>24</v>
      </c>
    </row>
    <row r="1174" spans="1:6" ht="72" customHeight="1">
      <c r="A1174" s="1" t="s">
        <v>31</v>
      </c>
      <c r="B1174" s="1">
        <v>10021</v>
      </c>
      <c r="C1174" s="1" t="s">
        <v>1207</v>
      </c>
      <c r="D1174">
        <f>IMAGE("https://raw.githubusercontent.com/stautonico/pokemon-home-pokedex/main/sprites/landorus-therian.png", 2)</f>
        <v>0</v>
      </c>
      <c r="E1174" s="32" t="s">
        <v>18</v>
      </c>
      <c r="F1174" s="5"/>
    </row>
    <row r="1175" spans="1:6" ht="72" customHeight="1">
      <c r="A1175" s="1" t="s">
        <v>31</v>
      </c>
      <c r="B1175" s="1">
        <v>10024</v>
      </c>
      <c r="C1175" s="1" t="s">
        <v>1208</v>
      </c>
      <c r="D1175">
        <f>IMAGE("https://raw.githubusercontent.com/stautonico/pokemon-home-pokedex/main/sprites/keldeo-resolute.png", 2)</f>
        <v>0</v>
      </c>
      <c r="E1175" s="39" t="s">
        <v>25</v>
      </c>
      <c r="F1175" s="5"/>
    </row>
    <row r="1176" spans="1:6" ht="72" customHeight="1">
      <c r="A1176" s="1" t="s">
        <v>31</v>
      </c>
      <c r="B1176" s="1">
        <v>10027</v>
      </c>
      <c r="C1176" s="1" t="s">
        <v>1209</v>
      </c>
      <c r="D1176">
        <f>IMAGE("https://raw.githubusercontent.com/stautonico/pokemon-home-pokedex/main/sprites/pumpkaboo-small.png", 2)</f>
        <v>0</v>
      </c>
      <c r="E1176" s="4" t="s">
        <v>14</v>
      </c>
      <c r="F1176" s="5"/>
    </row>
    <row r="1177" spans="1:6" ht="72" customHeight="1">
      <c r="A1177" s="1" t="s">
        <v>31</v>
      </c>
      <c r="B1177" s="1">
        <v>10028</v>
      </c>
      <c r="C1177" s="1" t="s">
        <v>1210</v>
      </c>
      <c r="D1177">
        <f>IMAGE("https://raw.githubusercontent.com/stautonico/pokemon-home-pokedex/main/sprites/pumpkaboo-large.png", 2)</f>
        <v>0</v>
      </c>
      <c r="E1177" s="4" t="s">
        <v>14</v>
      </c>
      <c r="F1177" s="5"/>
    </row>
    <row r="1178" spans="1:6" ht="72" customHeight="1">
      <c r="A1178" s="1" t="s">
        <v>31</v>
      </c>
      <c r="B1178" s="1">
        <v>10029</v>
      </c>
      <c r="C1178" s="1" t="s">
        <v>1211</v>
      </c>
      <c r="D1178">
        <f>IMAGE("https://raw.githubusercontent.com/stautonico/pokemon-home-pokedex/main/sprites/pumpkaboo-super.png", 2)</f>
        <v>0</v>
      </c>
      <c r="E1178" s="4" t="s">
        <v>14</v>
      </c>
      <c r="F1178" s="5"/>
    </row>
    <row r="1179" spans="1:6" ht="72" customHeight="1">
      <c r="A1179" s="1" t="s">
        <v>31</v>
      </c>
      <c r="B1179" s="1">
        <v>10030</v>
      </c>
      <c r="C1179" s="1" t="s">
        <v>1212</v>
      </c>
      <c r="D1179">
        <f>IMAGE("https://raw.githubusercontent.com/stautonico/pokemon-home-pokedex/main/sprites/gourgeist-small.png", 2)</f>
        <v>0</v>
      </c>
      <c r="E1179" s="4" t="s">
        <v>14</v>
      </c>
      <c r="F1179" s="5"/>
    </row>
    <row r="1180" spans="1:6" ht="72" customHeight="1">
      <c r="A1180" s="1" t="s">
        <v>31</v>
      </c>
      <c r="B1180" s="1">
        <v>10031</v>
      </c>
      <c r="C1180" s="1" t="s">
        <v>1213</v>
      </c>
      <c r="D1180">
        <f>IMAGE("https://raw.githubusercontent.com/stautonico/pokemon-home-pokedex/main/sprites/gourgeist-large.png", 2)</f>
        <v>0</v>
      </c>
      <c r="E1180" s="4" t="s">
        <v>14</v>
      </c>
      <c r="F1180" s="5"/>
    </row>
    <row r="1181" spans="1:6" ht="72" customHeight="1">
      <c r="A1181" s="1" t="s">
        <v>31</v>
      </c>
      <c r="B1181" s="1">
        <v>10032</v>
      </c>
      <c r="C1181" s="1" t="s">
        <v>1214</v>
      </c>
      <c r="D1181">
        <f>IMAGE("https://raw.githubusercontent.com/stautonico/pokemon-home-pokedex/main/sprites/gourgeist-super.png", 2)</f>
        <v>0</v>
      </c>
      <c r="E1181" s="4" t="s">
        <v>14</v>
      </c>
      <c r="F1181" s="5"/>
    </row>
    <row r="1182" spans="1:6" ht="72" customHeight="1">
      <c r="A1182" s="1" t="s">
        <v>31</v>
      </c>
      <c r="B1182" s="1">
        <v>676</v>
      </c>
      <c r="C1182" s="1" t="s">
        <v>1215</v>
      </c>
      <c r="D1182">
        <f>IMAGE("https://raw.githubusercontent.com/stautonico/pokemon-home-pokedex/main/sprites/furfrou-heart.png", 2)</f>
        <v>0</v>
      </c>
      <c r="E1182" s="25" t="s">
        <v>17</v>
      </c>
      <c r="F1182" s="5"/>
    </row>
    <row r="1183" spans="1:6" ht="72" customHeight="1">
      <c r="A1183" s="1" t="s">
        <v>31</v>
      </c>
      <c r="B1183" s="1">
        <v>676</v>
      </c>
      <c r="C1183" s="1" t="s">
        <v>1216</v>
      </c>
      <c r="D1183">
        <f>IMAGE("https://raw.githubusercontent.com/stautonico/pokemon-home-pokedex/main/sprites/furfrou-star.png", 2)</f>
        <v>0</v>
      </c>
      <c r="E1183" s="25" t="s">
        <v>17</v>
      </c>
      <c r="F1183" s="5"/>
    </row>
    <row r="1184" spans="1:6" ht="72" customHeight="1">
      <c r="A1184" s="1" t="s">
        <v>31</v>
      </c>
      <c r="B1184" s="1">
        <v>676</v>
      </c>
      <c r="C1184" s="1" t="s">
        <v>1217</v>
      </c>
      <c r="D1184">
        <f>IMAGE("https://raw.githubusercontent.com/stautonico/pokemon-home-pokedex/main/sprites/furfrou-diamond.png", 2)</f>
        <v>0</v>
      </c>
      <c r="E1184" s="25" t="s">
        <v>17</v>
      </c>
      <c r="F1184" s="5"/>
    </row>
    <row r="1185" spans="1:6" ht="72" customHeight="1">
      <c r="A1185" s="1" t="s">
        <v>31</v>
      </c>
      <c r="B1185" s="1">
        <v>676</v>
      </c>
      <c r="C1185" s="1" t="s">
        <v>1218</v>
      </c>
      <c r="D1185">
        <f>IMAGE("https://raw.githubusercontent.com/stautonico/pokemon-home-pokedex/main/sprites/furfrou-debutante.png", 2)</f>
        <v>0</v>
      </c>
      <c r="E1185" s="25" t="s">
        <v>17</v>
      </c>
      <c r="F1185" s="5"/>
    </row>
    <row r="1186" spans="1:6" ht="72" customHeight="1">
      <c r="A1186" s="1" t="s">
        <v>31</v>
      </c>
      <c r="B1186" s="1">
        <v>676</v>
      </c>
      <c r="C1186" s="1" t="s">
        <v>1219</v>
      </c>
      <c r="D1186">
        <f>IMAGE("https://raw.githubusercontent.com/stautonico/pokemon-home-pokedex/main/sprites/furfrou-matron.png", 2)</f>
        <v>0</v>
      </c>
      <c r="E1186" s="25" t="s">
        <v>17</v>
      </c>
      <c r="F1186" s="5"/>
    </row>
    <row r="1187" spans="1:6" ht="72" customHeight="1">
      <c r="A1187" s="1" t="s">
        <v>31</v>
      </c>
      <c r="B1187" s="1">
        <v>676</v>
      </c>
      <c r="C1187" s="1" t="s">
        <v>1220</v>
      </c>
      <c r="D1187">
        <f>IMAGE("https://raw.githubusercontent.com/stautonico/pokemon-home-pokedex/main/sprites/furfrou-dandy.png", 2)</f>
        <v>0</v>
      </c>
      <c r="E1187" s="25" t="s">
        <v>17</v>
      </c>
      <c r="F1187" s="5"/>
    </row>
    <row r="1188" spans="1:6" ht="72" customHeight="1">
      <c r="A1188" s="1" t="s">
        <v>31</v>
      </c>
      <c r="B1188" s="1">
        <v>676</v>
      </c>
      <c r="C1188" s="1" t="s">
        <v>1221</v>
      </c>
      <c r="D1188">
        <f>IMAGE("https://raw.githubusercontent.com/stautonico/pokemon-home-pokedex/main/sprites/furfrou-la-reine.png", 2)</f>
        <v>0</v>
      </c>
      <c r="E1188" s="25" t="s">
        <v>17</v>
      </c>
      <c r="F1188" s="5"/>
    </row>
    <row r="1189" spans="1:6" ht="72" customHeight="1">
      <c r="A1189" s="1" t="s">
        <v>31</v>
      </c>
      <c r="B1189" s="1">
        <v>676</v>
      </c>
      <c r="C1189" s="1" t="s">
        <v>1222</v>
      </c>
      <c r="D1189">
        <f>IMAGE("https://raw.githubusercontent.com/stautonico/pokemon-home-pokedex/main/sprites/furfrou-kabuki.png", 2)</f>
        <v>0</v>
      </c>
      <c r="E1189" s="25" t="s">
        <v>17</v>
      </c>
      <c r="F1189" s="5"/>
    </row>
    <row r="1190" spans="1:6" ht="72" customHeight="1">
      <c r="A1190" s="1" t="s">
        <v>31</v>
      </c>
      <c r="B1190" s="1">
        <v>676</v>
      </c>
      <c r="C1190" s="1" t="s">
        <v>1223</v>
      </c>
      <c r="D1190">
        <f>IMAGE("https://raw.githubusercontent.com/stautonico/pokemon-home-pokedex/main/sprites/furfrou-pharaoh.png", 2)</f>
        <v>0</v>
      </c>
      <c r="E1190" s="25" t="s">
        <v>17</v>
      </c>
      <c r="F1190" s="5"/>
    </row>
    <row r="1191" spans="1:6" ht="72" customHeight="1">
      <c r="A1191" s="1" t="s">
        <v>31</v>
      </c>
      <c r="B1191" s="1">
        <v>669</v>
      </c>
      <c r="C1191" s="1" t="s">
        <v>1224</v>
      </c>
      <c r="D1191">
        <f>IMAGE("https://raw.githubusercontent.com/stautonico/pokemon-home-pokedex/main/sprites/flabebe-yellow.png", 2)</f>
        <v>0</v>
      </c>
      <c r="E1191" s="29" t="s">
        <v>30</v>
      </c>
      <c r="F1191" s="25" t="s">
        <v>17</v>
      </c>
    </row>
    <row r="1192" spans="1:6" ht="72" customHeight="1">
      <c r="A1192" s="1" t="s">
        <v>31</v>
      </c>
      <c r="B1192" s="1">
        <v>669</v>
      </c>
      <c r="C1192" s="1" t="s">
        <v>1225</v>
      </c>
      <c r="D1192">
        <f>IMAGE("https://raw.githubusercontent.com/stautonico/pokemon-home-pokedex/main/sprites/flabebe-orange.png", 2)</f>
        <v>0</v>
      </c>
      <c r="E1192" s="29" t="s">
        <v>30</v>
      </c>
      <c r="F1192" s="25" t="s">
        <v>17</v>
      </c>
    </row>
    <row r="1193" spans="1:6" ht="72" customHeight="1">
      <c r="A1193" s="1" t="s">
        <v>31</v>
      </c>
      <c r="B1193" s="1">
        <v>669</v>
      </c>
      <c r="C1193" s="1" t="s">
        <v>1226</v>
      </c>
      <c r="D1193">
        <f>IMAGE("https://raw.githubusercontent.com/stautonico/pokemon-home-pokedex/main/sprites/flabebe-blue.png", 2)</f>
        <v>0</v>
      </c>
      <c r="E1193" s="29" t="s">
        <v>30</v>
      </c>
      <c r="F1193" s="25" t="s">
        <v>17</v>
      </c>
    </row>
    <row r="1194" spans="1:6" ht="72" customHeight="1">
      <c r="A1194" s="1" t="s">
        <v>31</v>
      </c>
      <c r="B1194" s="1">
        <v>669</v>
      </c>
      <c r="C1194" s="1" t="s">
        <v>1227</v>
      </c>
      <c r="D1194">
        <f>IMAGE("https://raw.githubusercontent.com/stautonico/pokemon-home-pokedex/main/sprites/flabebe-white.png", 2)</f>
        <v>0</v>
      </c>
      <c r="E1194" s="29" t="s">
        <v>30</v>
      </c>
      <c r="F1194" s="25" t="s">
        <v>17</v>
      </c>
    </row>
    <row r="1195" spans="1:6" ht="72" customHeight="1">
      <c r="A1195" s="1" t="s">
        <v>31</v>
      </c>
      <c r="B1195" s="1">
        <v>670</v>
      </c>
      <c r="C1195" s="1" t="s">
        <v>1228</v>
      </c>
      <c r="D1195">
        <f>IMAGE("https://raw.githubusercontent.com/stautonico/pokemon-home-pokedex/main/sprites/floette-yellow.png", 2)</f>
        <v>0</v>
      </c>
      <c r="E1195" s="29" t="s">
        <v>30</v>
      </c>
      <c r="F1195" s="25" t="s">
        <v>17</v>
      </c>
    </row>
    <row r="1196" spans="1:6" ht="72" customHeight="1">
      <c r="A1196" s="1" t="s">
        <v>31</v>
      </c>
      <c r="B1196" s="1">
        <v>670</v>
      </c>
      <c r="C1196" s="1" t="s">
        <v>1229</v>
      </c>
      <c r="D1196">
        <f>IMAGE("https://raw.githubusercontent.com/stautonico/pokemon-home-pokedex/main/sprites/floette-orange.png", 2)</f>
        <v>0</v>
      </c>
      <c r="E1196" s="29" t="s">
        <v>30</v>
      </c>
      <c r="F1196" s="25" t="s">
        <v>17</v>
      </c>
    </row>
    <row r="1197" spans="1:6" ht="72" customHeight="1">
      <c r="A1197" s="1" t="s">
        <v>31</v>
      </c>
      <c r="B1197" s="1">
        <v>670</v>
      </c>
      <c r="C1197" s="1" t="s">
        <v>1230</v>
      </c>
      <c r="D1197">
        <f>IMAGE("https://raw.githubusercontent.com/stautonico/pokemon-home-pokedex/main/sprites/floette-blue.png", 2)</f>
        <v>0</v>
      </c>
      <c r="E1197" s="29" t="s">
        <v>30</v>
      </c>
      <c r="F1197" s="25" t="s">
        <v>17</v>
      </c>
    </row>
    <row r="1198" spans="1:6" ht="72" customHeight="1">
      <c r="A1198" s="1" t="s">
        <v>31</v>
      </c>
      <c r="B1198" s="1">
        <v>670</v>
      </c>
      <c r="C1198" s="1" t="s">
        <v>1231</v>
      </c>
      <c r="D1198">
        <f>IMAGE("https://raw.githubusercontent.com/stautonico/pokemon-home-pokedex/main/sprites/floette-white.png", 2)</f>
        <v>0</v>
      </c>
      <c r="E1198" s="29" t="s">
        <v>30</v>
      </c>
      <c r="F1198" s="25" t="s">
        <v>17</v>
      </c>
    </row>
    <row r="1199" spans="1:6" ht="72" customHeight="1">
      <c r="A1199" s="1" t="s">
        <v>31</v>
      </c>
      <c r="B1199" s="1">
        <v>671</v>
      </c>
      <c r="C1199" s="1" t="s">
        <v>1232</v>
      </c>
      <c r="D1199">
        <f>IMAGE("https://raw.githubusercontent.com/stautonico/pokemon-home-pokedex/main/sprites/florges-yellow.png", 2)</f>
        <v>0</v>
      </c>
      <c r="E1199" s="29" t="s">
        <v>30</v>
      </c>
      <c r="F1199" s="25" t="s">
        <v>17</v>
      </c>
    </row>
    <row r="1200" spans="1:6" ht="72" customHeight="1">
      <c r="A1200" s="1" t="s">
        <v>31</v>
      </c>
      <c r="B1200" s="1">
        <v>671</v>
      </c>
      <c r="C1200" s="1" t="s">
        <v>1233</v>
      </c>
      <c r="D1200">
        <f>IMAGE("https://raw.githubusercontent.com/stautonico/pokemon-home-pokedex/main/sprites/florges-orange.png", 2)</f>
        <v>0</v>
      </c>
      <c r="E1200" s="29" t="s">
        <v>30</v>
      </c>
      <c r="F1200" s="25" t="s">
        <v>17</v>
      </c>
    </row>
    <row r="1201" spans="1:6" ht="72" customHeight="1">
      <c r="A1201" s="1" t="s">
        <v>31</v>
      </c>
      <c r="B1201" s="1">
        <v>671</v>
      </c>
      <c r="C1201" s="1" t="s">
        <v>1234</v>
      </c>
      <c r="D1201">
        <f>IMAGE("https://raw.githubusercontent.com/stautonico/pokemon-home-pokedex/main/sprites/florges-blue.png", 2)</f>
        <v>0</v>
      </c>
      <c r="E1201" s="29" t="s">
        <v>30</v>
      </c>
      <c r="F1201" s="25" t="s">
        <v>17</v>
      </c>
    </row>
    <row r="1202" spans="1:6" ht="72" customHeight="1">
      <c r="A1202" s="1" t="s">
        <v>31</v>
      </c>
      <c r="B1202" s="1">
        <v>671</v>
      </c>
      <c r="C1202" s="1" t="s">
        <v>1235</v>
      </c>
      <c r="D1202">
        <f>IMAGE("https://raw.githubusercontent.com/stautonico/pokemon-home-pokedex/main/sprites/florges-white.png", 2)</f>
        <v>0</v>
      </c>
      <c r="E1202" s="29" t="s">
        <v>30</v>
      </c>
      <c r="F1202" s="25" t="s">
        <v>17</v>
      </c>
    </row>
    <row r="1203" spans="1:6" ht="72" customHeight="1">
      <c r="A1203" s="1" t="s">
        <v>31</v>
      </c>
      <c r="B1203" s="1">
        <v>10086</v>
      </c>
      <c r="C1203" s="1" t="s">
        <v>1236</v>
      </c>
      <c r="D1203">
        <f>IMAGE("https://raw.githubusercontent.com/stautonico/pokemon-home-pokedex/main/sprites/hoopa-unbound.png", 2)</f>
        <v>0</v>
      </c>
      <c r="E1203" s="39" t="s">
        <v>25</v>
      </c>
      <c r="F1203" s="5"/>
    </row>
    <row r="1204" spans="1:6" ht="72" customHeight="1">
      <c r="A1204" s="1" t="s">
        <v>31</v>
      </c>
      <c r="B1204" s="1">
        <v>10116</v>
      </c>
      <c r="C1204" s="1" t="s">
        <v>1237</v>
      </c>
      <c r="D1204">
        <f>IMAGE("https://raw.githubusercontent.com/stautonico/pokemon-home-pokedex/main/sprites/greninja-battle-bond.png", 2)</f>
        <v>0</v>
      </c>
      <c r="E1204" s="32" t="s">
        <v>18</v>
      </c>
      <c r="F1204" s="25" t="s">
        <v>17</v>
      </c>
    </row>
    <row r="1205" spans="1:6" ht="72" customHeight="1">
      <c r="A1205" s="1" t="s">
        <v>31</v>
      </c>
      <c r="B1205" s="1">
        <v>10181</v>
      </c>
      <c r="C1205" s="1" t="s">
        <v>1238</v>
      </c>
      <c r="D1205">
        <f>IMAGE("https://raw.githubusercontent.com/stautonico/pokemon-home-pokedex/main/sprites/zygarde-10.png", 2)</f>
        <v>0</v>
      </c>
      <c r="E1205" s="25" t="s">
        <v>17</v>
      </c>
      <c r="F1205" s="5"/>
    </row>
    <row r="1206" spans="1:6" ht="72" customHeight="1">
      <c r="A1206" s="1" t="s">
        <v>31</v>
      </c>
      <c r="B1206" s="1">
        <v>10120</v>
      </c>
      <c r="C1206" s="1" t="s">
        <v>1239</v>
      </c>
      <c r="D1206">
        <f>IMAGE("https://raw.githubusercontent.com/stautonico/pokemon-home-pokedex/main/sprites/zygarde-power-construct.png", 2)</f>
        <v>0</v>
      </c>
      <c r="E1206" s="25" t="s">
        <v>17</v>
      </c>
      <c r="F1206" s="5"/>
    </row>
    <row r="1207" spans="1:6" ht="72" customHeight="1">
      <c r="A1207" s="1" t="s">
        <v>31</v>
      </c>
      <c r="B1207" s="1">
        <v>10118</v>
      </c>
      <c r="C1207" s="1" t="s">
        <v>1240</v>
      </c>
      <c r="D1207">
        <f>IMAGE("https://raw.githubusercontent.com/stautonico/pokemon-home-pokedex/main/sprites/zygarde-10-power-construct.png", 2)</f>
        <v>0</v>
      </c>
      <c r="E1207" s="25" t="s">
        <v>17</v>
      </c>
      <c r="F1207" s="5"/>
    </row>
    <row r="1208" spans="1:6" ht="72" customHeight="1">
      <c r="A1208" s="1" t="s">
        <v>31</v>
      </c>
      <c r="B1208" s="1">
        <v>666</v>
      </c>
      <c r="C1208" s="1" t="s">
        <v>1241</v>
      </c>
      <c r="D1208">
        <f>IMAGE("https://raw.githubusercontent.com/stautonico/pokemon-home-pokedex/main/sprites/vivillon-polar.png", 2)</f>
        <v>0</v>
      </c>
      <c r="E1208" s="44" t="s">
        <v>26</v>
      </c>
      <c r="F1208" s="25" t="s">
        <v>17</v>
      </c>
    </row>
    <row r="1209" spans="1:6" ht="72" customHeight="1">
      <c r="A1209" s="1" t="s">
        <v>31</v>
      </c>
      <c r="B1209" s="1">
        <v>666</v>
      </c>
      <c r="C1209" s="1" t="s">
        <v>1242</v>
      </c>
      <c r="D1209">
        <f>IMAGE("https://raw.githubusercontent.com/stautonico/pokemon-home-pokedex/main/sprites/vivillon-tundra.png", 2)</f>
        <v>0</v>
      </c>
      <c r="E1209" s="44" t="s">
        <v>26</v>
      </c>
      <c r="F1209" s="25" t="s">
        <v>17</v>
      </c>
    </row>
    <row r="1210" spans="1:6" ht="72" customHeight="1">
      <c r="A1210" s="1" t="s">
        <v>31</v>
      </c>
      <c r="B1210" s="1">
        <v>666</v>
      </c>
      <c r="C1210" s="1" t="s">
        <v>1243</v>
      </c>
      <c r="D1210">
        <f>IMAGE("https://raw.githubusercontent.com/stautonico/pokemon-home-pokedex/main/sprites/vivillon-continental.png", 2)</f>
        <v>0</v>
      </c>
      <c r="E1210" s="44" t="s">
        <v>26</v>
      </c>
      <c r="F1210" s="25" t="s">
        <v>17</v>
      </c>
    </row>
    <row r="1211" spans="1:6" ht="72" customHeight="1">
      <c r="A1211" s="1" t="s">
        <v>31</v>
      </c>
      <c r="B1211" s="1">
        <v>666</v>
      </c>
      <c r="C1211" s="1" t="s">
        <v>1244</v>
      </c>
      <c r="D1211">
        <f>IMAGE("https://raw.githubusercontent.com/stautonico/pokemon-home-pokedex/main/sprites/vivillon-garden.png", 2)</f>
        <v>0</v>
      </c>
      <c r="E1211" s="44" t="s">
        <v>26</v>
      </c>
      <c r="F1211" s="25" t="s">
        <v>17</v>
      </c>
    </row>
    <row r="1212" spans="1:6" ht="72" customHeight="1">
      <c r="A1212" s="1" t="s">
        <v>31</v>
      </c>
      <c r="B1212" s="1">
        <v>666</v>
      </c>
      <c r="C1212" s="1" t="s">
        <v>1245</v>
      </c>
      <c r="D1212">
        <f>IMAGE("https://raw.githubusercontent.com/stautonico/pokemon-home-pokedex/main/sprites/vivillon-elegant.png", 2)</f>
        <v>0</v>
      </c>
      <c r="E1212" s="44" t="s">
        <v>26</v>
      </c>
      <c r="F1212" s="25" t="s">
        <v>17</v>
      </c>
    </row>
    <row r="1213" spans="1:6" ht="72" customHeight="1">
      <c r="A1213" s="1" t="s">
        <v>31</v>
      </c>
      <c r="B1213" s="1">
        <v>666</v>
      </c>
      <c r="C1213" s="1" t="s">
        <v>1246</v>
      </c>
      <c r="D1213">
        <f>IMAGE("https://raw.githubusercontent.com/stautonico/pokemon-home-pokedex/main/sprites/vivillon-meadow.png", 2)</f>
        <v>0</v>
      </c>
      <c r="E1213" s="44" t="s">
        <v>26</v>
      </c>
      <c r="F1213" s="25" t="s">
        <v>17</v>
      </c>
    </row>
    <row r="1214" spans="1:6" ht="72" customHeight="1">
      <c r="A1214" s="1" t="s">
        <v>31</v>
      </c>
      <c r="B1214" s="1">
        <v>666</v>
      </c>
      <c r="C1214" s="1" t="s">
        <v>1247</v>
      </c>
      <c r="D1214">
        <f>IMAGE("https://raw.githubusercontent.com/stautonico/pokemon-home-pokedex/main/sprites/vivillon-modern.png", 2)</f>
        <v>0</v>
      </c>
      <c r="E1214" s="44" t="s">
        <v>26</v>
      </c>
      <c r="F1214" s="25" t="s">
        <v>17</v>
      </c>
    </row>
    <row r="1215" spans="1:6" ht="72" customHeight="1">
      <c r="A1215" s="1" t="s">
        <v>31</v>
      </c>
      <c r="B1215" s="1">
        <v>666</v>
      </c>
      <c r="C1215" s="1" t="s">
        <v>1248</v>
      </c>
      <c r="D1215">
        <f>IMAGE("https://raw.githubusercontent.com/stautonico/pokemon-home-pokedex/main/sprites/vivillon-marine.png", 2)</f>
        <v>0</v>
      </c>
      <c r="E1215" s="44" t="s">
        <v>26</v>
      </c>
      <c r="F1215" s="25" t="s">
        <v>17</v>
      </c>
    </row>
    <row r="1216" spans="1:6" ht="72" customHeight="1">
      <c r="A1216" s="1" t="s">
        <v>31</v>
      </c>
      <c r="B1216" s="1">
        <v>666</v>
      </c>
      <c r="C1216" s="1" t="s">
        <v>1249</v>
      </c>
      <c r="D1216">
        <f>IMAGE("https://raw.githubusercontent.com/stautonico/pokemon-home-pokedex/main/sprites/vivillon-archipelago.png", 2)</f>
        <v>0</v>
      </c>
      <c r="E1216" s="44" t="s">
        <v>26</v>
      </c>
      <c r="F1216" s="25" t="s">
        <v>17</v>
      </c>
    </row>
    <row r="1217" spans="1:6" ht="72" customHeight="1">
      <c r="A1217" s="1" t="s">
        <v>31</v>
      </c>
      <c r="B1217" s="1">
        <v>666</v>
      </c>
      <c r="C1217" s="1" t="s">
        <v>1250</v>
      </c>
      <c r="D1217">
        <f>IMAGE("https://raw.githubusercontent.com/stautonico/pokemon-home-pokedex/main/sprites/vivillon-high-plains.png", 2)</f>
        <v>0</v>
      </c>
      <c r="E1217" s="44" t="s">
        <v>26</v>
      </c>
      <c r="F1217" s="25" t="s">
        <v>17</v>
      </c>
    </row>
    <row r="1218" spans="1:6" ht="72" customHeight="1">
      <c r="A1218" s="1" t="s">
        <v>31</v>
      </c>
      <c r="B1218" s="1">
        <v>666</v>
      </c>
      <c r="C1218" s="1" t="s">
        <v>1251</v>
      </c>
      <c r="D1218">
        <f>IMAGE("https://raw.githubusercontent.com/stautonico/pokemon-home-pokedex/main/sprites/vivillon-sandstorm.png", 2)</f>
        <v>0</v>
      </c>
      <c r="E1218" s="44" t="s">
        <v>26</v>
      </c>
      <c r="F1218" s="25" t="s">
        <v>17</v>
      </c>
    </row>
    <row r="1219" spans="1:6" ht="72" customHeight="1">
      <c r="A1219" s="1" t="s">
        <v>31</v>
      </c>
      <c r="B1219" s="1">
        <v>666</v>
      </c>
      <c r="C1219" s="1" t="s">
        <v>1252</v>
      </c>
      <c r="D1219">
        <f>IMAGE("https://raw.githubusercontent.com/stautonico/pokemon-home-pokedex/main/sprites/vivillon-river.png", 2)</f>
        <v>0</v>
      </c>
      <c r="E1219" s="44" t="s">
        <v>26</v>
      </c>
      <c r="F1219" s="25" t="s">
        <v>17</v>
      </c>
    </row>
    <row r="1220" spans="1:6" ht="72" customHeight="1">
      <c r="A1220" s="1" t="s">
        <v>31</v>
      </c>
      <c r="B1220" s="1">
        <v>666</v>
      </c>
      <c r="C1220" s="1" t="s">
        <v>1253</v>
      </c>
      <c r="D1220">
        <f>IMAGE("https://raw.githubusercontent.com/stautonico/pokemon-home-pokedex/main/sprites/vivillon-monsoon.png", 2)</f>
        <v>0</v>
      </c>
      <c r="E1220" s="44" t="s">
        <v>26</v>
      </c>
      <c r="F1220" s="25" t="s">
        <v>17</v>
      </c>
    </row>
    <row r="1221" spans="1:6" ht="72" customHeight="1">
      <c r="A1221" s="1" t="s">
        <v>31</v>
      </c>
      <c r="B1221" s="1">
        <v>666</v>
      </c>
      <c r="C1221" s="1" t="s">
        <v>1254</v>
      </c>
      <c r="D1221">
        <f>IMAGE("https://raw.githubusercontent.com/stautonico/pokemon-home-pokedex/main/sprites/vivillon-savanna.png", 2)</f>
        <v>0</v>
      </c>
      <c r="E1221" s="44" t="s">
        <v>26</v>
      </c>
      <c r="F1221" s="25" t="s">
        <v>17</v>
      </c>
    </row>
    <row r="1222" spans="1:6" ht="72" customHeight="1">
      <c r="A1222" s="1" t="s">
        <v>31</v>
      </c>
      <c r="B1222" s="1">
        <v>666</v>
      </c>
      <c r="C1222" s="1" t="s">
        <v>1255</v>
      </c>
      <c r="D1222">
        <f>IMAGE("https://raw.githubusercontent.com/stautonico/pokemon-home-pokedex/main/sprites/vivillon-sun.png", 2)</f>
        <v>0</v>
      </c>
      <c r="E1222" s="44" t="s">
        <v>26</v>
      </c>
      <c r="F1222" s="25" t="s">
        <v>17</v>
      </c>
    </row>
    <row r="1223" spans="1:6" ht="72" customHeight="1">
      <c r="A1223" s="1" t="s">
        <v>31</v>
      </c>
      <c r="B1223" s="1">
        <v>666</v>
      </c>
      <c r="C1223" s="1" t="s">
        <v>1256</v>
      </c>
      <c r="D1223">
        <f>IMAGE("https://raw.githubusercontent.com/stautonico/pokemon-home-pokedex/main/sprites/vivillon-ocean.png", 2)</f>
        <v>0</v>
      </c>
      <c r="E1223" s="44" t="s">
        <v>26</v>
      </c>
      <c r="F1223" s="25" t="s">
        <v>17</v>
      </c>
    </row>
    <row r="1224" spans="1:6" ht="72" customHeight="1">
      <c r="A1224" s="1" t="s">
        <v>31</v>
      </c>
      <c r="B1224" s="1">
        <v>666</v>
      </c>
      <c r="C1224" s="1" t="s">
        <v>1257</v>
      </c>
      <c r="D1224">
        <f>IMAGE("https://raw.githubusercontent.com/stautonico/pokemon-home-pokedex/main/sprites/vivillon-jungle.png", 2)</f>
        <v>0</v>
      </c>
      <c r="E1224" s="44" t="s">
        <v>26</v>
      </c>
      <c r="F1224" s="25" t="s">
        <v>17</v>
      </c>
    </row>
    <row r="1225" spans="1:6" ht="72" customHeight="1">
      <c r="A1225" s="1" t="s">
        <v>31</v>
      </c>
      <c r="B1225" s="1">
        <v>666</v>
      </c>
      <c r="C1225" s="1" t="s">
        <v>1258</v>
      </c>
      <c r="D1225">
        <f>IMAGE("https://raw.githubusercontent.com/stautonico/pokemon-home-pokedex/main/sprites/vivillon-fancy.png", 2)</f>
        <v>0</v>
      </c>
      <c r="E1225" s="44" t="s">
        <v>26</v>
      </c>
      <c r="F1225" s="25" t="s">
        <v>17</v>
      </c>
    </row>
    <row r="1226" spans="1:6" ht="72" customHeight="1">
      <c r="A1226" s="1" t="s">
        <v>31</v>
      </c>
      <c r="B1226" s="1">
        <v>666</v>
      </c>
      <c r="C1226" s="1" t="s">
        <v>1259</v>
      </c>
      <c r="D1226">
        <f>IMAGE("https://raw.githubusercontent.com/stautonico/pokemon-home-pokedex/main/sprites/vivillon-pokeball.png", 2)</f>
        <v>0</v>
      </c>
      <c r="E1226" s="44" t="s">
        <v>26</v>
      </c>
      <c r="F1226" s="25" t="s">
        <v>17</v>
      </c>
    </row>
    <row r="1227" spans="1:6" ht="72" customHeight="1">
      <c r="A1227" s="1" t="s">
        <v>31</v>
      </c>
      <c r="B1227" s="1">
        <v>10123</v>
      </c>
      <c r="C1227" s="1" t="s">
        <v>775</v>
      </c>
      <c r="D1227">
        <f>IMAGE("https://raw.githubusercontent.com/stautonico/pokemon-home-pokedex/main/sprites/oricorio-pom-pom.png", 2)</f>
        <v>0</v>
      </c>
      <c r="E1227" s="32" t="s">
        <v>18</v>
      </c>
      <c r="F1227" s="5"/>
    </row>
    <row r="1228" spans="1:6" ht="72" customHeight="1">
      <c r="A1228" s="1" t="s">
        <v>31</v>
      </c>
      <c r="B1228" s="1">
        <v>10124</v>
      </c>
      <c r="C1228" s="1" t="s">
        <v>1260</v>
      </c>
      <c r="D1228">
        <f>IMAGE("https://raw.githubusercontent.com/stautonico/pokemon-home-pokedex/main/sprites/oricorio-pau.png", 2)</f>
        <v>0</v>
      </c>
      <c r="E1228" s="32" t="s">
        <v>18</v>
      </c>
      <c r="F1228" s="5"/>
    </row>
    <row r="1229" spans="1:6" ht="72" customHeight="1">
      <c r="A1229" s="1" t="s">
        <v>31</v>
      </c>
      <c r="B1229" s="1">
        <v>10125</v>
      </c>
      <c r="C1229" s="1" t="s">
        <v>1261</v>
      </c>
      <c r="D1229">
        <f>IMAGE("https://raw.githubusercontent.com/stautonico/pokemon-home-pokedex/main/sprites/oricorio-sensu.png", 2)</f>
        <v>0</v>
      </c>
      <c r="E1229" s="32" t="s">
        <v>18</v>
      </c>
      <c r="F1229" s="5"/>
    </row>
    <row r="1230" spans="1:6" ht="72" customHeight="1">
      <c r="A1230" s="1" t="s">
        <v>31</v>
      </c>
      <c r="B1230" s="1">
        <v>10151</v>
      </c>
      <c r="C1230" s="1" t="s">
        <v>1262</v>
      </c>
      <c r="D1230">
        <f>IMAGE("https://raw.githubusercontent.com/stautonico/pokemon-home-pokedex/main/sprites/rockruff-own-tempo.png", 2)</f>
        <v>0</v>
      </c>
      <c r="E1230" s="3" t="s">
        <v>12</v>
      </c>
      <c r="F1230" s="32" t="s">
        <v>18</v>
      </c>
    </row>
    <row r="1231" spans="1:6" ht="72" customHeight="1">
      <c r="A1231" s="1" t="s">
        <v>31</v>
      </c>
      <c r="B1231" s="1">
        <v>10126</v>
      </c>
      <c r="C1231" s="1" t="s">
        <v>1263</v>
      </c>
      <c r="D1231">
        <f>IMAGE("https://raw.githubusercontent.com/stautonico/pokemon-home-pokedex/main/sprites/lycanroc-midnight.png", 2)</f>
        <v>0</v>
      </c>
      <c r="E1231" s="3" t="s">
        <v>12</v>
      </c>
      <c r="F1231" s="32" t="s">
        <v>18</v>
      </c>
    </row>
    <row r="1232" spans="1:6" ht="72" customHeight="1">
      <c r="A1232" s="1" t="s">
        <v>31</v>
      </c>
      <c r="B1232" s="1">
        <v>10152</v>
      </c>
      <c r="C1232" s="1" t="s">
        <v>1264</v>
      </c>
      <c r="D1232">
        <f>IMAGE("https://raw.githubusercontent.com/stautonico/pokemon-home-pokedex/main/sprites/lycanroc-dusk.png", 2)</f>
        <v>0</v>
      </c>
      <c r="E1232" s="3" t="s">
        <v>12</v>
      </c>
      <c r="F1232" s="32" t="s">
        <v>18</v>
      </c>
    </row>
    <row r="1233" spans="1:6" ht="72" customHeight="1">
      <c r="A1233" s="1" t="s">
        <v>31</v>
      </c>
      <c r="B1233" s="1">
        <v>10137</v>
      </c>
      <c r="C1233" s="1" t="s">
        <v>1265</v>
      </c>
      <c r="D1233">
        <f>IMAGE("https://raw.githubusercontent.com/stautonico/pokemon-home-pokedex/main/sprites/minior-orange.png", 2)</f>
        <v>0</v>
      </c>
      <c r="E1233" s="32" t="s">
        <v>18</v>
      </c>
      <c r="F1233" s="5"/>
    </row>
    <row r="1234" spans="1:6" ht="72" customHeight="1">
      <c r="A1234" s="1" t="s">
        <v>31</v>
      </c>
      <c r="B1234" s="1">
        <v>10138</v>
      </c>
      <c r="C1234" s="1" t="s">
        <v>1266</v>
      </c>
      <c r="D1234">
        <f>IMAGE("https://raw.githubusercontent.com/stautonico/pokemon-home-pokedex/main/sprites/minior-yellow.png", 2)</f>
        <v>0</v>
      </c>
      <c r="E1234" s="32" t="s">
        <v>18</v>
      </c>
      <c r="F1234" s="5"/>
    </row>
    <row r="1235" spans="1:6" ht="72" customHeight="1">
      <c r="A1235" s="1" t="s">
        <v>31</v>
      </c>
      <c r="B1235" s="1">
        <v>10139</v>
      </c>
      <c r="C1235" s="1" t="s">
        <v>1267</v>
      </c>
      <c r="D1235">
        <f>IMAGE("https://raw.githubusercontent.com/stautonico/pokemon-home-pokedex/main/sprites/minior-green.png", 2)</f>
        <v>0</v>
      </c>
      <c r="E1235" s="32" t="s">
        <v>18</v>
      </c>
      <c r="F1235" s="5"/>
    </row>
    <row r="1236" spans="1:6" ht="72" customHeight="1">
      <c r="A1236" s="1" t="s">
        <v>31</v>
      </c>
      <c r="B1236" s="1">
        <v>10140</v>
      </c>
      <c r="C1236" s="1" t="s">
        <v>1268</v>
      </c>
      <c r="D1236">
        <f>IMAGE("https://raw.githubusercontent.com/stautonico/pokemon-home-pokedex/main/sprites/minior-blue.png", 2)</f>
        <v>0</v>
      </c>
      <c r="E1236" s="32" t="s">
        <v>18</v>
      </c>
      <c r="F1236" s="5"/>
    </row>
    <row r="1237" spans="1:6" ht="72" customHeight="1">
      <c r="A1237" s="1" t="s">
        <v>31</v>
      </c>
      <c r="B1237" s="1">
        <v>10141</v>
      </c>
      <c r="C1237" s="1" t="s">
        <v>1269</v>
      </c>
      <c r="D1237">
        <f>IMAGE("https://raw.githubusercontent.com/stautonico/pokemon-home-pokedex/main/sprites/minior-indigo.png", 2)</f>
        <v>0</v>
      </c>
      <c r="E1237" s="32" t="s">
        <v>18</v>
      </c>
      <c r="F1237" s="5"/>
    </row>
    <row r="1238" spans="1:6" ht="72" customHeight="1">
      <c r="A1238" s="1" t="s">
        <v>31</v>
      </c>
      <c r="B1238" s="1">
        <v>10142</v>
      </c>
      <c r="C1238" s="1" t="s">
        <v>1270</v>
      </c>
      <c r="D1238">
        <f>IMAGE("https://raw.githubusercontent.com/stautonico/pokemon-home-pokedex/main/sprites/minior-violet.png", 2)</f>
        <v>0</v>
      </c>
      <c r="E1238" s="32" t="s">
        <v>18</v>
      </c>
      <c r="F1238" s="5"/>
    </row>
    <row r="1239" spans="1:6" ht="72" customHeight="1">
      <c r="A1239" s="1" t="s">
        <v>31</v>
      </c>
      <c r="B1239" s="1">
        <v>10147</v>
      </c>
      <c r="C1239" s="1" t="s">
        <v>1271</v>
      </c>
      <c r="D1239">
        <f>IMAGE("https://raw.githubusercontent.com/stautonico/pokemon-home-pokedex/main/sprites/magearna-original.png", 2)</f>
        <v>0</v>
      </c>
      <c r="E1239" s="32" t="s">
        <v>18</v>
      </c>
      <c r="F1239" s="5"/>
    </row>
    <row r="1240" spans="1:6" ht="72" customHeight="1">
      <c r="A1240" s="1" t="s">
        <v>31</v>
      </c>
      <c r="B1240" s="1">
        <v>10184</v>
      </c>
      <c r="C1240" s="1" t="s">
        <v>1272</v>
      </c>
      <c r="D1240">
        <f>IMAGE("https://raw.githubusercontent.com/stautonico/pokemon-home-pokedex/main/sprites/toxtricity-low-key.png", 2)</f>
        <v>0</v>
      </c>
      <c r="E1240" s="4" t="s">
        <v>14</v>
      </c>
      <c r="F1240" s="5"/>
    </row>
    <row r="1241" spans="1:6" ht="72" customHeight="1">
      <c r="A1241" s="1" t="s">
        <v>31</v>
      </c>
      <c r="B1241" s="1">
        <v>854</v>
      </c>
      <c r="C1241" s="1" t="s">
        <v>1273</v>
      </c>
      <c r="D1241">
        <f>IMAGE("https://raw.githubusercontent.com/stautonico/pokemon-home-pokedex/main/sprites/sinistea-antique.png", 2)</f>
        <v>0</v>
      </c>
      <c r="E1241" s="4" t="s">
        <v>14</v>
      </c>
      <c r="F1241" s="5"/>
    </row>
    <row r="1242" spans="1:6" ht="72" customHeight="1">
      <c r="A1242" s="1" t="s">
        <v>31</v>
      </c>
      <c r="B1242" s="1">
        <v>855</v>
      </c>
      <c r="C1242" s="1" t="s">
        <v>1274</v>
      </c>
      <c r="D1242">
        <f>IMAGE("https://raw.githubusercontent.com/stautonico/pokemon-home-pokedex/main/sprites/polteageist-antique.png", 2)</f>
        <v>0</v>
      </c>
      <c r="E1242" s="4" t="s">
        <v>14</v>
      </c>
      <c r="F1242" s="5"/>
    </row>
    <row r="1243" spans="1:6" ht="72" customHeight="1">
      <c r="A1243" s="1" t="s">
        <v>31</v>
      </c>
      <c r="B1243" s="1">
        <v>10191</v>
      </c>
      <c r="C1243" s="1" t="s">
        <v>1275</v>
      </c>
      <c r="D1243">
        <f>IMAGE("https://raw.githubusercontent.com/stautonico/pokemon-home-pokedex/main/sprites/urshifu-rapid-strike.png", 2)</f>
        <v>0</v>
      </c>
      <c r="E1243" s="3" t="s">
        <v>12</v>
      </c>
      <c r="F1243" s="5"/>
    </row>
    <row r="1244" spans="1:6" ht="72" customHeight="1">
      <c r="A1244" s="1" t="s">
        <v>31</v>
      </c>
      <c r="B1244" s="1">
        <v>10192</v>
      </c>
      <c r="C1244" s="1" t="s">
        <v>1276</v>
      </c>
      <c r="D1244">
        <f>IMAGE("https://raw.githubusercontent.com/stautonico/pokemon-home-pokedex/main/sprites/zarude-dada.png", 2)</f>
        <v>0</v>
      </c>
      <c r="E1244" s="39" t="s">
        <v>25</v>
      </c>
      <c r="F1244" s="5"/>
    </row>
    <row r="1245" spans="1:6" ht="72" customHeight="1">
      <c r="A1245" s="1" t="s">
        <v>31</v>
      </c>
      <c r="B1245" s="1">
        <v>10249</v>
      </c>
      <c r="C1245" s="1" t="s">
        <v>1277</v>
      </c>
      <c r="D1245">
        <f>IMAGE("https://raw.githubusercontent.com/stautonico/pokemon-home-pokedex/main/sprites/enamorus-therian.png", 2)</f>
        <v>0</v>
      </c>
      <c r="E1245" s="46" t="s">
        <v>27</v>
      </c>
      <c r="F1245" s="5"/>
    </row>
    <row r="1246" spans="1:6" ht="72" customHeight="1">
      <c r="A1246" s="1" t="s">
        <v>31</v>
      </c>
      <c r="B1246" s="1">
        <v>869</v>
      </c>
      <c r="C1246" s="1" t="s">
        <v>1278</v>
      </c>
      <c r="D1246">
        <f>IMAGE("https://raw.githubusercontent.com/stautonico/pokemon-home-pokedex/main/sprites/alcremie-vanilla-cream-berry.png", 2)</f>
        <v>0</v>
      </c>
      <c r="E1246" s="4" t="s">
        <v>14</v>
      </c>
      <c r="F1246" s="5"/>
    </row>
    <row r="1247" spans="1:6" ht="72" customHeight="1">
      <c r="A1247" s="1" t="s">
        <v>31</v>
      </c>
      <c r="B1247" s="1">
        <v>869</v>
      </c>
      <c r="C1247" s="1" t="s">
        <v>1279</v>
      </c>
      <c r="D1247">
        <f>IMAGE("https://raw.githubusercontent.com/stautonico/pokemon-home-pokedex/main/sprites/alcremie-vanilla-cream-love.png", 2)</f>
        <v>0</v>
      </c>
      <c r="E1247" s="4" t="s">
        <v>14</v>
      </c>
      <c r="F1247" s="5"/>
    </row>
    <row r="1248" spans="1:6" ht="72" customHeight="1">
      <c r="A1248" s="1" t="s">
        <v>31</v>
      </c>
      <c r="B1248" s="1">
        <v>869</v>
      </c>
      <c r="C1248" s="1" t="s">
        <v>1280</v>
      </c>
      <c r="D1248">
        <f>IMAGE("https://raw.githubusercontent.com/stautonico/pokemon-home-pokedex/main/sprites/alcremie-vanilla-cream-star.png", 2)</f>
        <v>0</v>
      </c>
      <c r="E1248" s="4" t="s">
        <v>14</v>
      </c>
      <c r="F1248" s="5"/>
    </row>
    <row r="1249" spans="1:6" ht="72" customHeight="1">
      <c r="A1249" s="1" t="s">
        <v>31</v>
      </c>
      <c r="B1249" s="1">
        <v>869</v>
      </c>
      <c r="C1249" s="1" t="s">
        <v>1281</v>
      </c>
      <c r="D1249">
        <f>IMAGE("https://raw.githubusercontent.com/stautonico/pokemon-home-pokedex/main/sprites/alcremie-vanilla-cream-clover.png", 2)</f>
        <v>0</v>
      </c>
      <c r="E1249" s="4" t="s">
        <v>14</v>
      </c>
      <c r="F1249" s="5"/>
    </row>
    <row r="1250" spans="1:6" ht="72" customHeight="1">
      <c r="A1250" s="1" t="s">
        <v>31</v>
      </c>
      <c r="B1250" s="1">
        <v>869</v>
      </c>
      <c r="C1250" s="1" t="s">
        <v>1282</v>
      </c>
      <c r="D1250">
        <f>IMAGE("https://raw.githubusercontent.com/stautonico/pokemon-home-pokedex/main/sprites/alcremie-vanilla-cream-flower.png", 2)</f>
        <v>0</v>
      </c>
      <c r="E1250" s="4" t="s">
        <v>14</v>
      </c>
      <c r="F1250" s="5"/>
    </row>
    <row r="1251" spans="1:6" ht="72" customHeight="1">
      <c r="A1251" s="1" t="s">
        <v>31</v>
      </c>
      <c r="B1251" s="1">
        <v>869</v>
      </c>
      <c r="C1251" s="1" t="s">
        <v>1283</v>
      </c>
      <c r="D1251">
        <f>IMAGE("https://raw.githubusercontent.com/stautonico/pokemon-home-pokedex/main/sprites/alcremie-vanilla-cream-ribbon.png", 2)</f>
        <v>0</v>
      </c>
      <c r="E1251" s="4" t="s">
        <v>14</v>
      </c>
      <c r="F1251" s="5"/>
    </row>
    <row r="1252" spans="1:6" ht="72" customHeight="1">
      <c r="A1252" s="1" t="s">
        <v>31</v>
      </c>
      <c r="B1252" s="1">
        <v>869</v>
      </c>
      <c r="C1252" s="1" t="s">
        <v>1284</v>
      </c>
      <c r="D1252">
        <f>IMAGE("https://raw.githubusercontent.com/stautonico/pokemon-home-pokedex/main/sprites/alcremie-ruby-cream-strawberry.png", 2)</f>
        <v>0</v>
      </c>
      <c r="E1252" s="4" t="s">
        <v>14</v>
      </c>
      <c r="F1252" s="5"/>
    </row>
    <row r="1253" spans="1:6" ht="72" customHeight="1">
      <c r="A1253" s="1" t="s">
        <v>31</v>
      </c>
      <c r="B1253" s="1">
        <v>869</v>
      </c>
      <c r="C1253" s="1" t="s">
        <v>1285</v>
      </c>
      <c r="D1253">
        <f>IMAGE("https://raw.githubusercontent.com/stautonico/pokemon-home-pokedex/main/sprites/alcremie-ruby-cream-berry.png", 2)</f>
        <v>0</v>
      </c>
      <c r="E1253" s="4" t="s">
        <v>14</v>
      </c>
      <c r="F1253" s="5"/>
    </row>
    <row r="1254" spans="1:6" ht="72" customHeight="1">
      <c r="A1254" s="1" t="s">
        <v>31</v>
      </c>
      <c r="B1254" s="1">
        <v>869</v>
      </c>
      <c r="C1254" s="1" t="s">
        <v>1286</v>
      </c>
      <c r="D1254">
        <f>IMAGE("https://raw.githubusercontent.com/stautonico/pokemon-home-pokedex/main/sprites/alcremie-ruby-cream-love.png", 2)</f>
        <v>0</v>
      </c>
      <c r="E1254" s="4" t="s">
        <v>14</v>
      </c>
      <c r="F1254" s="5"/>
    </row>
    <row r="1255" spans="1:6" ht="72" customHeight="1">
      <c r="A1255" s="1" t="s">
        <v>31</v>
      </c>
      <c r="B1255" s="1">
        <v>869</v>
      </c>
      <c r="C1255" s="1" t="s">
        <v>1287</v>
      </c>
      <c r="D1255">
        <f>IMAGE("https://raw.githubusercontent.com/stautonico/pokemon-home-pokedex/main/sprites/alcremie-ruby-cream-star.png", 2)</f>
        <v>0</v>
      </c>
      <c r="E1255" s="4" t="s">
        <v>14</v>
      </c>
      <c r="F1255" s="5"/>
    </row>
    <row r="1256" spans="1:6" ht="72" customHeight="1">
      <c r="A1256" s="1" t="s">
        <v>31</v>
      </c>
      <c r="B1256" s="1">
        <v>869</v>
      </c>
      <c r="C1256" s="1" t="s">
        <v>1288</v>
      </c>
      <c r="D1256">
        <f>IMAGE("https://raw.githubusercontent.com/stautonico/pokemon-home-pokedex/main/sprites/alcremie-ruby-cream-clover.png", 2)</f>
        <v>0</v>
      </c>
      <c r="E1256" s="4" t="s">
        <v>14</v>
      </c>
      <c r="F1256" s="5"/>
    </row>
    <row r="1257" spans="1:6" ht="72" customHeight="1">
      <c r="A1257" s="1" t="s">
        <v>31</v>
      </c>
      <c r="B1257" s="1">
        <v>869</v>
      </c>
      <c r="C1257" s="1" t="s">
        <v>1289</v>
      </c>
      <c r="D1257">
        <f>IMAGE("https://raw.githubusercontent.com/stautonico/pokemon-home-pokedex/main/sprites/alcremie-ruby-cream-flower.png", 2)</f>
        <v>0</v>
      </c>
      <c r="E1257" s="4" t="s">
        <v>14</v>
      </c>
      <c r="F1257" s="5"/>
    </row>
    <row r="1258" spans="1:6" ht="72" customHeight="1">
      <c r="A1258" s="1" t="s">
        <v>31</v>
      </c>
      <c r="B1258" s="1">
        <v>869</v>
      </c>
      <c r="C1258" s="1" t="s">
        <v>1290</v>
      </c>
      <c r="D1258">
        <f>IMAGE("https://raw.githubusercontent.com/stautonico/pokemon-home-pokedex/main/sprites/alcremie-ruby-cream-ribbon.png", 2)</f>
        <v>0</v>
      </c>
      <c r="E1258" s="4" t="s">
        <v>14</v>
      </c>
      <c r="F1258" s="5"/>
    </row>
    <row r="1259" spans="1:6" ht="72" customHeight="1">
      <c r="A1259" s="1" t="s">
        <v>31</v>
      </c>
      <c r="B1259" s="1">
        <v>869</v>
      </c>
      <c r="C1259" s="1" t="s">
        <v>1291</v>
      </c>
      <c r="D1259">
        <f>IMAGE("https://raw.githubusercontent.com/stautonico/pokemon-home-pokedex/main/sprites/alcremie-matcha-cream-strawberry.png", 2)</f>
        <v>0</v>
      </c>
      <c r="E1259" s="4" t="s">
        <v>14</v>
      </c>
      <c r="F1259" s="5"/>
    </row>
    <row r="1260" spans="1:6" ht="72" customHeight="1">
      <c r="A1260" s="1" t="s">
        <v>31</v>
      </c>
      <c r="B1260" s="1">
        <v>869</v>
      </c>
      <c r="C1260" s="1" t="s">
        <v>1292</v>
      </c>
      <c r="D1260">
        <f>IMAGE("https://raw.githubusercontent.com/stautonico/pokemon-home-pokedex/main/sprites/alcremie-matcha-cream-berry.png", 2)</f>
        <v>0</v>
      </c>
      <c r="E1260" s="4" t="s">
        <v>14</v>
      </c>
      <c r="F1260" s="5"/>
    </row>
    <row r="1261" spans="1:6" ht="72" customHeight="1">
      <c r="A1261" s="1" t="s">
        <v>31</v>
      </c>
      <c r="B1261" s="1">
        <v>869</v>
      </c>
      <c r="C1261" s="1" t="s">
        <v>1293</v>
      </c>
      <c r="D1261">
        <f>IMAGE("https://raw.githubusercontent.com/stautonico/pokemon-home-pokedex/main/sprites/alcremie-matcha-cream-love.png", 2)</f>
        <v>0</v>
      </c>
      <c r="E1261" s="4" t="s">
        <v>14</v>
      </c>
      <c r="F1261" s="5"/>
    </row>
    <row r="1262" spans="1:6" ht="72" customHeight="1">
      <c r="A1262" s="1" t="s">
        <v>31</v>
      </c>
      <c r="B1262" s="1">
        <v>869</v>
      </c>
      <c r="C1262" s="1" t="s">
        <v>1294</v>
      </c>
      <c r="D1262">
        <f>IMAGE("https://raw.githubusercontent.com/stautonico/pokemon-home-pokedex/main/sprites/alcremie-matcha-cream-star.png", 2)</f>
        <v>0</v>
      </c>
      <c r="E1262" s="4" t="s">
        <v>14</v>
      </c>
      <c r="F1262" s="5"/>
    </row>
    <row r="1263" spans="1:6" ht="72" customHeight="1">
      <c r="A1263" s="1" t="s">
        <v>31</v>
      </c>
      <c r="B1263" s="1">
        <v>869</v>
      </c>
      <c r="C1263" s="1" t="s">
        <v>1295</v>
      </c>
      <c r="D1263">
        <f>IMAGE("https://raw.githubusercontent.com/stautonico/pokemon-home-pokedex/main/sprites/alcremie-matcha-cream-clover.png", 2)</f>
        <v>0</v>
      </c>
      <c r="E1263" s="4" t="s">
        <v>14</v>
      </c>
      <c r="F1263" s="5"/>
    </row>
    <row r="1264" spans="1:6" ht="72" customHeight="1">
      <c r="A1264" s="1" t="s">
        <v>31</v>
      </c>
      <c r="B1264" s="1">
        <v>869</v>
      </c>
      <c r="C1264" s="1" t="s">
        <v>1296</v>
      </c>
      <c r="D1264">
        <f>IMAGE("https://raw.githubusercontent.com/stautonico/pokemon-home-pokedex/main/sprites/alcremie-matcha-cream-flower.png", 2)</f>
        <v>0</v>
      </c>
      <c r="E1264" s="4" t="s">
        <v>14</v>
      </c>
      <c r="F1264" s="5"/>
    </row>
    <row r="1265" spans="1:6" ht="72" customHeight="1">
      <c r="A1265" s="1" t="s">
        <v>31</v>
      </c>
      <c r="B1265" s="1">
        <v>869</v>
      </c>
      <c r="C1265" s="1" t="s">
        <v>1297</v>
      </c>
      <c r="D1265">
        <f>IMAGE("https://raw.githubusercontent.com/stautonico/pokemon-home-pokedex/main/sprites/alcremie-matcha-cream-ribbon.png", 2)</f>
        <v>0</v>
      </c>
      <c r="E1265" s="4" t="s">
        <v>14</v>
      </c>
      <c r="F1265" s="5"/>
    </row>
    <row r="1266" spans="1:6" ht="72" customHeight="1">
      <c r="A1266" s="1" t="s">
        <v>31</v>
      </c>
      <c r="B1266" s="1">
        <v>869</v>
      </c>
      <c r="C1266" s="1" t="s">
        <v>1298</v>
      </c>
      <c r="D1266">
        <f>IMAGE("https://raw.githubusercontent.com/stautonico/pokemon-home-pokedex/main/sprites/alcremie-mint-cream-strawberry.png", 2)</f>
        <v>0</v>
      </c>
      <c r="E1266" s="4" t="s">
        <v>14</v>
      </c>
      <c r="F1266" s="5"/>
    </row>
    <row r="1267" spans="1:6" ht="72" customHeight="1">
      <c r="A1267" s="1" t="s">
        <v>31</v>
      </c>
      <c r="B1267" s="1">
        <v>869</v>
      </c>
      <c r="C1267" s="1" t="s">
        <v>1299</v>
      </c>
      <c r="D1267">
        <f>IMAGE("https://raw.githubusercontent.com/stautonico/pokemon-home-pokedex/main/sprites/alcremie-mint-cream-berry.png", 2)</f>
        <v>0</v>
      </c>
      <c r="E1267" s="4" t="s">
        <v>14</v>
      </c>
      <c r="F1267" s="5"/>
    </row>
    <row r="1268" spans="1:6" ht="72" customHeight="1">
      <c r="A1268" s="1" t="s">
        <v>31</v>
      </c>
      <c r="B1268" s="1">
        <v>869</v>
      </c>
      <c r="C1268" s="1" t="s">
        <v>1300</v>
      </c>
      <c r="D1268">
        <f>IMAGE("https://raw.githubusercontent.com/stautonico/pokemon-home-pokedex/main/sprites/alcremie-mint-cream-love.png", 2)</f>
        <v>0</v>
      </c>
      <c r="E1268" s="4" t="s">
        <v>14</v>
      </c>
      <c r="F1268" s="5"/>
    </row>
    <row r="1269" spans="1:6" ht="72" customHeight="1">
      <c r="A1269" s="1" t="s">
        <v>31</v>
      </c>
      <c r="B1269" s="1">
        <v>869</v>
      </c>
      <c r="C1269" s="1" t="s">
        <v>1301</v>
      </c>
      <c r="D1269">
        <f>IMAGE("https://raw.githubusercontent.com/stautonico/pokemon-home-pokedex/main/sprites/alcremie-mint-cream-star.png", 2)</f>
        <v>0</v>
      </c>
      <c r="E1269" s="4" t="s">
        <v>14</v>
      </c>
      <c r="F1269" s="5"/>
    </row>
    <row r="1270" spans="1:6" ht="72" customHeight="1">
      <c r="A1270" s="1" t="s">
        <v>31</v>
      </c>
      <c r="B1270" s="1">
        <v>869</v>
      </c>
      <c r="C1270" s="1" t="s">
        <v>1302</v>
      </c>
      <c r="D1270">
        <f>IMAGE("https://raw.githubusercontent.com/stautonico/pokemon-home-pokedex/main/sprites/alcremie-mint-cream-clover.png", 2)</f>
        <v>0</v>
      </c>
      <c r="E1270" s="4" t="s">
        <v>14</v>
      </c>
      <c r="F1270" s="5"/>
    </row>
    <row r="1271" spans="1:6" ht="72" customHeight="1">
      <c r="A1271" s="1" t="s">
        <v>31</v>
      </c>
      <c r="B1271" s="1">
        <v>869</v>
      </c>
      <c r="C1271" s="1" t="s">
        <v>1303</v>
      </c>
      <c r="D1271">
        <f>IMAGE("https://raw.githubusercontent.com/stautonico/pokemon-home-pokedex/main/sprites/alcremie-mint-cream-flower.png", 2)</f>
        <v>0</v>
      </c>
      <c r="E1271" s="4" t="s">
        <v>14</v>
      </c>
      <c r="F1271" s="5"/>
    </row>
    <row r="1272" spans="1:6" ht="72" customHeight="1">
      <c r="A1272" s="1" t="s">
        <v>31</v>
      </c>
      <c r="B1272" s="1">
        <v>869</v>
      </c>
      <c r="C1272" s="1" t="s">
        <v>1304</v>
      </c>
      <c r="D1272">
        <f>IMAGE("https://raw.githubusercontent.com/stautonico/pokemon-home-pokedex/main/sprites/alcremie-mint-cream-ribbon.png", 2)</f>
        <v>0</v>
      </c>
      <c r="E1272" s="4" t="s">
        <v>14</v>
      </c>
      <c r="F1272" s="5"/>
    </row>
    <row r="1273" spans="1:6" ht="72" customHeight="1">
      <c r="A1273" s="1" t="s">
        <v>31</v>
      </c>
      <c r="B1273" s="1">
        <v>869</v>
      </c>
      <c r="C1273" s="1" t="s">
        <v>1305</v>
      </c>
      <c r="D1273">
        <f>IMAGE("https://raw.githubusercontent.com/stautonico/pokemon-home-pokedex/main/sprites/alcremie-lemon-cream-strawberry.png", 2)</f>
        <v>0</v>
      </c>
      <c r="E1273" s="4" t="s">
        <v>14</v>
      </c>
      <c r="F1273" s="5"/>
    </row>
    <row r="1274" spans="1:6" ht="72" customHeight="1">
      <c r="A1274" s="1" t="s">
        <v>31</v>
      </c>
      <c r="B1274" s="1">
        <v>869</v>
      </c>
      <c r="C1274" s="1" t="s">
        <v>1306</v>
      </c>
      <c r="D1274">
        <f>IMAGE("https://raw.githubusercontent.com/stautonico/pokemon-home-pokedex/main/sprites/alcremie-lemon-cream-berry.png", 2)</f>
        <v>0</v>
      </c>
      <c r="E1274" s="4" t="s">
        <v>14</v>
      </c>
      <c r="F1274" s="5"/>
    </row>
    <row r="1275" spans="1:6" ht="72" customHeight="1">
      <c r="A1275" s="1" t="s">
        <v>31</v>
      </c>
      <c r="B1275" s="1">
        <v>869</v>
      </c>
      <c r="C1275" s="1" t="s">
        <v>1307</v>
      </c>
      <c r="D1275">
        <f>IMAGE("https://raw.githubusercontent.com/stautonico/pokemon-home-pokedex/main/sprites/alcremie-lemon-cream-love.png", 2)</f>
        <v>0</v>
      </c>
      <c r="E1275" s="4" t="s">
        <v>14</v>
      </c>
      <c r="F1275" s="5"/>
    </row>
    <row r="1276" spans="1:6" ht="72" customHeight="1">
      <c r="A1276" s="1" t="s">
        <v>31</v>
      </c>
      <c r="B1276" s="1">
        <v>869</v>
      </c>
      <c r="C1276" s="1" t="s">
        <v>1308</v>
      </c>
      <c r="D1276">
        <f>IMAGE("https://raw.githubusercontent.com/stautonico/pokemon-home-pokedex/main/sprites/alcremie-lemon-cream-star.png", 2)</f>
        <v>0</v>
      </c>
      <c r="E1276" s="4" t="s">
        <v>14</v>
      </c>
      <c r="F1276" s="5"/>
    </row>
    <row r="1277" spans="1:6" ht="72" customHeight="1">
      <c r="A1277" s="1" t="s">
        <v>31</v>
      </c>
      <c r="B1277" s="1">
        <v>869</v>
      </c>
      <c r="C1277" s="1" t="s">
        <v>1309</v>
      </c>
      <c r="D1277">
        <f>IMAGE("https://raw.githubusercontent.com/stautonico/pokemon-home-pokedex/main/sprites/alcremie-lemon-cream-clover.png", 2)</f>
        <v>0</v>
      </c>
      <c r="E1277" s="4" t="s">
        <v>14</v>
      </c>
      <c r="F1277" s="5"/>
    </row>
    <row r="1278" spans="1:6" ht="72" customHeight="1">
      <c r="A1278" s="1" t="s">
        <v>31</v>
      </c>
      <c r="B1278" s="1">
        <v>869</v>
      </c>
      <c r="C1278" s="1" t="s">
        <v>1310</v>
      </c>
      <c r="D1278">
        <f>IMAGE("https://raw.githubusercontent.com/stautonico/pokemon-home-pokedex/main/sprites/alcremie-lemon-cream-flower.png", 2)</f>
        <v>0</v>
      </c>
      <c r="E1278" s="4" t="s">
        <v>14</v>
      </c>
      <c r="F1278" s="5"/>
    </row>
    <row r="1279" spans="1:6" ht="72" customHeight="1">
      <c r="A1279" s="1" t="s">
        <v>31</v>
      </c>
      <c r="B1279" s="1">
        <v>869</v>
      </c>
      <c r="C1279" s="1" t="s">
        <v>1311</v>
      </c>
      <c r="D1279">
        <f>IMAGE("https://raw.githubusercontent.com/stautonico/pokemon-home-pokedex/main/sprites/alcremie-lemon-cream-ribbon.png", 2)</f>
        <v>0</v>
      </c>
      <c r="E1279" s="4" t="s">
        <v>14</v>
      </c>
      <c r="F1279" s="5"/>
    </row>
    <row r="1280" spans="1:6" ht="72" customHeight="1">
      <c r="A1280" s="1" t="s">
        <v>31</v>
      </c>
      <c r="B1280" s="1">
        <v>869</v>
      </c>
      <c r="C1280" s="1" t="s">
        <v>1312</v>
      </c>
      <c r="D1280">
        <f>IMAGE("https://raw.githubusercontent.com/stautonico/pokemon-home-pokedex/main/sprites/alcremie-salted-cream-strawberry.png", 2)</f>
        <v>0</v>
      </c>
      <c r="E1280" s="4" t="s">
        <v>14</v>
      </c>
      <c r="F1280" s="5"/>
    </row>
    <row r="1281" spans="1:6" ht="72" customHeight="1">
      <c r="A1281" s="1" t="s">
        <v>31</v>
      </c>
      <c r="B1281" s="1">
        <v>869</v>
      </c>
      <c r="C1281" s="1" t="s">
        <v>1313</v>
      </c>
      <c r="D1281">
        <f>IMAGE("https://raw.githubusercontent.com/stautonico/pokemon-home-pokedex/main/sprites/alcremie-salted-cream-berry.png", 2)</f>
        <v>0</v>
      </c>
      <c r="E1281" s="4" t="s">
        <v>14</v>
      </c>
      <c r="F1281" s="5"/>
    </row>
    <row r="1282" spans="1:6" ht="72" customHeight="1">
      <c r="A1282" s="1" t="s">
        <v>31</v>
      </c>
      <c r="B1282" s="1">
        <v>869</v>
      </c>
      <c r="C1282" s="1" t="s">
        <v>1314</v>
      </c>
      <c r="D1282">
        <f>IMAGE("https://raw.githubusercontent.com/stautonico/pokemon-home-pokedex/main/sprites/alcremie-salted-cream-love.png", 2)</f>
        <v>0</v>
      </c>
      <c r="E1282" s="4" t="s">
        <v>14</v>
      </c>
      <c r="F1282" s="5"/>
    </row>
    <row r="1283" spans="1:6" ht="72" customHeight="1">
      <c r="A1283" s="1" t="s">
        <v>31</v>
      </c>
      <c r="B1283" s="1">
        <v>869</v>
      </c>
      <c r="C1283" s="1" t="s">
        <v>1315</v>
      </c>
      <c r="D1283">
        <f>IMAGE("https://raw.githubusercontent.com/stautonico/pokemon-home-pokedex/main/sprites/alcremie-salted-cream-star.png", 2)</f>
        <v>0</v>
      </c>
      <c r="E1283" s="4" t="s">
        <v>14</v>
      </c>
      <c r="F1283" s="5"/>
    </row>
    <row r="1284" spans="1:6" ht="72" customHeight="1">
      <c r="A1284" s="1" t="s">
        <v>31</v>
      </c>
      <c r="B1284" s="1">
        <v>869</v>
      </c>
      <c r="C1284" s="1" t="s">
        <v>1316</v>
      </c>
      <c r="D1284">
        <f>IMAGE("https://raw.githubusercontent.com/stautonico/pokemon-home-pokedex/main/sprites/alcremie-salted-cream-clover.png", 2)</f>
        <v>0</v>
      </c>
      <c r="E1284" s="4" t="s">
        <v>14</v>
      </c>
      <c r="F1284" s="5"/>
    </row>
    <row r="1285" spans="1:6" ht="72" customHeight="1">
      <c r="A1285" s="1" t="s">
        <v>31</v>
      </c>
      <c r="B1285" s="1">
        <v>869</v>
      </c>
      <c r="C1285" s="1" t="s">
        <v>1317</v>
      </c>
      <c r="D1285">
        <f>IMAGE("https://raw.githubusercontent.com/stautonico/pokemon-home-pokedex/main/sprites/alcremie-salted-cream-flower.png", 2)</f>
        <v>0</v>
      </c>
      <c r="E1285" s="4" t="s">
        <v>14</v>
      </c>
      <c r="F1285" s="5"/>
    </row>
    <row r="1286" spans="1:6" ht="72" customHeight="1">
      <c r="A1286" s="1" t="s">
        <v>31</v>
      </c>
      <c r="B1286" s="1">
        <v>869</v>
      </c>
      <c r="C1286" s="1" t="s">
        <v>1318</v>
      </c>
      <c r="D1286">
        <f>IMAGE("https://raw.githubusercontent.com/stautonico/pokemon-home-pokedex/main/sprites/alcremie-salted-cream-ribbon.png", 2)</f>
        <v>0</v>
      </c>
      <c r="E1286" s="4" t="s">
        <v>14</v>
      </c>
      <c r="F1286" s="5"/>
    </row>
    <row r="1287" spans="1:6" ht="72" customHeight="1">
      <c r="A1287" s="1" t="s">
        <v>31</v>
      </c>
      <c r="B1287" s="1">
        <v>869</v>
      </c>
      <c r="C1287" s="1" t="s">
        <v>1319</v>
      </c>
      <c r="D1287">
        <f>IMAGE("https://raw.githubusercontent.com/stautonico/pokemon-home-pokedex/main/sprites/alcremie-ruby-swirl-strawberry.png", 2)</f>
        <v>0</v>
      </c>
      <c r="E1287" s="4" t="s">
        <v>14</v>
      </c>
      <c r="F1287" s="5"/>
    </row>
    <row r="1288" spans="1:6" ht="72" customHeight="1">
      <c r="A1288" s="1" t="s">
        <v>31</v>
      </c>
      <c r="B1288" s="1">
        <v>869</v>
      </c>
      <c r="C1288" s="1" t="s">
        <v>1320</v>
      </c>
      <c r="D1288">
        <f>IMAGE("https://raw.githubusercontent.com/stautonico/pokemon-home-pokedex/main/sprites/alcremie-ruby-swirl-berry.png", 2)</f>
        <v>0</v>
      </c>
      <c r="E1288" s="4" t="s">
        <v>14</v>
      </c>
      <c r="F1288" s="5"/>
    </row>
    <row r="1289" spans="1:6" ht="72" customHeight="1">
      <c r="A1289" s="1" t="s">
        <v>31</v>
      </c>
      <c r="B1289" s="1">
        <v>869</v>
      </c>
      <c r="C1289" s="1" t="s">
        <v>1321</v>
      </c>
      <c r="D1289">
        <f>IMAGE("https://raw.githubusercontent.com/stautonico/pokemon-home-pokedex/main/sprites/alcremie-ruby-swirl-love.png", 2)</f>
        <v>0</v>
      </c>
      <c r="E1289" s="4" t="s">
        <v>14</v>
      </c>
      <c r="F1289" s="5"/>
    </row>
    <row r="1290" spans="1:6" ht="72" customHeight="1">
      <c r="A1290" s="1" t="s">
        <v>31</v>
      </c>
      <c r="B1290" s="1">
        <v>869</v>
      </c>
      <c r="C1290" s="1" t="s">
        <v>1322</v>
      </c>
      <c r="D1290">
        <f>IMAGE("https://raw.githubusercontent.com/stautonico/pokemon-home-pokedex/main/sprites/alcremie-ruby-swirl-star.png", 2)</f>
        <v>0</v>
      </c>
      <c r="E1290" s="4" t="s">
        <v>14</v>
      </c>
      <c r="F1290" s="5"/>
    </row>
    <row r="1291" spans="1:6" ht="72" customHeight="1">
      <c r="A1291" s="1" t="s">
        <v>31</v>
      </c>
      <c r="B1291" s="1">
        <v>869</v>
      </c>
      <c r="C1291" s="1" t="s">
        <v>1323</v>
      </c>
      <c r="D1291">
        <f>IMAGE("https://raw.githubusercontent.com/stautonico/pokemon-home-pokedex/main/sprites/alcremie-ruby-swirl-clover.png", 2)</f>
        <v>0</v>
      </c>
      <c r="E1291" s="4" t="s">
        <v>14</v>
      </c>
      <c r="F1291" s="5"/>
    </row>
    <row r="1292" spans="1:6" ht="72" customHeight="1">
      <c r="A1292" s="1" t="s">
        <v>31</v>
      </c>
      <c r="B1292" s="1">
        <v>869</v>
      </c>
      <c r="C1292" s="1" t="s">
        <v>1324</v>
      </c>
      <c r="D1292">
        <f>IMAGE("https://raw.githubusercontent.com/stautonico/pokemon-home-pokedex/main/sprites/alcremie-ruby-swirl-flower.png", 2)</f>
        <v>0</v>
      </c>
      <c r="E1292" s="4" t="s">
        <v>14</v>
      </c>
      <c r="F1292" s="5"/>
    </row>
    <row r="1293" spans="1:6" ht="72" customHeight="1">
      <c r="A1293" s="1" t="s">
        <v>31</v>
      </c>
      <c r="B1293" s="1">
        <v>869</v>
      </c>
      <c r="C1293" s="1" t="s">
        <v>1325</v>
      </c>
      <c r="D1293">
        <f>IMAGE("https://raw.githubusercontent.com/stautonico/pokemon-home-pokedex/main/sprites/alcremie-ruby-swirl-ribbon.png", 2)</f>
        <v>0</v>
      </c>
      <c r="E1293" s="4" t="s">
        <v>14</v>
      </c>
      <c r="F1293" s="5"/>
    </row>
    <row r="1294" spans="1:6" ht="72" customHeight="1">
      <c r="A1294" s="1" t="s">
        <v>31</v>
      </c>
      <c r="B1294" s="1">
        <v>869</v>
      </c>
      <c r="C1294" s="1" t="s">
        <v>1326</v>
      </c>
      <c r="D1294">
        <f>IMAGE("https://raw.githubusercontent.com/stautonico/pokemon-home-pokedex/main/sprites/alcremie-caramel-swirl-strawberry.png", 2)</f>
        <v>0</v>
      </c>
      <c r="E1294" s="4" t="s">
        <v>14</v>
      </c>
      <c r="F1294" s="5"/>
    </row>
    <row r="1295" spans="1:6" ht="72" customHeight="1">
      <c r="A1295" s="1" t="s">
        <v>31</v>
      </c>
      <c r="B1295" s="1">
        <v>869</v>
      </c>
      <c r="C1295" s="1" t="s">
        <v>1327</v>
      </c>
      <c r="D1295">
        <f>IMAGE("https://raw.githubusercontent.com/stautonico/pokemon-home-pokedex/main/sprites/alcremie-caramel-swirl-berry.png", 2)</f>
        <v>0</v>
      </c>
      <c r="E1295" s="4" t="s">
        <v>14</v>
      </c>
      <c r="F1295" s="5"/>
    </row>
    <row r="1296" spans="1:6" ht="72" customHeight="1">
      <c r="A1296" s="1" t="s">
        <v>31</v>
      </c>
      <c r="B1296" s="1">
        <v>869</v>
      </c>
      <c r="C1296" s="1" t="s">
        <v>1328</v>
      </c>
      <c r="D1296">
        <f>IMAGE("https://raw.githubusercontent.com/stautonico/pokemon-home-pokedex/main/sprites/alcremie-caramel-swirl-love.png", 2)</f>
        <v>0</v>
      </c>
      <c r="E1296" s="4" t="s">
        <v>14</v>
      </c>
      <c r="F1296" s="5"/>
    </row>
    <row r="1297" spans="1:6" ht="72" customHeight="1">
      <c r="A1297" s="1" t="s">
        <v>31</v>
      </c>
      <c r="B1297" s="1">
        <v>869</v>
      </c>
      <c r="C1297" s="1" t="s">
        <v>1329</v>
      </c>
      <c r="D1297">
        <f>IMAGE("https://raw.githubusercontent.com/stautonico/pokemon-home-pokedex/main/sprites/alcremie-caramel-swirl-star.png", 2)</f>
        <v>0</v>
      </c>
      <c r="E1297" s="4" t="s">
        <v>14</v>
      </c>
      <c r="F1297" s="5"/>
    </row>
    <row r="1298" spans="1:6" ht="72" customHeight="1">
      <c r="A1298" s="1" t="s">
        <v>31</v>
      </c>
      <c r="B1298" s="1">
        <v>869</v>
      </c>
      <c r="C1298" s="1" t="s">
        <v>1330</v>
      </c>
      <c r="D1298">
        <f>IMAGE("https://raw.githubusercontent.com/stautonico/pokemon-home-pokedex/main/sprites/alcremie-caramel-swirl-clover.png", 2)</f>
        <v>0</v>
      </c>
      <c r="E1298" s="4" t="s">
        <v>14</v>
      </c>
      <c r="F1298" s="5"/>
    </row>
    <row r="1299" spans="1:6" ht="72" customHeight="1">
      <c r="A1299" s="1" t="s">
        <v>31</v>
      </c>
      <c r="B1299" s="1">
        <v>869</v>
      </c>
      <c r="C1299" s="1" t="s">
        <v>1331</v>
      </c>
      <c r="D1299">
        <f>IMAGE("https://raw.githubusercontent.com/stautonico/pokemon-home-pokedex/main/sprites/alcremie-caramel-swirl-flower.png", 2)</f>
        <v>0</v>
      </c>
      <c r="E1299" s="4" t="s">
        <v>14</v>
      </c>
      <c r="F1299" s="5"/>
    </row>
    <row r="1300" spans="1:6" ht="72" customHeight="1">
      <c r="A1300" s="1" t="s">
        <v>31</v>
      </c>
      <c r="B1300" s="1">
        <v>869</v>
      </c>
      <c r="C1300" s="1" t="s">
        <v>1332</v>
      </c>
      <c r="D1300">
        <f>IMAGE("https://raw.githubusercontent.com/stautonico/pokemon-home-pokedex/main/sprites/alcremie-caramel-swirl-ribbon.png", 2)</f>
        <v>0</v>
      </c>
      <c r="E1300" s="4" t="s">
        <v>14</v>
      </c>
      <c r="F1300" s="5"/>
    </row>
    <row r="1301" spans="1:6" ht="72" customHeight="1">
      <c r="A1301" s="1" t="s">
        <v>31</v>
      </c>
      <c r="B1301" s="1">
        <v>869</v>
      </c>
      <c r="C1301" s="1" t="s">
        <v>1333</v>
      </c>
      <c r="D1301">
        <f>IMAGE("https://raw.githubusercontent.com/stautonico/pokemon-home-pokedex/main/sprites/alcremie-rainbow-swirl-strawberry.png", 2)</f>
        <v>0</v>
      </c>
      <c r="E1301" s="4" t="s">
        <v>14</v>
      </c>
      <c r="F1301" s="5"/>
    </row>
    <row r="1302" spans="1:6" ht="72" customHeight="1">
      <c r="A1302" s="1" t="s">
        <v>31</v>
      </c>
      <c r="B1302" s="1">
        <v>869</v>
      </c>
      <c r="C1302" s="1" t="s">
        <v>1334</v>
      </c>
      <c r="D1302">
        <f>IMAGE("https://raw.githubusercontent.com/stautonico/pokemon-home-pokedex/main/sprites/alcremie-rainbow-swirl-berry.png", 2)</f>
        <v>0</v>
      </c>
      <c r="E1302" s="4" t="s">
        <v>14</v>
      </c>
      <c r="F1302" s="5"/>
    </row>
    <row r="1303" spans="1:6" ht="72" customHeight="1">
      <c r="A1303" s="1" t="s">
        <v>31</v>
      </c>
      <c r="B1303" s="1">
        <v>869</v>
      </c>
      <c r="C1303" s="1" t="s">
        <v>1335</v>
      </c>
      <c r="D1303">
        <f>IMAGE("https://raw.githubusercontent.com/stautonico/pokemon-home-pokedex/main/sprites/alcremie-rainbow-swirl-love.png", 2)</f>
        <v>0</v>
      </c>
      <c r="E1303" s="4" t="s">
        <v>14</v>
      </c>
      <c r="F1303" s="5"/>
    </row>
    <row r="1304" spans="1:6" ht="72" customHeight="1">
      <c r="A1304" s="1" t="s">
        <v>31</v>
      </c>
      <c r="B1304" s="1">
        <v>869</v>
      </c>
      <c r="C1304" s="1" t="s">
        <v>1336</v>
      </c>
      <c r="D1304">
        <f>IMAGE("https://raw.githubusercontent.com/stautonico/pokemon-home-pokedex/main/sprites/alcremie-rainbow-swirl-star.png", 2)</f>
        <v>0</v>
      </c>
      <c r="E1304" s="4" t="s">
        <v>14</v>
      </c>
      <c r="F1304" s="5"/>
    </row>
    <row r="1305" spans="1:6" ht="72" customHeight="1">
      <c r="A1305" s="1" t="s">
        <v>31</v>
      </c>
      <c r="B1305" s="1">
        <v>869</v>
      </c>
      <c r="C1305" s="1" t="s">
        <v>1337</v>
      </c>
      <c r="D1305">
        <f>IMAGE("https://raw.githubusercontent.com/stautonico/pokemon-home-pokedex/main/sprites/alcremie-rainbow-swirl-clover.png", 2)</f>
        <v>0</v>
      </c>
      <c r="E1305" s="4" t="s">
        <v>14</v>
      </c>
      <c r="F1305" s="5"/>
    </row>
    <row r="1306" spans="1:6" ht="72" customHeight="1">
      <c r="A1306" s="1" t="s">
        <v>31</v>
      </c>
      <c r="B1306" s="1">
        <v>869</v>
      </c>
      <c r="C1306" s="1" t="s">
        <v>1338</v>
      </c>
      <c r="D1306">
        <f>IMAGE("https://raw.githubusercontent.com/stautonico/pokemon-home-pokedex/main/sprites/alcremie-rainbow-swirl-flower.png", 2)</f>
        <v>0</v>
      </c>
      <c r="E1306" s="4" t="s">
        <v>14</v>
      </c>
      <c r="F1306" s="5"/>
    </row>
    <row r="1307" spans="1:6" ht="72" customHeight="1">
      <c r="A1307" s="1" t="s">
        <v>31</v>
      </c>
      <c r="B1307" s="1">
        <v>869</v>
      </c>
      <c r="C1307" s="1" t="s">
        <v>1339</v>
      </c>
      <c r="D1307">
        <f>IMAGE("https://raw.githubusercontent.com/stautonico/pokemon-home-pokedex/main/sprites/alcremie-rainbow-swirl-ribbon.png", 2)</f>
        <v>0</v>
      </c>
      <c r="E1307" s="4" t="s">
        <v>14</v>
      </c>
      <c r="F1307" s="5"/>
    </row>
    <row r="1308" spans="1:6" ht="72" customHeight="1">
      <c r="A1308" s="1" t="s">
        <v>31</v>
      </c>
      <c r="B1308" s="1">
        <v>3</v>
      </c>
      <c r="C1308" s="1" t="s">
        <v>1340</v>
      </c>
      <c r="D1308">
        <f>IMAGE("https://raw.githubusercontent.com/stautonico/pokemon-home-pokedex/main/sprites/venusaur.png", 2)</f>
        <v>0</v>
      </c>
      <c r="E1308" s="2" t="s">
        <v>9</v>
      </c>
      <c r="F1308" s="3" t="s">
        <v>12</v>
      </c>
    </row>
    <row r="1309" spans="1:6" ht="72" customHeight="1">
      <c r="A1309" s="1" t="s">
        <v>31</v>
      </c>
      <c r="B1309" s="1">
        <v>3</v>
      </c>
      <c r="C1309" s="1" t="s">
        <v>1340</v>
      </c>
      <c r="D1309">
        <f>IMAGE("https://raw.githubusercontent.com/stautonico/pokemon-home-pokedex/main/sprites/venusaur-f.png", 2)</f>
        <v>0</v>
      </c>
      <c r="E1309" s="2" t="s">
        <v>9</v>
      </c>
      <c r="F1309" s="3" t="s">
        <v>12</v>
      </c>
    </row>
    <row r="1310" spans="1:6" ht="72" customHeight="1">
      <c r="A1310" s="1" t="s">
        <v>31</v>
      </c>
      <c r="B1310" s="1">
        <v>6</v>
      </c>
      <c r="C1310" s="1" t="s">
        <v>1341</v>
      </c>
      <c r="D1310">
        <f>IMAGE("https://raw.githubusercontent.com/stautonico/pokemon-home-pokedex/main/sprites/charizard.png", 2)</f>
        <v>0</v>
      </c>
      <c r="E1310" s="4" t="s">
        <v>14</v>
      </c>
      <c r="F1310" s="5"/>
    </row>
    <row r="1311" spans="1:6" ht="72" customHeight="1">
      <c r="A1311" s="1" t="s">
        <v>31</v>
      </c>
      <c r="B1311" s="1">
        <v>9</v>
      </c>
      <c r="C1311" s="1" t="s">
        <v>1342</v>
      </c>
      <c r="D1311">
        <f>IMAGE("https://raw.githubusercontent.com/stautonico/pokemon-home-pokedex/main/sprites/blastoise.png", 2)</f>
        <v>0</v>
      </c>
      <c r="E1311" s="2" t="s">
        <v>9</v>
      </c>
      <c r="F1311" s="3" t="s">
        <v>12</v>
      </c>
    </row>
    <row r="1312" spans="1:6" ht="72" customHeight="1">
      <c r="A1312" s="1" t="s">
        <v>31</v>
      </c>
      <c r="B1312" s="1">
        <v>12</v>
      </c>
      <c r="C1312" s="1" t="s">
        <v>1343</v>
      </c>
      <c r="D1312">
        <f>IMAGE("https://raw.githubusercontent.com/stautonico/pokemon-home-pokedex/main/sprites/butterfree.png", 2)</f>
        <v>0</v>
      </c>
      <c r="E1312" s="4" t="s">
        <v>14</v>
      </c>
      <c r="F1312" s="5"/>
    </row>
    <row r="1313" spans="1:6" ht="72" customHeight="1">
      <c r="A1313" s="1" t="s">
        <v>31</v>
      </c>
      <c r="B1313" s="1">
        <v>12</v>
      </c>
      <c r="C1313" s="1" t="s">
        <v>1343</v>
      </c>
      <c r="D1313">
        <f>IMAGE("https://raw.githubusercontent.com/stautonico/pokemon-home-pokedex/main/sprites/butterfree-f.png", 2)</f>
        <v>0</v>
      </c>
      <c r="E1313" s="4" t="s">
        <v>14</v>
      </c>
      <c r="F1313" s="5"/>
    </row>
    <row r="1314" spans="1:6" ht="72" customHeight="1">
      <c r="A1314" s="1" t="s">
        <v>31</v>
      </c>
      <c r="B1314" s="1">
        <v>25</v>
      </c>
      <c r="C1314" s="1" t="s">
        <v>1344</v>
      </c>
      <c r="D1314">
        <f>IMAGE("https://raw.githubusercontent.com/stautonico/pokemon-home-pokedex/main/sprites/pikachu.png", 2)</f>
        <v>0</v>
      </c>
      <c r="E1314" s="29" t="s">
        <v>30</v>
      </c>
      <c r="F1314" s="4" t="s">
        <v>14</v>
      </c>
    </row>
    <row r="1315" spans="1:6" ht="72" customHeight="1">
      <c r="A1315" s="1" t="s">
        <v>31</v>
      </c>
      <c r="B1315" s="1">
        <v>25</v>
      </c>
      <c r="C1315" s="1" t="s">
        <v>1344</v>
      </c>
      <c r="D1315">
        <f>IMAGE("https://raw.githubusercontent.com/stautonico/pokemon-home-pokedex/main/sprites/pikachu-f.png", 2)</f>
        <v>0</v>
      </c>
      <c r="E1315" s="29" t="s">
        <v>30</v>
      </c>
      <c r="F1315" s="4" t="s">
        <v>14</v>
      </c>
    </row>
    <row r="1316" spans="1:6" ht="72" customHeight="1">
      <c r="A1316" s="1" t="s">
        <v>31</v>
      </c>
      <c r="B1316" s="1">
        <v>52</v>
      </c>
      <c r="C1316" s="1" t="s">
        <v>1345</v>
      </c>
      <c r="D1316">
        <f>IMAGE("https://raw.githubusercontent.com/stautonico/pokemon-home-pokedex/main/sprites/meowth.png", 2)</f>
        <v>0</v>
      </c>
      <c r="E1316" s="29" t="s">
        <v>30</v>
      </c>
      <c r="F1316" s="4" t="s">
        <v>14</v>
      </c>
    </row>
    <row r="1317" spans="1:6" ht="72" customHeight="1">
      <c r="A1317" s="1" t="s">
        <v>31</v>
      </c>
      <c r="B1317" s="1">
        <v>68</v>
      </c>
      <c r="C1317" s="1" t="s">
        <v>1346</v>
      </c>
      <c r="D1317">
        <f>IMAGE("https://raw.githubusercontent.com/stautonico/pokemon-home-pokedex/main/sprites/machamp.png", 2)</f>
        <v>0</v>
      </c>
      <c r="E1317" s="4" t="s">
        <v>14</v>
      </c>
      <c r="F1317" s="5"/>
    </row>
    <row r="1318" spans="1:6" ht="72" customHeight="1">
      <c r="A1318" s="1" t="s">
        <v>31</v>
      </c>
      <c r="B1318" s="1">
        <v>94</v>
      </c>
      <c r="C1318" s="1" t="s">
        <v>1347</v>
      </c>
      <c r="D1318">
        <f>IMAGE("https://raw.githubusercontent.com/stautonico/pokemon-home-pokedex/main/sprites/gengar.png", 2)</f>
        <v>0</v>
      </c>
      <c r="E1318" s="29" t="s">
        <v>30</v>
      </c>
      <c r="F1318" s="4" t="s">
        <v>14</v>
      </c>
    </row>
    <row r="1319" spans="1:6" ht="72" customHeight="1">
      <c r="A1319" s="1" t="s">
        <v>31</v>
      </c>
      <c r="B1319" s="1">
        <v>99</v>
      </c>
      <c r="C1319" s="1" t="s">
        <v>1348</v>
      </c>
      <c r="D1319">
        <f>IMAGE("https://raw.githubusercontent.com/stautonico/pokemon-home-pokedex/main/sprites/kingler.png", 2)</f>
        <v>0</v>
      </c>
      <c r="E1319" s="4" t="s">
        <v>14</v>
      </c>
      <c r="F1319" s="5"/>
    </row>
    <row r="1320" spans="1:6" ht="72" customHeight="1">
      <c r="A1320" s="1" t="s">
        <v>31</v>
      </c>
      <c r="B1320" s="1">
        <v>131</v>
      </c>
      <c r="C1320" s="1" t="s">
        <v>1349</v>
      </c>
      <c r="D1320">
        <f>IMAGE("https://raw.githubusercontent.com/stautonico/pokemon-home-pokedex/main/sprites/lapras.png", 2)</f>
        <v>0</v>
      </c>
      <c r="E1320" s="4" t="s">
        <v>14</v>
      </c>
      <c r="F1320" s="5"/>
    </row>
    <row r="1321" spans="1:6" ht="72" customHeight="1">
      <c r="A1321" s="1" t="s">
        <v>31</v>
      </c>
      <c r="B1321" s="1">
        <v>133</v>
      </c>
      <c r="C1321" s="1" t="s">
        <v>1350</v>
      </c>
      <c r="D1321">
        <f>IMAGE("https://raw.githubusercontent.com/stautonico/pokemon-home-pokedex/main/sprites/eevee.png", 2)</f>
        <v>0</v>
      </c>
      <c r="E1321" s="29" t="s">
        <v>30</v>
      </c>
      <c r="F1321" s="4" t="s">
        <v>14</v>
      </c>
    </row>
    <row r="1322" spans="1:6" ht="72" customHeight="1">
      <c r="A1322" s="1" t="s">
        <v>31</v>
      </c>
      <c r="B1322" s="1">
        <v>133</v>
      </c>
      <c r="C1322" s="1" t="s">
        <v>1350</v>
      </c>
      <c r="D1322">
        <f>IMAGE("https://raw.githubusercontent.com/stautonico/pokemon-home-pokedex/main/sprites/eevee-f.png", 2)</f>
        <v>0</v>
      </c>
      <c r="E1322" s="29" t="s">
        <v>30</v>
      </c>
      <c r="F1322" s="4" t="s">
        <v>14</v>
      </c>
    </row>
    <row r="1323" spans="1:6" ht="72" customHeight="1">
      <c r="A1323" s="1" t="s">
        <v>31</v>
      </c>
      <c r="B1323" s="1">
        <v>143</v>
      </c>
      <c r="C1323" s="1" t="s">
        <v>1351</v>
      </c>
      <c r="D1323">
        <f>IMAGE("https://raw.githubusercontent.com/stautonico/pokemon-home-pokedex/main/sprites/snorlax.png", 2)</f>
        <v>0</v>
      </c>
      <c r="E1323" s="4" t="s">
        <v>14</v>
      </c>
      <c r="F1323" s="5"/>
    </row>
    <row r="1324" spans="1:6" ht="72" customHeight="1">
      <c r="A1324" s="1" t="s">
        <v>31</v>
      </c>
      <c r="B1324" s="1">
        <v>569</v>
      </c>
      <c r="C1324" s="1" t="s">
        <v>1352</v>
      </c>
      <c r="D1324">
        <f>IMAGE("https://raw.githubusercontent.com/stautonico/pokemon-home-pokedex/main/sprites/garbodor.png", 2)</f>
        <v>0</v>
      </c>
      <c r="E1324" s="4" t="s">
        <v>14</v>
      </c>
      <c r="F1324" s="5"/>
    </row>
    <row r="1325" spans="1:6" ht="72" customHeight="1">
      <c r="A1325" s="1" t="s">
        <v>31</v>
      </c>
      <c r="B1325" s="1">
        <v>809</v>
      </c>
      <c r="C1325" s="1" t="s">
        <v>1353</v>
      </c>
      <c r="D1325">
        <f>IMAGE("https://raw.githubusercontent.com/stautonico/pokemon-home-pokedex/main/sprites/melmetal.png", 2)</f>
        <v>0</v>
      </c>
      <c r="E1325" s="44" t="s">
        <v>26</v>
      </c>
      <c r="F1325" s="5"/>
    </row>
    <row r="1326" spans="1:6" ht="72" customHeight="1">
      <c r="A1326" s="1" t="s">
        <v>31</v>
      </c>
      <c r="B1326" s="1">
        <v>812</v>
      </c>
      <c r="C1326" s="1" t="s">
        <v>1354</v>
      </c>
      <c r="D1326">
        <f>IMAGE("https://raw.githubusercontent.com/stautonico/pokemon-home-pokedex/main/sprites/rillaboom.png", 2)</f>
        <v>0</v>
      </c>
      <c r="E1326" s="4" t="s">
        <v>14</v>
      </c>
      <c r="F1326" s="5"/>
    </row>
    <row r="1327" spans="1:6" ht="72" customHeight="1">
      <c r="A1327" s="1" t="s">
        <v>31</v>
      </c>
      <c r="B1327" s="1">
        <v>815</v>
      </c>
      <c r="C1327" s="1" t="s">
        <v>1355</v>
      </c>
      <c r="D1327">
        <f>IMAGE("https://raw.githubusercontent.com/stautonico/pokemon-home-pokedex/main/sprites/cinderace.png", 2)</f>
        <v>0</v>
      </c>
      <c r="E1327" s="4" t="s">
        <v>14</v>
      </c>
      <c r="F1327" s="5"/>
    </row>
    <row r="1328" spans="1:6" ht="72" customHeight="1">
      <c r="A1328" s="1" t="s">
        <v>31</v>
      </c>
      <c r="B1328" s="1">
        <v>818</v>
      </c>
      <c r="C1328" s="1" t="s">
        <v>1356</v>
      </c>
      <c r="D1328">
        <f>IMAGE("https://raw.githubusercontent.com/stautonico/pokemon-home-pokedex/main/sprites/inteleon.png", 2)</f>
        <v>0</v>
      </c>
      <c r="E1328" s="4" t="s">
        <v>14</v>
      </c>
      <c r="F1328" s="5"/>
    </row>
    <row r="1329" spans="1:6" ht="72" customHeight="1">
      <c r="A1329" s="1" t="s">
        <v>31</v>
      </c>
      <c r="B1329" s="1">
        <v>823</v>
      </c>
      <c r="C1329" s="1" t="s">
        <v>1357</v>
      </c>
      <c r="D1329">
        <f>IMAGE("https://raw.githubusercontent.com/stautonico/pokemon-home-pokedex/main/sprites/corviknight.png", 2)</f>
        <v>0</v>
      </c>
      <c r="E1329" s="29" t="s">
        <v>30</v>
      </c>
      <c r="F1329" s="4" t="s">
        <v>14</v>
      </c>
    </row>
    <row r="1330" spans="1:6" ht="72" customHeight="1">
      <c r="A1330" s="1" t="s">
        <v>31</v>
      </c>
      <c r="B1330" s="1">
        <v>826</v>
      </c>
      <c r="C1330" s="1" t="s">
        <v>1358</v>
      </c>
      <c r="D1330">
        <f>IMAGE("https://raw.githubusercontent.com/stautonico/pokemon-home-pokedex/main/sprites/orbeetle.png", 2)</f>
        <v>0</v>
      </c>
      <c r="E1330" s="4" t="s">
        <v>14</v>
      </c>
      <c r="F1330" s="5"/>
    </row>
    <row r="1331" spans="1:6" ht="72" customHeight="1">
      <c r="A1331" s="1" t="s">
        <v>31</v>
      </c>
      <c r="B1331" s="1">
        <v>834</v>
      </c>
      <c r="C1331" s="1" t="s">
        <v>1359</v>
      </c>
      <c r="D1331">
        <f>IMAGE("https://raw.githubusercontent.com/stautonico/pokemon-home-pokedex/main/sprites/drednaw.png", 2)</f>
        <v>0</v>
      </c>
      <c r="E1331" s="29" t="s">
        <v>30</v>
      </c>
      <c r="F1331" s="4" t="s">
        <v>14</v>
      </c>
    </row>
    <row r="1332" spans="1:6" ht="72" customHeight="1">
      <c r="A1332" s="1" t="s">
        <v>31</v>
      </c>
      <c r="B1332" s="1">
        <v>839</v>
      </c>
      <c r="C1332" s="1" t="s">
        <v>1360</v>
      </c>
      <c r="D1332">
        <f>IMAGE("https://raw.githubusercontent.com/stautonico/pokemon-home-pokedex/main/sprites/coalossal.png", 2)</f>
        <v>0</v>
      </c>
      <c r="E1332" s="29" t="s">
        <v>30</v>
      </c>
      <c r="F1332" s="4" t="s">
        <v>14</v>
      </c>
    </row>
    <row r="1333" spans="1:6" ht="72" customHeight="1">
      <c r="A1333" s="1" t="s">
        <v>31</v>
      </c>
      <c r="B1333" s="1">
        <v>841</v>
      </c>
      <c r="C1333" s="1" t="s">
        <v>1361</v>
      </c>
      <c r="D1333">
        <f>IMAGE("https://raw.githubusercontent.com/stautonico/pokemon-home-pokedex/main/sprites/flapple.png", 2)</f>
        <v>0</v>
      </c>
      <c r="E1333" s="29" t="s">
        <v>30</v>
      </c>
      <c r="F1333" s="35" t="s">
        <v>15</v>
      </c>
    </row>
    <row r="1334" spans="1:6" ht="72" customHeight="1">
      <c r="A1334" s="1" t="s">
        <v>31</v>
      </c>
      <c r="B1334" s="1">
        <v>842</v>
      </c>
      <c r="C1334" s="1" t="s">
        <v>1362</v>
      </c>
      <c r="D1334">
        <f>IMAGE("https://raw.githubusercontent.com/stautonico/pokemon-home-pokedex/main/sprites/appletun.png", 2)</f>
        <v>0</v>
      </c>
      <c r="E1334" s="29" t="s">
        <v>30</v>
      </c>
      <c r="F1334" s="33" t="s">
        <v>16</v>
      </c>
    </row>
    <row r="1335" spans="1:6" ht="72" customHeight="1">
      <c r="A1335" s="1" t="s">
        <v>31</v>
      </c>
      <c r="B1335" s="1">
        <v>844</v>
      </c>
      <c r="C1335" s="1" t="s">
        <v>1363</v>
      </c>
      <c r="D1335">
        <f>IMAGE("https://raw.githubusercontent.com/stautonico/pokemon-home-pokedex/main/sprites/sandaconda.png", 2)</f>
        <v>0</v>
      </c>
      <c r="E1335" s="29" t="s">
        <v>30</v>
      </c>
      <c r="F1335" s="4" t="s">
        <v>14</v>
      </c>
    </row>
    <row r="1336" spans="1:6" ht="72" customHeight="1">
      <c r="A1336" s="1" t="s">
        <v>31</v>
      </c>
      <c r="B1336" s="1">
        <v>849</v>
      </c>
      <c r="C1336" s="1" t="s">
        <v>1364</v>
      </c>
      <c r="D1336">
        <f>IMAGE("https://raw.githubusercontent.com/stautonico/pokemon-home-pokedex/main/sprites/toxtricity.png", 2)</f>
        <v>0</v>
      </c>
      <c r="E1336" s="29" t="s">
        <v>30</v>
      </c>
      <c r="F1336" s="4" t="s">
        <v>14</v>
      </c>
    </row>
    <row r="1337" spans="1:6" ht="72" customHeight="1">
      <c r="A1337" s="1" t="s">
        <v>31</v>
      </c>
      <c r="B1337" s="1">
        <v>10184</v>
      </c>
      <c r="C1337" s="1" t="s">
        <v>1365</v>
      </c>
      <c r="D1337">
        <f>IMAGE("https://raw.githubusercontent.com/stautonico/pokemon-home-pokedex/main/sprites/toxtricity-low-key.png", 2)</f>
        <v>0</v>
      </c>
      <c r="E1337" s="4" t="s">
        <v>14</v>
      </c>
      <c r="F1337" s="5"/>
    </row>
    <row r="1338" spans="1:6" ht="72" customHeight="1">
      <c r="A1338" s="1" t="s">
        <v>31</v>
      </c>
      <c r="B1338" s="1">
        <v>851</v>
      </c>
      <c r="C1338" s="1" t="s">
        <v>1366</v>
      </c>
      <c r="D1338">
        <f>IMAGE("https://raw.githubusercontent.com/stautonico/pokemon-home-pokedex/main/sprites/centiskorch.png", 2)</f>
        <v>0</v>
      </c>
      <c r="E1338" s="4" t="s">
        <v>14</v>
      </c>
      <c r="F1338" s="5"/>
    </row>
    <row r="1339" spans="1:6" ht="72" customHeight="1">
      <c r="A1339" s="1" t="s">
        <v>31</v>
      </c>
      <c r="B1339" s="1">
        <v>858</v>
      </c>
      <c r="C1339" s="1" t="s">
        <v>1367</v>
      </c>
      <c r="D1339">
        <f>IMAGE("https://raw.githubusercontent.com/stautonico/pokemon-home-pokedex/main/sprites/hatterene.png", 2)</f>
        <v>0</v>
      </c>
      <c r="E1339" s="29" t="s">
        <v>30</v>
      </c>
      <c r="F1339" s="4" t="s">
        <v>14</v>
      </c>
    </row>
    <row r="1340" spans="1:6" ht="72" customHeight="1">
      <c r="A1340" s="1" t="s">
        <v>31</v>
      </c>
      <c r="B1340" s="1">
        <v>861</v>
      </c>
      <c r="C1340" s="1" t="s">
        <v>1368</v>
      </c>
      <c r="D1340">
        <f>IMAGE("https://raw.githubusercontent.com/stautonico/pokemon-home-pokedex/main/sprites/grimmsnarl.png", 2)</f>
        <v>0</v>
      </c>
      <c r="E1340" s="29" t="s">
        <v>30</v>
      </c>
      <c r="F1340" s="4" t="s">
        <v>14</v>
      </c>
    </row>
    <row r="1341" spans="1:6" ht="72" customHeight="1">
      <c r="A1341" s="1" t="s">
        <v>31</v>
      </c>
      <c r="B1341" s="1">
        <v>869</v>
      </c>
      <c r="C1341" s="1" t="s">
        <v>1369</v>
      </c>
      <c r="D1341">
        <f>IMAGE("https://raw.githubusercontent.com/stautonico/pokemon-home-pokedex/main/sprites/alcremie.png", 2)</f>
        <v>0</v>
      </c>
      <c r="E1341" s="4" t="s">
        <v>14</v>
      </c>
      <c r="F1341" s="5"/>
    </row>
    <row r="1342" spans="1:6" ht="72" customHeight="1">
      <c r="A1342" s="1" t="s">
        <v>31</v>
      </c>
      <c r="B1342" s="1">
        <v>879</v>
      </c>
      <c r="C1342" s="1" t="s">
        <v>1370</v>
      </c>
      <c r="D1342">
        <f>IMAGE("https://raw.githubusercontent.com/stautonico/pokemon-home-pokedex/main/sprites/copperajah.png", 2)</f>
        <v>0</v>
      </c>
      <c r="E1342" s="29" t="s">
        <v>30</v>
      </c>
      <c r="F1342" s="4" t="s">
        <v>14</v>
      </c>
    </row>
    <row r="1343" spans="1:6" ht="72" customHeight="1">
      <c r="A1343" s="1" t="s">
        <v>31</v>
      </c>
      <c r="B1343" s="1">
        <v>884</v>
      </c>
      <c r="C1343" s="1" t="s">
        <v>1371</v>
      </c>
      <c r="D1343">
        <f>IMAGE("https://raw.githubusercontent.com/stautonico/pokemon-home-pokedex/main/sprites/duraludon.png", 2)</f>
        <v>0</v>
      </c>
      <c r="E1343" s="4" t="s">
        <v>14</v>
      </c>
      <c r="F1343" s="5"/>
    </row>
    <row r="1344" spans="1:6" ht="72" customHeight="1">
      <c r="A1344" s="1" t="s">
        <v>31</v>
      </c>
      <c r="B1344" s="1">
        <v>892</v>
      </c>
      <c r="C1344" s="1" t="s">
        <v>1372</v>
      </c>
      <c r="D1344">
        <f>IMAGE("https://raw.githubusercontent.com/stautonico/pokemon-home-pokedex/main/sprites/urshifu-single-strike.png", 2)</f>
        <v>0</v>
      </c>
      <c r="E1344" s="3" t="s">
        <v>12</v>
      </c>
      <c r="F1344" s="5"/>
    </row>
    <row r="1345" spans="1:6" ht="72" customHeight="1">
      <c r="A1345" s="1" t="s">
        <v>31</v>
      </c>
      <c r="B1345" s="1">
        <v>10191</v>
      </c>
      <c r="C1345" s="1" t="s">
        <v>1373</v>
      </c>
      <c r="D1345">
        <f>IMAGE("https://raw.githubusercontent.com/stautonico/pokemon-home-pokedex/main/sprites/urshifu-rapid-strike.png", 2)</f>
        <v>0</v>
      </c>
      <c r="E1345" s="3" t="s">
        <v>12</v>
      </c>
      <c r="F1345" s="5"/>
    </row>
    <row r="1346" spans="1:6" ht="72" customHeight="1">
      <c r="A1346" s="1" t="s">
        <v>31</v>
      </c>
      <c r="B1346" s="1">
        <v>10257</v>
      </c>
      <c r="C1346" s="1" t="s">
        <v>1374</v>
      </c>
      <c r="D1346">
        <f>IMAGE("https://raw.githubusercontent.com/stautonico/pokemon-home-pokedex/main/sprites/maushold-family-of-three.png", 2)</f>
        <v>0</v>
      </c>
      <c r="E1346" s="29" t="s">
        <v>30</v>
      </c>
      <c r="F1346" s="5"/>
    </row>
    <row r="1347" spans="1:6" ht="72" customHeight="1">
      <c r="A1347" s="1" t="s">
        <v>31</v>
      </c>
      <c r="B1347" s="1">
        <v>10260</v>
      </c>
      <c r="C1347" s="1" t="s">
        <v>1375</v>
      </c>
      <c r="D1347">
        <f>IMAGE("https://raw.githubusercontent.com/stautonico/pokemon-home-pokedex/main/sprites/squawkabilly-blue-plumage.png", 2)</f>
        <v>0</v>
      </c>
      <c r="E1347" s="29" t="s">
        <v>30</v>
      </c>
      <c r="F1347" s="5"/>
    </row>
    <row r="1348" spans="1:6" ht="72" customHeight="1">
      <c r="A1348" s="1" t="s">
        <v>31</v>
      </c>
      <c r="B1348" s="1">
        <v>10262</v>
      </c>
      <c r="C1348" s="1" t="s">
        <v>1376</v>
      </c>
      <c r="D1348">
        <f>IMAGE("https://raw.githubusercontent.com/stautonico/pokemon-home-pokedex/main/sprites/squawkabilly-white-plumage.png", 2)</f>
        <v>0</v>
      </c>
      <c r="E1348" s="29" t="s">
        <v>30</v>
      </c>
      <c r="F1348" s="5"/>
    </row>
    <row r="1349" spans="1:6" ht="72" customHeight="1">
      <c r="A1349" s="1" t="s">
        <v>31</v>
      </c>
      <c r="B1349" s="1">
        <v>10261</v>
      </c>
      <c r="C1349" s="1" t="s">
        <v>1377</v>
      </c>
      <c r="D1349">
        <f>IMAGE("https://raw.githubusercontent.com/stautonico/pokemon-home-pokedex/main/sprites/squawkabilly-yellow-plumage.png", 2)</f>
        <v>0</v>
      </c>
      <c r="E1349" s="29" t="s">
        <v>30</v>
      </c>
      <c r="F1349" s="5"/>
    </row>
    <row r="1350" spans="1:6" ht="72" customHeight="1">
      <c r="A1350" s="1" t="s">
        <v>31</v>
      </c>
      <c r="B1350" s="1">
        <v>978</v>
      </c>
      <c r="C1350" s="1" t="s">
        <v>1012</v>
      </c>
      <c r="D1350">
        <f>IMAGE("https://raw.githubusercontent.com/stautonico/pokemon-home-pokedex/main/sprites/tatsugiri.png", 2)</f>
        <v>0</v>
      </c>
      <c r="E1350" s="29" t="s">
        <v>30</v>
      </c>
      <c r="F1350" s="5"/>
    </row>
    <row r="1351" spans="1:6" ht="72" customHeight="1">
      <c r="A1351" s="1" t="s">
        <v>31</v>
      </c>
      <c r="B1351" s="1">
        <v>10258</v>
      </c>
      <c r="C1351" s="1" t="s">
        <v>1378</v>
      </c>
      <c r="D1351">
        <f>IMAGE("https://raw.githubusercontent.com/stautonico/pokemon-home-pokedex/main/sprites/tatsugiri-droopy.png", 2)</f>
        <v>0</v>
      </c>
      <c r="E1351" s="29" t="s">
        <v>30</v>
      </c>
      <c r="F1351" s="5"/>
    </row>
    <row r="1352" spans="1:6" ht="72" customHeight="1">
      <c r="A1352" s="1" t="s">
        <v>31</v>
      </c>
      <c r="B1352" s="1">
        <v>10259</v>
      </c>
      <c r="C1352" s="1" t="s">
        <v>1379</v>
      </c>
      <c r="D1352">
        <f>IMAGE("https://raw.githubusercontent.com/stautonico/pokemon-home-pokedex/main/sprites/tatsugiri-stretchy.png", 2)</f>
        <v>0</v>
      </c>
      <c r="E1352" s="29" t="s">
        <v>30</v>
      </c>
      <c r="F1352" s="5"/>
    </row>
    <row r="1353" spans="1:6" ht="72" customHeight="1">
      <c r="A1353" s="1" t="s">
        <v>31</v>
      </c>
      <c r="B1353" s="1">
        <v>10255</v>
      </c>
      <c r="C1353" s="1" t="s">
        <v>1380</v>
      </c>
      <c r="D1353">
        <f>IMAGE("https://raw.githubusercontent.com/stautonico/pokemon-home-pokedex/main/sprites/dudunsparce-three-segment.png", 2)</f>
        <v>0</v>
      </c>
      <c r="E1353" s="29" t="s">
        <v>30</v>
      </c>
      <c r="F1353" s="5"/>
    </row>
    <row r="1354" spans="1:6" ht="72" customHeight="1">
      <c r="A1354" s="1" t="s">
        <v>31</v>
      </c>
      <c r="B1354" s="1">
        <v>10253</v>
      </c>
      <c r="C1354" s="1" t="s">
        <v>1381</v>
      </c>
      <c r="D1354">
        <f>IMAGE("https://raw.githubusercontent.com/stautonico/pokemon-home-pokedex/main/sprites/wooper-paldea.png", 2)</f>
        <v>0</v>
      </c>
      <c r="E1354" s="29" t="s">
        <v>30</v>
      </c>
      <c r="F1354" s="5"/>
    </row>
    <row r="1355" spans="1:6" ht="72" customHeight="1">
      <c r="A1355" s="1" t="s">
        <v>31</v>
      </c>
      <c r="B1355" s="1">
        <v>10250</v>
      </c>
      <c r="C1355" s="1" t="s">
        <v>1382</v>
      </c>
      <c r="D1355">
        <f>IMAGE("https://raw.githubusercontent.com/stautonico/pokemon-home-pokedex/main/sprites/tauros-paldea-combat-breed.png", 2)</f>
        <v>0</v>
      </c>
      <c r="E1355" s="29" t="s">
        <v>30</v>
      </c>
      <c r="F1355" s="5"/>
    </row>
    <row r="1356" spans="1:6" ht="72" customHeight="1">
      <c r="A1356" s="1" t="s">
        <v>31</v>
      </c>
      <c r="B1356" s="1">
        <v>10252</v>
      </c>
      <c r="C1356" s="1" t="s">
        <v>1383</v>
      </c>
      <c r="D1356">
        <f>IMAGE("https://raw.githubusercontent.com/stautonico/pokemon-home-pokedex/main/sprites/tauros-paldea-aqua-breed.png", 2)</f>
        <v>0</v>
      </c>
      <c r="E1356" s="29" t="s">
        <v>30</v>
      </c>
      <c r="F1356" s="5"/>
    </row>
    <row r="1357" spans="1:6" ht="72" customHeight="1">
      <c r="A1357" s="1" t="s">
        <v>31</v>
      </c>
      <c r="B1357" s="1">
        <v>10251</v>
      </c>
      <c r="C1357" s="1" t="s">
        <v>1384</v>
      </c>
      <c r="D1357">
        <f>IMAGE("https://raw.githubusercontent.com/stautonico/pokemon-home-pokedex/main/sprites/tauros-paldea-blaze-breed.png", 2)</f>
        <v>0</v>
      </c>
      <c r="E1357" s="29" t="s">
        <v>30</v>
      </c>
      <c r="F1357" s="5"/>
    </row>
    <row r="1358" spans="1:6" ht="72" customHeight="1">
      <c r="A1358" s="1" t="s">
        <v>31</v>
      </c>
      <c r="B1358" s="1">
        <v>19</v>
      </c>
      <c r="C1358" s="1" t="s">
        <v>1385</v>
      </c>
      <c r="D1358">
        <f>IMAGE("https://raw.githubusercontent.com/stautonico/pokemon-home-pokedex/main/sprites/rattata-alola.png", 2)</f>
        <v>0</v>
      </c>
      <c r="E1358" s="32" t="s">
        <v>18</v>
      </c>
      <c r="F1358" s="5"/>
    </row>
    <row r="1359" spans="1:6" ht="72" customHeight="1">
      <c r="A1359" s="1" t="s">
        <v>31</v>
      </c>
      <c r="B1359" s="1">
        <v>20</v>
      </c>
      <c r="C1359" s="1" t="s">
        <v>1386</v>
      </c>
      <c r="D1359">
        <f>IMAGE("https://raw.githubusercontent.com/stautonico/pokemon-home-pokedex/main/sprites/raticate-alola.png", 2)</f>
        <v>0</v>
      </c>
      <c r="E1359" s="32" t="s">
        <v>18</v>
      </c>
      <c r="F1359" s="5"/>
    </row>
    <row r="1360" spans="1:6" ht="72" customHeight="1">
      <c r="A1360" s="1" t="s">
        <v>31</v>
      </c>
      <c r="B1360" s="1">
        <v>26</v>
      </c>
      <c r="C1360" s="1" t="s">
        <v>1387</v>
      </c>
      <c r="D1360">
        <f>IMAGE("https://raw.githubusercontent.com/stautonico/pokemon-home-pokedex/main/sprites/raichu-alola.png", 2)</f>
        <v>0</v>
      </c>
      <c r="E1360" s="32" t="s">
        <v>18</v>
      </c>
      <c r="F1360" s="5"/>
    </row>
    <row r="1361" spans="1:6" ht="72" customHeight="1">
      <c r="A1361" s="1" t="s">
        <v>31</v>
      </c>
      <c r="B1361" s="1">
        <v>27</v>
      </c>
      <c r="C1361" s="1" t="s">
        <v>1388</v>
      </c>
      <c r="D1361">
        <f>IMAGE("https://raw.githubusercontent.com/stautonico/pokemon-home-pokedex/main/sprites/sandshrew-alola.png", 2)</f>
        <v>0</v>
      </c>
      <c r="E1361" s="42" t="s">
        <v>21</v>
      </c>
      <c r="F1361" s="5"/>
    </row>
    <row r="1362" spans="1:6" ht="72" customHeight="1">
      <c r="A1362" s="1" t="s">
        <v>31</v>
      </c>
      <c r="B1362" s="1">
        <v>28</v>
      </c>
      <c r="C1362" s="1" t="s">
        <v>1389</v>
      </c>
      <c r="D1362">
        <f>IMAGE("https://raw.githubusercontent.com/stautonico/pokemon-home-pokedex/main/sprites/sandslash-alola.png", 2)</f>
        <v>0</v>
      </c>
      <c r="E1362" s="42" t="s">
        <v>21</v>
      </c>
      <c r="F1362" s="5"/>
    </row>
    <row r="1363" spans="1:6" ht="72" customHeight="1">
      <c r="A1363" s="1" t="s">
        <v>31</v>
      </c>
      <c r="B1363" s="1">
        <v>37</v>
      </c>
      <c r="C1363" s="1" t="s">
        <v>1390</v>
      </c>
      <c r="D1363">
        <f>IMAGE("https://raw.githubusercontent.com/stautonico/pokemon-home-pokedex/main/sprites/vulpix-alola.png", 2)</f>
        <v>0</v>
      </c>
      <c r="E1363" s="41" t="s">
        <v>20</v>
      </c>
      <c r="F1363" s="5"/>
    </row>
    <row r="1364" spans="1:6" ht="72" customHeight="1">
      <c r="A1364" s="1" t="s">
        <v>31</v>
      </c>
      <c r="B1364" s="1">
        <v>38</v>
      </c>
      <c r="C1364" s="1" t="s">
        <v>1391</v>
      </c>
      <c r="D1364">
        <f>IMAGE("https://raw.githubusercontent.com/stautonico/pokemon-home-pokedex/main/sprites/ninetales-alola.png", 2)</f>
        <v>0</v>
      </c>
      <c r="E1364" s="41" t="s">
        <v>20</v>
      </c>
      <c r="F1364" s="5"/>
    </row>
    <row r="1365" spans="1:6" ht="72" customHeight="1">
      <c r="A1365" s="1" t="s">
        <v>31</v>
      </c>
      <c r="B1365" s="1">
        <v>50</v>
      </c>
      <c r="C1365" s="1" t="s">
        <v>1392</v>
      </c>
      <c r="D1365">
        <f>IMAGE("https://raw.githubusercontent.com/stautonico/pokemon-home-pokedex/main/sprites/diglett-alola.png", 2)</f>
        <v>0</v>
      </c>
      <c r="E1365" s="32" t="s">
        <v>18</v>
      </c>
      <c r="F1365" s="5"/>
    </row>
    <row r="1366" spans="1:6" ht="72" customHeight="1">
      <c r="A1366" s="1" t="s">
        <v>31</v>
      </c>
      <c r="B1366" s="1">
        <v>51</v>
      </c>
      <c r="C1366" s="1" t="s">
        <v>1393</v>
      </c>
      <c r="D1366">
        <f>IMAGE("https://raw.githubusercontent.com/stautonico/pokemon-home-pokedex/main/sprites/dugtrio-alola.png", 2)</f>
        <v>0</v>
      </c>
      <c r="E1366" s="32" t="s">
        <v>18</v>
      </c>
      <c r="F1366" s="5"/>
    </row>
    <row r="1367" spans="1:6" ht="72" customHeight="1">
      <c r="A1367" s="1" t="s">
        <v>31</v>
      </c>
      <c r="B1367" s="1">
        <v>52</v>
      </c>
      <c r="C1367" s="1" t="s">
        <v>1394</v>
      </c>
      <c r="D1367">
        <f>IMAGE("https://raw.githubusercontent.com/stautonico/pokemon-home-pokedex/main/sprites/meowth-alola.png", 2)</f>
        <v>0</v>
      </c>
      <c r="E1367" s="32" t="s">
        <v>18</v>
      </c>
      <c r="F1367" s="5"/>
    </row>
    <row r="1368" spans="1:6" ht="72" customHeight="1">
      <c r="A1368" s="1" t="s">
        <v>31</v>
      </c>
      <c r="B1368" s="1">
        <v>53</v>
      </c>
      <c r="C1368" s="1" t="s">
        <v>1395</v>
      </c>
      <c r="D1368">
        <f>IMAGE("https://raw.githubusercontent.com/stautonico/pokemon-home-pokedex/main/sprites/persian-alola.png", 2)</f>
        <v>0</v>
      </c>
      <c r="E1368" s="32" t="s">
        <v>18</v>
      </c>
      <c r="F1368" s="5"/>
    </row>
    <row r="1369" spans="1:6" ht="72" customHeight="1">
      <c r="A1369" s="1" t="s">
        <v>31</v>
      </c>
      <c r="B1369" s="1">
        <v>74</v>
      </c>
      <c r="C1369" s="1" t="s">
        <v>1396</v>
      </c>
      <c r="D1369">
        <f>IMAGE("https://raw.githubusercontent.com/stautonico/pokemon-home-pokedex/main/sprites/geodude-alola.png", 2)</f>
        <v>0</v>
      </c>
      <c r="E1369" s="32" t="s">
        <v>18</v>
      </c>
      <c r="F1369" s="5"/>
    </row>
    <row r="1370" spans="1:6" ht="72" customHeight="1">
      <c r="A1370" s="1" t="s">
        <v>31</v>
      </c>
      <c r="B1370" s="1">
        <v>75</v>
      </c>
      <c r="C1370" s="1" t="s">
        <v>1397</v>
      </c>
      <c r="D1370">
        <f>IMAGE("https://raw.githubusercontent.com/stautonico/pokemon-home-pokedex/main/sprites/graveler-alola.png", 2)</f>
        <v>0</v>
      </c>
      <c r="E1370" s="32" t="s">
        <v>18</v>
      </c>
      <c r="F1370" s="5"/>
    </row>
    <row r="1371" spans="1:6" ht="72" customHeight="1">
      <c r="A1371" s="1" t="s">
        <v>31</v>
      </c>
      <c r="B1371" s="1">
        <v>76</v>
      </c>
      <c r="C1371" s="1" t="s">
        <v>1398</v>
      </c>
      <c r="D1371">
        <f>IMAGE("https://raw.githubusercontent.com/stautonico/pokemon-home-pokedex/main/sprites/golem-alola.png", 2)</f>
        <v>0</v>
      </c>
      <c r="E1371" s="32" t="s">
        <v>18</v>
      </c>
      <c r="F1371" s="5"/>
    </row>
    <row r="1372" spans="1:6" ht="72" customHeight="1">
      <c r="A1372" s="1" t="s">
        <v>31</v>
      </c>
      <c r="B1372" s="1">
        <v>88</v>
      </c>
      <c r="C1372" s="1" t="s">
        <v>1399</v>
      </c>
      <c r="D1372">
        <f>IMAGE("https://raw.githubusercontent.com/stautonico/pokemon-home-pokedex/main/sprites/grimer-alola.png", 2)</f>
        <v>0</v>
      </c>
      <c r="E1372" s="32" t="s">
        <v>18</v>
      </c>
      <c r="F1372" s="5"/>
    </row>
    <row r="1373" spans="1:6" ht="72" customHeight="1">
      <c r="A1373" s="1" t="s">
        <v>31</v>
      </c>
      <c r="B1373" s="1">
        <v>89</v>
      </c>
      <c r="C1373" s="1" t="s">
        <v>1400</v>
      </c>
      <c r="D1373">
        <f>IMAGE("https://raw.githubusercontent.com/stautonico/pokemon-home-pokedex/main/sprites/muk-alola.png", 2)</f>
        <v>0</v>
      </c>
      <c r="E1373" s="32" t="s">
        <v>18</v>
      </c>
      <c r="F1373" s="5"/>
    </row>
    <row r="1374" spans="1:6" ht="72" customHeight="1">
      <c r="A1374" s="1" t="s">
        <v>31</v>
      </c>
      <c r="B1374" s="1">
        <v>103</v>
      </c>
      <c r="C1374" s="1" t="s">
        <v>1401</v>
      </c>
      <c r="D1374">
        <f>IMAGE("https://raw.githubusercontent.com/stautonico/pokemon-home-pokedex/main/sprites/exeggutor-alola.png", 2)</f>
        <v>0</v>
      </c>
      <c r="E1374" s="32" t="s">
        <v>18</v>
      </c>
      <c r="F1374" s="5"/>
    </row>
    <row r="1375" spans="1:6" ht="72" customHeight="1">
      <c r="A1375" s="1" t="s">
        <v>31</v>
      </c>
      <c r="B1375" s="1">
        <v>105</v>
      </c>
      <c r="C1375" s="1" t="s">
        <v>1402</v>
      </c>
      <c r="D1375">
        <f>IMAGE("https://raw.githubusercontent.com/stautonico/pokemon-home-pokedex/main/sprites/marowak-alola.png", 2)</f>
        <v>0</v>
      </c>
      <c r="E1375" s="41" t="s">
        <v>20</v>
      </c>
      <c r="F1375" s="5"/>
    </row>
    <row r="1376" spans="1:6" ht="72" customHeight="1">
      <c r="A1376" s="1" t="s">
        <v>31</v>
      </c>
      <c r="B1376" s="1">
        <v>52</v>
      </c>
      <c r="C1376" s="1" t="s">
        <v>1403</v>
      </c>
      <c r="D1376">
        <f>IMAGE("https://raw.githubusercontent.com/stautonico/pokemon-home-pokedex/main/sprites/meowth-galar.png", 2)</f>
        <v>0</v>
      </c>
      <c r="E1376" s="4" t="s">
        <v>14</v>
      </c>
      <c r="F1376" s="5"/>
    </row>
    <row r="1377" spans="1:6" ht="72" customHeight="1">
      <c r="A1377" s="1" t="s">
        <v>31</v>
      </c>
      <c r="B1377" s="1">
        <v>77</v>
      </c>
      <c r="C1377" s="1" t="s">
        <v>1404</v>
      </c>
      <c r="D1377">
        <f>IMAGE("https://raw.githubusercontent.com/stautonico/pokemon-home-pokedex/main/sprites/ponyta-galar.png", 2)</f>
        <v>0</v>
      </c>
      <c r="E1377" s="33" t="s">
        <v>16</v>
      </c>
      <c r="F1377" s="5"/>
    </row>
    <row r="1378" spans="1:6" ht="72" customHeight="1">
      <c r="A1378" s="1" t="s">
        <v>31</v>
      </c>
      <c r="B1378" s="1">
        <v>78</v>
      </c>
      <c r="C1378" s="1" t="s">
        <v>1405</v>
      </c>
      <c r="D1378">
        <f>IMAGE("https://raw.githubusercontent.com/stautonico/pokemon-home-pokedex/main/sprites/rapidash-galar.png", 2)</f>
        <v>0</v>
      </c>
      <c r="E1378" s="33" t="s">
        <v>16</v>
      </c>
      <c r="F1378" s="5"/>
    </row>
    <row r="1379" spans="1:6" ht="72" customHeight="1">
      <c r="A1379" s="1" t="s">
        <v>31</v>
      </c>
      <c r="B1379" s="1">
        <v>79</v>
      </c>
      <c r="C1379" s="1" t="s">
        <v>1406</v>
      </c>
      <c r="D1379">
        <f>IMAGE("https://raw.githubusercontent.com/stautonico/pokemon-home-pokedex/main/sprites/slowpoke-galar.png", 2)</f>
        <v>0</v>
      </c>
      <c r="E1379" s="4" t="s">
        <v>14</v>
      </c>
      <c r="F1379" s="5"/>
    </row>
    <row r="1380" spans="1:6" ht="72" customHeight="1">
      <c r="A1380" s="1" t="s">
        <v>31</v>
      </c>
      <c r="B1380" s="1">
        <v>80</v>
      </c>
      <c r="C1380" s="1" t="s">
        <v>1407</v>
      </c>
      <c r="D1380">
        <f>IMAGE("https://raw.githubusercontent.com/stautonico/pokemon-home-pokedex/main/sprites/slowbro-galar.png", 2)</f>
        <v>0</v>
      </c>
      <c r="E1380" s="4" t="s">
        <v>14</v>
      </c>
      <c r="F1380" s="5"/>
    </row>
    <row r="1381" spans="1:6" ht="72" customHeight="1">
      <c r="A1381" s="1" t="s">
        <v>31</v>
      </c>
      <c r="B1381" s="1">
        <v>83</v>
      </c>
      <c r="C1381" s="1" t="s">
        <v>1408</v>
      </c>
      <c r="D1381">
        <f>IMAGE("https://raw.githubusercontent.com/stautonico/pokemon-home-pokedex/main/sprites/farfetchd-galar.png", 2)</f>
        <v>0</v>
      </c>
      <c r="E1381" s="35" t="s">
        <v>15</v>
      </c>
      <c r="F1381" s="5"/>
    </row>
    <row r="1382" spans="1:6" ht="72" customHeight="1">
      <c r="A1382" s="1" t="s">
        <v>31</v>
      </c>
      <c r="B1382" s="1">
        <v>110</v>
      </c>
      <c r="C1382" s="1" t="s">
        <v>1409</v>
      </c>
      <c r="D1382">
        <f>IMAGE("https://raw.githubusercontent.com/stautonico/pokemon-home-pokedex/main/sprites/weezing-galar.png", 2)</f>
        <v>0</v>
      </c>
      <c r="E1382" s="4" t="s">
        <v>14</v>
      </c>
      <c r="F1382" s="5"/>
    </row>
    <row r="1383" spans="1:6" ht="72" customHeight="1">
      <c r="A1383" s="1" t="s">
        <v>31</v>
      </c>
      <c r="B1383" s="1">
        <v>122</v>
      </c>
      <c r="C1383" s="1" t="s">
        <v>1410</v>
      </c>
      <c r="D1383">
        <f>IMAGE("https://raw.githubusercontent.com/stautonico/pokemon-home-pokedex/main/sprites/mrmime-galar.png", 2)</f>
        <v>0</v>
      </c>
      <c r="E1383" s="4" t="s">
        <v>14</v>
      </c>
      <c r="F1383" s="5"/>
    </row>
    <row r="1384" spans="1:6" ht="72" customHeight="1">
      <c r="A1384" s="1" t="s">
        <v>31</v>
      </c>
      <c r="B1384" s="1">
        <v>144</v>
      </c>
      <c r="C1384" s="1" t="s">
        <v>1411</v>
      </c>
      <c r="D1384">
        <f>IMAGE("https://raw.githubusercontent.com/stautonico/pokemon-home-pokedex/main/sprites/articuno-galar.png", 2)</f>
        <v>0</v>
      </c>
      <c r="E1384" s="4" t="s">
        <v>14</v>
      </c>
      <c r="F1384" s="5"/>
    </row>
    <row r="1385" spans="1:6" ht="72" customHeight="1">
      <c r="A1385" s="1" t="s">
        <v>31</v>
      </c>
      <c r="B1385" s="1">
        <v>145</v>
      </c>
      <c r="C1385" s="1" t="s">
        <v>1412</v>
      </c>
      <c r="D1385">
        <f>IMAGE("https://raw.githubusercontent.com/stautonico/pokemon-home-pokedex/main/sprites/zapdos-galar.png", 2)</f>
        <v>0</v>
      </c>
      <c r="E1385" s="4" t="s">
        <v>14</v>
      </c>
      <c r="F1385" s="5"/>
    </row>
    <row r="1386" spans="1:6" ht="72" customHeight="1">
      <c r="A1386" s="1" t="s">
        <v>31</v>
      </c>
      <c r="B1386" s="1">
        <v>146</v>
      </c>
      <c r="C1386" s="1" t="s">
        <v>1413</v>
      </c>
      <c r="D1386">
        <f>IMAGE("https://raw.githubusercontent.com/stautonico/pokemon-home-pokedex/main/sprites/moltres-galar.png", 2)</f>
        <v>0</v>
      </c>
      <c r="E1386" s="4" t="s">
        <v>14</v>
      </c>
      <c r="F1386" s="5"/>
    </row>
    <row r="1387" spans="1:6" ht="72" customHeight="1">
      <c r="A1387" s="1" t="s">
        <v>31</v>
      </c>
      <c r="B1387" s="1">
        <v>199</v>
      </c>
      <c r="C1387" s="1" t="s">
        <v>1414</v>
      </c>
      <c r="D1387">
        <f>IMAGE("https://raw.githubusercontent.com/stautonico/pokemon-home-pokedex/main/sprites/slowking-galar.png", 2)</f>
        <v>0</v>
      </c>
      <c r="E1387" s="4" t="s">
        <v>14</v>
      </c>
      <c r="F1387" s="5"/>
    </row>
    <row r="1388" spans="1:6" ht="72" customHeight="1">
      <c r="A1388" s="1" t="s">
        <v>31</v>
      </c>
      <c r="B1388" s="1">
        <v>222</v>
      </c>
      <c r="C1388" s="1" t="s">
        <v>1415</v>
      </c>
      <c r="D1388">
        <f>IMAGE("https://raw.githubusercontent.com/stautonico/pokemon-home-pokedex/main/sprites/corsola-galar.png", 2)</f>
        <v>0</v>
      </c>
      <c r="E1388" s="33" t="s">
        <v>16</v>
      </c>
      <c r="F1388" s="5"/>
    </row>
    <row r="1389" spans="1:6" ht="72" customHeight="1">
      <c r="A1389" s="1" t="s">
        <v>31</v>
      </c>
      <c r="B1389" s="1">
        <v>263</v>
      </c>
      <c r="C1389" s="1" t="s">
        <v>1416</v>
      </c>
      <c r="D1389">
        <f>IMAGE("https://raw.githubusercontent.com/stautonico/pokemon-home-pokedex/main/sprites/zigzagoon-galar.png", 2)</f>
        <v>0</v>
      </c>
      <c r="E1389" s="4" t="s">
        <v>14</v>
      </c>
      <c r="F1389" s="5"/>
    </row>
    <row r="1390" spans="1:6" ht="72" customHeight="1">
      <c r="A1390" s="1" t="s">
        <v>31</v>
      </c>
      <c r="B1390" s="1">
        <v>264</v>
      </c>
      <c r="C1390" s="1" t="s">
        <v>1417</v>
      </c>
      <c r="D1390">
        <f>IMAGE("https://raw.githubusercontent.com/stautonico/pokemon-home-pokedex/main/sprites/linoone-galar.png", 2)</f>
        <v>0</v>
      </c>
      <c r="E1390" s="4" t="s">
        <v>14</v>
      </c>
      <c r="F1390" s="5"/>
    </row>
    <row r="1391" spans="1:6" ht="72" customHeight="1">
      <c r="A1391" s="1" t="s">
        <v>31</v>
      </c>
      <c r="B1391" s="1">
        <v>554</v>
      </c>
      <c r="C1391" s="1" t="s">
        <v>1418</v>
      </c>
      <c r="D1391">
        <f>IMAGE("https://raw.githubusercontent.com/stautonico/pokemon-home-pokedex/main/sprites/darumaka-galar.png", 2)</f>
        <v>0</v>
      </c>
      <c r="E1391" s="35" t="s">
        <v>15</v>
      </c>
      <c r="F1391" s="5"/>
    </row>
    <row r="1392" spans="1:6" ht="72" customHeight="1">
      <c r="A1392" s="1" t="s">
        <v>31</v>
      </c>
      <c r="B1392" s="1">
        <v>555</v>
      </c>
      <c r="C1392" s="1" t="s">
        <v>1419</v>
      </c>
      <c r="D1392">
        <f>IMAGE("https://raw.githubusercontent.com/stautonico/pokemon-home-pokedex/main/sprites/darmanitan-galar.png", 2)</f>
        <v>0</v>
      </c>
      <c r="E1392" s="35" t="s">
        <v>15</v>
      </c>
      <c r="F1392" s="5"/>
    </row>
    <row r="1393" spans="1:6" ht="72" customHeight="1">
      <c r="A1393" s="1" t="s">
        <v>31</v>
      </c>
      <c r="B1393" s="1">
        <v>562</v>
      </c>
      <c r="C1393" s="1" t="s">
        <v>1420</v>
      </c>
      <c r="D1393">
        <f>IMAGE("https://raw.githubusercontent.com/stautonico/pokemon-home-pokedex/main/sprites/yamask-galar.png", 2)</f>
        <v>0</v>
      </c>
      <c r="E1393" s="4" t="s">
        <v>14</v>
      </c>
      <c r="F1393" s="5"/>
    </row>
    <row r="1394" spans="1:6" ht="72" customHeight="1">
      <c r="A1394" s="1" t="s">
        <v>31</v>
      </c>
      <c r="B1394" s="1">
        <v>618</v>
      </c>
      <c r="C1394" s="1" t="s">
        <v>1421</v>
      </c>
      <c r="D1394">
        <f>IMAGE("https://raw.githubusercontent.com/stautonico/pokemon-home-pokedex/main/sprites/stunfisk-galar.png", 2)</f>
        <v>0</v>
      </c>
      <c r="E1394" s="4" t="s">
        <v>14</v>
      </c>
      <c r="F1394" s="5"/>
    </row>
    <row r="1395" spans="1:6" ht="72" customHeight="1">
      <c r="A1395" s="1" t="s">
        <v>31</v>
      </c>
      <c r="B1395" s="1">
        <v>58</v>
      </c>
      <c r="C1395" s="1" t="s">
        <v>1422</v>
      </c>
      <c r="D1395">
        <f>IMAGE("https://raw.githubusercontent.com/stautonico/pokemon-home-pokedex/main/sprites/growlithe-hisui.png", 2)</f>
        <v>0</v>
      </c>
      <c r="E1395" s="46" t="s">
        <v>27</v>
      </c>
      <c r="F1395" s="5"/>
    </row>
    <row r="1396" spans="1:6" ht="72" customHeight="1">
      <c r="A1396" s="1" t="s">
        <v>31</v>
      </c>
      <c r="B1396" s="1">
        <v>59</v>
      </c>
      <c r="C1396" s="1" t="s">
        <v>1423</v>
      </c>
      <c r="D1396">
        <f>IMAGE("https://raw.githubusercontent.com/stautonico/pokemon-home-pokedex/main/sprites/arcanine-hisui.png", 2)</f>
        <v>0</v>
      </c>
      <c r="E1396" s="46" t="s">
        <v>27</v>
      </c>
      <c r="F1396" s="5"/>
    </row>
    <row r="1397" spans="1:6" ht="72" customHeight="1">
      <c r="A1397" s="1" t="s">
        <v>31</v>
      </c>
      <c r="B1397" s="1">
        <v>100</v>
      </c>
      <c r="C1397" s="1" t="s">
        <v>1424</v>
      </c>
      <c r="D1397">
        <f>IMAGE("https://raw.githubusercontent.com/stautonico/pokemon-home-pokedex/main/sprites/voltorb-hisui.png", 2)</f>
        <v>0</v>
      </c>
      <c r="E1397" s="46" t="s">
        <v>27</v>
      </c>
      <c r="F1397" s="5"/>
    </row>
    <row r="1398" spans="1:6" ht="72" customHeight="1">
      <c r="A1398" s="1" t="s">
        <v>31</v>
      </c>
      <c r="B1398" s="1">
        <v>101</v>
      </c>
      <c r="C1398" s="1" t="s">
        <v>1425</v>
      </c>
      <c r="D1398">
        <f>IMAGE("https://raw.githubusercontent.com/stautonico/pokemon-home-pokedex/main/sprites/electrode-hisui.png", 2)</f>
        <v>0</v>
      </c>
      <c r="E1398" s="46" t="s">
        <v>27</v>
      </c>
      <c r="F1398" s="5"/>
    </row>
    <row r="1399" spans="1:6" ht="72" customHeight="1">
      <c r="A1399" s="1" t="s">
        <v>31</v>
      </c>
      <c r="B1399" s="1">
        <v>157</v>
      </c>
      <c r="C1399" s="1" t="s">
        <v>1426</v>
      </c>
      <c r="D1399">
        <f>IMAGE("https://raw.githubusercontent.com/stautonico/pokemon-home-pokedex/main/sprites/typhlosion-hisui.png", 2)</f>
        <v>0</v>
      </c>
      <c r="E1399" s="46" t="s">
        <v>27</v>
      </c>
      <c r="F1399" s="5"/>
    </row>
    <row r="1400" spans="1:6" ht="72" customHeight="1">
      <c r="A1400" s="1" t="s">
        <v>31</v>
      </c>
      <c r="B1400" s="1">
        <v>211</v>
      </c>
      <c r="C1400" s="1" t="s">
        <v>1427</v>
      </c>
      <c r="D1400">
        <f>IMAGE("https://raw.githubusercontent.com/stautonico/pokemon-home-pokedex/main/sprites/qwilfish-hisui.png", 2)</f>
        <v>0</v>
      </c>
      <c r="E1400" s="46" t="s">
        <v>27</v>
      </c>
      <c r="F1400" s="5"/>
    </row>
    <row r="1401" spans="1:6" ht="72" customHeight="1">
      <c r="A1401" s="1" t="s">
        <v>31</v>
      </c>
      <c r="B1401" s="1">
        <v>215</v>
      </c>
      <c r="C1401" s="1" t="s">
        <v>1428</v>
      </c>
      <c r="D1401">
        <f>IMAGE("https://raw.githubusercontent.com/stautonico/pokemon-home-pokedex/main/sprites/sneasel-hisui.png", 2)</f>
        <v>0</v>
      </c>
      <c r="E1401" s="46" t="s">
        <v>27</v>
      </c>
      <c r="F1401" s="5"/>
    </row>
    <row r="1402" spans="1:6" ht="72" customHeight="1">
      <c r="A1402" s="1" t="s">
        <v>31</v>
      </c>
      <c r="B1402" s="1">
        <v>503</v>
      </c>
      <c r="C1402" s="1" t="s">
        <v>1429</v>
      </c>
      <c r="D1402">
        <f>IMAGE("https://raw.githubusercontent.com/stautonico/pokemon-home-pokedex/main/sprites/samurott-hisui.png", 2)</f>
        <v>0</v>
      </c>
      <c r="E1402" s="46" t="s">
        <v>27</v>
      </c>
      <c r="F1402" s="5"/>
    </row>
    <row r="1403" spans="1:6" ht="72" customHeight="1">
      <c r="A1403" s="1" t="s">
        <v>31</v>
      </c>
      <c r="B1403" s="1">
        <v>549</v>
      </c>
      <c r="C1403" s="1" t="s">
        <v>1430</v>
      </c>
      <c r="D1403">
        <f>IMAGE("https://raw.githubusercontent.com/stautonico/pokemon-home-pokedex/main/sprites/lilligant-hisui.png", 2)</f>
        <v>0</v>
      </c>
      <c r="E1403" s="46" t="s">
        <v>27</v>
      </c>
      <c r="F1403" s="5"/>
    </row>
    <row r="1404" spans="1:6" ht="72" customHeight="1">
      <c r="A1404" s="1" t="s">
        <v>31</v>
      </c>
      <c r="B1404" s="1">
        <v>10247</v>
      </c>
      <c r="C1404" s="1" t="s">
        <v>1431</v>
      </c>
      <c r="D1404">
        <f>IMAGE("https://raw.githubusercontent.com/stautonico/pokemon-home-pokedex/main/sprites/basculin-white-striped.png", 2)</f>
        <v>0</v>
      </c>
      <c r="E1404" s="46" t="s">
        <v>27</v>
      </c>
      <c r="F1404" s="5"/>
    </row>
    <row r="1405" spans="1:6" ht="72" customHeight="1">
      <c r="A1405" s="1" t="s">
        <v>31</v>
      </c>
      <c r="B1405" s="1">
        <v>570</v>
      </c>
      <c r="C1405" s="1" t="s">
        <v>1432</v>
      </c>
      <c r="D1405">
        <f>IMAGE("https://raw.githubusercontent.com/stautonico/pokemon-home-pokedex/main/sprites/zorua-hisui.png", 2)</f>
        <v>0</v>
      </c>
      <c r="E1405" s="46" t="s">
        <v>27</v>
      </c>
      <c r="F1405" s="5"/>
    </row>
    <row r="1406" spans="1:6" ht="72" customHeight="1">
      <c r="A1406" s="1" t="s">
        <v>31</v>
      </c>
      <c r="B1406" s="1">
        <v>571</v>
      </c>
      <c r="C1406" s="1" t="s">
        <v>1433</v>
      </c>
      <c r="D1406">
        <f>IMAGE("https://raw.githubusercontent.com/stautonico/pokemon-home-pokedex/main/sprites/zoroark-hisui.png", 2)</f>
        <v>0</v>
      </c>
      <c r="E1406" s="46" t="s">
        <v>27</v>
      </c>
      <c r="F1406" s="5"/>
    </row>
    <row r="1407" spans="1:6" ht="72" customHeight="1">
      <c r="A1407" s="1" t="s">
        <v>31</v>
      </c>
      <c r="B1407" s="1">
        <v>628</v>
      </c>
      <c r="C1407" s="1" t="s">
        <v>1434</v>
      </c>
      <c r="D1407">
        <f>IMAGE("https://raw.githubusercontent.com/stautonico/pokemon-home-pokedex/main/sprites/braviary-hisui.png", 2)</f>
        <v>0</v>
      </c>
      <c r="E1407" s="46" t="s">
        <v>27</v>
      </c>
      <c r="F1407" s="5"/>
    </row>
    <row r="1408" spans="1:6" ht="72" customHeight="1">
      <c r="A1408" s="1" t="s">
        <v>31</v>
      </c>
      <c r="B1408" s="1">
        <v>705</v>
      </c>
      <c r="C1408" s="1" t="s">
        <v>1435</v>
      </c>
      <c r="D1408">
        <f>IMAGE("https://raw.githubusercontent.com/stautonico/pokemon-home-pokedex/main/sprites/sliggoo-hisui.png", 2)</f>
        <v>0</v>
      </c>
      <c r="E1408" s="46" t="s">
        <v>27</v>
      </c>
      <c r="F1408" s="5"/>
    </row>
    <row r="1409" spans="1:6" ht="72" customHeight="1">
      <c r="A1409" s="1" t="s">
        <v>31</v>
      </c>
      <c r="B1409" s="1">
        <v>706</v>
      </c>
      <c r="C1409" s="1" t="s">
        <v>1436</v>
      </c>
      <c r="D1409">
        <f>IMAGE("https://raw.githubusercontent.com/stautonico/pokemon-home-pokedex/main/sprites/goodra-hisui.png", 2)</f>
        <v>0</v>
      </c>
      <c r="E1409" s="46" t="s">
        <v>27</v>
      </c>
      <c r="F1409" s="5"/>
    </row>
    <row r="1410" spans="1:6" ht="72" customHeight="1">
      <c r="A1410" s="1" t="s">
        <v>31</v>
      </c>
      <c r="B1410" s="1">
        <v>713</v>
      </c>
      <c r="C1410" s="1" t="s">
        <v>1437</v>
      </c>
      <c r="D1410">
        <f>IMAGE("https://raw.githubusercontent.com/stautonico/pokemon-home-pokedex/main/sprites/avalugg-hisui.png", 2)</f>
        <v>0</v>
      </c>
      <c r="E1410" s="46" t="s">
        <v>27</v>
      </c>
      <c r="F1410" s="5"/>
    </row>
    <row r="1411" spans="1:6" ht="72" customHeight="1">
      <c r="A1411" s="1" t="s">
        <v>31</v>
      </c>
      <c r="B1411" s="1">
        <v>724</v>
      </c>
      <c r="C1411" s="1" t="s">
        <v>1438</v>
      </c>
      <c r="D1411">
        <f>IMAGE("https://raw.githubusercontent.com/stautonico/pokemon-home-pokedex/main/sprites/decidueye-hisui.png", 2)</f>
        <v>0</v>
      </c>
      <c r="E1411" s="46" t="s">
        <v>27</v>
      </c>
      <c r="F1411" s="5"/>
    </row>
  </sheetData>
  <mergeCells count="22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4">
    <cfRule type="notContainsBlanks" dxfId="5" priority="6470">
      <formula>LEN(TRIM(A1294))&gt;0</formula>
    </cfRule>
  </conditionalFormatting>
  <conditionalFormatting sqref="A1294:D1294">
    <cfRule type="expression" dxfId="3" priority="6467">
      <formula>COUNTIF($A1294, "TRUE") = 1</formula>
    </cfRule>
    <cfRule type="expression" dxfId="4" priority="6468">
      <formula>COUNTIF($A1294, "FALSE") = 1</formula>
    </cfRule>
    <cfRule type="notContainsBlanks" dxfId="1" priority="6469">
      <formula>LEN(TRIM(A1294))&gt;0</formula>
    </cfRule>
  </conditionalFormatting>
  <conditionalFormatting sqref="A1295">
    <cfRule type="notContainsBlanks" dxfId="5" priority="6475">
      <formula>LEN(TRIM(A1295))&gt;0</formula>
    </cfRule>
  </conditionalFormatting>
  <conditionalFormatting sqref="A1295:D1295">
    <cfRule type="expression" dxfId="3" priority="6472">
      <formula>COUNTIF($A1295, "TRUE") = 1</formula>
    </cfRule>
    <cfRule type="expression" dxfId="4" priority="6473">
      <formula>COUNTIF($A1295, "FALSE") = 1</formula>
    </cfRule>
    <cfRule type="notContainsBlanks" dxfId="1" priority="6474">
      <formula>LEN(TRIM(A1295))&gt;0</formula>
    </cfRule>
  </conditionalFormatting>
  <conditionalFormatting sqref="A1296">
    <cfRule type="notContainsBlanks" dxfId="5" priority="6480">
      <formula>LEN(TRIM(A1296))&gt;0</formula>
    </cfRule>
  </conditionalFormatting>
  <conditionalFormatting sqref="A1296:D1296">
    <cfRule type="expression" dxfId="3" priority="6477">
      <formula>COUNTIF($A1296, "TRUE") = 1</formula>
    </cfRule>
    <cfRule type="expression" dxfId="4" priority="6478">
      <formula>COUNTIF($A1296, "FALSE") = 1</formula>
    </cfRule>
    <cfRule type="notContainsBlanks" dxfId="1" priority="6479">
      <formula>LEN(TRIM(A1296))&gt;0</formula>
    </cfRule>
  </conditionalFormatting>
  <conditionalFormatting sqref="A1297">
    <cfRule type="notContainsBlanks" dxfId="5" priority="6485">
      <formula>LEN(TRIM(A1297))&gt;0</formula>
    </cfRule>
  </conditionalFormatting>
  <conditionalFormatting sqref="A1297:D1297">
    <cfRule type="expression" dxfId="3" priority="6482">
      <formula>COUNTIF($A1297, "TRUE") = 1</formula>
    </cfRule>
    <cfRule type="expression" dxfId="4" priority="6483">
      <formula>COUNTIF($A1297, "FALSE") = 1</formula>
    </cfRule>
    <cfRule type="notContainsBlanks" dxfId="1" priority="6484">
      <formula>LEN(TRIM(A1297))&gt;0</formula>
    </cfRule>
  </conditionalFormatting>
  <conditionalFormatting sqref="A1298">
    <cfRule type="notContainsBlanks" dxfId="5" priority="6490">
      <formula>LEN(TRIM(A1298))&gt;0</formula>
    </cfRule>
  </conditionalFormatting>
  <conditionalFormatting sqref="A1298:D1298">
    <cfRule type="expression" dxfId="3" priority="6487">
      <formula>COUNTIF($A1298, "TRUE") = 1</formula>
    </cfRule>
    <cfRule type="expression" dxfId="4" priority="6488">
      <formula>COUNTIF($A1298, "FALSE") = 1</formula>
    </cfRule>
    <cfRule type="notContainsBlanks" dxfId="1" priority="6489">
      <formula>LEN(TRIM(A1298))&gt;0</formula>
    </cfRule>
  </conditionalFormatting>
  <conditionalFormatting sqref="A1299">
    <cfRule type="notContainsBlanks" dxfId="5" priority="6495">
      <formula>LEN(TRIM(A1299))&gt;0</formula>
    </cfRule>
  </conditionalFormatting>
  <conditionalFormatting sqref="A1299:D1299">
    <cfRule type="expression" dxfId="3" priority="6492">
      <formula>COUNTIF($A1299, "TRUE") = 1</formula>
    </cfRule>
    <cfRule type="expression" dxfId="4" priority="6493">
      <formula>COUNTIF($A1299, "FALSE") = 1</formula>
    </cfRule>
    <cfRule type="notContainsBlanks" dxfId="1" priority="6494">
      <formula>LEN(TRIM(A1299))&gt;0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0">
    <cfRule type="notContainsBlanks" dxfId="5" priority="6500">
      <formula>LEN(TRIM(A1300))&gt;0</formula>
    </cfRule>
  </conditionalFormatting>
  <conditionalFormatting sqref="A1300:D1300">
    <cfRule type="expression" dxfId="3" priority="6497">
      <formula>COUNTIF($A1300, "TRUE") = 1</formula>
    </cfRule>
    <cfRule type="expression" dxfId="4" priority="6498">
      <formula>COUNTIF($A1300, "FALSE") = 1</formula>
    </cfRule>
    <cfRule type="notContainsBlanks" dxfId="1" priority="6499">
      <formula>LEN(TRIM(A1300))&gt;0</formula>
    </cfRule>
  </conditionalFormatting>
  <conditionalFormatting sqref="A1301">
    <cfRule type="notContainsBlanks" dxfId="5" priority="6505">
      <formula>LEN(TRIM(A1301))&gt;0</formula>
    </cfRule>
  </conditionalFormatting>
  <conditionalFormatting sqref="A1301:D1301">
    <cfRule type="expression" dxfId="3" priority="6502">
      <formula>COUNTIF($A1301, "TRUE") = 1</formula>
    </cfRule>
    <cfRule type="expression" dxfId="4" priority="6503">
      <formula>COUNTIF($A1301, "FALSE") = 1</formula>
    </cfRule>
    <cfRule type="notContainsBlanks" dxfId="1" priority="6504">
      <formula>LEN(TRIM(A1301))&gt;0</formula>
    </cfRule>
  </conditionalFormatting>
  <conditionalFormatting sqref="A1302">
    <cfRule type="notContainsBlanks" dxfId="5" priority="6510">
      <formula>LEN(TRIM(A1302))&gt;0</formula>
    </cfRule>
  </conditionalFormatting>
  <conditionalFormatting sqref="A1302:D1302">
    <cfRule type="expression" dxfId="3" priority="6507">
      <formula>COUNTIF($A1302, "TRUE") = 1</formula>
    </cfRule>
    <cfRule type="expression" dxfId="4" priority="6508">
      <formula>COUNTIF($A1302, "FALSE") = 1</formula>
    </cfRule>
    <cfRule type="notContainsBlanks" dxfId="1" priority="6509">
      <formula>LEN(TRIM(A1302))&gt;0</formula>
    </cfRule>
  </conditionalFormatting>
  <conditionalFormatting sqref="A1303">
    <cfRule type="notContainsBlanks" dxfId="5" priority="6515">
      <formula>LEN(TRIM(A1303))&gt;0</formula>
    </cfRule>
  </conditionalFormatting>
  <conditionalFormatting sqref="A1303:D1303">
    <cfRule type="expression" dxfId="3" priority="6512">
      <formula>COUNTIF($A1303, "TRUE") = 1</formula>
    </cfRule>
    <cfRule type="expression" dxfId="4" priority="6513">
      <formula>COUNTIF($A1303, "FALSE") = 1</formula>
    </cfRule>
    <cfRule type="notContainsBlanks" dxfId="1" priority="6514">
      <formula>LEN(TRIM(A1303))&gt;0</formula>
    </cfRule>
  </conditionalFormatting>
  <conditionalFormatting sqref="A1304">
    <cfRule type="notContainsBlanks" dxfId="5" priority="6520">
      <formula>LEN(TRIM(A1304))&gt;0</formula>
    </cfRule>
  </conditionalFormatting>
  <conditionalFormatting sqref="A1304:D1304">
    <cfRule type="expression" dxfId="3" priority="6517">
      <formula>COUNTIF($A1304, "TRUE") = 1</formula>
    </cfRule>
    <cfRule type="expression" dxfId="4" priority="6518">
      <formula>COUNTIF($A1304, "FALSE") = 1</formula>
    </cfRule>
    <cfRule type="notContainsBlanks" dxfId="1" priority="6519">
      <formula>LEN(TRIM(A1304))&gt;0</formula>
    </cfRule>
  </conditionalFormatting>
  <conditionalFormatting sqref="A1305">
    <cfRule type="notContainsBlanks" dxfId="5" priority="6525">
      <formula>LEN(TRIM(A1305))&gt;0</formula>
    </cfRule>
  </conditionalFormatting>
  <conditionalFormatting sqref="A1305:D1305">
    <cfRule type="expression" dxfId="3" priority="6522">
      <formula>COUNTIF($A1305, "TRUE") = 1</formula>
    </cfRule>
    <cfRule type="expression" dxfId="4" priority="6523">
      <formula>COUNTIF($A1305, "FALSE") = 1</formula>
    </cfRule>
    <cfRule type="notContainsBlanks" dxfId="1" priority="6524">
      <formula>LEN(TRIM(A1305))&gt;0</formula>
    </cfRule>
  </conditionalFormatting>
  <conditionalFormatting sqref="A1306">
    <cfRule type="notContainsBlanks" dxfId="5" priority="6530">
      <formula>LEN(TRIM(A1306))&gt;0</formula>
    </cfRule>
  </conditionalFormatting>
  <conditionalFormatting sqref="A1306:D1306">
    <cfRule type="expression" dxfId="3" priority="6527">
      <formula>COUNTIF($A1306, "TRUE") = 1</formula>
    </cfRule>
    <cfRule type="expression" dxfId="4" priority="6528">
      <formula>COUNTIF($A1306, "FALSE") = 1</formula>
    </cfRule>
    <cfRule type="notContainsBlanks" dxfId="1" priority="6529">
      <formula>LEN(TRIM(A1306))&gt;0</formula>
    </cfRule>
  </conditionalFormatting>
  <conditionalFormatting sqref="A1307">
    <cfRule type="notContainsBlanks" dxfId="5" priority="6535">
      <formula>LEN(TRIM(A1307))&gt;0</formula>
    </cfRule>
  </conditionalFormatting>
  <conditionalFormatting sqref="A1307:D1307">
    <cfRule type="expression" dxfId="3" priority="6532">
      <formula>COUNTIF($A1307, "TRUE") = 1</formula>
    </cfRule>
    <cfRule type="expression" dxfId="4" priority="6533">
      <formula>COUNTIF($A1307, "FALSE") = 1</formula>
    </cfRule>
    <cfRule type="notContainsBlanks" dxfId="1" priority="6534">
      <formula>LEN(TRIM(A1307))&gt;0</formula>
    </cfRule>
  </conditionalFormatting>
  <conditionalFormatting sqref="A1308">
    <cfRule type="notContainsBlanks" dxfId="5" priority="6540">
      <formula>LEN(TRIM(A1308))&gt;0</formula>
    </cfRule>
  </conditionalFormatting>
  <conditionalFormatting sqref="A1308:D1308">
    <cfRule type="expression" dxfId="3" priority="6537">
      <formula>COUNTIF($A1308, "TRUE") = 1</formula>
    </cfRule>
    <cfRule type="expression" dxfId="4" priority="6538">
      <formula>COUNTIF($A1308, "FALSE") = 1</formula>
    </cfRule>
    <cfRule type="notContainsBlanks" dxfId="1" priority="6539">
      <formula>LEN(TRIM(A1308))&gt;0</formula>
    </cfRule>
  </conditionalFormatting>
  <conditionalFormatting sqref="A1309">
    <cfRule type="notContainsBlanks" dxfId="5" priority="6545">
      <formula>LEN(TRIM(A1309))&gt;0</formula>
    </cfRule>
  </conditionalFormatting>
  <conditionalFormatting sqref="A1309:D1309">
    <cfRule type="expression" dxfId="3" priority="6542">
      <formula>COUNTIF($A1309, "TRUE") = 1</formula>
    </cfRule>
    <cfRule type="expression" dxfId="4" priority="6543">
      <formula>COUNTIF($A1309, "FALSE") = 1</formula>
    </cfRule>
    <cfRule type="notContainsBlanks" dxfId="1" priority="6544">
      <formula>LEN(TRIM(A1309))&gt;0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0">
    <cfRule type="notContainsBlanks" dxfId="5" priority="6550">
      <formula>LEN(TRIM(A1310))&gt;0</formula>
    </cfRule>
  </conditionalFormatting>
  <conditionalFormatting sqref="A1310:D1310">
    <cfRule type="expression" dxfId="3" priority="6547">
      <formula>COUNTIF($A1310, "TRUE") = 1</formula>
    </cfRule>
    <cfRule type="expression" dxfId="4" priority="6548">
      <formula>COUNTIF($A1310, "FALSE") = 1</formula>
    </cfRule>
    <cfRule type="notContainsBlanks" dxfId="1" priority="6549">
      <formula>LEN(TRIM(A1310))&gt;0</formula>
    </cfRule>
  </conditionalFormatting>
  <conditionalFormatting sqref="A1311">
    <cfRule type="notContainsBlanks" dxfId="5" priority="6555">
      <formula>LEN(TRIM(A1311))&gt;0</formula>
    </cfRule>
  </conditionalFormatting>
  <conditionalFormatting sqref="A1311:D1311">
    <cfRule type="expression" dxfId="3" priority="6552">
      <formula>COUNTIF($A1311, "TRUE") = 1</formula>
    </cfRule>
    <cfRule type="expression" dxfId="4" priority="6553">
      <formula>COUNTIF($A1311, "FALSE") = 1</formula>
    </cfRule>
    <cfRule type="notContainsBlanks" dxfId="1" priority="6554">
      <formula>LEN(TRIM(A1311))&gt;0</formula>
    </cfRule>
  </conditionalFormatting>
  <conditionalFormatting sqref="A1312">
    <cfRule type="notContainsBlanks" dxfId="5" priority="6560">
      <formula>LEN(TRIM(A1312))&gt;0</formula>
    </cfRule>
  </conditionalFormatting>
  <conditionalFormatting sqref="A1312:D1312">
    <cfRule type="expression" dxfId="3" priority="6557">
      <formula>COUNTIF($A1312, "TRUE") = 1</formula>
    </cfRule>
    <cfRule type="expression" dxfId="4" priority="6558">
      <formula>COUNTIF($A1312, "FALSE") = 1</formula>
    </cfRule>
    <cfRule type="notContainsBlanks" dxfId="1" priority="6559">
      <formula>LEN(TRIM(A1312))&gt;0</formula>
    </cfRule>
  </conditionalFormatting>
  <conditionalFormatting sqref="A1313">
    <cfRule type="notContainsBlanks" dxfId="5" priority="6565">
      <formula>LEN(TRIM(A1313))&gt;0</formula>
    </cfRule>
  </conditionalFormatting>
  <conditionalFormatting sqref="A1313:D1313">
    <cfRule type="expression" dxfId="3" priority="6562">
      <formula>COUNTIF($A1313, "TRUE") = 1</formula>
    </cfRule>
    <cfRule type="expression" dxfId="4" priority="6563">
      <formula>COUNTIF($A1313, "FALSE") = 1</formula>
    </cfRule>
    <cfRule type="notContainsBlanks" dxfId="1" priority="6564">
      <formula>LEN(TRIM(A1313))&gt;0</formula>
    </cfRule>
  </conditionalFormatting>
  <conditionalFormatting sqref="A1314">
    <cfRule type="notContainsBlanks" dxfId="5" priority="6570">
      <formula>LEN(TRIM(A1314))&gt;0</formula>
    </cfRule>
  </conditionalFormatting>
  <conditionalFormatting sqref="A1314:D1314">
    <cfRule type="expression" dxfId="3" priority="6567">
      <formula>COUNTIF($A1314, "TRUE") = 1</formula>
    </cfRule>
    <cfRule type="expression" dxfId="4" priority="6568">
      <formula>COUNTIF($A1314, "FALSE") = 1</formula>
    </cfRule>
    <cfRule type="notContainsBlanks" dxfId="1" priority="6569">
      <formula>LEN(TRIM(A1314))&gt;0</formula>
    </cfRule>
  </conditionalFormatting>
  <conditionalFormatting sqref="A1315">
    <cfRule type="notContainsBlanks" dxfId="5" priority="6575">
      <formula>LEN(TRIM(A1315))&gt;0</formula>
    </cfRule>
  </conditionalFormatting>
  <conditionalFormatting sqref="A1315:D1315">
    <cfRule type="expression" dxfId="3" priority="6572">
      <formula>COUNTIF($A1315, "TRUE") = 1</formula>
    </cfRule>
    <cfRule type="expression" dxfId="4" priority="6573">
      <formula>COUNTIF($A1315, "FALSE") = 1</formula>
    </cfRule>
    <cfRule type="notContainsBlanks" dxfId="1" priority="6574">
      <formula>LEN(TRIM(A1315))&gt;0</formula>
    </cfRule>
  </conditionalFormatting>
  <conditionalFormatting sqref="A1316">
    <cfRule type="notContainsBlanks" dxfId="5" priority="6580">
      <formula>LEN(TRIM(A1316))&gt;0</formula>
    </cfRule>
  </conditionalFormatting>
  <conditionalFormatting sqref="A1316:D1316">
    <cfRule type="expression" dxfId="3" priority="6577">
      <formula>COUNTIF($A1316, "TRUE") = 1</formula>
    </cfRule>
    <cfRule type="expression" dxfId="4" priority="6578">
      <formula>COUNTIF($A1316, "FALSE") = 1</formula>
    </cfRule>
    <cfRule type="notContainsBlanks" dxfId="1" priority="6579">
      <formula>LEN(TRIM(A1316))&gt;0</formula>
    </cfRule>
  </conditionalFormatting>
  <conditionalFormatting sqref="A1317">
    <cfRule type="notContainsBlanks" dxfId="5" priority="6585">
      <formula>LEN(TRIM(A1317))&gt;0</formula>
    </cfRule>
  </conditionalFormatting>
  <conditionalFormatting sqref="A1317:D1317">
    <cfRule type="expression" dxfId="3" priority="6582">
      <formula>COUNTIF($A1317, "TRUE") = 1</formula>
    </cfRule>
    <cfRule type="expression" dxfId="4" priority="6583">
      <formula>COUNTIF($A1317, "FALSE") = 1</formula>
    </cfRule>
    <cfRule type="notContainsBlanks" dxfId="1" priority="6584">
      <formula>LEN(TRIM(A1317))&gt;0</formula>
    </cfRule>
  </conditionalFormatting>
  <conditionalFormatting sqref="A1318">
    <cfRule type="notContainsBlanks" dxfId="5" priority="6590">
      <formula>LEN(TRIM(A1318))&gt;0</formula>
    </cfRule>
  </conditionalFormatting>
  <conditionalFormatting sqref="A1318:D1318">
    <cfRule type="expression" dxfId="3" priority="6587">
      <formula>COUNTIF($A1318, "TRUE") = 1</formula>
    </cfRule>
    <cfRule type="expression" dxfId="4" priority="6588">
      <formula>COUNTIF($A1318, "FALSE") = 1</formula>
    </cfRule>
    <cfRule type="notContainsBlanks" dxfId="1" priority="6589">
      <formula>LEN(TRIM(A1318))&gt;0</formula>
    </cfRule>
  </conditionalFormatting>
  <conditionalFormatting sqref="A1319">
    <cfRule type="notContainsBlanks" dxfId="5" priority="6595">
      <formula>LEN(TRIM(A1319))&gt;0</formula>
    </cfRule>
  </conditionalFormatting>
  <conditionalFormatting sqref="A1319:D1319">
    <cfRule type="expression" dxfId="3" priority="6592">
      <formula>COUNTIF($A1319, "TRUE") = 1</formula>
    </cfRule>
    <cfRule type="expression" dxfId="4" priority="6593">
      <formula>COUNTIF($A1319, "FALSE") = 1</formula>
    </cfRule>
    <cfRule type="notContainsBlanks" dxfId="1" priority="6594">
      <formula>LEN(TRIM(A1319))&gt;0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0">
    <cfRule type="notContainsBlanks" dxfId="5" priority="6600">
      <formula>LEN(TRIM(A1320))&gt;0</formula>
    </cfRule>
  </conditionalFormatting>
  <conditionalFormatting sqref="A1320:D1320">
    <cfRule type="expression" dxfId="3" priority="6597">
      <formula>COUNTIF($A1320, "TRUE") = 1</formula>
    </cfRule>
    <cfRule type="expression" dxfId="4" priority="6598">
      <formula>COUNTIF($A1320, "FALSE") = 1</formula>
    </cfRule>
    <cfRule type="notContainsBlanks" dxfId="1" priority="6599">
      <formula>LEN(TRIM(A1320))&gt;0</formula>
    </cfRule>
  </conditionalFormatting>
  <conditionalFormatting sqref="A1321">
    <cfRule type="notContainsBlanks" dxfId="5" priority="6605">
      <formula>LEN(TRIM(A1321))&gt;0</formula>
    </cfRule>
  </conditionalFormatting>
  <conditionalFormatting sqref="A1321:D1321">
    <cfRule type="expression" dxfId="3" priority="6602">
      <formula>COUNTIF($A1321, "TRUE") = 1</formula>
    </cfRule>
    <cfRule type="expression" dxfId="4" priority="6603">
      <formula>COUNTIF($A1321, "FALSE") = 1</formula>
    </cfRule>
    <cfRule type="notContainsBlanks" dxfId="1" priority="6604">
      <formula>LEN(TRIM(A1321))&gt;0</formula>
    </cfRule>
  </conditionalFormatting>
  <conditionalFormatting sqref="A1322">
    <cfRule type="notContainsBlanks" dxfId="5" priority="6610">
      <formula>LEN(TRIM(A1322))&gt;0</formula>
    </cfRule>
  </conditionalFormatting>
  <conditionalFormatting sqref="A1322:D1322">
    <cfRule type="expression" dxfId="3" priority="6607">
      <formula>COUNTIF($A1322, "TRUE") = 1</formula>
    </cfRule>
    <cfRule type="expression" dxfId="4" priority="6608">
      <formula>COUNTIF($A1322, "FALSE") = 1</formula>
    </cfRule>
    <cfRule type="notContainsBlanks" dxfId="1" priority="6609">
      <formula>LEN(TRIM(A1322))&gt;0</formula>
    </cfRule>
  </conditionalFormatting>
  <conditionalFormatting sqref="A1323">
    <cfRule type="notContainsBlanks" dxfId="5" priority="6615">
      <formula>LEN(TRIM(A1323))&gt;0</formula>
    </cfRule>
  </conditionalFormatting>
  <conditionalFormatting sqref="A1323:D1323">
    <cfRule type="expression" dxfId="3" priority="6612">
      <formula>COUNTIF($A1323, "TRUE") = 1</formula>
    </cfRule>
    <cfRule type="expression" dxfId="4" priority="6613">
      <formula>COUNTIF($A1323, "FALSE") = 1</formula>
    </cfRule>
    <cfRule type="notContainsBlanks" dxfId="1" priority="6614">
      <formula>LEN(TRIM(A1323))&gt;0</formula>
    </cfRule>
  </conditionalFormatting>
  <conditionalFormatting sqref="A1324">
    <cfRule type="notContainsBlanks" dxfId="5" priority="6620">
      <formula>LEN(TRIM(A1324))&gt;0</formula>
    </cfRule>
  </conditionalFormatting>
  <conditionalFormatting sqref="A1324:D1324">
    <cfRule type="expression" dxfId="3" priority="6617">
      <formula>COUNTIF($A1324, "TRUE") = 1</formula>
    </cfRule>
    <cfRule type="expression" dxfId="4" priority="6618">
      <formula>COUNTIF($A1324, "FALSE") = 1</formula>
    </cfRule>
    <cfRule type="notContainsBlanks" dxfId="1" priority="6619">
      <formula>LEN(TRIM(A1324))&gt;0</formula>
    </cfRule>
  </conditionalFormatting>
  <conditionalFormatting sqref="A1325">
    <cfRule type="notContainsBlanks" dxfId="5" priority="6625">
      <formula>LEN(TRIM(A1325))&gt;0</formula>
    </cfRule>
  </conditionalFormatting>
  <conditionalFormatting sqref="A1325:D1325">
    <cfRule type="expression" dxfId="3" priority="6622">
      <formula>COUNTIF($A1325, "TRUE") = 1</formula>
    </cfRule>
    <cfRule type="expression" dxfId="4" priority="6623">
      <formula>COUNTIF($A1325, "FALSE") = 1</formula>
    </cfRule>
    <cfRule type="notContainsBlanks" dxfId="1" priority="6624">
      <formula>LEN(TRIM(A1325))&gt;0</formula>
    </cfRule>
  </conditionalFormatting>
  <conditionalFormatting sqref="A1326">
    <cfRule type="notContainsBlanks" dxfId="5" priority="6630">
      <formula>LEN(TRIM(A1326))&gt;0</formula>
    </cfRule>
  </conditionalFormatting>
  <conditionalFormatting sqref="A1326:D1326">
    <cfRule type="expression" dxfId="3" priority="6627">
      <formula>COUNTIF($A1326, "TRUE") = 1</formula>
    </cfRule>
    <cfRule type="expression" dxfId="4" priority="6628">
      <formula>COUNTIF($A1326, "FALSE") = 1</formula>
    </cfRule>
    <cfRule type="notContainsBlanks" dxfId="1" priority="6629">
      <formula>LEN(TRIM(A1326))&gt;0</formula>
    </cfRule>
  </conditionalFormatting>
  <conditionalFormatting sqref="A1327">
    <cfRule type="notContainsBlanks" dxfId="5" priority="6635">
      <formula>LEN(TRIM(A1327))&gt;0</formula>
    </cfRule>
  </conditionalFormatting>
  <conditionalFormatting sqref="A1327:D1327">
    <cfRule type="expression" dxfId="3" priority="6632">
      <formula>COUNTIF($A1327, "TRUE") = 1</formula>
    </cfRule>
    <cfRule type="expression" dxfId="4" priority="6633">
      <formula>COUNTIF($A1327, "FALSE") = 1</formula>
    </cfRule>
    <cfRule type="notContainsBlanks" dxfId="1" priority="6634">
      <formula>LEN(TRIM(A1327))&gt;0</formula>
    </cfRule>
  </conditionalFormatting>
  <conditionalFormatting sqref="A1328">
    <cfRule type="notContainsBlanks" dxfId="5" priority="6640">
      <formula>LEN(TRIM(A1328))&gt;0</formula>
    </cfRule>
  </conditionalFormatting>
  <conditionalFormatting sqref="A1328:D1328">
    <cfRule type="expression" dxfId="3" priority="6637">
      <formula>COUNTIF($A1328, "TRUE") = 1</formula>
    </cfRule>
    <cfRule type="expression" dxfId="4" priority="6638">
      <formula>COUNTIF($A1328, "FALSE") = 1</formula>
    </cfRule>
    <cfRule type="notContainsBlanks" dxfId="1" priority="6639">
      <formula>LEN(TRIM(A1328))&gt;0</formula>
    </cfRule>
  </conditionalFormatting>
  <conditionalFormatting sqref="A1329">
    <cfRule type="notContainsBlanks" dxfId="5" priority="6645">
      <formula>LEN(TRIM(A1329))&gt;0</formula>
    </cfRule>
  </conditionalFormatting>
  <conditionalFormatting sqref="A1329:D1329">
    <cfRule type="expression" dxfId="3" priority="6642">
      <formula>COUNTIF($A1329, "TRUE") = 1</formula>
    </cfRule>
    <cfRule type="expression" dxfId="4" priority="6643">
      <formula>COUNTIF($A1329, "FALSE") = 1</formula>
    </cfRule>
    <cfRule type="notContainsBlanks" dxfId="1" priority="6644">
      <formula>LEN(TRIM(A1329))&gt;0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0">
    <cfRule type="notContainsBlanks" dxfId="5" priority="6650">
      <formula>LEN(TRIM(A1330))&gt;0</formula>
    </cfRule>
  </conditionalFormatting>
  <conditionalFormatting sqref="A1330:D1330">
    <cfRule type="expression" dxfId="3" priority="6647">
      <formula>COUNTIF($A1330, "TRUE") = 1</formula>
    </cfRule>
    <cfRule type="expression" dxfId="4" priority="6648">
      <formula>COUNTIF($A1330, "FALSE") = 1</formula>
    </cfRule>
    <cfRule type="notContainsBlanks" dxfId="1" priority="6649">
      <formula>LEN(TRIM(A1330))&gt;0</formula>
    </cfRule>
  </conditionalFormatting>
  <conditionalFormatting sqref="A1331">
    <cfRule type="notContainsBlanks" dxfId="5" priority="6655">
      <formula>LEN(TRIM(A1331))&gt;0</formula>
    </cfRule>
  </conditionalFormatting>
  <conditionalFormatting sqref="A1331:D1331">
    <cfRule type="expression" dxfId="3" priority="6652">
      <formula>COUNTIF($A1331, "TRUE") = 1</formula>
    </cfRule>
    <cfRule type="expression" dxfId="4" priority="6653">
      <formula>COUNTIF($A1331, "FALSE") = 1</formula>
    </cfRule>
    <cfRule type="notContainsBlanks" dxfId="1" priority="6654">
      <formula>LEN(TRIM(A1331))&gt;0</formula>
    </cfRule>
  </conditionalFormatting>
  <conditionalFormatting sqref="A1332">
    <cfRule type="notContainsBlanks" dxfId="5" priority="6660">
      <formula>LEN(TRIM(A1332))&gt;0</formula>
    </cfRule>
  </conditionalFormatting>
  <conditionalFormatting sqref="A1332:D1332">
    <cfRule type="expression" dxfId="3" priority="6657">
      <formula>COUNTIF($A1332, "TRUE") = 1</formula>
    </cfRule>
    <cfRule type="expression" dxfId="4" priority="6658">
      <formula>COUNTIF($A1332, "FALSE") = 1</formula>
    </cfRule>
    <cfRule type="notContainsBlanks" dxfId="1" priority="6659">
      <formula>LEN(TRIM(A1332))&gt;0</formula>
    </cfRule>
  </conditionalFormatting>
  <conditionalFormatting sqref="A1333">
    <cfRule type="notContainsBlanks" dxfId="5" priority="6665">
      <formula>LEN(TRIM(A1333))&gt;0</formula>
    </cfRule>
  </conditionalFormatting>
  <conditionalFormatting sqref="A1333:D1333">
    <cfRule type="expression" dxfId="3" priority="6662">
      <formula>COUNTIF($A1333, "TRUE") = 1</formula>
    </cfRule>
    <cfRule type="expression" dxfId="4" priority="6663">
      <formula>COUNTIF($A1333, "FALSE") = 1</formula>
    </cfRule>
    <cfRule type="notContainsBlanks" dxfId="1" priority="6664">
      <formula>LEN(TRIM(A1333))&gt;0</formula>
    </cfRule>
  </conditionalFormatting>
  <conditionalFormatting sqref="A1334">
    <cfRule type="notContainsBlanks" dxfId="5" priority="6670">
      <formula>LEN(TRIM(A1334))&gt;0</formula>
    </cfRule>
  </conditionalFormatting>
  <conditionalFormatting sqref="A1334:D1334">
    <cfRule type="expression" dxfId="3" priority="6667">
      <formula>COUNTIF($A1334, "TRUE") = 1</formula>
    </cfRule>
    <cfRule type="expression" dxfId="4" priority="6668">
      <formula>COUNTIF($A1334, "FALSE") = 1</formula>
    </cfRule>
    <cfRule type="notContainsBlanks" dxfId="1" priority="6669">
      <formula>LEN(TRIM(A1334))&gt;0</formula>
    </cfRule>
  </conditionalFormatting>
  <conditionalFormatting sqref="A1335">
    <cfRule type="notContainsBlanks" dxfId="5" priority="6675">
      <formula>LEN(TRIM(A1335))&gt;0</formula>
    </cfRule>
  </conditionalFormatting>
  <conditionalFormatting sqref="A1335:D1335">
    <cfRule type="expression" dxfId="3" priority="6672">
      <formula>COUNTIF($A1335, "TRUE") = 1</formula>
    </cfRule>
    <cfRule type="expression" dxfId="4" priority="6673">
      <formula>COUNTIF($A1335, "FALSE") = 1</formula>
    </cfRule>
    <cfRule type="notContainsBlanks" dxfId="1" priority="6674">
      <formula>LEN(TRIM(A1335))&gt;0</formula>
    </cfRule>
  </conditionalFormatting>
  <conditionalFormatting sqref="A1336">
    <cfRule type="notContainsBlanks" dxfId="5" priority="6680">
      <formula>LEN(TRIM(A1336))&gt;0</formula>
    </cfRule>
  </conditionalFormatting>
  <conditionalFormatting sqref="A1336:D1336">
    <cfRule type="expression" dxfId="3" priority="6677">
      <formula>COUNTIF($A1336, "TRUE") = 1</formula>
    </cfRule>
    <cfRule type="expression" dxfId="4" priority="6678">
      <formula>COUNTIF($A1336, "FALSE") = 1</formula>
    </cfRule>
    <cfRule type="notContainsBlanks" dxfId="1" priority="6679">
      <formula>LEN(TRIM(A1336))&gt;0</formula>
    </cfRule>
  </conditionalFormatting>
  <conditionalFormatting sqref="A1337">
    <cfRule type="notContainsBlanks" dxfId="5" priority="6685">
      <formula>LEN(TRIM(A1337))&gt;0</formula>
    </cfRule>
  </conditionalFormatting>
  <conditionalFormatting sqref="A1337:D1337">
    <cfRule type="expression" dxfId="3" priority="6682">
      <formula>COUNTIF($A1337, "TRUE") = 1</formula>
    </cfRule>
    <cfRule type="expression" dxfId="4" priority="6683">
      <formula>COUNTIF($A1337, "FALSE") = 1</formula>
    </cfRule>
    <cfRule type="notContainsBlanks" dxfId="1" priority="6684">
      <formula>LEN(TRIM(A1337))&gt;0</formula>
    </cfRule>
  </conditionalFormatting>
  <conditionalFormatting sqref="A1338">
    <cfRule type="notContainsBlanks" dxfId="5" priority="6690">
      <formula>LEN(TRIM(A1338))&gt;0</formula>
    </cfRule>
  </conditionalFormatting>
  <conditionalFormatting sqref="A1338:D1338">
    <cfRule type="expression" dxfId="3" priority="6687">
      <formula>COUNTIF($A1338, "TRUE") = 1</formula>
    </cfRule>
    <cfRule type="expression" dxfId="4" priority="6688">
      <formula>COUNTIF($A1338, "FALSE") = 1</formula>
    </cfRule>
    <cfRule type="notContainsBlanks" dxfId="1" priority="6689">
      <formula>LEN(TRIM(A1338))&gt;0</formula>
    </cfRule>
  </conditionalFormatting>
  <conditionalFormatting sqref="A1339">
    <cfRule type="notContainsBlanks" dxfId="5" priority="6695">
      <formula>LEN(TRIM(A1339))&gt;0</formula>
    </cfRule>
  </conditionalFormatting>
  <conditionalFormatting sqref="A1339:D1339">
    <cfRule type="expression" dxfId="3" priority="6692">
      <formula>COUNTIF($A1339, "TRUE") = 1</formula>
    </cfRule>
    <cfRule type="expression" dxfId="4" priority="6693">
      <formula>COUNTIF($A1339, "FALSE") = 1</formula>
    </cfRule>
    <cfRule type="notContainsBlanks" dxfId="1" priority="6694">
      <formula>LEN(TRIM(A1339))&gt;0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0">
    <cfRule type="notContainsBlanks" dxfId="5" priority="6700">
      <formula>LEN(TRIM(A1340))&gt;0</formula>
    </cfRule>
  </conditionalFormatting>
  <conditionalFormatting sqref="A1340:D1340">
    <cfRule type="expression" dxfId="3" priority="6697">
      <formula>COUNTIF($A1340, "TRUE") = 1</formula>
    </cfRule>
    <cfRule type="expression" dxfId="4" priority="6698">
      <formula>COUNTIF($A1340, "FALSE") = 1</formula>
    </cfRule>
    <cfRule type="notContainsBlanks" dxfId="1" priority="6699">
      <formula>LEN(TRIM(A1340))&gt;0</formula>
    </cfRule>
  </conditionalFormatting>
  <conditionalFormatting sqref="A1341">
    <cfRule type="notContainsBlanks" dxfId="5" priority="6705">
      <formula>LEN(TRIM(A1341))&gt;0</formula>
    </cfRule>
  </conditionalFormatting>
  <conditionalFormatting sqref="A1341:D1341">
    <cfRule type="expression" dxfId="3" priority="6702">
      <formula>COUNTIF($A1341, "TRUE") = 1</formula>
    </cfRule>
    <cfRule type="expression" dxfId="4" priority="6703">
      <formula>COUNTIF($A1341, "FALSE") = 1</formula>
    </cfRule>
    <cfRule type="notContainsBlanks" dxfId="1" priority="6704">
      <formula>LEN(TRIM(A1341))&gt;0</formula>
    </cfRule>
  </conditionalFormatting>
  <conditionalFormatting sqref="A1342">
    <cfRule type="notContainsBlanks" dxfId="5" priority="6710">
      <formula>LEN(TRIM(A1342))&gt;0</formula>
    </cfRule>
  </conditionalFormatting>
  <conditionalFormatting sqref="A1342:D1342">
    <cfRule type="expression" dxfId="3" priority="6707">
      <formula>COUNTIF($A1342, "TRUE") = 1</formula>
    </cfRule>
    <cfRule type="expression" dxfId="4" priority="6708">
      <formula>COUNTIF($A1342, "FALSE") = 1</formula>
    </cfRule>
    <cfRule type="notContainsBlanks" dxfId="1" priority="6709">
      <formula>LEN(TRIM(A1342))&gt;0</formula>
    </cfRule>
  </conditionalFormatting>
  <conditionalFormatting sqref="A1343">
    <cfRule type="notContainsBlanks" dxfId="5" priority="6715">
      <formula>LEN(TRIM(A1343))&gt;0</formula>
    </cfRule>
  </conditionalFormatting>
  <conditionalFormatting sqref="A1343:D1343">
    <cfRule type="expression" dxfId="3" priority="6712">
      <formula>COUNTIF($A1343, "TRUE") = 1</formula>
    </cfRule>
    <cfRule type="expression" dxfId="4" priority="6713">
      <formula>COUNTIF($A1343, "FALSE") = 1</formula>
    </cfRule>
    <cfRule type="notContainsBlanks" dxfId="1" priority="6714">
      <formula>LEN(TRIM(A1343))&gt;0</formula>
    </cfRule>
  </conditionalFormatting>
  <conditionalFormatting sqref="A1344">
    <cfRule type="notContainsBlanks" dxfId="5" priority="6720">
      <formula>LEN(TRIM(A1344))&gt;0</formula>
    </cfRule>
  </conditionalFormatting>
  <conditionalFormatting sqref="A1344:D1344">
    <cfRule type="expression" dxfId="3" priority="6717">
      <formula>COUNTIF($A1344, "TRUE") = 1</formula>
    </cfRule>
    <cfRule type="expression" dxfId="4" priority="6718">
      <formula>COUNTIF($A1344, "FALSE") = 1</formula>
    </cfRule>
    <cfRule type="notContainsBlanks" dxfId="1" priority="6719">
      <formula>LEN(TRIM(A1344))&gt;0</formula>
    </cfRule>
  </conditionalFormatting>
  <conditionalFormatting sqref="A1345">
    <cfRule type="notContainsBlanks" dxfId="5" priority="6725">
      <formula>LEN(TRIM(A1345))&gt;0</formula>
    </cfRule>
  </conditionalFormatting>
  <conditionalFormatting sqref="A1345:D1345">
    <cfRule type="expression" dxfId="3" priority="6722">
      <formula>COUNTIF($A1345, "TRUE") = 1</formula>
    </cfRule>
    <cfRule type="expression" dxfId="4" priority="6723">
      <formula>COUNTIF($A1345, "FALSE") = 1</formula>
    </cfRule>
    <cfRule type="notContainsBlanks" dxfId="1" priority="6724">
      <formula>LEN(TRIM(A1345))&gt;0</formula>
    </cfRule>
  </conditionalFormatting>
  <conditionalFormatting sqref="A1346">
    <cfRule type="notContainsBlanks" dxfId="5" priority="6730">
      <formula>LEN(TRIM(A1346))&gt;0</formula>
    </cfRule>
  </conditionalFormatting>
  <conditionalFormatting sqref="A1346:D1346">
    <cfRule type="expression" dxfId="3" priority="6727">
      <formula>COUNTIF($A1346, "TRUE") = 1</formula>
    </cfRule>
    <cfRule type="expression" dxfId="4" priority="6728">
      <formula>COUNTIF($A1346, "FALSE") = 1</formula>
    </cfRule>
    <cfRule type="notContainsBlanks" dxfId="1" priority="6729">
      <formula>LEN(TRIM(A1346))&gt;0</formula>
    </cfRule>
  </conditionalFormatting>
  <conditionalFormatting sqref="A1347">
    <cfRule type="notContainsBlanks" dxfId="5" priority="6735">
      <formula>LEN(TRIM(A1347))&gt;0</formula>
    </cfRule>
  </conditionalFormatting>
  <conditionalFormatting sqref="A1347:D1347">
    <cfRule type="expression" dxfId="3" priority="6732">
      <formula>COUNTIF($A1347, "TRUE") = 1</formula>
    </cfRule>
    <cfRule type="expression" dxfId="4" priority="6733">
      <formula>COUNTIF($A1347, "FALSE") = 1</formula>
    </cfRule>
    <cfRule type="notContainsBlanks" dxfId="1" priority="6734">
      <formula>LEN(TRIM(A1347))&gt;0</formula>
    </cfRule>
  </conditionalFormatting>
  <conditionalFormatting sqref="A1348">
    <cfRule type="notContainsBlanks" dxfId="5" priority="6740">
      <formula>LEN(TRIM(A1348))&gt;0</formula>
    </cfRule>
  </conditionalFormatting>
  <conditionalFormatting sqref="A1348:D1348">
    <cfRule type="expression" dxfId="3" priority="6737">
      <formula>COUNTIF($A1348, "TRUE") = 1</formula>
    </cfRule>
    <cfRule type="expression" dxfId="4" priority="6738">
      <formula>COUNTIF($A1348, "FALSE") = 1</formula>
    </cfRule>
    <cfRule type="notContainsBlanks" dxfId="1" priority="6739">
      <formula>LEN(TRIM(A1348))&gt;0</formula>
    </cfRule>
  </conditionalFormatting>
  <conditionalFormatting sqref="A1349">
    <cfRule type="notContainsBlanks" dxfId="5" priority="6745">
      <formula>LEN(TRIM(A1349))&gt;0</formula>
    </cfRule>
  </conditionalFormatting>
  <conditionalFormatting sqref="A1349:D1349">
    <cfRule type="expression" dxfId="3" priority="6742">
      <formula>COUNTIF($A1349, "TRUE") = 1</formula>
    </cfRule>
    <cfRule type="expression" dxfId="4" priority="6743">
      <formula>COUNTIF($A1349, "FALSE") = 1</formula>
    </cfRule>
    <cfRule type="notContainsBlanks" dxfId="1" priority="6744">
      <formula>LEN(TRIM(A1349))&gt;0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0">
    <cfRule type="notContainsBlanks" dxfId="5" priority="6750">
      <formula>LEN(TRIM(A1350))&gt;0</formula>
    </cfRule>
  </conditionalFormatting>
  <conditionalFormatting sqref="A1350:D1350">
    <cfRule type="expression" dxfId="3" priority="6747">
      <formula>COUNTIF($A1350, "TRUE") = 1</formula>
    </cfRule>
    <cfRule type="expression" dxfId="4" priority="6748">
      <formula>COUNTIF($A1350, "FALSE") = 1</formula>
    </cfRule>
    <cfRule type="notContainsBlanks" dxfId="1" priority="6749">
      <formula>LEN(TRIM(A1350))&gt;0</formula>
    </cfRule>
  </conditionalFormatting>
  <conditionalFormatting sqref="A1351">
    <cfRule type="notContainsBlanks" dxfId="5" priority="6755">
      <formula>LEN(TRIM(A1351))&gt;0</formula>
    </cfRule>
  </conditionalFormatting>
  <conditionalFormatting sqref="A1351:D1351">
    <cfRule type="expression" dxfId="3" priority="6752">
      <formula>COUNTIF($A1351, "TRUE") = 1</formula>
    </cfRule>
    <cfRule type="expression" dxfId="4" priority="6753">
      <formula>COUNTIF($A1351, "FALSE") = 1</formula>
    </cfRule>
    <cfRule type="notContainsBlanks" dxfId="1" priority="6754">
      <formula>LEN(TRIM(A1351))&gt;0</formula>
    </cfRule>
  </conditionalFormatting>
  <conditionalFormatting sqref="A1352">
    <cfRule type="notContainsBlanks" dxfId="5" priority="6760">
      <formula>LEN(TRIM(A1352))&gt;0</formula>
    </cfRule>
  </conditionalFormatting>
  <conditionalFormatting sqref="A1352:D1352">
    <cfRule type="expression" dxfId="3" priority="6757">
      <formula>COUNTIF($A1352, "TRUE") = 1</formula>
    </cfRule>
    <cfRule type="expression" dxfId="4" priority="6758">
      <formula>COUNTIF($A1352, "FALSE") = 1</formula>
    </cfRule>
    <cfRule type="notContainsBlanks" dxfId="1" priority="6759">
      <formula>LEN(TRIM(A1352))&gt;0</formula>
    </cfRule>
  </conditionalFormatting>
  <conditionalFormatting sqref="A1353">
    <cfRule type="notContainsBlanks" dxfId="5" priority="6765">
      <formula>LEN(TRIM(A1353))&gt;0</formula>
    </cfRule>
  </conditionalFormatting>
  <conditionalFormatting sqref="A1353:D1353">
    <cfRule type="expression" dxfId="3" priority="6762">
      <formula>COUNTIF($A1353, "TRUE") = 1</formula>
    </cfRule>
    <cfRule type="expression" dxfId="4" priority="6763">
      <formula>COUNTIF($A1353, "FALSE") = 1</formula>
    </cfRule>
    <cfRule type="notContainsBlanks" dxfId="1" priority="6764">
      <formula>LEN(TRIM(A1353))&gt;0</formula>
    </cfRule>
  </conditionalFormatting>
  <conditionalFormatting sqref="A1354">
    <cfRule type="notContainsBlanks" dxfId="5" priority="6770">
      <formula>LEN(TRIM(A1354))&gt;0</formula>
    </cfRule>
  </conditionalFormatting>
  <conditionalFormatting sqref="A1354:D1354">
    <cfRule type="expression" dxfId="3" priority="6767">
      <formula>COUNTIF($A1354, "TRUE") = 1</formula>
    </cfRule>
    <cfRule type="expression" dxfId="4" priority="6768">
      <formula>COUNTIF($A1354, "FALSE") = 1</formula>
    </cfRule>
    <cfRule type="notContainsBlanks" dxfId="1" priority="6769">
      <formula>LEN(TRIM(A1354))&gt;0</formula>
    </cfRule>
  </conditionalFormatting>
  <conditionalFormatting sqref="A1355">
    <cfRule type="notContainsBlanks" dxfId="5" priority="6775">
      <formula>LEN(TRIM(A1355))&gt;0</formula>
    </cfRule>
  </conditionalFormatting>
  <conditionalFormatting sqref="A1355:D1355">
    <cfRule type="expression" dxfId="3" priority="6772">
      <formula>COUNTIF($A1355, "TRUE") = 1</formula>
    </cfRule>
    <cfRule type="expression" dxfId="4" priority="6773">
      <formula>COUNTIF($A1355, "FALSE") = 1</formula>
    </cfRule>
    <cfRule type="notContainsBlanks" dxfId="1" priority="6774">
      <formula>LEN(TRIM(A1355))&gt;0</formula>
    </cfRule>
  </conditionalFormatting>
  <conditionalFormatting sqref="A1356">
    <cfRule type="notContainsBlanks" dxfId="5" priority="6780">
      <formula>LEN(TRIM(A1356))&gt;0</formula>
    </cfRule>
  </conditionalFormatting>
  <conditionalFormatting sqref="A1356:D1356">
    <cfRule type="expression" dxfId="3" priority="6777">
      <formula>COUNTIF($A1356, "TRUE") = 1</formula>
    </cfRule>
    <cfRule type="expression" dxfId="4" priority="6778">
      <formula>COUNTIF($A1356, "FALSE") = 1</formula>
    </cfRule>
    <cfRule type="notContainsBlanks" dxfId="1" priority="6779">
      <formula>LEN(TRIM(A1356))&gt;0</formula>
    </cfRule>
  </conditionalFormatting>
  <conditionalFormatting sqref="A1357">
    <cfRule type="notContainsBlanks" dxfId="5" priority="6785">
      <formula>LEN(TRIM(A1357))&gt;0</formula>
    </cfRule>
  </conditionalFormatting>
  <conditionalFormatting sqref="A1357:D1357">
    <cfRule type="expression" dxfId="3" priority="6782">
      <formula>COUNTIF($A1357, "TRUE") = 1</formula>
    </cfRule>
    <cfRule type="expression" dxfId="4" priority="6783">
      <formula>COUNTIF($A1357, "FALSE") = 1</formula>
    </cfRule>
    <cfRule type="notContainsBlanks" dxfId="1" priority="6784">
      <formula>LEN(TRIM(A1357))&gt;0</formula>
    </cfRule>
  </conditionalFormatting>
  <conditionalFormatting sqref="A1358">
    <cfRule type="notContainsBlanks" dxfId="5" priority="6790">
      <formula>LEN(TRIM(A1358))&gt;0</formula>
    </cfRule>
  </conditionalFormatting>
  <conditionalFormatting sqref="A1358:D1358">
    <cfRule type="expression" dxfId="3" priority="6787">
      <formula>COUNTIF($A1358, "TRUE") = 1</formula>
    </cfRule>
    <cfRule type="expression" dxfId="4" priority="6788">
      <formula>COUNTIF($A1358, "FALSE") = 1</formula>
    </cfRule>
    <cfRule type="notContainsBlanks" dxfId="1" priority="6789">
      <formula>LEN(TRIM(A1358))&gt;0</formula>
    </cfRule>
  </conditionalFormatting>
  <conditionalFormatting sqref="A1359">
    <cfRule type="notContainsBlanks" dxfId="5" priority="6795">
      <formula>LEN(TRIM(A1359))&gt;0</formula>
    </cfRule>
  </conditionalFormatting>
  <conditionalFormatting sqref="A1359:D1359">
    <cfRule type="expression" dxfId="3" priority="6792">
      <formula>COUNTIF($A1359, "TRUE") = 1</formula>
    </cfRule>
    <cfRule type="expression" dxfId="4" priority="6793">
      <formula>COUNTIF($A1359, "FALSE") = 1</formula>
    </cfRule>
    <cfRule type="notContainsBlanks" dxfId="1" priority="6794">
      <formula>LEN(TRIM(A1359))&gt;0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0">
    <cfRule type="notContainsBlanks" dxfId="5" priority="6800">
      <formula>LEN(TRIM(A1360))&gt;0</formula>
    </cfRule>
  </conditionalFormatting>
  <conditionalFormatting sqref="A1360:D1360">
    <cfRule type="expression" dxfId="3" priority="6797">
      <formula>COUNTIF($A1360, "TRUE") = 1</formula>
    </cfRule>
    <cfRule type="expression" dxfId="4" priority="6798">
      <formula>COUNTIF($A1360, "FALSE") = 1</formula>
    </cfRule>
    <cfRule type="notContainsBlanks" dxfId="1" priority="6799">
      <formula>LEN(TRIM(A1360))&gt;0</formula>
    </cfRule>
  </conditionalFormatting>
  <conditionalFormatting sqref="A1361">
    <cfRule type="notContainsBlanks" dxfId="5" priority="6805">
      <formula>LEN(TRIM(A1361))&gt;0</formula>
    </cfRule>
  </conditionalFormatting>
  <conditionalFormatting sqref="A1361:D1361">
    <cfRule type="expression" dxfId="3" priority="6802">
      <formula>COUNTIF($A1361, "TRUE") = 1</formula>
    </cfRule>
    <cfRule type="expression" dxfId="4" priority="6803">
      <formula>COUNTIF($A1361, "FALSE") = 1</formula>
    </cfRule>
    <cfRule type="notContainsBlanks" dxfId="1" priority="6804">
      <formula>LEN(TRIM(A1361))&gt;0</formula>
    </cfRule>
  </conditionalFormatting>
  <conditionalFormatting sqref="A1362">
    <cfRule type="notContainsBlanks" dxfId="5" priority="6810">
      <formula>LEN(TRIM(A1362))&gt;0</formula>
    </cfRule>
  </conditionalFormatting>
  <conditionalFormatting sqref="A1362:D1362">
    <cfRule type="expression" dxfId="3" priority="6807">
      <formula>COUNTIF($A1362, "TRUE") = 1</formula>
    </cfRule>
    <cfRule type="expression" dxfId="4" priority="6808">
      <formula>COUNTIF($A1362, "FALSE") = 1</formula>
    </cfRule>
    <cfRule type="notContainsBlanks" dxfId="1" priority="6809">
      <formula>LEN(TRIM(A1362))&gt;0</formula>
    </cfRule>
  </conditionalFormatting>
  <conditionalFormatting sqref="A1363">
    <cfRule type="notContainsBlanks" dxfId="5" priority="6815">
      <formula>LEN(TRIM(A1363))&gt;0</formula>
    </cfRule>
  </conditionalFormatting>
  <conditionalFormatting sqref="A1363:D1363">
    <cfRule type="expression" dxfId="3" priority="6812">
      <formula>COUNTIF($A1363, "TRUE") = 1</formula>
    </cfRule>
    <cfRule type="expression" dxfId="4" priority="6813">
      <formula>COUNTIF($A1363, "FALSE") = 1</formula>
    </cfRule>
    <cfRule type="notContainsBlanks" dxfId="1" priority="6814">
      <formula>LEN(TRIM(A1363))&gt;0</formula>
    </cfRule>
  </conditionalFormatting>
  <conditionalFormatting sqref="A1364">
    <cfRule type="notContainsBlanks" dxfId="5" priority="6820">
      <formula>LEN(TRIM(A1364))&gt;0</formula>
    </cfRule>
  </conditionalFormatting>
  <conditionalFormatting sqref="A1364:D1364">
    <cfRule type="expression" dxfId="3" priority="6817">
      <formula>COUNTIF($A1364, "TRUE") = 1</formula>
    </cfRule>
    <cfRule type="expression" dxfId="4" priority="6818">
      <formula>COUNTIF($A1364, "FALSE") = 1</formula>
    </cfRule>
    <cfRule type="notContainsBlanks" dxfId="1" priority="6819">
      <formula>LEN(TRIM(A1364))&gt;0</formula>
    </cfRule>
  </conditionalFormatting>
  <conditionalFormatting sqref="A1365">
    <cfRule type="notContainsBlanks" dxfId="5" priority="6825">
      <formula>LEN(TRIM(A1365))&gt;0</formula>
    </cfRule>
  </conditionalFormatting>
  <conditionalFormatting sqref="A1365:D1365">
    <cfRule type="expression" dxfId="3" priority="6822">
      <formula>COUNTIF($A1365, "TRUE") = 1</formula>
    </cfRule>
    <cfRule type="expression" dxfId="4" priority="6823">
      <formula>COUNTIF($A1365, "FALSE") = 1</formula>
    </cfRule>
    <cfRule type="notContainsBlanks" dxfId="1" priority="6824">
      <formula>LEN(TRIM(A1365))&gt;0</formula>
    </cfRule>
  </conditionalFormatting>
  <conditionalFormatting sqref="A1366">
    <cfRule type="notContainsBlanks" dxfId="5" priority="6830">
      <formula>LEN(TRIM(A1366))&gt;0</formula>
    </cfRule>
  </conditionalFormatting>
  <conditionalFormatting sqref="A1366:D1366">
    <cfRule type="expression" dxfId="3" priority="6827">
      <formula>COUNTIF($A1366, "TRUE") = 1</formula>
    </cfRule>
    <cfRule type="expression" dxfId="4" priority="6828">
      <formula>COUNTIF($A1366, "FALSE") = 1</formula>
    </cfRule>
    <cfRule type="notContainsBlanks" dxfId="1" priority="6829">
      <formula>LEN(TRIM(A1366))&gt;0</formula>
    </cfRule>
  </conditionalFormatting>
  <conditionalFormatting sqref="A1367">
    <cfRule type="notContainsBlanks" dxfId="5" priority="6835">
      <formula>LEN(TRIM(A1367))&gt;0</formula>
    </cfRule>
  </conditionalFormatting>
  <conditionalFormatting sqref="A1367:D1367">
    <cfRule type="expression" dxfId="3" priority="6832">
      <formula>COUNTIF($A1367, "TRUE") = 1</formula>
    </cfRule>
    <cfRule type="expression" dxfId="4" priority="6833">
      <formula>COUNTIF($A1367, "FALSE") = 1</formula>
    </cfRule>
    <cfRule type="notContainsBlanks" dxfId="1" priority="6834">
      <formula>LEN(TRIM(A1367))&gt;0</formula>
    </cfRule>
  </conditionalFormatting>
  <conditionalFormatting sqref="A1368">
    <cfRule type="notContainsBlanks" dxfId="5" priority="6840">
      <formula>LEN(TRIM(A1368))&gt;0</formula>
    </cfRule>
  </conditionalFormatting>
  <conditionalFormatting sqref="A1368:D1368">
    <cfRule type="expression" dxfId="3" priority="6837">
      <formula>COUNTIF($A1368, "TRUE") = 1</formula>
    </cfRule>
    <cfRule type="expression" dxfId="4" priority="6838">
      <formula>COUNTIF($A1368, "FALSE") = 1</formula>
    </cfRule>
    <cfRule type="notContainsBlanks" dxfId="1" priority="6839">
      <formula>LEN(TRIM(A1368))&gt;0</formula>
    </cfRule>
  </conditionalFormatting>
  <conditionalFormatting sqref="A1369">
    <cfRule type="notContainsBlanks" dxfId="5" priority="6845">
      <formula>LEN(TRIM(A1369))&gt;0</formula>
    </cfRule>
  </conditionalFormatting>
  <conditionalFormatting sqref="A1369:D1369">
    <cfRule type="expression" dxfId="3" priority="6842">
      <formula>COUNTIF($A1369, "TRUE") = 1</formula>
    </cfRule>
    <cfRule type="expression" dxfId="4" priority="6843">
      <formula>COUNTIF($A1369, "FALSE") = 1</formula>
    </cfRule>
    <cfRule type="notContainsBlanks" dxfId="1" priority="6844">
      <formula>LEN(TRIM(A1369))&gt;0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0">
    <cfRule type="notContainsBlanks" dxfId="5" priority="6850">
      <formula>LEN(TRIM(A1370))&gt;0</formula>
    </cfRule>
  </conditionalFormatting>
  <conditionalFormatting sqref="A1370:D1370">
    <cfRule type="expression" dxfId="3" priority="6847">
      <formula>COUNTIF($A1370, "TRUE") = 1</formula>
    </cfRule>
    <cfRule type="expression" dxfId="4" priority="6848">
      <formula>COUNTIF($A1370, "FALSE") = 1</formula>
    </cfRule>
    <cfRule type="notContainsBlanks" dxfId="1" priority="6849">
      <formula>LEN(TRIM(A1370))&gt;0</formula>
    </cfRule>
  </conditionalFormatting>
  <conditionalFormatting sqref="A1371">
    <cfRule type="notContainsBlanks" dxfId="5" priority="6855">
      <formula>LEN(TRIM(A1371))&gt;0</formula>
    </cfRule>
  </conditionalFormatting>
  <conditionalFormatting sqref="A1371:D1371">
    <cfRule type="expression" dxfId="3" priority="6852">
      <formula>COUNTIF($A1371, "TRUE") = 1</formula>
    </cfRule>
    <cfRule type="expression" dxfId="4" priority="6853">
      <formula>COUNTIF($A1371, "FALSE") = 1</formula>
    </cfRule>
    <cfRule type="notContainsBlanks" dxfId="1" priority="6854">
      <formula>LEN(TRIM(A1371))&gt;0</formula>
    </cfRule>
  </conditionalFormatting>
  <conditionalFormatting sqref="A1372">
    <cfRule type="notContainsBlanks" dxfId="5" priority="6860">
      <formula>LEN(TRIM(A1372))&gt;0</formula>
    </cfRule>
  </conditionalFormatting>
  <conditionalFormatting sqref="A1372:D1372">
    <cfRule type="expression" dxfId="3" priority="6857">
      <formula>COUNTIF($A1372, "TRUE") = 1</formula>
    </cfRule>
    <cfRule type="expression" dxfId="4" priority="6858">
      <formula>COUNTIF($A1372, "FALSE") = 1</formula>
    </cfRule>
    <cfRule type="notContainsBlanks" dxfId="1" priority="6859">
      <formula>LEN(TRIM(A1372))&gt;0</formula>
    </cfRule>
  </conditionalFormatting>
  <conditionalFormatting sqref="A1373">
    <cfRule type="notContainsBlanks" dxfId="5" priority="6865">
      <formula>LEN(TRIM(A1373))&gt;0</formula>
    </cfRule>
  </conditionalFormatting>
  <conditionalFormatting sqref="A1373:D1373">
    <cfRule type="expression" dxfId="3" priority="6862">
      <formula>COUNTIF($A1373, "TRUE") = 1</formula>
    </cfRule>
    <cfRule type="expression" dxfId="4" priority="6863">
      <formula>COUNTIF($A1373, "FALSE") = 1</formula>
    </cfRule>
    <cfRule type="notContainsBlanks" dxfId="1" priority="6864">
      <formula>LEN(TRIM(A1373))&gt;0</formula>
    </cfRule>
  </conditionalFormatting>
  <conditionalFormatting sqref="A1374">
    <cfRule type="notContainsBlanks" dxfId="5" priority="6870">
      <formula>LEN(TRIM(A1374))&gt;0</formula>
    </cfRule>
  </conditionalFormatting>
  <conditionalFormatting sqref="A1374:D1374">
    <cfRule type="expression" dxfId="3" priority="6867">
      <formula>COUNTIF($A1374, "TRUE") = 1</formula>
    </cfRule>
    <cfRule type="expression" dxfId="4" priority="6868">
      <formula>COUNTIF($A1374, "FALSE") = 1</formula>
    </cfRule>
    <cfRule type="notContainsBlanks" dxfId="1" priority="6869">
      <formula>LEN(TRIM(A1374))&gt;0</formula>
    </cfRule>
  </conditionalFormatting>
  <conditionalFormatting sqref="A1375">
    <cfRule type="notContainsBlanks" dxfId="5" priority="6875">
      <formula>LEN(TRIM(A1375))&gt;0</formula>
    </cfRule>
  </conditionalFormatting>
  <conditionalFormatting sqref="A1375:D1375">
    <cfRule type="expression" dxfId="3" priority="6872">
      <formula>COUNTIF($A1375, "TRUE") = 1</formula>
    </cfRule>
    <cfRule type="expression" dxfId="4" priority="6873">
      <formula>COUNTIF($A1375, "FALSE") = 1</formula>
    </cfRule>
    <cfRule type="notContainsBlanks" dxfId="1" priority="6874">
      <formula>LEN(TRIM(A1375))&gt;0</formula>
    </cfRule>
  </conditionalFormatting>
  <conditionalFormatting sqref="A1376">
    <cfRule type="notContainsBlanks" dxfId="5" priority="6880">
      <formula>LEN(TRIM(A1376))&gt;0</formula>
    </cfRule>
  </conditionalFormatting>
  <conditionalFormatting sqref="A1376:D1376">
    <cfRule type="expression" dxfId="3" priority="6877">
      <formula>COUNTIF($A1376, "TRUE") = 1</formula>
    </cfRule>
    <cfRule type="expression" dxfId="4" priority="6878">
      <formula>COUNTIF($A1376, "FALSE") = 1</formula>
    </cfRule>
    <cfRule type="notContainsBlanks" dxfId="1" priority="6879">
      <formula>LEN(TRIM(A1376))&gt;0</formula>
    </cfRule>
  </conditionalFormatting>
  <conditionalFormatting sqref="A1377">
    <cfRule type="notContainsBlanks" dxfId="5" priority="6885">
      <formula>LEN(TRIM(A1377))&gt;0</formula>
    </cfRule>
  </conditionalFormatting>
  <conditionalFormatting sqref="A1377:D1377">
    <cfRule type="expression" dxfId="3" priority="6882">
      <formula>COUNTIF($A1377, "TRUE") = 1</formula>
    </cfRule>
    <cfRule type="expression" dxfId="4" priority="6883">
      <formula>COUNTIF($A1377, "FALSE") = 1</formula>
    </cfRule>
    <cfRule type="notContainsBlanks" dxfId="1" priority="6884">
      <formula>LEN(TRIM(A1377))&gt;0</formula>
    </cfRule>
  </conditionalFormatting>
  <conditionalFormatting sqref="A1378">
    <cfRule type="notContainsBlanks" dxfId="5" priority="6890">
      <formula>LEN(TRIM(A1378))&gt;0</formula>
    </cfRule>
  </conditionalFormatting>
  <conditionalFormatting sqref="A1378:D1378">
    <cfRule type="expression" dxfId="3" priority="6887">
      <formula>COUNTIF($A1378, "TRUE") = 1</formula>
    </cfRule>
    <cfRule type="expression" dxfId="4" priority="6888">
      <formula>COUNTIF($A1378, "FALSE") = 1</formula>
    </cfRule>
    <cfRule type="notContainsBlanks" dxfId="1" priority="6889">
      <formula>LEN(TRIM(A1378))&gt;0</formula>
    </cfRule>
  </conditionalFormatting>
  <conditionalFormatting sqref="A1379">
    <cfRule type="notContainsBlanks" dxfId="5" priority="6895">
      <formula>LEN(TRIM(A1379))&gt;0</formula>
    </cfRule>
  </conditionalFormatting>
  <conditionalFormatting sqref="A1379:D1379">
    <cfRule type="expression" dxfId="3" priority="6892">
      <formula>COUNTIF($A1379, "TRUE") = 1</formula>
    </cfRule>
    <cfRule type="expression" dxfId="4" priority="6893">
      <formula>COUNTIF($A1379, "FALSE") = 1</formula>
    </cfRule>
    <cfRule type="notContainsBlanks" dxfId="1" priority="6894">
      <formula>LEN(TRIM(A1379))&gt;0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0">
    <cfRule type="notContainsBlanks" dxfId="5" priority="6900">
      <formula>LEN(TRIM(A1380))&gt;0</formula>
    </cfRule>
  </conditionalFormatting>
  <conditionalFormatting sqref="A1380:D1380">
    <cfRule type="expression" dxfId="3" priority="6897">
      <formula>COUNTIF($A1380, "TRUE") = 1</formula>
    </cfRule>
    <cfRule type="expression" dxfId="4" priority="6898">
      <formula>COUNTIF($A1380, "FALSE") = 1</formula>
    </cfRule>
    <cfRule type="notContainsBlanks" dxfId="1" priority="6899">
      <formula>LEN(TRIM(A1380))&gt;0</formula>
    </cfRule>
  </conditionalFormatting>
  <conditionalFormatting sqref="A1381">
    <cfRule type="notContainsBlanks" dxfId="5" priority="6905">
      <formula>LEN(TRIM(A1381))&gt;0</formula>
    </cfRule>
  </conditionalFormatting>
  <conditionalFormatting sqref="A1381:D1381">
    <cfRule type="expression" dxfId="3" priority="6902">
      <formula>COUNTIF($A1381, "TRUE") = 1</formula>
    </cfRule>
    <cfRule type="expression" dxfId="4" priority="6903">
      <formula>COUNTIF($A1381, "FALSE") = 1</formula>
    </cfRule>
    <cfRule type="notContainsBlanks" dxfId="1" priority="6904">
      <formula>LEN(TRIM(A1381))&gt;0</formula>
    </cfRule>
  </conditionalFormatting>
  <conditionalFormatting sqref="A1382">
    <cfRule type="notContainsBlanks" dxfId="5" priority="6910">
      <formula>LEN(TRIM(A1382))&gt;0</formula>
    </cfRule>
  </conditionalFormatting>
  <conditionalFormatting sqref="A1382:D1382">
    <cfRule type="expression" dxfId="3" priority="6907">
      <formula>COUNTIF($A1382, "TRUE") = 1</formula>
    </cfRule>
    <cfRule type="expression" dxfId="4" priority="6908">
      <formula>COUNTIF($A1382, "FALSE") = 1</formula>
    </cfRule>
    <cfRule type="notContainsBlanks" dxfId="1" priority="6909">
      <formula>LEN(TRIM(A1382))&gt;0</formula>
    </cfRule>
  </conditionalFormatting>
  <conditionalFormatting sqref="A1383">
    <cfRule type="notContainsBlanks" dxfId="5" priority="6915">
      <formula>LEN(TRIM(A1383))&gt;0</formula>
    </cfRule>
  </conditionalFormatting>
  <conditionalFormatting sqref="A1383:D1383">
    <cfRule type="expression" dxfId="3" priority="6912">
      <formula>COUNTIF($A1383, "TRUE") = 1</formula>
    </cfRule>
    <cfRule type="expression" dxfId="4" priority="6913">
      <formula>COUNTIF($A1383, "FALSE") = 1</formula>
    </cfRule>
    <cfRule type="notContainsBlanks" dxfId="1" priority="6914">
      <formula>LEN(TRIM(A1383))&gt;0</formula>
    </cfRule>
  </conditionalFormatting>
  <conditionalFormatting sqref="A1384">
    <cfRule type="notContainsBlanks" dxfId="5" priority="6920">
      <formula>LEN(TRIM(A1384))&gt;0</formula>
    </cfRule>
  </conditionalFormatting>
  <conditionalFormatting sqref="A1384:D1384">
    <cfRule type="expression" dxfId="3" priority="6917">
      <formula>COUNTIF($A1384, "TRUE") = 1</formula>
    </cfRule>
    <cfRule type="expression" dxfId="4" priority="6918">
      <formula>COUNTIF($A1384, "FALSE") = 1</formula>
    </cfRule>
    <cfRule type="notContainsBlanks" dxfId="1" priority="6919">
      <formula>LEN(TRIM(A1384))&gt;0</formula>
    </cfRule>
  </conditionalFormatting>
  <conditionalFormatting sqref="A1385">
    <cfRule type="notContainsBlanks" dxfId="5" priority="6925">
      <formula>LEN(TRIM(A1385))&gt;0</formula>
    </cfRule>
  </conditionalFormatting>
  <conditionalFormatting sqref="A1385:D1385">
    <cfRule type="expression" dxfId="3" priority="6922">
      <formula>COUNTIF($A1385, "TRUE") = 1</formula>
    </cfRule>
    <cfRule type="expression" dxfId="4" priority="6923">
      <formula>COUNTIF($A1385, "FALSE") = 1</formula>
    </cfRule>
    <cfRule type="notContainsBlanks" dxfId="1" priority="6924">
      <formula>LEN(TRIM(A1385))&gt;0</formula>
    </cfRule>
  </conditionalFormatting>
  <conditionalFormatting sqref="A1386">
    <cfRule type="notContainsBlanks" dxfId="5" priority="6930">
      <formula>LEN(TRIM(A1386))&gt;0</formula>
    </cfRule>
  </conditionalFormatting>
  <conditionalFormatting sqref="A1386:D1386">
    <cfRule type="expression" dxfId="3" priority="6927">
      <formula>COUNTIF($A1386, "TRUE") = 1</formula>
    </cfRule>
    <cfRule type="expression" dxfId="4" priority="6928">
      <formula>COUNTIF($A1386, "FALSE") = 1</formula>
    </cfRule>
    <cfRule type="notContainsBlanks" dxfId="1" priority="6929">
      <formula>LEN(TRIM(A1386))&gt;0</formula>
    </cfRule>
  </conditionalFormatting>
  <conditionalFormatting sqref="A1387">
    <cfRule type="notContainsBlanks" dxfId="5" priority="6935">
      <formula>LEN(TRIM(A1387))&gt;0</formula>
    </cfRule>
  </conditionalFormatting>
  <conditionalFormatting sqref="A1387:D1387">
    <cfRule type="expression" dxfId="3" priority="6932">
      <formula>COUNTIF($A1387, "TRUE") = 1</formula>
    </cfRule>
    <cfRule type="expression" dxfId="4" priority="6933">
      <formula>COUNTIF($A1387, "FALSE") = 1</formula>
    </cfRule>
    <cfRule type="notContainsBlanks" dxfId="1" priority="6934">
      <formula>LEN(TRIM(A1387))&gt;0</formula>
    </cfRule>
  </conditionalFormatting>
  <conditionalFormatting sqref="A1388">
    <cfRule type="notContainsBlanks" dxfId="5" priority="6940">
      <formula>LEN(TRIM(A1388))&gt;0</formula>
    </cfRule>
  </conditionalFormatting>
  <conditionalFormatting sqref="A1388:D1388">
    <cfRule type="expression" dxfId="3" priority="6937">
      <formula>COUNTIF($A1388, "TRUE") = 1</formula>
    </cfRule>
    <cfRule type="expression" dxfId="4" priority="6938">
      <formula>COUNTIF($A1388, "FALSE") = 1</formula>
    </cfRule>
    <cfRule type="notContainsBlanks" dxfId="1" priority="6939">
      <formula>LEN(TRIM(A1388))&gt;0</formula>
    </cfRule>
  </conditionalFormatting>
  <conditionalFormatting sqref="A1389">
    <cfRule type="notContainsBlanks" dxfId="5" priority="6945">
      <formula>LEN(TRIM(A1389))&gt;0</formula>
    </cfRule>
  </conditionalFormatting>
  <conditionalFormatting sqref="A1389:D1389">
    <cfRule type="expression" dxfId="3" priority="6942">
      <formula>COUNTIF($A1389, "TRUE") = 1</formula>
    </cfRule>
    <cfRule type="expression" dxfId="4" priority="6943">
      <formula>COUNTIF($A1389, "FALSE") = 1</formula>
    </cfRule>
    <cfRule type="notContainsBlanks" dxfId="1" priority="6944">
      <formula>LEN(TRIM(A1389))&gt;0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0">
    <cfRule type="notContainsBlanks" dxfId="5" priority="6950">
      <formula>LEN(TRIM(A1390))&gt;0</formula>
    </cfRule>
  </conditionalFormatting>
  <conditionalFormatting sqref="A1390:D1390">
    <cfRule type="expression" dxfId="3" priority="6947">
      <formula>COUNTIF($A1390, "TRUE") = 1</formula>
    </cfRule>
    <cfRule type="expression" dxfId="4" priority="6948">
      <formula>COUNTIF($A1390, "FALSE") = 1</formula>
    </cfRule>
    <cfRule type="notContainsBlanks" dxfId="1" priority="6949">
      <formula>LEN(TRIM(A1390))&gt;0</formula>
    </cfRule>
  </conditionalFormatting>
  <conditionalFormatting sqref="A1391">
    <cfRule type="notContainsBlanks" dxfId="5" priority="6955">
      <formula>LEN(TRIM(A1391))&gt;0</formula>
    </cfRule>
  </conditionalFormatting>
  <conditionalFormatting sqref="A1391:D1391">
    <cfRule type="expression" dxfId="3" priority="6952">
      <formula>COUNTIF($A1391, "TRUE") = 1</formula>
    </cfRule>
    <cfRule type="expression" dxfId="4" priority="6953">
      <formula>COUNTIF($A1391, "FALSE") = 1</formula>
    </cfRule>
    <cfRule type="notContainsBlanks" dxfId="1" priority="6954">
      <formula>LEN(TRIM(A1391))&gt;0</formula>
    </cfRule>
  </conditionalFormatting>
  <conditionalFormatting sqref="A1392">
    <cfRule type="notContainsBlanks" dxfId="5" priority="6960">
      <formula>LEN(TRIM(A1392))&gt;0</formula>
    </cfRule>
  </conditionalFormatting>
  <conditionalFormatting sqref="A1392:D1392">
    <cfRule type="expression" dxfId="3" priority="6957">
      <formula>COUNTIF($A1392, "TRUE") = 1</formula>
    </cfRule>
    <cfRule type="expression" dxfId="4" priority="6958">
      <formula>COUNTIF($A1392, "FALSE") = 1</formula>
    </cfRule>
    <cfRule type="notContainsBlanks" dxfId="1" priority="6959">
      <formula>LEN(TRIM(A1392))&gt;0</formula>
    </cfRule>
  </conditionalFormatting>
  <conditionalFormatting sqref="A1393">
    <cfRule type="notContainsBlanks" dxfId="5" priority="6965">
      <formula>LEN(TRIM(A1393))&gt;0</formula>
    </cfRule>
  </conditionalFormatting>
  <conditionalFormatting sqref="A1393:D1393">
    <cfRule type="expression" dxfId="3" priority="6962">
      <formula>COUNTIF($A1393, "TRUE") = 1</formula>
    </cfRule>
    <cfRule type="expression" dxfId="4" priority="6963">
      <formula>COUNTIF($A1393, "FALSE") = 1</formula>
    </cfRule>
    <cfRule type="notContainsBlanks" dxfId="1" priority="6964">
      <formula>LEN(TRIM(A1393))&gt;0</formula>
    </cfRule>
  </conditionalFormatting>
  <conditionalFormatting sqref="A1394">
    <cfRule type="notContainsBlanks" dxfId="5" priority="6970">
      <formula>LEN(TRIM(A1394))&gt;0</formula>
    </cfRule>
  </conditionalFormatting>
  <conditionalFormatting sqref="A1394:D1394">
    <cfRule type="expression" dxfId="3" priority="6967">
      <formula>COUNTIF($A1394, "TRUE") = 1</formula>
    </cfRule>
    <cfRule type="expression" dxfId="4" priority="6968">
      <formula>COUNTIF($A1394, "FALSE") = 1</formula>
    </cfRule>
    <cfRule type="notContainsBlanks" dxfId="1" priority="6969">
      <formula>LEN(TRIM(A1394))&gt;0</formula>
    </cfRule>
  </conditionalFormatting>
  <conditionalFormatting sqref="A1395">
    <cfRule type="notContainsBlanks" dxfId="5" priority="6975">
      <formula>LEN(TRIM(A1395))&gt;0</formula>
    </cfRule>
  </conditionalFormatting>
  <conditionalFormatting sqref="A1395:D1395">
    <cfRule type="expression" dxfId="3" priority="6972">
      <formula>COUNTIF($A1395, "TRUE") = 1</formula>
    </cfRule>
    <cfRule type="expression" dxfId="4" priority="6973">
      <formula>COUNTIF($A1395, "FALSE") = 1</formula>
    </cfRule>
    <cfRule type="notContainsBlanks" dxfId="1" priority="6974">
      <formula>LEN(TRIM(A1395))&gt;0</formula>
    </cfRule>
  </conditionalFormatting>
  <conditionalFormatting sqref="A1396">
    <cfRule type="notContainsBlanks" dxfId="5" priority="6980">
      <formula>LEN(TRIM(A1396))&gt;0</formula>
    </cfRule>
  </conditionalFormatting>
  <conditionalFormatting sqref="A1396:D1396">
    <cfRule type="expression" dxfId="3" priority="6977">
      <formula>COUNTIF($A1396, "TRUE") = 1</formula>
    </cfRule>
    <cfRule type="expression" dxfId="4" priority="6978">
      <formula>COUNTIF($A1396, "FALSE") = 1</formula>
    </cfRule>
    <cfRule type="notContainsBlanks" dxfId="1" priority="6979">
      <formula>LEN(TRIM(A1396))&gt;0</formula>
    </cfRule>
  </conditionalFormatting>
  <conditionalFormatting sqref="A1397">
    <cfRule type="notContainsBlanks" dxfId="5" priority="6985">
      <formula>LEN(TRIM(A1397))&gt;0</formula>
    </cfRule>
  </conditionalFormatting>
  <conditionalFormatting sqref="A1397:D1397">
    <cfRule type="expression" dxfId="3" priority="6982">
      <formula>COUNTIF($A1397, "TRUE") = 1</formula>
    </cfRule>
    <cfRule type="expression" dxfId="4" priority="6983">
      <formula>COUNTIF($A1397, "FALSE") = 1</formula>
    </cfRule>
    <cfRule type="notContainsBlanks" dxfId="1" priority="6984">
      <formula>LEN(TRIM(A1397))&gt;0</formula>
    </cfRule>
  </conditionalFormatting>
  <conditionalFormatting sqref="A1398">
    <cfRule type="notContainsBlanks" dxfId="5" priority="6990">
      <formula>LEN(TRIM(A1398))&gt;0</formula>
    </cfRule>
  </conditionalFormatting>
  <conditionalFormatting sqref="A1398:D1398">
    <cfRule type="expression" dxfId="3" priority="6987">
      <formula>COUNTIF($A1398, "TRUE") = 1</formula>
    </cfRule>
    <cfRule type="expression" dxfId="4" priority="6988">
      <formula>COUNTIF($A1398, "FALSE") = 1</formula>
    </cfRule>
    <cfRule type="notContainsBlanks" dxfId="1" priority="6989">
      <formula>LEN(TRIM(A1398))&gt;0</formula>
    </cfRule>
  </conditionalFormatting>
  <conditionalFormatting sqref="A1399">
    <cfRule type="notContainsBlanks" dxfId="5" priority="6995">
      <formula>LEN(TRIM(A1399))&gt;0</formula>
    </cfRule>
  </conditionalFormatting>
  <conditionalFormatting sqref="A1399:D1399">
    <cfRule type="expression" dxfId="3" priority="6992">
      <formula>COUNTIF($A1399, "TRUE") = 1</formula>
    </cfRule>
    <cfRule type="expression" dxfId="4" priority="6993">
      <formula>COUNTIF($A1399, "FALSE") = 1</formula>
    </cfRule>
    <cfRule type="notContainsBlanks" dxfId="1" priority="6994">
      <formula>LEN(TRIM(A1399))&gt;0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0">
    <cfRule type="notContainsBlanks" dxfId="5" priority="7000">
      <formula>LEN(TRIM(A1400))&gt;0</formula>
    </cfRule>
  </conditionalFormatting>
  <conditionalFormatting sqref="A1400:D1400">
    <cfRule type="expression" dxfId="3" priority="6997">
      <formula>COUNTIF($A1400, "TRUE") = 1</formula>
    </cfRule>
    <cfRule type="expression" dxfId="4" priority="6998">
      <formula>COUNTIF($A1400, "FALSE") = 1</formula>
    </cfRule>
    <cfRule type="notContainsBlanks" dxfId="1" priority="6999">
      <formula>LEN(TRIM(A1400))&gt;0</formula>
    </cfRule>
  </conditionalFormatting>
  <conditionalFormatting sqref="A1401">
    <cfRule type="notContainsBlanks" dxfId="5" priority="7005">
      <formula>LEN(TRIM(A1401))&gt;0</formula>
    </cfRule>
  </conditionalFormatting>
  <conditionalFormatting sqref="A1401:D1401">
    <cfRule type="expression" dxfId="3" priority="7002">
      <formula>COUNTIF($A1401, "TRUE") = 1</formula>
    </cfRule>
    <cfRule type="expression" dxfId="4" priority="7003">
      <formula>COUNTIF($A1401, "FALSE") = 1</formula>
    </cfRule>
    <cfRule type="notContainsBlanks" dxfId="1" priority="7004">
      <formula>LEN(TRIM(A1401))&gt;0</formula>
    </cfRule>
  </conditionalFormatting>
  <conditionalFormatting sqref="A1402">
    <cfRule type="notContainsBlanks" dxfId="5" priority="7010">
      <formula>LEN(TRIM(A1402))&gt;0</formula>
    </cfRule>
  </conditionalFormatting>
  <conditionalFormatting sqref="A1402:D1402">
    <cfRule type="expression" dxfId="3" priority="7007">
      <formula>COUNTIF($A1402, "TRUE") = 1</formula>
    </cfRule>
    <cfRule type="expression" dxfId="4" priority="7008">
      <formula>COUNTIF($A1402, "FALSE") = 1</formula>
    </cfRule>
    <cfRule type="notContainsBlanks" dxfId="1" priority="7009">
      <formula>LEN(TRIM(A1402))&gt;0</formula>
    </cfRule>
  </conditionalFormatting>
  <conditionalFormatting sqref="A1403">
    <cfRule type="notContainsBlanks" dxfId="5" priority="7015">
      <formula>LEN(TRIM(A1403))&gt;0</formula>
    </cfRule>
  </conditionalFormatting>
  <conditionalFormatting sqref="A1403:D1403">
    <cfRule type="expression" dxfId="3" priority="7012">
      <formula>COUNTIF($A1403, "TRUE") = 1</formula>
    </cfRule>
    <cfRule type="expression" dxfId="4" priority="7013">
      <formula>COUNTIF($A1403, "FALSE") = 1</formula>
    </cfRule>
    <cfRule type="notContainsBlanks" dxfId="1" priority="7014">
      <formula>LEN(TRIM(A1403))&gt;0</formula>
    </cfRule>
  </conditionalFormatting>
  <conditionalFormatting sqref="A1404">
    <cfRule type="notContainsBlanks" dxfId="5" priority="7020">
      <formula>LEN(TRIM(A1404))&gt;0</formula>
    </cfRule>
  </conditionalFormatting>
  <conditionalFormatting sqref="A1404:D1404">
    <cfRule type="expression" dxfId="3" priority="7017">
      <formula>COUNTIF($A1404, "TRUE") = 1</formula>
    </cfRule>
    <cfRule type="expression" dxfId="4" priority="7018">
      <formula>COUNTIF($A1404, "FALSE") = 1</formula>
    </cfRule>
    <cfRule type="notContainsBlanks" dxfId="1" priority="7019">
      <formula>LEN(TRIM(A1404))&gt;0</formula>
    </cfRule>
  </conditionalFormatting>
  <conditionalFormatting sqref="A1405">
    <cfRule type="notContainsBlanks" dxfId="5" priority="7025">
      <formula>LEN(TRIM(A1405))&gt;0</formula>
    </cfRule>
  </conditionalFormatting>
  <conditionalFormatting sqref="A1405:D1405">
    <cfRule type="expression" dxfId="3" priority="7022">
      <formula>COUNTIF($A1405, "TRUE") = 1</formula>
    </cfRule>
    <cfRule type="expression" dxfId="4" priority="7023">
      <formula>COUNTIF($A1405, "FALSE") = 1</formula>
    </cfRule>
    <cfRule type="notContainsBlanks" dxfId="1" priority="7024">
      <formula>LEN(TRIM(A1405))&gt;0</formula>
    </cfRule>
  </conditionalFormatting>
  <conditionalFormatting sqref="A1406">
    <cfRule type="notContainsBlanks" dxfId="5" priority="7030">
      <formula>LEN(TRIM(A1406))&gt;0</formula>
    </cfRule>
  </conditionalFormatting>
  <conditionalFormatting sqref="A1406:D1406">
    <cfRule type="expression" dxfId="3" priority="7027">
      <formula>COUNTIF($A1406, "TRUE") = 1</formula>
    </cfRule>
    <cfRule type="expression" dxfId="4" priority="7028">
      <formula>COUNTIF($A1406, "FALSE") = 1</formula>
    </cfRule>
    <cfRule type="notContainsBlanks" dxfId="1" priority="7029">
      <formula>LEN(TRIM(A1406))&gt;0</formula>
    </cfRule>
  </conditionalFormatting>
  <conditionalFormatting sqref="A1407">
    <cfRule type="notContainsBlanks" dxfId="5" priority="7035">
      <formula>LEN(TRIM(A1407))&gt;0</formula>
    </cfRule>
  </conditionalFormatting>
  <conditionalFormatting sqref="A1407:D1407">
    <cfRule type="expression" dxfId="3" priority="7032">
      <formula>COUNTIF($A1407, "TRUE") = 1</formula>
    </cfRule>
    <cfRule type="expression" dxfId="4" priority="7033">
      <formula>COUNTIF($A1407, "FALSE") = 1</formula>
    </cfRule>
    <cfRule type="notContainsBlanks" dxfId="1" priority="7034">
      <formula>LEN(TRIM(A1407))&gt;0</formula>
    </cfRule>
  </conditionalFormatting>
  <conditionalFormatting sqref="A1408">
    <cfRule type="notContainsBlanks" dxfId="5" priority="7040">
      <formula>LEN(TRIM(A1408))&gt;0</formula>
    </cfRule>
  </conditionalFormatting>
  <conditionalFormatting sqref="A1408:D1408">
    <cfRule type="expression" dxfId="3" priority="7037">
      <formula>COUNTIF($A1408, "TRUE") = 1</formula>
    </cfRule>
    <cfRule type="expression" dxfId="4" priority="7038">
      <formula>COUNTIF($A1408, "FALSE") = 1</formula>
    </cfRule>
    <cfRule type="notContainsBlanks" dxfId="1" priority="7039">
      <formula>LEN(TRIM(A1408))&gt;0</formula>
    </cfRule>
  </conditionalFormatting>
  <conditionalFormatting sqref="A1409">
    <cfRule type="notContainsBlanks" dxfId="5" priority="7045">
      <formula>LEN(TRIM(A1409))&gt;0</formula>
    </cfRule>
  </conditionalFormatting>
  <conditionalFormatting sqref="A1409:D1409">
    <cfRule type="expression" dxfId="3" priority="7042">
      <formula>COUNTIF($A1409, "TRUE") = 1</formula>
    </cfRule>
    <cfRule type="expression" dxfId="4" priority="7043">
      <formula>COUNTIF($A1409, "FALSE") = 1</formula>
    </cfRule>
    <cfRule type="notContainsBlanks" dxfId="1" priority="7044">
      <formula>LEN(TRIM(A1409))&gt;0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0">
    <cfRule type="notContainsBlanks" dxfId="5" priority="7050">
      <formula>LEN(TRIM(A1410))&gt;0</formula>
    </cfRule>
  </conditionalFormatting>
  <conditionalFormatting sqref="A1410:D1410">
    <cfRule type="expression" dxfId="3" priority="7047">
      <formula>COUNTIF($A1410, "TRUE") = 1</formula>
    </cfRule>
    <cfRule type="expression" dxfId="4" priority="7048">
      <formula>COUNTIF($A1410, "FALSE") = 1</formula>
    </cfRule>
    <cfRule type="notContainsBlanks" dxfId="1" priority="7049">
      <formula>LEN(TRIM(A1410))&gt;0</formula>
    </cfRule>
  </conditionalFormatting>
  <conditionalFormatting sqref="A1411">
    <cfRule type="notContainsBlanks" dxfId="5" priority="7055">
      <formula>LEN(TRIM(A1411))&gt;0</formula>
    </cfRule>
  </conditionalFormatting>
  <conditionalFormatting sqref="A1411:D1411">
    <cfRule type="expression" dxfId="3" priority="7052">
      <formula>COUNTIF($A1411, "TRUE") = 1</formula>
    </cfRule>
    <cfRule type="expression" dxfId="4" priority="7053">
      <formula>COUNTIF($A1411, "FALSE") = 1</formula>
    </cfRule>
    <cfRule type="notContainsBlanks" dxfId="1" priority="7054">
      <formula>LEN(TRIM(A1411))&gt;0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294">
    <cfRule type="notContainsBlanks" dxfId="6" priority="6471">
      <formula>LEN(TRIM(D1294))&gt;0</formula>
    </cfRule>
  </conditionalFormatting>
  <conditionalFormatting sqref="D1295">
    <cfRule type="notContainsBlanks" dxfId="6" priority="6476">
      <formula>LEN(TRIM(D1295))&gt;0</formula>
    </cfRule>
  </conditionalFormatting>
  <conditionalFormatting sqref="D1296">
    <cfRule type="notContainsBlanks" dxfId="6" priority="6481">
      <formula>LEN(TRIM(D1296))&gt;0</formula>
    </cfRule>
  </conditionalFormatting>
  <conditionalFormatting sqref="D1297">
    <cfRule type="notContainsBlanks" dxfId="6" priority="6486">
      <formula>LEN(TRIM(D1297))&gt;0</formula>
    </cfRule>
  </conditionalFormatting>
  <conditionalFormatting sqref="D1298">
    <cfRule type="notContainsBlanks" dxfId="6" priority="6491">
      <formula>LEN(TRIM(D1298))&gt;0</formula>
    </cfRule>
  </conditionalFormatting>
  <conditionalFormatting sqref="D1299">
    <cfRule type="notContainsBlanks" dxfId="6" priority="6496">
      <formula>LEN(TRIM(D1299))&gt;0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00">
    <cfRule type="notContainsBlanks" dxfId="6" priority="6501">
      <formula>LEN(TRIM(D1300))&gt;0</formula>
    </cfRule>
  </conditionalFormatting>
  <conditionalFormatting sqref="D1301">
    <cfRule type="notContainsBlanks" dxfId="6" priority="6506">
      <formula>LEN(TRIM(D1301))&gt;0</formula>
    </cfRule>
  </conditionalFormatting>
  <conditionalFormatting sqref="D1302">
    <cfRule type="notContainsBlanks" dxfId="6" priority="6511">
      <formula>LEN(TRIM(D1302))&gt;0</formula>
    </cfRule>
  </conditionalFormatting>
  <conditionalFormatting sqref="D1303">
    <cfRule type="notContainsBlanks" dxfId="6" priority="6516">
      <formula>LEN(TRIM(D1303))&gt;0</formula>
    </cfRule>
  </conditionalFormatting>
  <conditionalFormatting sqref="D1304">
    <cfRule type="notContainsBlanks" dxfId="6" priority="6521">
      <formula>LEN(TRIM(D1304))&gt;0</formula>
    </cfRule>
  </conditionalFormatting>
  <conditionalFormatting sqref="D1305">
    <cfRule type="notContainsBlanks" dxfId="6" priority="6526">
      <formula>LEN(TRIM(D1305))&gt;0</formula>
    </cfRule>
  </conditionalFormatting>
  <conditionalFormatting sqref="D1306">
    <cfRule type="notContainsBlanks" dxfId="6" priority="6531">
      <formula>LEN(TRIM(D1306))&gt;0</formula>
    </cfRule>
  </conditionalFormatting>
  <conditionalFormatting sqref="D1307">
    <cfRule type="notContainsBlanks" dxfId="6" priority="6536">
      <formula>LEN(TRIM(D1307))&gt;0</formula>
    </cfRule>
  </conditionalFormatting>
  <conditionalFormatting sqref="D1308">
    <cfRule type="notContainsBlanks" dxfId="6" priority="6541">
      <formula>LEN(TRIM(D1308))&gt;0</formula>
    </cfRule>
  </conditionalFormatting>
  <conditionalFormatting sqref="D1309">
    <cfRule type="notContainsBlanks" dxfId="6" priority="6546">
      <formula>LEN(TRIM(D1309))&gt;0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10">
    <cfRule type="notContainsBlanks" dxfId="6" priority="6551">
      <formula>LEN(TRIM(D1310))&gt;0</formula>
    </cfRule>
  </conditionalFormatting>
  <conditionalFormatting sqref="D1311">
    <cfRule type="notContainsBlanks" dxfId="6" priority="6556">
      <formula>LEN(TRIM(D1311))&gt;0</formula>
    </cfRule>
  </conditionalFormatting>
  <conditionalFormatting sqref="D1312">
    <cfRule type="notContainsBlanks" dxfId="6" priority="6561">
      <formula>LEN(TRIM(D1312))&gt;0</formula>
    </cfRule>
  </conditionalFormatting>
  <conditionalFormatting sqref="D1313">
    <cfRule type="notContainsBlanks" dxfId="6" priority="6566">
      <formula>LEN(TRIM(D1313))&gt;0</formula>
    </cfRule>
  </conditionalFormatting>
  <conditionalFormatting sqref="D1314">
    <cfRule type="notContainsBlanks" dxfId="6" priority="6571">
      <formula>LEN(TRIM(D1314))&gt;0</formula>
    </cfRule>
  </conditionalFormatting>
  <conditionalFormatting sqref="D1315">
    <cfRule type="notContainsBlanks" dxfId="6" priority="6576">
      <formula>LEN(TRIM(D1315))&gt;0</formula>
    </cfRule>
  </conditionalFormatting>
  <conditionalFormatting sqref="D1316">
    <cfRule type="notContainsBlanks" dxfId="6" priority="6581">
      <formula>LEN(TRIM(D1316))&gt;0</formula>
    </cfRule>
  </conditionalFormatting>
  <conditionalFormatting sqref="D1317">
    <cfRule type="notContainsBlanks" dxfId="6" priority="6586">
      <formula>LEN(TRIM(D1317))&gt;0</formula>
    </cfRule>
  </conditionalFormatting>
  <conditionalFormatting sqref="D1318">
    <cfRule type="notContainsBlanks" dxfId="6" priority="6591">
      <formula>LEN(TRIM(D1318))&gt;0</formula>
    </cfRule>
  </conditionalFormatting>
  <conditionalFormatting sqref="D1319">
    <cfRule type="notContainsBlanks" dxfId="6" priority="6596">
      <formula>LEN(TRIM(D1319))&gt;0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20">
    <cfRule type="notContainsBlanks" dxfId="6" priority="6601">
      <formula>LEN(TRIM(D1320))&gt;0</formula>
    </cfRule>
  </conditionalFormatting>
  <conditionalFormatting sqref="D1321">
    <cfRule type="notContainsBlanks" dxfId="6" priority="6606">
      <formula>LEN(TRIM(D1321))&gt;0</formula>
    </cfRule>
  </conditionalFormatting>
  <conditionalFormatting sqref="D1322">
    <cfRule type="notContainsBlanks" dxfId="6" priority="6611">
      <formula>LEN(TRIM(D1322))&gt;0</formula>
    </cfRule>
  </conditionalFormatting>
  <conditionalFormatting sqref="D1323">
    <cfRule type="notContainsBlanks" dxfId="6" priority="6616">
      <formula>LEN(TRIM(D1323))&gt;0</formula>
    </cfRule>
  </conditionalFormatting>
  <conditionalFormatting sqref="D1324">
    <cfRule type="notContainsBlanks" dxfId="6" priority="6621">
      <formula>LEN(TRIM(D1324))&gt;0</formula>
    </cfRule>
  </conditionalFormatting>
  <conditionalFormatting sqref="D1325">
    <cfRule type="notContainsBlanks" dxfId="6" priority="6626">
      <formula>LEN(TRIM(D1325))&gt;0</formula>
    </cfRule>
  </conditionalFormatting>
  <conditionalFormatting sqref="D1326">
    <cfRule type="notContainsBlanks" dxfId="6" priority="6631">
      <formula>LEN(TRIM(D1326))&gt;0</formula>
    </cfRule>
  </conditionalFormatting>
  <conditionalFormatting sqref="D1327">
    <cfRule type="notContainsBlanks" dxfId="6" priority="6636">
      <formula>LEN(TRIM(D1327))&gt;0</formula>
    </cfRule>
  </conditionalFormatting>
  <conditionalFormatting sqref="D1328">
    <cfRule type="notContainsBlanks" dxfId="6" priority="6641">
      <formula>LEN(TRIM(D1328))&gt;0</formula>
    </cfRule>
  </conditionalFormatting>
  <conditionalFormatting sqref="D1329">
    <cfRule type="notContainsBlanks" dxfId="6" priority="6646">
      <formula>LEN(TRIM(D1329))&gt;0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30">
    <cfRule type="notContainsBlanks" dxfId="6" priority="6651">
      <formula>LEN(TRIM(D1330))&gt;0</formula>
    </cfRule>
  </conditionalFormatting>
  <conditionalFormatting sqref="D1331">
    <cfRule type="notContainsBlanks" dxfId="6" priority="6656">
      <formula>LEN(TRIM(D1331))&gt;0</formula>
    </cfRule>
  </conditionalFormatting>
  <conditionalFormatting sqref="D1332">
    <cfRule type="notContainsBlanks" dxfId="6" priority="6661">
      <formula>LEN(TRIM(D1332))&gt;0</formula>
    </cfRule>
  </conditionalFormatting>
  <conditionalFormatting sqref="D1333">
    <cfRule type="notContainsBlanks" dxfId="6" priority="6666">
      <formula>LEN(TRIM(D1333))&gt;0</formula>
    </cfRule>
  </conditionalFormatting>
  <conditionalFormatting sqref="D1334">
    <cfRule type="notContainsBlanks" dxfId="6" priority="6671">
      <formula>LEN(TRIM(D1334))&gt;0</formula>
    </cfRule>
  </conditionalFormatting>
  <conditionalFormatting sqref="D1335">
    <cfRule type="notContainsBlanks" dxfId="6" priority="6676">
      <formula>LEN(TRIM(D1335))&gt;0</formula>
    </cfRule>
  </conditionalFormatting>
  <conditionalFormatting sqref="D1336">
    <cfRule type="notContainsBlanks" dxfId="6" priority="6681">
      <formula>LEN(TRIM(D1336))&gt;0</formula>
    </cfRule>
  </conditionalFormatting>
  <conditionalFormatting sqref="D1337">
    <cfRule type="notContainsBlanks" dxfId="6" priority="6686">
      <formula>LEN(TRIM(D1337))&gt;0</formula>
    </cfRule>
  </conditionalFormatting>
  <conditionalFormatting sqref="D1338">
    <cfRule type="notContainsBlanks" dxfId="6" priority="6691">
      <formula>LEN(TRIM(D1338))&gt;0</formula>
    </cfRule>
  </conditionalFormatting>
  <conditionalFormatting sqref="D1339">
    <cfRule type="notContainsBlanks" dxfId="6" priority="6696">
      <formula>LEN(TRIM(D1339))&gt;0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40">
    <cfRule type="notContainsBlanks" dxfId="6" priority="6701">
      <formula>LEN(TRIM(D1340))&gt;0</formula>
    </cfRule>
  </conditionalFormatting>
  <conditionalFormatting sqref="D1341">
    <cfRule type="notContainsBlanks" dxfId="6" priority="6706">
      <formula>LEN(TRIM(D1341))&gt;0</formula>
    </cfRule>
  </conditionalFormatting>
  <conditionalFormatting sqref="D1342">
    <cfRule type="notContainsBlanks" dxfId="6" priority="6711">
      <formula>LEN(TRIM(D1342))&gt;0</formula>
    </cfRule>
  </conditionalFormatting>
  <conditionalFormatting sqref="D1343">
    <cfRule type="notContainsBlanks" dxfId="6" priority="6716">
      <formula>LEN(TRIM(D1343))&gt;0</formula>
    </cfRule>
  </conditionalFormatting>
  <conditionalFormatting sqref="D1344">
    <cfRule type="notContainsBlanks" dxfId="6" priority="6721">
      <formula>LEN(TRIM(D1344))&gt;0</formula>
    </cfRule>
  </conditionalFormatting>
  <conditionalFormatting sqref="D1345">
    <cfRule type="notContainsBlanks" dxfId="6" priority="6726">
      <formula>LEN(TRIM(D1345))&gt;0</formula>
    </cfRule>
  </conditionalFormatting>
  <conditionalFormatting sqref="D1346">
    <cfRule type="notContainsBlanks" dxfId="6" priority="6731">
      <formula>LEN(TRIM(D1346))&gt;0</formula>
    </cfRule>
  </conditionalFormatting>
  <conditionalFormatting sqref="D1347">
    <cfRule type="notContainsBlanks" dxfId="6" priority="6736">
      <formula>LEN(TRIM(D1347))&gt;0</formula>
    </cfRule>
  </conditionalFormatting>
  <conditionalFormatting sqref="D1348">
    <cfRule type="notContainsBlanks" dxfId="6" priority="6741">
      <formula>LEN(TRIM(D1348))&gt;0</formula>
    </cfRule>
  </conditionalFormatting>
  <conditionalFormatting sqref="D1349">
    <cfRule type="notContainsBlanks" dxfId="6" priority="6746">
      <formula>LEN(TRIM(D1349))&gt;0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50">
    <cfRule type="notContainsBlanks" dxfId="6" priority="6751">
      <formula>LEN(TRIM(D1350))&gt;0</formula>
    </cfRule>
  </conditionalFormatting>
  <conditionalFormatting sqref="D1351">
    <cfRule type="notContainsBlanks" dxfId="6" priority="6756">
      <formula>LEN(TRIM(D1351))&gt;0</formula>
    </cfRule>
  </conditionalFormatting>
  <conditionalFormatting sqref="D1352">
    <cfRule type="notContainsBlanks" dxfId="6" priority="6761">
      <formula>LEN(TRIM(D1352))&gt;0</formula>
    </cfRule>
  </conditionalFormatting>
  <conditionalFormatting sqref="D1353">
    <cfRule type="notContainsBlanks" dxfId="6" priority="6766">
      <formula>LEN(TRIM(D1353))&gt;0</formula>
    </cfRule>
  </conditionalFormatting>
  <conditionalFormatting sqref="D1354">
    <cfRule type="notContainsBlanks" dxfId="6" priority="6771">
      <formula>LEN(TRIM(D1354))&gt;0</formula>
    </cfRule>
  </conditionalFormatting>
  <conditionalFormatting sqref="D1355">
    <cfRule type="notContainsBlanks" dxfId="6" priority="6776">
      <formula>LEN(TRIM(D1355))&gt;0</formula>
    </cfRule>
  </conditionalFormatting>
  <conditionalFormatting sqref="D1356">
    <cfRule type="notContainsBlanks" dxfId="6" priority="6781">
      <formula>LEN(TRIM(D1356))&gt;0</formula>
    </cfRule>
  </conditionalFormatting>
  <conditionalFormatting sqref="D1357">
    <cfRule type="notContainsBlanks" dxfId="6" priority="6786">
      <formula>LEN(TRIM(D1357))&gt;0</formula>
    </cfRule>
  </conditionalFormatting>
  <conditionalFormatting sqref="D1358">
    <cfRule type="notContainsBlanks" dxfId="6" priority="6791">
      <formula>LEN(TRIM(D1358))&gt;0</formula>
    </cfRule>
  </conditionalFormatting>
  <conditionalFormatting sqref="D1359">
    <cfRule type="notContainsBlanks" dxfId="6" priority="6796">
      <formula>LEN(TRIM(D1359))&gt;0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60">
    <cfRule type="notContainsBlanks" dxfId="6" priority="6801">
      <formula>LEN(TRIM(D1360))&gt;0</formula>
    </cfRule>
  </conditionalFormatting>
  <conditionalFormatting sqref="D1361">
    <cfRule type="notContainsBlanks" dxfId="6" priority="6806">
      <formula>LEN(TRIM(D1361))&gt;0</formula>
    </cfRule>
  </conditionalFormatting>
  <conditionalFormatting sqref="D1362">
    <cfRule type="notContainsBlanks" dxfId="6" priority="6811">
      <formula>LEN(TRIM(D1362))&gt;0</formula>
    </cfRule>
  </conditionalFormatting>
  <conditionalFormatting sqref="D1363">
    <cfRule type="notContainsBlanks" dxfId="6" priority="6816">
      <formula>LEN(TRIM(D1363))&gt;0</formula>
    </cfRule>
  </conditionalFormatting>
  <conditionalFormatting sqref="D1364">
    <cfRule type="notContainsBlanks" dxfId="6" priority="6821">
      <formula>LEN(TRIM(D1364))&gt;0</formula>
    </cfRule>
  </conditionalFormatting>
  <conditionalFormatting sqref="D1365">
    <cfRule type="notContainsBlanks" dxfId="6" priority="6826">
      <formula>LEN(TRIM(D1365))&gt;0</formula>
    </cfRule>
  </conditionalFormatting>
  <conditionalFormatting sqref="D1366">
    <cfRule type="notContainsBlanks" dxfId="6" priority="6831">
      <formula>LEN(TRIM(D1366))&gt;0</formula>
    </cfRule>
  </conditionalFormatting>
  <conditionalFormatting sqref="D1367">
    <cfRule type="notContainsBlanks" dxfId="6" priority="6836">
      <formula>LEN(TRIM(D1367))&gt;0</formula>
    </cfRule>
  </conditionalFormatting>
  <conditionalFormatting sqref="D1368">
    <cfRule type="notContainsBlanks" dxfId="6" priority="6841">
      <formula>LEN(TRIM(D1368))&gt;0</formula>
    </cfRule>
  </conditionalFormatting>
  <conditionalFormatting sqref="D1369">
    <cfRule type="notContainsBlanks" dxfId="6" priority="6846">
      <formula>LEN(TRIM(D1369))&gt;0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70">
    <cfRule type="notContainsBlanks" dxfId="6" priority="6851">
      <formula>LEN(TRIM(D1370))&gt;0</formula>
    </cfRule>
  </conditionalFormatting>
  <conditionalFormatting sqref="D1371">
    <cfRule type="notContainsBlanks" dxfId="6" priority="6856">
      <formula>LEN(TRIM(D1371))&gt;0</formula>
    </cfRule>
  </conditionalFormatting>
  <conditionalFormatting sqref="D1372">
    <cfRule type="notContainsBlanks" dxfId="6" priority="6861">
      <formula>LEN(TRIM(D1372))&gt;0</formula>
    </cfRule>
  </conditionalFormatting>
  <conditionalFormatting sqref="D1373">
    <cfRule type="notContainsBlanks" dxfId="6" priority="6866">
      <formula>LEN(TRIM(D1373))&gt;0</formula>
    </cfRule>
  </conditionalFormatting>
  <conditionalFormatting sqref="D1374">
    <cfRule type="notContainsBlanks" dxfId="6" priority="6871">
      <formula>LEN(TRIM(D1374))&gt;0</formula>
    </cfRule>
  </conditionalFormatting>
  <conditionalFormatting sqref="D1375">
    <cfRule type="notContainsBlanks" dxfId="6" priority="6876">
      <formula>LEN(TRIM(D1375))&gt;0</formula>
    </cfRule>
  </conditionalFormatting>
  <conditionalFormatting sqref="D1376">
    <cfRule type="notContainsBlanks" dxfId="6" priority="6881">
      <formula>LEN(TRIM(D1376))&gt;0</formula>
    </cfRule>
  </conditionalFormatting>
  <conditionalFormatting sqref="D1377">
    <cfRule type="notContainsBlanks" dxfId="6" priority="6886">
      <formula>LEN(TRIM(D1377))&gt;0</formula>
    </cfRule>
  </conditionalFormatting>
  <conditionalFormatting sqref="D1378">
    <cfRule type="notContainsBlanks" dxfId="6" priority="6891">
      <formula>LEN(TRIM(D1378))&gt;0</formula>
    </cfRule>
  </conditionalFormatting>
  <conditionalFormatting sqref="D1379">
    <cfRule type="notContainsBlanks" dxfId="6" priority="6896">
      <formula>LEN(TRIM(D1379))&gt;0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80">
    <cfRule type="notContainsBlanks" dxfId="6" priority="6901">
      <formula>LEN(TRIM(D1380))&gt;0</formula>
    </cfRule>
  </conditionalFormatting>
  <conditionalFormatting sqref="D1381">
    <cfRule type="notContainsBlanks" dxfId="6" priority="6906">
      <formula>LEN(TRIM(D1381))&gt;0</formula>
    </cfRule>
  </conditionalFormatting>
  <conditionalFormatting sqref="D1382">
    <cfRule type="notContainsBlanks" dxfId="6" priority="6911">
      <formula>LEN(TRIM(D1382))&gt;0</formula>
    </cfRule>
  </conditionalFormatting>
  <conditionalFormatting sqref="D1383">
    <cfRule type="notContainsBlanks" dxfId="6" priority="6916">
      <formula>LEN(TRIM(D1383))&gt;0</formula>
    </cfRule>
  </conditionalFormatting>
  <conditionalFormatting sqref="D1384">
    <cfRule type="notContainsBlanks" dxfId="6" priority="6921">
      <formula>LEN(TRIM(D1384))&gt;0</formula>
    </cfRule>
  </conditionalFormatting>
  <conditionalFormatting sqref="D1385">
    <cfRule type="notContainsBlanks" dxfId="6" priority="6926">
      <formula>LEN(TRIM(D1385))&gt;0</formula>
    </cfRule>
  </conditionalFormatting>
  <conditionalFormatting sqref="D1386">
    <cfRule type="notContainsBlanks" dxfId="6" priority="6931">
      <formula>LEN(TRIM(D1386))&gt;0</formula>
    </cfRule>
  </conditionalFormatting>
  <conditionalFormatting sqref="D1387">
    <cfRule type="notContainsBlanks" dxfId="6" priority="6936">
      <formula>LEN(TRIM(D1387))&gt;0</formula>
    </cfRule>
  </conditionalFormatting>
  <conditionalFormatting sqref="D1388">
    <cfRule type="notContainsBlanks" dxfId="6" priority="6941">
      <formula>LEN(TRIM(D1388))&gt;0</formula>
    </cfRule>
  </conditionalFormatting>
  <conditionalFormatting sqref="D1389">
    <cfRule type="notContainsBlanks" dxfId="6" priority="6946">
      <formula>LEN(TRIM(D1389))&gt;0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390">
    <cfRule type="notContainsBlanks" dxfId="6" priority="6951">
      <formula>LEN(TRIM(D1390))&gt;0</formula>
    </cfRule>
  </conditionalFormatting>
  <conditionalFormatting sqref="D1391">
    <cfRule type="notContainsBlanks" dxfId="6" priority="6956">
      <formula>LEN(TRIM(D1391))&gt;0</formula>
    </cfRule>
  </conditionalFormatting>
  <conditionalFormatting sqref="D1392">
    <cfRule type="notContainsBlanks" dxfId="6" priority="6961">
      <formula>LEN(TRIM(D1392))&gt;0</formula>
    </cfRule>
  </conditionalFormatting>
  <conditionalFormatting sqref="D1393">
    <cfRule type="notContainsBlanks" dxfId="6" priority="6966">
      <formula>LEN(TRIM(D1393))&gt;0</formula>
    </cfRule>
  </conditionalFormatting>
  <conditionalFormatting sqref="D1394">
    <cfRule type="notContainsBlanks" dxfId="6" priority="6971">
      <formula>LEN(TRIM(D1394))&gt;0</formula>
    </cfRule>
  </conditionalFormatting>
  <conditionalFormatting sqref="D1395">
    <cfRule type="notContainsBlanks" dxfId="6" priority="6976">
      <formula>LEN(TRIM(D1395))&gt;0</formula>
    </cfRule>
  </conditionalFormatting>
  <conditionalFormatting sqref="D1396">
    <cfRule type="notContainsBlanks" dxfId="6" priority="6981">
      <formula>LEN(TRIM(D1396))&gt;0</formula>
    </cfRule>
  </conditionalFormatting>
  <conditionalFormatting sqref="D1397">
    <cfRule type="notContainsBlanks" dxfId="6" priority="6986">
      <formula>LEN(TRIM(D1397))&gt;0</formula>
    </cfRule>
  </conditionalFormatting>
  <conditionalFormatting sqref="D1398">
    <cfRule type="notContainsBlanks" dxfId="6" priority="6991">
      <formula>LEN(TRIM(D1398))&gt;0</formula>
    </cfRule>
  </conditionalFormatting>
  <conditionalFormatting sqref="D1399">
    <cfRule type="notContainsBlanks" dxfId="6" priority="6996">
      <formula>LEN(TRIM(D1399))&gt;0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00">
    <cfRule type="notContainsBlanks" dxfId="6" priority="7001">
      <formula>LEN(TRIM(D1400))&gt;0</formula>
    </cfRule>
  </conditionalFormatting>
  <conditionalFormatting sqref="D1401">
    <cfRule type="notContainsBlanks" dxfId="6" priority="7006">
      <formula>LEN(TRIM(D1401))&gt;0</formula>
    </cfRule>
  </conditionalFormatting>
  <conditionalFormatting sqref="D1402">
    <cfRule type="notContainsBlanks" dxfId="6" priority="7011">
      <formula>LEN(TRIM(D1402))&gt;0</formula>
    </cfRule>
  </conditionalFormatting>
  <conditionalFormatting sqref="D1403">
    <cfRule type="notContainsBlanks" dxfId="6" priority="7016">
      <formula>LEN(TRIM(D1403))&gt;0</formula>
    </cfRule>
  </conditionalFormatting>
  <conditionalFormatting sqref="D1404">
    <cfRule type="notContainsBlanks" dxfId="6" priority="7021">
      <formula>LEN(TRIM(D1404))&gt;0</formula>
    </cfRule>
  </conditionalFormatting>
  <conditionalFormatting sqref="D1405">
    <cfRule type="notContainsBlanks" dxfId="6" priority="7026">
      <formula>LEN(TRIM(D1405))&gt;0</formula>
    </cfRule>
  </conditionalFormatting>
  <conditionalFormatting sqref="D1406">
    <cfRule type="notContainsBlanks" dxfId="6" priority="7031">
      <formula>LEN(TRIM(D1406))&gt;0</formula>
    </cfRule>
  </conditionalFormatting>
  <conditionalFormatting sqref="D1407">
    <cfRule type="notContainsBlanks" dxfId="6" priority="7036">
      <formula>LEN(TRIM(D1407))&gt;0</formula>
    </cfRule>
  </conditionalFormatting>
  <conditionalFormatting sqref="D1408">
    <cfRule type="notContainsBlanks" dxfId="6" priority="7041">
      <formula>LEN(TRIM(D1408))&gt;0</formula>
    </cfRule>
  </conditionalFormatting>
  <conditionalFormatting sqref="D1409">
    <cfRule type="notContainsBlanks" dxfId="6" priority="7046">
      <formula>LEN(TRIM(D1409))&gt;0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10">
    <cfRule type="notContainsBlanks" dxfId="6" priority="7051">
      <formula>LEN(TRIM(D1410))&gt;0</formula>
    </cfRule>
  </conditionalFormatting>
  <conditionalFormatting sqref="D1411">
    <cfRule type="notContainsBlanks" dxfId="6" priority="7056">
      <formula>LEN(TRIM(D1411))&gt;0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47" t="s">
        <v>1439</v>
      </c>
      <c r="I2" s="47" t="s">
        <v>1440</v>
      </c>
    </row>
    <row r="3" spans="2:14" ht="72" customHeight="1">
      <c r="B3" s="48">
        <f>IMAGE("https://raw.githubusercontent.com/stautonico/pokemon-home-pokedex/main/sprites/bulbasaur.png", 2)</f>
        <v>0</v>
      </c>
      <c r="C3" s="48">
        <f>IMAGE("https://raw.githubusercontent.com/stautonico/pokemon-home-pokedex/main/sprites/ivysaur.png", 2)</f>
        <v>0</v>
      </c>
      <c r="D3" s="48">
        <f>IMAGE("https://raw.githubusercontent.com/stautonico/pokemon-home-pokedex/main/sprites/venusaur.png", 2)</f>
        <v>0</v>
      </c>
      <c r="E3" s="48">
        <f>IMAGE("https://raw.githubusercontent.com/stautonico/pokemon-home-pokedex/main/sprites/charmander.png", 2)</f>
        <v>0</v>
      </c>
      <c r="F3" s="48">
        <f>IMAGE("https://raw.githubusercontent.com/stautonico/pokemon-home-pokedex/main/sprites/charmeleon.png", 2)</f>
        <v>0</v>
      </c>
      <c r="G3" s="48">
        <f>IMAGE("https://raw.githubusercontent.com/stautonico/pokemon-home-pokedex/main/sprites/charizard.png", 2)</f>
        <v>0</v>
      </c>
      <c r="I3" s="48">
        <f>IMAGE("https://raw.githubusercontent.com/stautonico/pokemon-home-pokedex/main/sprites/nidoqueen.png", 2)</f>
        <v>0</v>
      </c>
      <c r="J3" s="48">
        <f>IMAGE("https://raw.githubusercontent.com/stautonico/pokemon-home-pokedex/main/sprites/nidoran-f.png", 2)</f>
        <v>0</v>
      </c>
      <c r="K3" s="48">
        <f>IMAGE("https://raw.githubusercontent.com/stautonico/pokemon-home-pokedex/main/sprites/nidorino.png", 2)</f>
        <v>0</v>
      </c>
      <c r="L3" s="48">
        <f>IMAGE("https://raw.githubusercontent.com/stautonico/pokemon-home-pokedex/main/sprites/nidoking.png", 2)</f>
        <v>0</v>
      </c>
      <c r="M3" s="48">
        <f>IMAGE("https://raw.githubusercontent.com/stautonico/pokemon-home-pokedex/main/sprites/clefairy.png", 2)</f>
        <v>0</v>
      </c>
      <c r="N3" s="48">
        <f>IMAGE("https://raw.githubusercontent.com/stautonico/pokemon-home-pokedex/main/sprites/clefable.png", 2)</f>
        <v>0</v>
      </c>
    </row>
    <row r="4" spans="2:14" ht="72" customHeight="1">
      <c r="B4" s="48">
        <f>IMAGE("https://raw.githubusercontent.com/stautonico/pokemon-home-pokedex/main/sprites/squirtle.png", 2)</f>
        <v>0</v>
      </c>
      <c r="C4" s="48">
        <f>IMAGE("https://raw.githubusercontent.com/stautonico/pokemon-home-pokedex/main/sprites/wartortle.png", 2)</f>
        <v>0</v>
      </c>
      <c r="D4" s="48">
        <f>IMAGE("https://raw.githubusercontent.com/stautonico/pokemon-home-pokedex/main/sprites/blastoise.png", 2)</f>
        <v>0</v>
      </c>
      <c r="E4" s="48">
        <f>IMAGE("https://raw.githubusercontent.com/stautonico/pokemon-home-pokedex/main/sprites/caterpie.png", 2)</f>
        <v>0</v>
      </c>
      <c r="F4" s="48">
        <f>IMAGE("https://raw.githubusercontent.com/stautonico/pokemon-home-pokedex/main/sprites/metapod.png", 2)</f>
        <v>0</v>
      </c>
      <c r="G4" s="48">
        <f>IMAGE("https://raw.githubusercontent.com/stautonico/pokemon-home-pokedex/main/sprites/butterfree.png", 2)</f>
        <v>0</v>
      </c>
      <c r="I4" s="48">
        <f>IMAGE("https://raw.githubusercontent.com/stautonico/pokemon-home-pokedex/main/sprites/vulpix.png", 2)</f>
        <v>0</v>
      </c>
      <c r="J4" s="48">
        <f>IMAGE("https://raw.githubusercontent.com/stautonico/pokemon-home-pokedex/main/sprites/ninetales.png", 2)</f>
        <v>0</v>
      </c>
      <c r="K4" s="48">
        <f>IMAGE("https://raw.githubusercontent.com/stautonico/pokemon-home-pokedex/main/sprites/jigglypuff.png", 2)</f>
        <v>0</v>
      </c>
      <c r="L4" s="48">
        <f>IMAGE("https://raw.githubusercontent.com/stautonico/pokemon-home-pokedex/main/sprites/wigglytuff.png", 2)</f>
        <v>0</v>
      </c>
      <c r="M4" s="48">
        <f>IMAGE("https://raw.githubusercontent.com/stautonico/pokemon-home-pokedex/main/sprites/zubat.png", 2)</f>
        <v>0</v>
      </c>
      <c r="N4" s="48">
        <f>IMAGE("https://raw.githubusercontent.com/stautonico/pokemon-home-pokedex/main/sprites/golbat.png", 2)</f>
        <v>0</v>
      </c>
    </row>
    <row r="5" spans="2:14" ht="72" customHeight="1">
      <c r="B5" s="48">
        <f>IMAGE("https://raw.githubusercontent.com/stautonico/pokemon-home-pokedex/main/sprites/weedle.png", 2)</f>
        <v>0</v>
      </c>
      <c r="C5" s="48">
        <f>IMAGE("https://raw.githubusercontent.com/stautonico/pokemon-home-pokedex/main/sprites/kakuna.png", 2)</f>
        <v>0</v>
      </c>
      <c r="D5" s="48">
        <f>IMAGE("https://raw.githubusercontent.com/stautonico/pokemon-home-pokedex/main/sprites/beedrill.png", 2)</f>
        <v>0</v>
      </c>
      <c r="E5" s="48">
        <f>IMAGE("https://raw.githubusercontent.com/stautonico/pokemon-home-pokedex/main/sprites/pidgey.png", 2)</f>
        <v>0</v>
      </c>
      <c r="F5" s="48">
        <f>IMAGE("https://raw.githubusercontent.com/stautonico/pokemon-home-pokedex/main/sprites/pidgeotto.png", 2)</f>
        <v>0</v>
      </c>
      <c r="G5" s="48">
        <f>IMAGE("https://raw.githubusercontent.com/stautonico/pokemon-home-pokedex/main/sprites/pidgeot.png", 2)</f>
        <v>0</v>
      </c>
      <c r="I5" s="48">
        <f>IMAGE("https://raw.githubusercontent.com/stautonico/pokemon-home-pokedex/main/sprites/oddish.png", 2)</f>
        <v>0</v>
      </c>
      <c r="J5" s="48">
        <f>IMAGE("https://raw.githubusercontent.com/stautonico/pokemon-home-pokedex/main/sprites/gloom.png", 2)</f>
        <v>0</v>
      </c>
      <c r="K5" s="48">
        <f>IMAGE("https://raw.githubusercontent.com/stautonico/pokemon-home-pokedex/main/sprites/vileplume.png", 2)</f>
        <v>0</v>
      </c>
      <c r="L5" s="48">
        <f>IMAGE("https://raw.githubusercontent.com/stautonico/pokemon-home-pokedex/main/sprites/paras.png", 2)</f>
        <v>0</v>
      </c>
      <c r="M5" s="48">
        <f>IMAGE("https://raw.githubusercontent.com/stautonico/pokemon-home-pokedex/main/sprites/parasect.png", 2)</f>
        <v>0</v>
      </c>
      <c r="N5" s="48">
        <f>IMAGE("https://raw.githubusercontent.com/stautonico/pokemon-home-pokedex/main/sprites/venonat.png", 2)</f>
        <v>0</v>
      </c>
    </row>
    <row r="6" spans="2:14" ht="72" customHeight="1">
      <c r="B6" s="48">
        <f>IMAGE("https://raw.githubusercontent.com/stautonico/pokemon-home-pokedex/main/sprites/rattata.png", 2)</f>
        <v>0</v>
      </c>
      <c r="C6" s="48">
        <f>IMAGE("https://raw.githubusercontent.com/stautonico/pokemon-home-pokedex/main/sprites/raticate.png", 2)</f>
        <v>0</v>
      </c>
      <c r="D6" s="48">
        <f>IMAGE("https://raw.githubusercontent.com/stautonico/pokemon-home-pokedex/main/sprites/spearow.png", 2)</f>
        <v>0</v>
      </c>
      <c r="E6" s="48">
        <f>IMAGE("https://raw.githubusercontent.com/stautonico/pokemon-home-pokedex/main/sprites/fearow.png", 2)</f>
        <v>0</v>
      </c>
      <c r="F6" s="48">
        <f>IMAGE("https://raw.githubusercontent.com/stautonico/pokemon-home-pokedex/main/sprites/ekans.png", 2)</f>
        <v>0</v>
      </c>
      <c r="G6" s="48">
        <f>IMAGE("https://raw.githubusercontent.com/stautonico/pokemon-home-pokedex/main/sprites/arbok.png", 2)</f>
        <v>0</v>
      </c>
      <c r="I6" s="48">
        <f>IMAGE("https://raw.githubusercontent.com/stautonico/pokemon-home-pokedex/main/sprites/venomoth.png", 2)</f>
        <v>0</v>
      </c>
      <c r="J6" s="48">
        <f>IMAGE("https://raw.githubusercontent.com/stautonico/pokemon-home-pokedex/main/sprites/diglett.png", 2)</f>
        <v>0</v>
      </c>
      <c r="K6" s="48">
        <f>IMAGE("https://raw.githubusercontent.com/stautonico/pokemon-home-pokedex/main/sprites/dugtrio.png", 2)</f>
        <v>0</v>
      </c>
      <c r="L6" s="48">
        <f>IMAGE("https://raw.githubusercontent.com/stautonico/pokemon-home-pokedex/main/sprites/meowth.png", 2)</f>
        <v>0</v>
      </c>
      <c r="M6" s="48">
        <f>IMAGE("https://raw.githubusercontent.com/stautonico/pokemon-home-pokedex/main/sprites/persian.png", 2)</f>
        <v>0</v>
      </c>
      <c r="N6" s="48">
        <f>IMAGE("https://raw.githubusercontent.com/stautonico/pokemon-home-pokedex/main/sprites/psyduck.png", 2)</f>
        <v>0</v>
      </c>
    </row>
    <row r="7" spans="2:14" ht="72" customHeight="1">
      <c r="B7" s="48">
        <f>IMAGE("https://raw.githubusercontent.com/stautonico/pokemon-home-pokedex/main/sprites/pikachu.png", 2)</f>
        <v>0</v>
      </c>
      <c r="C7" s="48">
        <f>IMAGE("https://raw.githubusercontent.com/stautonico/pokemon-home-pokedex/main/sprites/raichu.png", 2)</f>
        <v>0</v>
      </c>
      <c r="D7" s="48">
        <f>IMAGE("https://raw.githubusercontent.com/stautonico/pokemon-home-pokedex/main/sprites/sandshrew.png", 2)</f>
        <v>0</v>
      </c>
      <c r="E7" s="48">
        <f>IMAGE("https://raw.githubusercontent.com/stautonico/pokemon-home-pokedex/main/sprites/sandslash.png", 2)</f>
        <v>0</v>
      </c>
      <c r="F7" s="48">
        <f>IMAGE("https://raw.githubusercontent.com/stautonico/pokemon-home-pokedex/main/sprites/nidoran-f.png", 2)</f>
        <v>0</v>
      </c>
      <c r="G7" s="48">
        <f>IMAGE("https://raw.githubusercontent.com/stautonico/pokemon-home-pokedex/main/sprites/nidorina.png", 2)</f>
        <v>0</v>
      </c>
      <c r="I7" s="48">
        <f>IMAGE("https://raw.githubusercontent.com/stautonico/pokemon-home-pokedex/main/sprites/golduck.png", 2)</f>
        <v>0</v>
      </c>
      <c r="J7" s="48">
        <f>IMAGE("https://raw.githubusercontent.com/stautonico/pokemon-home-pokedex/main/sprites/mankey.png", 2)</f>
        <v>0</v>
      </c>
      <c r="K7" s="48">
        <f>IMAGE("https://raw.githubusercontent.com/stautonico/pokemon-home-pokedex/main/sprites/primeape.png", 2)</f>
        <v>0</v>
      </c>
      <c r="L7" s="48">
        <f>IMAGE("https://raw.githubusercontent.com/stautonico/pokemon-home-pokedex/main/sprites/growlithe.png", 2)</f>
        <v>0</v>
      </c>
      <c r="M7" s="48">
        <f>IMAGE("https://raw.githubusercontent.com/stautonico/pokemon-home-pokedex/main/sprites/arcanine.png", 2)</f>
        <v>0</v>
      </c>
      <c r="N7" s="48">
        <f>IMAGE("https://raw.githubusercontent.com/stautonico/pokemon-home-pokedex/main/sprites/poliwag.png", 2)</f>
        <v>0</v>
      </c>
    </row>
    <row r="10" spans="2:14">
      <c r="B10" s="47" t="s">
        <v>1441</v>
      </c>
      <c r="I10" s="47" t="s">
        <v>1442</v>
      </c>
    </row>
    <row r="11" spans="2:14" ht="72" customHeight="1">
      <c r="B11" s="48">
        <f>IMAGE("https://raw.githubusercontent.com/stautonico/pokemon-home-pokedex/main/sprites/poliwhirl.png", 2)</f>
        <v>0</v>
      </c>
      <c r="C11" s="48">
        <f>IMAGE("https://raw.githubusercontent.com/stautonico/pokemon-home-pokedex/main/sprites/poliwrath.png", 2)</f>
        <v>0</v>
      </c>
      <c r="D11" s="48">
        <f>IMAGE("https://raw.githubusercontent.com/stautonico/pokemon-home-pokedex/main/sprites/abra.png", 2)</f>
        <v>0</v>
      </c>
      <c r="E11" s="48">
        <f>IMAGE("https://raw.githubusercontent.com/stautonico/pokemon-home-pokedex/main/sprites/kadabra.png", 2)</f>
        <v>0</v>
      </c>
      <c r="F11" s="48">
        <f>IMAGE("https://raw.githubusercontent.com/stautonico/pokemon-home-pokedex/main/sprites/alakazam.png", 2)</f>
        <v>0</v>
      </c>
      <c r="G11" s="48">
        <f>IMAGE("https://raw.githubusercontent.com/stautonico/pokemon-home-pokedex/main/sprites/machop.png", 2)</f>
        <v>0</v>
      </c>
      <c r="I11" s="48">
        <f>IMAGE("https://raw.githubusercontent.com/stautonico/pokemon-home-pokedex/main/sprites/cloyster.png", 2)</f>
        <v>0</v>
      </c>
      <c r="J11" s="48">
        <f>IMAGE("https://raw.githubusercontent.com/stautonico/pokemon-home-pokedex/main/sprites/gastly.png", 2)</f>
        <v>0</v>
      </c>
      <c r="K11" s="48">
        <f>IMAGE("https://raw.githubusercontent.com/stautonico/pokemon-home-pokedex/main/sprites/haunter.png", 2)</f>
        <v>0</v>
      </c>
      <c r="L11" s="48">
        <f>IMAGE("https://raw.githubusercontent.com/stautonico/pokemon-home-pokedex/main/sprites/gengar.png", 2)</f>
        <v>0</v>
      </c>
      <c r="M11" s="48">
        <f>IMAGE("https://raw.githubusercontent.com/stautonico/pokemon-home-pokedex/main/sprites/onix.png", 2)</f>
        <v>0</v>
      </c>
      <c r="N11" s="48">
        <f>IMAGE("https://raw.githubusercontent.com/stautonico/pokemon-home-pokedex/main/sprites/drowzee.png", 2)</f>
        <v>0</v>
      </c>
    </row>
    <row r="12" spans="2:14" ht="72" customHeight="1">
      <c r="B12" s="48">
        <f>IMAGE("https://raw.githubusercontent.com/stautonico/pokemon-home-pokedex/main/sprites/machoke.png", 2)</f>
        <v>0</v>
      </c>
      <c r="C12" s="48">
        <f>IMAGE("https://raw.githubusercontent.com/stautonico/pokemon-home-pokedex/main/sprites/machamp.png", 2)</f>
        <v>0</v>
      </c>
      <c r="D12" s="48">
        <f>IMAGE("https://raw.githubusercontent.com/stautonico/pokemon-home-pokedex/main/sprites/bellsprout.png", 2)</f>
        <v>0</v>
      </c>
      <c r="E12" s="48">
        <f>IMAGE("https://raw.githubusercontent.com/stautonico/pokemon-home-pokedex/main/sprites/weepinbell.png", 2)</f>
        <v>0</v>
      </c>
      <c r="F12" s="48">
        <f>IMAGE("https://raw.githubusercontent.com/stautonico/pokemon-home-pokedex/main/sprites/victreebel.png", 2)</f>
        <v>0</v>
      </c>
      <c r="G12" s="48">
        <f>IMAGE("https://raw.githubusercontent.com/stautonico/pokemon-home-pokedex/main/sprites/tentacool.png", 2)</f>
        <v>0</v>
      </c>
      <c r="I12" s="48">
        <f>IMAGE("https://raw.githubusercontent.com/stautonico/pokemon-home-pokedex/main/sprites/hypno.png", 2)</f>
        <v>0</v>
      </c>
      <c r="J12" s="48">
        <f>IMAGE("https://raw.githubusercontent.com/stautonico/pokemon-home-pokedex/main/sprites/krabby.png", 2)</f>
        <v>0</v>
      </c>
      <c r="K12" s="48">
        <f>IMAGE("https://raw.githubusercontent.com/stautonico/pokemon-home-pokedex/main/sprites/kingler.png", 2)</f>
        <v>0</v>
      </c>
      <c r="L12" s="48">
        <f>IMAGE("https://raw.githubusercontent.com/stautonico/pokemon-home-pokedex/main/sprites/voltorb.png", 2)</f>
        <v>0</v>
      </c>
      <c r="M12" s="48">
        <f>IMAGE("https://raw.githubusercontent.com/stautonico/pokemon-home-pokedex/main/sprites/electrode.png", 2)</f>
        <v>0</v>
      </c>
      <c r="N12" s="48">
        <f>IMAGE("https://raw.githubusercontent.com/stautonico/pokemon-home-pokedex/main/sprites/exeggcute.png", 2)</f>
        <v>0</v>
      </c>
    </row>
    <row r="13" spans="2:14" ht="72" customHeight="1">
      <c r="B13" s="48">
        <f>IMAGE("https://raw.githubusercontent.com/stautonico/pokemon-home-pokedex/main/sprites/tentacruel.png", 2)</f>
        <v>0</v>
      </c>
      <c r="C13" s="48">
        <f>IMAGE("https://raw.githubusercontent.com/stautonico/pokemon-home-pokedex/main/sprites/geodude.png", 2)</f>
        <v>0</v>
      </c>
      <c r="D13" s="48">
        <f>IMAGE("https://raw.githubusercontent.com/stautonico/pokemon-home-pokedex/main/sprites/graveler.png", 2)</f>
        <v>0</v>
      </c>
      <c r="E13" s="48">
        <f>IMAGE("https://raw.githubusercontent.com/stautonico/pokemon-home-pokedex/main/sprites/golem.png", 2)</f>
        <v>0</v>
      </c>
      <c r="F13" s="48">
        <f>IMAGE("https://raw.githubusercontent.com/stautonico/pokemon-home-pokedex/main/sprites/ponyta.png", 2)</f>
        <v>0</v>
      </c>
      <c r="G13" s="48">
        <f>IMAGE("https://raw.githubusercontent.com/stautonico/pokemon-home-pokedex/main/sprites/rapidash.png", 2)</f>
        <v>0</v>
      </c>
      <c r="I13" s="48">
        <f>IMAGE("https://raw.githubusercontent.com/stautonico/pokemon-home-pokedex/main/sprites/exeggutor.png", 2)</f>
        <v>0</v>
      </c>
      <c r="J13" s="48">
        <f>IMAGE("https://raw.githubusercontent.com/stautonico/pokemon-home-pokedex/main/sprites/cubone.png", 2)</f>
        <v>0</v>
      </c>
      <c r="K13" s="48">
        <f>IMAGE("https://raw.githubusercontent.com/stautonico/pokemon-home-pokedex/main/sprites/marowak.png", 2)</f>
        <v>0</v>
      </c>
      <c r="L13" s="48">
        <f>IMAGE("https://raw.githubusercontent.com/stautonico/pokemon-home-pokedex/main/sprites/hitmonlee.png", 2)</f>
        <v>0</v>
      </c>
      <c r="M13" s="48">
        <f>IMAGE("https://raw.githubusercontent.com/stautonico/pokemon-home-pokedex/main/sprites/hitmonchan.png", 2)</f>
        <v>0</v>
      </c>
      <c r="N13" s="48">
        <f>IMAGE("https://raw.githubusercontent.com/stautonico/pokemon-home-pokedex/main/sprites/lickitung.png", 2)</f>
        <v>0</v>
      </c>
    </row>
    <row r="14" spans="2:14" ht="72" customHeight="1">
      <c r="B14" s="48">
        <f>IMAGE("https://raw.githubusercontent.com/stautonico/pokemon-home-pokedex/main/sprites/slowpoke.png", 2)</f>
        <v>0</v>
      </c>
      <c r="C14" s="48">
        <f>IMAGE("https://raw.githubusercontent.com/stautonico/pokemon-home-pokedex/main/sprites/slowbro.png", 2)</f>
        <v>0</v>
      </c>
      <c r="D14" s="48">
        <f>IMAGE("https://raw.githubusercontent.com/stautonico/pokemon-home-pokedex/main/sprites/magnemite.png", 2)</f>
        <v>0</v>
      </c>
      <c r="E14" s="48">
        <f>IMAGE("https://raw.githubusercontent.com/stautonico/pokemon-home-pokedex/main/sprites/magneton.png", 2)</f>
        <v>0</v>
      </c>
      <c r="F14" s="48">
        <f>IMAGE("https://raw.githubusercontent.com/stautonico/pokemon-home-pokedex/main/sprites/farfetchd.png", 2)</f>
        <v>0</v>
      </c>
      <c r="G14" s="48">
        <f>IMAGE("https://raw.githubusercontent.com/stautonico/pokemon-home-pokedex/main/sprites/doduo.png", 2)</f>
        <v>0</v>
      </c>
      <c r="I14" s="48">
        <f>IMAGE("https://raw.githubusercontent.com/stautonico/pokemon-home-pokedex/main/sprites/koffing.png", 2)</f>
        <v>0</v>
      </c>
      <c r="J14" s="48">
        <f>IMAGE("https://raw.githubusercontent.com/stautonico/pokemon-home-pokedex/main/sprites/weezing.png", 2)</f>
        <v>0</v>
      </c>
      <c r="K14" s="48">
        <f>IMAGE("https://raw.githubusercontent.com/stautonico/pokemon-home-pokedex/main/sprites/rhyhorn.png", 2)</f>
        <v>0</v>
      </c>
      <c r="L14" s="48">
        <f>IMAGE("https://raw.githubusercontent.com/stautonico/pokemon-home-pokedex/main/sprites/rhydon.png", 2)</f>
        <v>0</v>
      </c>
      <c r="M14" s="48">
        <f>IMAGE("https://raw.githubusercontent.com/stautonico/pokemon-home-pokedex/main/sprites/chansey.png", 2)</f>
        <v>0</v>
      </c>
      <c r="N14" s="48">
        <f>IMAGE("https://raw.githubusercontent.com/stautonico/pokemon-home-pokedex/main/sprites/tangela.png", 2)</f>
        <v>0</v>
      </c>
    </row>
    <row r="15" spans="2:14" ht="72" customHeight="1">
      <c r="B15" s="48">
        <f>IMAGE("https://raw.githubusercontent.com/stautonico/pokemon-home-pokedex/main/sprites/dodrio.png", 2)</f>
        <v>0</v>
      </c>
      <c r="C15" s="48">
        <f>IMAGE("https://raw.githubusercontent.com/stautonico/pokemon-home-pokedex/main/sprites/seel.png", 2)</f>
        <v>0</v>
      </c>
      <c r="D15" s="48">
        <f>IMAGE("https://raw.githubusercontent.com/stautonico/pokemon-home-pokedex/main/sprites/dewgong.png", 2)</f>
        <v>0</v>
      </c>
      <c r="E15" s="48">
        <f>IMAGE("https://raw.githubusercontent.com/stautonico/pokemon-home-pokedex/main/sprites/grimer.png", 2)</f>
        <v>0</v>
      </c>
      <c r="F15" s="48">
        <f>IMAGE("https://raw.githubusercontent.com/stautonico/pokemon-home-pokedex/main/sprites/muk.png", 2)</f>
        <v>0</v>
      </c>
      <c r="G15" s="48">
        <f>IMAGE("https://raw.githubusercontent.com/stautonico/pokemon-home-pokedex/main/sprites/shellder.png", 2)</f>
        <v>0</v>
      </c>
      <c r="I15" s="48">
        <f>IMAGE("https://raw.githubusercontent.com/stautonico/pokemon-home-pokedex/main/sprites/kangaskhan.png", 2)</f>
        <v>0</v>
      </c>
      <c r="J15" s="48">
        <f>IMAGE("https://raw.githubusercontent.com/stautonico/pokemon-home-pokedex/main/sprites/horsea.png", 2)</f>
        <v>0</v>
      </c>
      <c r="K15" s="48">
        <f>IMAGE("https://raw.githubusercontent.com/stautonico/pokemon-home-pokedex/main/sprites/seadra.png", 2)</f>
        <v>0</v>
      </c>
      <c r="L15" s="48">
        <f>IMAGE("https://raw.githubusercontent.com/stautonico/pokemon-home-pokedex/main/sprites/goldeen.png", 2)</f>
        <v>0</v>
      </c>
      <c r="M15" s="48">
        <f>IMAGE("https://raw.githubusercontent.com/stautonico/pokemon-home-pokedex/main/sprites/seaking.png", 2)</f>
        <v>0</v>
      </c>
      <c r="N15" s="48">
        <f>IMAGE("https://raw.githubusercontent.com/stautonico/pokemon-home-pokedex/main/sprites/staryu.png", 2)</f>
        <v>0</v>
      </c>
    </row>
    <row r="18" spans="2:14">
      <c r="B18" s="47" t="s">
        <v>1443</v>
      </c>
      <c r="I18" s="47" t="s">
        <v>1444</v>
      </c>
    </row>
    <row r="19" spans="2:14" ht="72" customHeight="1">
      <c r="B19" s="48">
        <f>IMAGE("https://raw.githubusercontent.com/stautonico/pokemon-home-pokedex/main/sprites/starmie.png", 2)</f>
        <v>0</v>
      </c>
      <c r="C19" s="48">
        <f>IMAGE("https://raw.githubusercontent.com/stautonico/pokemon-home-pokedex/main/sprites/mrmime.png", 2)</f>
        <v>0</v>
      </c>
      <c r="D19" s="48">
        <f>IMAGE("https://raw.githubusercontent.com/stautonico/pokemon-home-pokedex/main/sprites/scyther.png", 2)</f>
        <v>0</v>
      </c>
      <c r="E19" s="48">
        <f>IMAGE("https://raw.githubusercontent.com/stautonico/pokemon-home-pokedex/main/sprites/jynx.png", 2)</f>
        <v>0</v>
      </c>
      <c r="F19" s="48">
        <f>IMAGE("https://raw.githubusercontent.com/stautonico/pokemon-home-pokedex/main/sprites/electabuzz.png", 2)</f>
        <v>0</v>
      </c>
      <c r="G19" s="48">
        <f>IMAGE("https://raw.githubusercontent.com/stautonico/pokemon-home-pokedex/main/sprites/magmar.png", 2)</f>
        <v>0</v>
      </c>
      <c r="I19" s="48">
        <f>IMAGE("https://raw.githubusercontent.com/stautonico/pokemon-home-pokedex/main/sprites/mew.png", 2)</f>
        <v>0</v>
      </c>
      <c r="J19" s="48">
        <f>IMAGE("https://raw.githubusercontent.com/stautonico/pokemon-home-pokedex/main/sprites/chikorita.png", 2)</f>
        <v>0</v>
      </c>
      <c r="K19" s="48">
        <f>IMAGE("https://raw.githubusercontent.com/stautonico/pokemon-home-pokedex/main/sprites/bayleef.png", 2)</f>
        <v>0</v>
      </c>
      <c r="L19" s="48">
        <f>IMAGE("https://raw.githubusercontent.com/stautonico/pokemon-home-pokedex/main/sprites/meganium.png", 2)</f>
        <v>0</v>
      </c>
      <c r="M19" s="48">
        <f>IMAGE("https://raw.githubusercontent.com/stautonico/pokemon-home-pokedex/main/sprites/cyndaquil.png", 2)</f>
        <v>0</v>
      </c>
      <c r="N19" s="48">
        <f>IMAGE("https://raw.githubusercontent.com/stautonico/pokemon-home-pokedex/main/sprites/quilava.png", 2)</f>
        <v>0</v>
      </c>
    </row>
    <row r="20" spans="2:14" ht="72" customHeight="1">
      <c r="B20" s="48">
        <f>IMAGE("https://raw.githubusercontent.com/stautonico/pokemon-home-pokedex/main/sprites/pinsir.png", 2)</f>
        <v>0</v>
      </c>
      <c r="C20" s="48">
        <f>IMAGE("https://raw.githubusercontent.com/stautonico/pokemon-home-pokedex/main/sprites/tauros.png", 2)</f>
        <v>0</v>
      </c>
      <c r="D20" s="48">
        <f>IMAGE("https://raw.githubusercontent.com/stautonico/pokemon-home-pokedex/main/sprites/magikarp.png", 2)</f>
        <v>0</v>
      </c>
      <c r="E20" s="48">
        <f>IMAGE("https://raw.githubusercontent.com/stautonico/pokemon-home-pokedex/main/sprites/gyarados.png", 2)</f>
        <v>0</v>
      </c>
      <c r="F20" s="48">
        <f>IMAGE("https://raw.githubusercontent.com/stautonico/pokemon-home-pokedex/main/sprites/lapras.png", 2)</f>
        <v>0</v>
      </c>
      <c r="G20" s="48">
        <f>IMAGE("https://raw.githubusercontent.com/stautonico/pokemon-home-pokedex/main/sprites/ditto.png", 2)</f>
        <v>0</v>
      </c>
      <c r="I20" s="48">
        <f>IMAGE("https://raw.githubusercontent.com/stautonico/pokemon-home-pokedex/main/sprites/typhlosion.png", 2)</f>
        <v>0</v>
      </c>
      <c r="J20" s="48">
        <f>IMAGE("https://raw.githubusercontent.com/stautonico/pokemon-home-pokedex/main/sprites/totodile.png", 2)</f>
        <v>0</v>
      </c>
      <c r="K20" s="48">
        <f>IMAGE("https://raw.githubusercontent.com/stautonico/pokemon-home-pokedex/main/sprites/croconaw.png", 2)</f>
        <v>0</v>
      </c>
      <c r="L20" s="48">
        <f>IMAGE("https://raw.githubusercontent.com/stautonico/pokemon-home-pokedex/main/sprites/feraligatr.png", 2)</f>
        <v>0</v>
      </c>
      <c r="M20" s="48">
        <f>IMAGE("https://raw.githubusercontent.com/stautonico/pokemon-home-pokedex/main/sprites/sentret.png", 2)</f>
        <v>0</v>
      </c>
      <c r="N20" s="48">
        <f>IMAGE("https://raw.githubusercontent.com/stautonico/pokemon-home-pokedex/main/sprites/furret.png", 2)</f>
        <v>0</v>
      </c>
    </row>
    <row r="21" spans="2:14" ht="72" customHeight="1">
      <c r="B21" s="48">
        <f>IMAGE("https://raw.githubusercontent.com/stautonico/pokemon-home-pokedex/main/sprites/eevee.png", 2)</f>
        <v>0</v>
      </c>
      <c r="C21" s="48">
        <f>IMAGE("https://raw.githubusercontent.com/stautonico/pokemon-home-pokedex/main/sprites/vaporeon.png", 2)</f>
        <v>0</v>
      </c>
      <c r="D21" s="48">
        <f>IMAGE("https://raw.githubusercontent.com/stautonico/pokemon-home-pokedex/main/sprites/jolteon.png", 2)</f>
        <v>0</v>
      </c>
      <c r="E21" s="48">
        <f>IMAGE("https://raw.githubusercontent.com/stautonico/pokemon-home-pokedex/main/sprites/flareon.png", 2)</f>
        <v>0</v>
      </c>
      <c r="F21" s="48">
        <f>IMAGE("https://raw.githubusercontent.com/stautonico/pokemon-home-pokedex/main/sprites/porygon.png", 2)</f>
        <v>0</v>
      </c>
      <c r="G21" s="48">
        <f>IMAGE("https://raw.githubusercontent.com/stautonico/pokemon-home-pokedex/main/sprites/omanyte.png", 2)</f>
        <v>0</v>
      </c>
      <c r="I21" s="48">
        <f>IMAGE("https://raw.githubusercontent.com/stautonico/pokemon-home-pokedex/main/sprites/hoothoot.png", 2)</f>
        <v>0</v>
      </c>
      <c r="J21" s="48">
        <f>IMAGE("https://raw.githubusercontent.com/stautonico/pokemon-home-pokedex/main/sprites/noctowl.png", 2)</f>
        <v>0</v>
      </c>
      <c r="K21" s="48">
        <f>IMAGE("https://raw.githubusercontent.com/stautonico/pokemon-home-pokedex/main/sprites/ledyba.png", 2)</f>
        <v>0</v>
      </c>
      <c r="L21" s="48">
        <f>IMAGE("https://raw.githubusercontent.com/stautonico/pokemon-home-pokedex/main/sprites/ledian.png", 2)</f>
        <v>0</v>
      </c>
      <c r="M21" s="48">
        <f>IMAGE("https://raw.githubusercontent.com/stautonico/pokemon-home-pokedex/main/sprites/spinarak.png", 2)</f>
        <v>0</v>
      </c>
      <c r="N21" s="48">
        <f>IMAGE("https://raw.githubusercontent.com/stautonico/pokemon-home-pokedex/main/sprites/ariados.png", 2)</f>
        <v>0</v>
      </c>
    </row>
    <row r="22" spans="2:14" ht="72" customHeight="1">
      <c r="B22" s="48">
        <f>IMAGE("https://raw.githubusercontent.com/stautonico/pokemon-home-pokedex/main/sprites/omastar.png", 2)</f>
        <v>0</v>
      </c>
      <c r="C22" s="48">
        <f>IMAGE("https://raw.githubusercontent.com/stautonico/pokemon-home-pokedex/main/sprites/kabuto.png", 2)</f>
        <v>0</v>
      </c>
      <c r="D22" s="48">
        <f>IMAGE("https://raw.githubusercontent.com/stautonico/pokemon-home-pokedex/main/sprites/kabutops.png", 2)</f>
        <v>0</v>
      </c>
      <c r="E22" s="48">
        <f>IMAGE("https://raw.githubusercontent.com/stautonico/pokemon-home-pokedex/main/sprites/aerodactyl.png", 2)</f>
        <v>0</v>
      </c>
      <c r="F22" s="48">
        <f>IMAGE("https://raw.githubusercontent.com/stautonico/pokemon-home-pokedex/main/sprites/snorlax.png", 2)</f>
        <v>0</v>
      </c>
      <c r="G22" s="48">
        <f>IMAGE("https://raw.githubusercontent.com/stautonico/pokemon-home-pokedex/main/sprites/articuno.png", 2)</f>
        <v>0</v>
      </c>
      <c r="I22" s="48">
        <f>IMAGE("https://raw.githubusercontent.com/stautonico/pokemon-home-pokedex/main/sprites/crobat.png", 2)</f>
        <v>0</v>
      </c>
      <c r="J22" s="48">
        <f>IMAGE("https://raw.githubusercontent.com/stautonico/pokemon-home-pokedex/main/sprites/chinchou.png", 2)</f>
        <v>0</v>
      </c>
      <c r="K22" s="48">
        <f>IMAGE("https://raw.githubusercontent.com/stautonico/pokemon-home-pokedex/main/sprites/lanturn.png", 2)</f>
        <v>0</v>
      </c>
      <c r="L22" s="48">
        <f>IMAGE("https://raw.githubusercontent.com/stautonico/pokemon-home-pokedex/main/sprites/pichu.png", 2)</f>
        <v>0</v>
      </c>
      <c r="M22" s="48">
        <f>IMAGE("https://raw.githubusercontent.com/stautonico/pokemon-home-pokedex/main/sprites/cleffa.png", 2)</f>
        <v>0</v>
      </c>
      <c r="N22" s="48">
        <f>IMAGE("https://raw.githubusercontent.com/stautonico/pokemon-home-pokedex/main/sprites/igglybuff.png", 2)</f>
        <v>0</v>
      </c>
    </row>
    <row r="23" spans="2:14" ht="72" customHeight="1">
      <c r="B23" s="48">
        <f>IMAGE("https://raw.githubusercontent.com/stautonico/pokemon-home-pokedex/main/sprites/zapdos.png", 2)</f>
        <v>0</v>
      </c>
      <c r="C23" s="48">
        <f>IMAGE("https://raw.githubusercontent.com/stautonico/pokemon-home-pokedex/main/sprites/moltres.png", 2)</f>
        <v>0</v>
      </c>
      <c r="D23" s="48">
        <f>IMAGE("https://raw.githubusercontent.com/stautonico/pokemon-home-pokedex/main/sprites/dratini.png", 2)</f>
        <v>0</v>
      </c>
      <c r="E23" s="48">
        <f>IMAGE("https://raw.githubusercontent.com/stautonico/pokemon-home-pokedex/main/sprites/dragonair.png", 2)</f>
        <v>0</v>
      </c>
      <c r="F23" s="48">
        <f>IMAGE("https://raw.githubusercontent.com/stautonico/pokemon-home-pokedex/main/sprites/dragonite.png", 2)</f>
        <v>0</v>
      </c>
      <c r="G23" s="48">
        <f>IMAGE("https://raw.githubusercontent.com/stautonico/pokemon-home-pokedex/main/sprites/mewtwo.png", 2)</f>
        <v>0</v>
      </c>
      <c r="I23" s="48">
        <f>IMAGE("https://raw.githubusercontent.com/stautonico/pokemon-home-pokedex/main/sprites/togepi.png", 2)</f>
        <v>0</v>
      </c>
      <c r="J23" s="48">
        <f>IMAGE("https://raw.githubusercontent.com/stautonico/pokemon-home-pokedex/main/sprites/togetic.png", 2)</f>
        <v>0</v>
      </c>
      <c r="K23" s="48">
        <f>IMAGE("https://raw.githubusercontent.com/stautonico/pokemon-home-pokedex/main/sprites/natu.png", 2)</f>
        <v>0</v>
      </c>
      <c r="L23" s="48">
        <f>IMAGE("https://raw.githubusercontent.com/stautonico/pokemon-home-pokedex/main/sprites/xatu.png", 2)</f>
        <v>0</v>
      </c>
      <c r="M23" s="48">
        <f>IMAGE("https://raw.githubusercontent.com/stautonico/pokemon-home-pokedex/main/sprites/mareep.png", 2)</f>
        <v>0</v>
      </c>
      <c r="N23" s="48">
        <f>IMAGE("https://raw.githubusercontent.com/stautonico/pokemon-home-pokedex/main/sprites/flaaffy.png", 2)</f>
        <v>0</v>
      </c>
    </row>
    <row r="26" spans="2:14">
      <c r="B26" s="47" t="s">
        <v>1445</v>
      </c>
      <c r="I26" s="47" t="s">
        <v>1446</v>
      </c>
    </row>
    <row r="27" spans="2:14" ht="72" customHeight="1">
      <c r="B27" s="48">
        <f>IMAGE("https://raw.githubusercontent.com/stautonico/pokemon-home-pokedex/main/sprites/ampharos.png", 2)</f>
        <v>0</v>
      </c>
      <c r="C27" s="48">
        <f>IMAGE("https://raw.githubusercontent.com/stautonico/pokemon-home-pokedex/main/sprites/bellossom.png", 2)</f>
        <v>0</v>
      </c>
      <c r="D27" s="48">
        <f>IMAGE("https://raw.githubusercontent.com/stautonico/pokemon-home-pokedex/main/sprites/marill.png", 2)</f>
        <v>0</v>
      </c>
      <c r="E27" s="48">
        <f>IMAGE("https://raw.githubusercontent.com/stautonico/pokemon-home-pokedex/main/sprites/azumarill.png", 2)</f>
        <v>0</v>
      </c>
      <c r="F27" s="48">
        <f>IMAGE("https://raw.githubusercontent.com/stautonico/pokemon-home-pokedex/main/sprites/sudowoodo.png", 2)</f>
        <v>0</v>
      </c>
      <c r="G27" s="48">
        <f>IMAGE("https://raw.githubusercontent.com/stautonico/pokemon-home-pokedex/main/sprites/politoed.png", 2)</f>
        <v>0</v>
      </c>
      <c r="I27" s="48">
        <f>IMAGE("https://raw.githubusercontent.com/stautonico/pokemon-home-pokedex/main/sprites/qwilfish.png", 2)</f>
        <v>0</v>
      </c>
      <c r="J27" s="48">
        <f>IMAGE("https://raw.githubusercontent.com/stautonico/pokemon-home-pokedex/main/sprites/scizor.png", 2)</f>
        <v>0</v>
      </c>
      <c r="K27" s="48">
        <f>IMAGE("https://raw.githubusercontent.com/stautonico/pokemon-home-pokedex/main/sprites/shuckle.png", 2)</f>
        <v>0</v>
      </c>
      <c r="L27" s="48">
        <f>IMAGE("https://raw.githubusercontent.com/stautonico/pokemon-home-pokedex/main/sprites/heracross.png", 2)</f>
        <v>0</v>
      </c>
      <c r="M27" s="48">
        <f>IMAGE("https://raw.githubusercontent.com/stautonico/pokemon-home-pokedex/main/sprites/sneasel.png", 2)</f>
        <v>0</v>
      </c>
      <c r="N27" s="48">
        <f>IMAGE("https://raw.githubusercontent.com/stautonico/pokemon-home-pokedex/main/sprites/teddiursa.png", 2)</f>
        <v>0</v>
      </c>
    </row>
    <row r="28" spans="2:14" ht="72" customHeight="1">
      <c r="B28" s="48">
        <f>IMAGE("https://raw.githubusercontent.com/stautonico/pokemon-home-pokedex/main/sprites/hoppip.png", 2)</f>
        <v>0</v>
      </c>
      <c r="C28" s="48">
        <f>IMAGE("https://raw.githubusercontent.com/stautonico/pokemon-home-pokedex/main/sprites/skiploom.png", 2)</f>
        <v>0</v>
      </c>
      <c r="D28" s="48">
        <f>IMAGE("https://raw.githubusercontent.com/stautonico/pokemon-home-pokedex/main/sprites/jumpluff.png", 2)</f>
        <v>0</v>
      </c>
      <c r="E28" s="48">
        <f>IMAGE("https://raw.githubusercontent.com/stautonico/pokemon-home-pokedex/main/sprites/aipom.png", 2)</f>
        <v>0</v>
      </c>
      <c r="F28" s="48">
        <f>IMAGE("https://raw.githubusercontent.com/stautonico/pokemon-home-pokedex/main/sprites/sunkern.png", 2)</f>
        <v>0</v>
      </c>
      <c r="G28" s="48">
        <f>IMAGE("https://raw.githubusercontent.com/stautonico/pokemon-home-pokedex/main/sprites/sunflora.png", 2)</f>
        <v>0</v>
      </c>
      <c r="I28" s="48">
        <f>IMAGE("https://raw.githubusercontent.com/stautonico/pokemon-home-pokedex/main/sprites/ursaring.png", 2)</f>
        <v>0</v>
      </c>
      <c r="J28" s="48">
        <f>IMAGE("https://raw.githubusercontent.com/stautonico/pokemon-home-pokedex/main/sprites/slugma.png", 2)</f>
        <v>0</v>
      </c>
      <c r="K28" s="48">
        <f>IMAGE("https://raw.githubusercontent.com/stautonico/pokemon-home-pokedex/main/sprites/magcargo.png", 2)</f>
        <v>0</v>
      </c>
      <c r="L28" s="48">
        <f>IMAGE("https://raw.githubusercontent.com/stautonico/pokemon-home-pokedex/main/sprites/swinub.png", 2)</f>
        <v>0</v>
      </c>
      <c r="M28" s="48">
        <f>IMAGE("https://raw.githubusercontent.com/stautonico/pokemon-home-pokedex/main/sprites/piloswine.png", 2)</f>
        <v>0</v>
      </c>
      <c r="N28" s="48">
        <f>IMAGE("https://raw.githubusercontent.com/stautonico/pokemon-home-pokedex/main/sprites/corsola.png", 2)</f>
        <v>0</v>
      </c>
    </row>
    <row r="29" spans="2:14" ht="72" customHeight="1">
      <c r="B29" s="48">
        <f>IMAGE("https://raw.githubusercontent.com/stautonico/pokemon-home-pokedex/main/sprites/yanma.png", 2)</f>
        <v>0</v>
      </c>
      <c r="C29" s="48">
        <f>IMAGE("https://raw.githubusercontent.com/stautonico/pokemon-home-pokedex/main/sprites/wooper.png", 2)</f>
        <v>0</v>
      </c>
      <c r="D29" s="48">
        <f>IMAGE("https://raw.githubusercontent.com/stautonico/pokemon-home-pokedex/main/sprites/quagsire.png", 2)</f>
        <v>0</v>
      </c>
      <c r="E29" s="48">
        <f>IMAGE("https://raw.githubusercontent.com/stautonico/pokemon-home-pokedex/main/sprites/espeon.png", 2)</f>
        <v>0</v>
      </c>
      <c r="F29" s="48">
        <f>IMAGE("https://raw.githubusercontent.com/stautonico/pokemon-home-pokedex/main/sprites/umbreon.png", 2)</f>
        <v>0</v>
      </c>
      <c r="G29" s="48">
        <f>IMAGE("https://raw.githubusercontent.com/stautonico/pokemon-home-pokedex/main/sprites/murkrow.png", 2)</f>
        <v>0</v>
      </c>
      <c r="I29" s="48">
        <f>IMAGE("https://raw.githubusercontent.com/stautonico/pokemon-home-pokedex/main/sprites/remoraid.png", 2)</f>
        <v>0</v>
      </c>
      <c r="J29" s="48">
        <f>IMAGE("https://raw.githubusercontent.com/stautonico/pokemon-home-pokedex/main/sprites/octillery.png", 2)</f>
        <v>0</v>
      </c>
      <c r="K29" s="48">
        <f>IMAGE("https://raw.githubusercontent.com/stautonico/pokemon-home-pokedex/main/sprites/delibird.png", 2)</f>
        <v>0</v>
      </c>
      <c r="L29" s="48">
        <f>IMAGE("https://raw.githubusercontent.com/stautonico/pokemon-home-pokedex/main/sprites/mantine.png", 2)</f>
        <v>0</v>
      </c>
      <c r="M29" s="48">
        <f>IMAGE("https://raw.githubusercontent.com/stautonico/pokemon-home-pokedex/main/sprites/skarmory.png", 2)</f>
        <v>0</v>
      </c>
      <c r="N29" s="48">
        <f>IMAGE("https://raw.githubusercontent.com/stautonico/pokemon-home-pokedex/main/sprites/houndour.png", 2)</f>
        <v>0</v>
      </c>
    </row>
    <row r="30" spans="2:14" ht="72" customHeight="1">
      <c r="B30" s="48">
        <f>IMAGE("https://raw.githubusercontent.com/stautonico/pokemon-home-pokedex/main/sprites/slowking.png", 2)</f>
        <v>0</v>
      </c>
      <c r="C30" s="48">
        <f>IMAGE("https://raw.githubusercontent.com/stautonico/pokemon-home-pokedex/main/sprites/misdreavus.png", 2)</f>
        <v>0</v>
      </c>
      <c r="D30" s="48">
        <f>IMAGE("https://raw.githubusercontent.com/stautonico/pokemon-home-pokedex/main/sprites/unown.png", 2)</f>
        <v>0</v>
      </c>
      <c r="E30" s="48">
        <f>IMAGE("https://raw.githubusercontent.com/stautonico/pokemon-home-pokedex/main/sprites/wobbuffet.png", 2)</f>
        <v>0</v>
      </c>
      <c r="F30" s="48">
        <f>IMAGE("https://raw.githubusercontent.com/stautonico/pokemon-home-pokedex/main/sprites/girafarig.png", 2)</f>
        <v>0</v>
      </c>
      <c r="G30" s="48">
        <f>IMAGE("https://raw.githubusercontent.com/stautonico/pokemon-home-pokedex/main/sprites/pineco.png", 2)</f>
        <v>0</v>
      </c>
      <c r="I30" s="48">
        <f>IMAGE("https://raw.githubusercontent.com/stautonico/pokemon-home-pokedex/main/sprites/houndoom.png", 2)</f>
        <v>0</v>
      </c>
      <c r="J30" s="48">
        <f>IMAGE("https://raw.githubusercontent.com/stautonico/pokemon-home-pokedex/main/sprites/kingdra.png", 2)</f>
        <v>0</v>
      </c>
      <c r="K30" s="48">
        <f>IMAGE("https://raw.githubusercontent.com/stautonico/pokemon-home-pokedex/main/sprites/phanpy.png", 2)</f>
        <v>0</v>
      </c>
      <c r="L30" s="48">
        <f>IMAGE("https://raw.githubusercontent.com/stautonico/pokemon-home-pokedex/main/sprites/donphan.png", 2)</f>
        <v>0</v>
      </c>
      <c r="M30" s="48">
        <f>IMAGE("https://raw.githubusercontent.com/stautonico/pokemon-home-pokedex/main/sprites/porygon2.png", 2)</f>
        <v>0</v>
      </c>
      <c r="N30" s="48">
        <f>IMAGE("https://raw.githubusercontent.com/stautonico/pokemon-home-pokedex/main/sprites/stantler.png", 2)</f>
        <v>0</v>
      </c>
    </row>
    <row r="31" spans="2:14" ht="72" customHeight="1">
      <c r="B31" s="48">
        <f>IMAGE("https://raw.githubusercontent.com/stautonico/pokemon-home-pokedex/main/sprites/forretress.png", 2)</f>
        <v>0</v>
      </c>
      <c r="C31" s="48">
        <f>IMAGE("https://raw.githubusercontent.com/stautonico/pokemon-home-pokedex/main/sprites/dunsparce.png", 2)</f>
        <v>0</v>
      </c>
      <c r="D31" s="48">
        <f>IMAGE("https://raw.githubusercontent.com/stautonico/pokemon-home-pokedex/main/sprites/gligar.png", 2)</f>
        <v>0</v>
      </c>
      <c r="E31" s="48">
        <f>IMAGE("https://raw.githubusercontent.com/stautonico/pokemon-home-pokedex/main/sprites/steelix.png", 2)</f>
        <v>0</v>
      </c>
      <c r="F31" s="48">
        <f>IMAGE("https://raw.githubusercontent.com/stautonico/pokemon-home-pokedex/main/sprites/snubbull.png", 2)</f>
        <v>0</v>
      </c>
      <c r="G31" s="48">
        <f>IMAGE("https://raw.githubusercontent.com/stautonico/pokemon-home-pokedex/main/sprites/granbull.png", 2)</f>
        <v>0</v>
      </c>
      <c r="I31" s="48">
        <f>IMAGE("https://raw.githubusercontent.com/stautonico/pokemon-home-pokedex/main/sprites/smeargle.png", 2)</f>
        <v>0</v>
      </c>
      <c r="J31" s="48">
        <f>IMAGE("https://raw.githubusercontent.com/stautonico/pokemon-home-pokedex/main/sprites/tyrogue.png", 2)</f>
        <v>0</v>
      </c>
      <c r="K31" s="48">
        <f>IMAGE("https://raw.githubusercontent.com/stautonico/pokemon-home-pokedex/main/sprites/hitmontop.png", 2)</f>
        <v>0</v>
      </c>
      <c r="L31" s="48">
        <f>IMAGE("https://raw.githubusercontent.com/stautonico/pokemon-home-pokedex/main/sprites/smoochum.png", 2)</f>
        <v>0</v>
      </c>
      <c r="M31" s="48">
        <f>IMAGE("https://raw.githubusercontent.com/stautonico/pokemon-home-pokedex/main/sprites/elekid.png", 2)</f>
        <v>0</v>
      </c>
      <c r="N31" s="48">
        <f>IMAGE("https://raw.githubusercontent.com/stautonico/pokemon-home-pokedex/main/sprites/magby.png", 2)</f>
        <v>0</v>
      </c>
    </row>
    <row r="34" spans="2:14">
      <c r="B34" s="47" t="s">
        <v>1447</v>
      </c>
      <c r="I34" s="47" t="s">
        <v>1448</v>
      </c>
    </row>
    <row r="35" spans="2:14" ht="72" customHeight="1">
      <c r="B35" s="48">
        <f>IMAGE("https://raw.githubusercontent.com/stautonico/pokemon-home-pokedex/main/sprites/miltank.png", 2)</f>
        <v>0</v>
      </c>
      <c r="C35" s="48">
        <f>IMAGE("https://raw.githubusercontent.com/stautonico/pokemon-home-pokedex/main/sprites/blissey.png", 2)</f>
        <v>0</v>
      </c>
      <c r="D35" s="48">
        <f>IMAGE("https://raw.githubusercontent.com/stautonico/pokemon-home-pokedex/main/sprites/raikou.png", 2)</f>
        <v>0</v>
      </c>
      <c r="E35" s="48">
        <f>IMAGE("https://raw.githubusercontent.com/stautonico/pokemon-home-pokedex/main/sprites/entei.png", 2)</f>
        <v>0</v>
      </c>
      <c r="F35" s="48">
        <f>IMAGE("https://raw.githubusercontent.com/stautonico/pokemon-home-pokedex/main/sprites/suicune.png", 2)</f>
        <v>0</v>
      </c>
      <c r="G35" s="48">
        <f>IMAGE("https://raw.githubusercontent.com/stautonico/pokemon-home-pokedex/main/sprites/larvitar.png", 2)</f>
        <v>0</v>
      </c>
      <c r="I35" s="48">
        <f>IMAGE("https://raw.githubusercontent.com/stautonico/pokemon-home-pokedex/main/sprites/lombre.png", 2)</f>
        <v>0</v>
      </c>
      <c r="J35" s="48">
        <f>IMAGE("https://raw.githubusercontent.com/stautonico/pokemon-home-pokedex/main/sprites/ludicolo.png", 2)</f>
        <v>0</v>
      </c>
      <c r="K35" s="48">
        <f>IMAGE("https://raw.githubusercontent.com/stautonico/pokemon-home-pokedex/main/sprites/seedot.png", 2)</f>
        <v>0</v>
      </c>
      <c r="L35" s="48">
        <f>IMAGE("https://raw.githubusercontent.com/stautonico/pokemon-home-pokedex/main/sprites/nuzleaf.png", 2)</f>
        <v>0</v>
      </c>
      <c r="M35" s="48">
        <f>IMAGE("https://raw.githubusercontent.com/stautonico/pokemon-home-pokedex/main/sprites/shiftry.png", 2)</f>
        <v>0</v>
      </c>
      <c r="N35" s="48">
        <f>IMAGE("https://raw.githubusercontent.com/stautonico/pokemon-home-pokedex/main/sprites/taillow.png", 2)</f>
        <v>0</v>
      </c>
    </row>
    <row r="36" spans="2:14" ht="72" customHeight="1">
      <c r="B36" s="48">
        <f>IMAGE("https://raw.githubusercontent.com/stautonico/pokemon-home-pokedex/main/sprites/pupitar.png", 2)</f>
        <v>0</v>
      </c>
      <c r="C36" s="48">
        <f>IMAGE("https://raw.githubusercontent.com/stautonico/pokemon-home-pokedex/main/sprites/tyranitar.png", 2)</f>
        <v>0</v>
      </c>
      <c r="D36" s="48">
        <f>IMAGE("https://raw.githubusercontent.com/stautonico/pokemon-home-pokedex/main/sprites/lugia.png", 2)</f>
        <v>0</v>
      </c>
      <c r="E36" s="48">
        <f>IMAGE("https://raw.githubusercontent.com/stautonico/pokemon-home-pokedex/main/sprites/hooh.png", 2)</f>
        <v>0</v>
      </c>
      <c r="F36" s="48">
        <f>IMAGE("https://raw.githubusercontent.com/stautonico/pokemon-home-pokedex/main/sprites/celebi.png", 2)</f>
        <v>0</v>
      </c>
      <c r="G36" s="48">
        <f>IMAGE("https://raw.githubusercontent.com/stautonico/pokemon-home-pokedex/main/sprites/treecko.png", 2)</f>
        <v>0</v>
      </c>
      <c r="I36" s="48">
        <f>IMAGE("https://raw.githubusercontent.com/stautonico/pokemon-home-pokedex/main/sprites/swellow.png", 2)</f>
        <v>0</v>
      </c>
      <c r="J36" s="48">
        <f>IMAGE("https://raw.githubusercontent.com/stautonico/pokemon-home-pokedex/main/sprites/wingull.png", 2)</f>
        <v>0</v>
      </c>
      <c r="K36" s="48">
        <f>IMAGE("https://raw.githubusercontent.com/stautonico/pokemon-home-pokedex/main/sprites/pelipper.png", 2)</f>
        <v>0</v>
      </c>
      <c r="L36" s="48">
        <f>IMAGE("https://raw.githubusercontent.com/stautonico/pokemon-home-pokedex/main/sprites/ralts.png", 2)</f>
        <v>0</v>
      </c>
      <c r="M36" s="48">
        <f>IMAGE("https://raw.githubusercontent.com/stautonico/pokemon-home-pokedex/main/sprites/kirlia.png", 2)</f>
        <v>0</v>
      </c>
      <c r="N36" s="48">
        <f>IMAGE("https://raw.githubusercontent.com/stautonico/pokemon-home-pokedex/main/sprites/gardevoir.png", 2)</f>
        <v>0</v>
      </c>
    </row>
    <row r="37" spans="2:14" ht="72" customHeight="1">
      <c r="B37" s="48">
        <f>IMAGE("https://raw.githubusercontent.com/stautonico/pokemon-home-pokedex/main/sprites/grovyle.png", 2)</f>
        <v>0</v>
      </c>
      <c r="C37" s="48">
        <f>IMAGE("https://raw.githubusercontent.com/stautonico/pokemon-home-pokedex/main/sprites/sceptile.png", 2)</f>
        <v>0</v>
      </c>
      <c r="D37" s="48">
        <f>IMAGE("https://raw.githubusercontent.com/stautonico/pokemon-home-pokedex/main/sprites/torchic.png", 2)</f>
        <v>0</v>
      </c>
      <c r="E37" s="48">
        <f>IMAGE("https://raw.githubusercontent.com/stautonico/pokemon-home-pokedex/main/sprites/combusken.png", 2)</f>
        <v>0</v>
      </c>
      <c r="F37" s="48">
        <f>IMAGE("https://raw.githubusercontent.com/stautonico/pokemon-home-pokedex/main/sprites/blaziken.png", 2)</f>
        <v>0</v>
      </c>
      <c r="G37" s="48">
        <f>IMAGE("https://raw.githubusercontent.com/stautonico/pokemon-home-pokedex/main/sprites/mudkip.png", 2)</f>
        <v>0</v>
      </c>
      <c r="I37" s="48">
        <f>IMAGE("https://raw.githubusercontent.com/stautonico/pokemon-home-pokedex/main/sprites/surskit.png", 2)</f>
        <v>0</v>
      </c>
      <c r="J37" s="48">
        <f>IMAGE("https://raw.githubusercontent.com/stautonico/pokemon-home-pokedex/main/sprites/masquerain.png", 2)</f>
        <v>0</v>
      </c>
      <c r="K37" s="48">
        <f>IMAGE("https://raw.githubusercontent.com/stautonico/pokemon-home-pokedex/main/sprites/shroomish.png", 2)</f>
        <v>0</v>
      </c>
      <c r="L37" s="48">
        <f>IMAGE("https://raw.githubusercontent.com/stautonico/pokemon-home-pokedex/main/sprites/breloom.png", 2)</f>
        <v>0</v>
      </c>
      <c r="M37" s="48">
        <f>IMAGE("https://raw.githubusercontent.com/stautonico/pokemon-home-pokedex/main/sprites/slakoth.png", 2)</f>
        <v>0</v>
      </c>
      <c r="N37" s="48">
        <f>IMAGE("https://raw.githubusercontent.com/stautonico/pokemon-home-pokedex/main/sprites/vigoroth.png", 2)</f>
        <v>0</v>
      </c>
    </row>
    <row r="38" spans="2:14" ht="72" customHeight="1">
      <c r="B38" s="48">
        <f>IMAGE("https://raw.githubusercontent.com/stautonico/pokemon-home-pokedex/main/sprites/marshtomp.png", 2)</f>
        <v>0</v>
      </c>
      <c r="C38" s="48">
        <f>IMAGE("https://raw.githubusercontent.com/stautonico/pokemon-home-pokedex/main/sprites/swampert.png", 2)</f>
        <v>0</v>
      </c>
      <c r="D38" s="48">
        <f>IMAGE("https://raw.githubusercontent.com/stautonico/pokemon-home-pokedex/main/sprites/poochyena.png", 2)</f>
        <v>0</v>
      </c>
      <c r="E38" s="48">
        <f>IMAGE("https://raw.githubusercontent.com/stautonico/pokemon-home-pokedex/main/sprites/mightyena.png", 2)</f>
        <v>0</v>
      </c>
      <c r="F38" s="48">
        <f>IMAGE("https://raw.githubusercontent.com/stautonico/pokemon-home-pokedex/main/sprites/zigzagoon.png", 2)</f>
        <v>0</v>
      </c>
      <c r="G38" s="48">
        <f>IMAGE("https://raw.githubusercontent.com/stautonico/pokemon-home-pokedex/main/sprites/linoone.png", 2)</f>
        <v>0</v>
      </c>
      <c r="I38" s="48">
        <f>IMAGE("https://raw.githubusercontent.com/stautonico/pokemon-home-pokedex/main/sprites/slaking.png", 2)</f>
        <v>0</v>
      </c>
      <c r="J38" s="48">
        <f>IMAGE("https://raw.githubusercontent.com/stautonico/pokemon-home-pokedex/main/sprites/nincada.png", 2)</f>
        <v>0</v>
      </c>
      <c r="K38" s="48">
        <f>IMAGE("https://raw.githubusercontent.com/stautonico/pokemon-home-pokedex/main/sprites/ninjask.png", 2)</f>
        <v>0</v>
      </c>
      <c r="L38" s="48">
        <f>IMAGE("https://raw.githubusercontent.com/stautonico/pokemon-home-pokedex/main/sprites/shedinja.png", 2)</f>
        <v>0</v>
      </c>
      <c r="M38" s="48">
        <f>IMAGE("https://raw.githubusercontent.com/stautonico/pokemon-home-pokedex/main/sprites/whismur.png", 2)</f>
        <v>0</v>
      </c>
      <c r="N38" s="48">
        <f>IMAGE("https://raw.githubusercontent.com/stautonico/pokemon-home-pokedex/main/sprites/loudred.png", 2)</f>
        <v>0</v>
      </c>
    </row>
    <row r="39" spans="2:14" ht="72" customHeight="1">
      <c r="B39" s="48">
        <f>IMAGE("https://raw.githubusercontent.com/stautonico/pokemon-home-pokedex/main/sprites/wurmple.png", 2)</f>
        <v>0</v>
      </c>
      <c r="C39" s="48">
        <f>IMAGE("https://raw.githubusercontent.com/stautonico/pokemon-home-pokedex/main/sprites/silcoon.png", 2)</f>
        <v>0</v>
      </c>
      <c r="D39" s="48">
        <f>IMAGE("https://raw.githubusercontent.com/stautonico/pokemon-home-pokedex/main/sprites/beautifly.png", 2)</f>
        <v>0</v>
      </c>
      <c r="E39" s="48">
        <f>IMAGE("https://raw.githubusercontent.com/stautonico/pokemon-home-pokedex/main/sprites/cascoon.png", 2)</f>
        <v>0</v>
      </c>
      <c r="F39" s="48">
        <f>IMAGE("https://raw.githubusercontent.com/stautonico/pokemon-home-pokedex/main/sprites/dustox.png", 2)</f>
        <v>0</v>
      </c>
      <c r="G39" s="48">
        <f>IMAGE("https://raw.githubusercontent.com/stautonico/pokemon-home-pokedex/main/sprites/lotad.png", 2)</f>
        <v>0</v>
      </c>
      <c r="I39" s="48">
        <f>IMAGE("https://raw.githubusercontent.com/stautonico/pokemon-home-pokedex/main/sprites/exploud.png", 2)</f>
        <v>0</v>
      </c>
      <c r="J39" s="48">
        <f>IMAGE("https://raw.githubusercontent.com/stautonico/pokemon-home-pokedex/main/sprites/makuhita.png", 2)</f>
        <v>0</v>
      </c>
      <c r="K39" s="48">
        <f>IMAGE("https://raw.githubusercontent.com/stautonico/pokemon-home-pokedex/main/sprites/hariyama.png", 2)</f>
        <v>0</v>
      </c>
      <c r="L39" s="48">
        <f>IMAGE("https://raw.githubusercontent.com/stautonico/pokemon-home-pokedex/main/sprites/azurill.png", 2)</f>
        <v>0</v>
      </c>
      <c r="M39" s="48">
        <f>IMAGE("https://raw.githubusercontent.com/stautonico/pokemon-home-pokedex/main/sprites/nosepass.png", 2)</f>
        <v>0</v>
      </c>
      <c r="N39" s="48">
        <f>IMAGE("https://raw.githubusercontent.com/stautonico/pokemon-home-pokedex/main/sprites/skitty.png", 2)</f>
        <v>0</v>
      </c>
    </row>
    <row r="42" spans="2:14">
      <c r="B42" s="47" t="s">
        <v>1449</v>
      </c>
      <c r="I42" s="47" t="s">
        <v>1450</v>
      </c>
    </row>
    <row r="43" spans="2:14" ht="72" customHeight="1">
      <c r="B43" s="48">
        <f>IMAGE("https://raw.githubusercontent.com/stautonico/pokemon-home-pokedex/main/sprites/delcatty.png", 2)</f>
        <v>0</v>
      </c>
      <c r="C43" s="48">
        <f>IMAGE("https://raw.githubusercontent.com/stautonico/pokemon-home-pokedex/main/sprites/sableye.png", 2)</f>
        <v>0</v>
      </c>
      <c r="D43" s="48">
        <f>IMAGE("https://raw.githubusercontent.com/stautonico/pokemon-home-pokedex/main/sprites/mawile.png", 2)</f>
        <v>0</v>
      </c>
      <c r="E43" s="48">
        <f>IMAGE("https://raw.githubusercontent.com/stautonico/pokemon-home-pokedex/main/sprites/aron.png", 2)</f>
        <v>0</v>
      </c>
      <c r="F43" s="48">
        <f>IMAGE("https://raw.githubusercontent.com/stautonico/pokemon-home-pokedex/main/sprites/lairon.png", 2)</f>
        <v>0</v>
      </c>
      <c r="G43" s="48">
        <f>IMAGE("https://raw.githubusercontent.com/stautonico/pokemon-home-pokedex/main/sprites/aggron.png", 2)</f>
        <v>0</v>
      </c>
      <c r="I43" s="48">
        <f>IMAGE("https://raw.githubusercontent.com/stautonico/pokemon-home-pokedex/main/sprites/cacnea.png", 2)</f>
        <v>0</v>
      </c>
      <c r="J43" s="48">
        <f>IMAGE("https://raw.githubusercontent.com/stautonico/pokemon-home-pokedex/main/sprites/cacturne.png", 2)</f>
        <v>0</v>
      </c>
      <c r="K43" s="48">
        <f>IMAGE("https://raw.githubusercontent.com/stautonico/pokemon-home-pokedex/main/sprites/swablu.png", 2)</f>
        <v>0</v>
      </c>
      <c r="L43" s="48">
        <f>IMAGE("https://raw.githubusercontent.com/stautonico/pokemon-home-pokedex/main/sprites/altaria.png", 2)</f>
        <v>0</v>
      </c>
      <c r="M43" s="48">
        <f>IMAGE("https://raw.githubusercontent.com/stautonico/pokemon-home-pokedex/main/sprites/zangoose.png", 2)</f>
        <v>0</v>
      </c>
      <c r="N43" s="48">
        <f>IMAGE("https://raw.githubusercontent.com/stautonico/pokemon-home-pokedex/main/sprites/seviper.png", 2)</f>
        <v>0</v>
      </c>
    </row>
    <row r="44" spans="2:14" ht="72" customHeight="1">
      <c r="B44" s="48">
        <f>IMAGE("https://raw.githubusercontent.com/stautonico/pokemon-home-pokedex/main/sprites/meditite.png", 2)</f>
        <v>0</v>
      </c>
      <c r="C44" s="48">
        <f>IMAGE("https://raw.githubusercontent.com/stautonico/pokemon-home-pokedex/main/sprites/medicham.png", 2)</f>
        <v>0</v>
      </c>
      <c r="D44" s="48">
        <f>IMAGE("https://raw.githubusercontent.com/stautonico/pokemon-home-pokedex/main/sprites/electrike.png", 2)</f>
        <v>0</v>
      </c>
      <c r="E44" s="48">
        <f>IMAGE("https://raw.githubusercontent.com/stautonico/pokemon-home-pokedex/main/sprites/manectric.png", 2)</f>
        <v>0</v>
      </c>
      <c r="F44" s="48">
        <f>IMAGE("https://raw.githubusercontent.com/stautonico/pokemon-home-pokedex/main/sprites/plusle.png", 2)</f>
        <v>0</v>
      </c>
      <c r="G44" s="48">
        <f>IMAGE("https://raw.githubusercontent.com/stautonico/pokemon-home-pokedex/main/sprites/minun.png", 2)</f>
        <v>0</v>
      </c>
      <c r="I44" s="48">
        <f>IMAGE("https://raw.githubusercontent.com/stautonico/pokemon-home-pokedex/main/sprites/lunatone.png", 2)</f>
        <v>0</v>
      </c>
      <c r="J44" s="48">
        <f>IMAGE("https://raw.githubusercontent.com/stautonico/pokemon-home-pokedex/main/sprites/solrock.png", 2)</f>
        <v>0</v>
      </c>
      <c r="K44" s="48">
        <f>IMAGE("https://raw.githubusercontent.com/stautonico/pokemon-home-pokedex/main/sprites/barboach.png", 2)</f>
        <v>0</v>
      </c>
      <c r="L44" s="48">
        <f>IMAGE("https://raw.githubusercontent.com/stautonico/pokemon-home-pokedex/main/sprites/whiscash.png", 2)</f>
        <v>0</v>
      </c>
      <c r="M44" s="48">
        <f>IMAGE("https://raw.githubusercontent.com/stautonico/pokemon-home-pokedex/main/sprites/corphish.png", 2)</f>
        <v>0</v>
      </c>
      <c r="N44" s="48">
        <f>IMAGE("https://raw.githubusercontent.com/stautonico/pokemon-home-pokedex/main/sprites/crawdaunt.png", 2)</f>
        <v>0</v>
      </c>
    </row>
    <row r="45" spans="2:14" ht="72" customHeight="1">
      <c r="B45" s="48">
        <f>IMAGE("https://raw.githubusercontent.com/stautonico/pokemon-home-pokedex/main/sprites/volbeat.png", 2)</f>
        <v>0</v>
      </c>
      <c r="C45" s="48">
        <f>IMAGE("https://raw.githubusercontent.com/stautonico/pokemon-home-pokedex/main/sprites/illumise.png", 2)</f>
        <v>0</v>
      </c>
      <c r="D45" s="48">
        <f>IMAGE("https://raw.githubusercontent.com/stautonico/pokemon-home-pokedex/main/sprites/roselia.png", 2)</f>
        <v>0</v>
      </c>
      <c r="E45" s="48">
        <f>IMAGE("https://raw.githubusercontent.com/stautonico/pokemon-home-pokedex/main/sprites/gulpin.png", 2)</f>
        <v>0</v>
      </c>
      <c r="F45" s="48">
        <f>IMAGE("https://raw.githubusercontent.com/stautonico/pokemon-home-pokedex/main/sprites/swalot.png", 2)</f>
        <v>0</v>
      </c>
      <c r="G45" s="48">
        <f>IMAGE("https://raw.githubusercontent.com/stautonico/pokemon-home-pokedex/main/sprites/carvanha.png", 2)</f>
        <v>0</v>
      </c>
      <c r="I45" s="48">
        <f>IMAGE("https://raw.githubusercontent.com/stautonico/pokemon-home-pokedex/main/sprites/baltoy.png", 2)</f>
        <v>0</v>
      </c>
      <c r="J45" s="48">
        <f>IMAGE("https://raw.githubusercontent.com/stautonico/pokemon-home-pokedex/main/sprites/claydol.png", 2)</f>
        <v>0</v>
      </c>
      <c r="K45" s="48">
        <f>IMAGE("https://raw.githubusercontent.com/stautonico/pokemon-home-pokedex/main/sprites/lileep.png", 2)</f>
        <v>0</v>
      </c>
      <c r="L45" s="48">
        <f>IMAGE("https://raw.githubusercontent.com/stautonico/pokemon-home-pokedex/main/sprites/cradily.png", 2)</f>
        <v>0</v>
      </c>
      <c r="M45" s="48">
        <f>IMAGE("https://raw.githubusercontent.com/stautonico/pokemon-home-pokedex/main/sprites/anorith.png", 2)</f>
        <v>0</v>
      </c>
      <c r="N45" s="48">
        <f>IMAGE("https://raw.githubusercontent.com/stautonico/pokemon-home-pokedex/main/sprites/armaldo.png", 2)</f>
        <v>0</v>
      </c>
    </row>
    <row r="46" spans="2:14" ht="72" customHeight="1">
      <c r="B46" s="48">
        <f>IMAGE("https://raw.githubusercontent.com/stautonico/pokemon-home-pokedex/main/sprites/sharpedo.png", 2)</f>
        <v>0</v>
      </c>
      <c r="C46" s="48">
        <f>IMAGE("https://raw.githubusercontent.com/stautonico/pokemon-home-pokedex/main/sprites/wailmer.png", 2)</f>
        <v>0</v>
      </c>
      <c r="D46" s="48">
        <f>IMAGE("https://raw.githubusercontent.com/stautonico/pokemon-home-pokedex/main/sprites/wailord.png", 2)</f>
        <v>0</v>
      </c>
      <c r="E46" s="48">
        <f>IMAGE("https://raw.githubusercontent.com/stautonico/pokemon-home-pokedex/main/sprites/numel.png", 2)</f>
        <v>0</v>
      </c>
      <c r="F46" s="48">
        <f>IMAGE("https://raw.githubusercontent.com/stautonico/pokemon-home-pokedex/main/sprites/camerupt.png", 2)</f>
        <v>0</v>
      </c>
      <c r="G46" s="48">
        <f>IMAGE("https://raw.githubusercontent.com/stautonico/pokemon-home-pokedex/main/sprites/torkoal.png", 2)</f>
        <v>0</v>
      </c>
      <c r="I46" s="48">
        <f>IMAGE("https://raw.githubusercontent.com/stautonico/pokemon-home-pokedex/main/sprites/feebas.png", 2)</f>
        <v>0</v>
      </c>
      <c r="J46" s="48">
        <f>IMAGE("https://raw.githubusercontent.com/stautonico/pokemon-home-pokedex/main/sprites/milotic.png", 2)</f>
        <v>0</v>
      </c>
      <c r="K46" s="48">
        <f>IMAGE("https://raw.githubusercontent.com/stautonico/pokemon-home-pokedex/main/sprites/castform.png", 2)</f>
        <v>0</v>
      </c>
      <c r="L46" s="48">
        <f>IMAGE("https://raw.githubusercontent.com/stautonico/pokemon-home-pokedex/main/sprites/kecleon.png", 2)</f>
        <v>0</v>
      </c>
      <c r="M46" s="48">
        <f>IMAGE("https://raw.githubusercontent.com/stautonico/pokemon-home-pokedex/main/sprites/shuppet.png", 2)</f>
        <v>0</v>
      </c>
      <c r="N46" s="48">
        <f>IMAGE("https://raw.githubusercontent.com/stautonico/pokemon-home-pokedex/main/sprites/banette.png", 2)</f>
        <v>0</v>
      </c>
    </row>
    <row r="47" spans="2:14" ht="72" customHeight="1">
      <c r="B47" s="48">
        <f>IMAGE("https://raw.githubusercontent.com/stautonico/pokemon-home-pokedex/main/sprites/spoink.png", 2)</f>
        <v>0</v>
      </c>
      <c r="C47" s="48">
        <f>IMAGE("https://raw.githubusercontent.com/stautonico/pokemon-home-pokedex/main/sprites/grumpig.png", 2)</f>
        <v>0</v>
      </c>
      <c r="D47" s="48">
        <f>IMAGE("https://raw.githubusercontent.com/stautonico/pokemon-home-pokedex/main/sprites/spinda.png", 2)</f>
        <v>0</v>
      </c>
      <c r="E47" s="48">
        <f>IMAGE("https://raw.githubusercontent.com/stautonico/pokemon-home-pokedex/main/sprites/trapinch.png", 2)</f>
        <v>0</v>
      </c>
      <c r="F47" s="48">
        <f>IMAGE("https://raw.githubusercontent.com/stautonico/pokemon-home-pokedex/main/sprites/vibrava.png", 2)</f>
        <v>0</v>
      </c>
      <c r="G47" s="48">
        <f>IMAGE("https://raw.githubusercontent.com/stautonico/pokemon-home-pokedex/main/sprites/flygon.png", 2)</f>
        <v>0</v>
      </c>
      <c r="I47" s="48">
        <f>IMAGE("https://raw.githubusercontent.com/stautonico/pokemon-home-pokedex/main/sprites/duskull.png", 2)</f>
        <v>0</v>
      </c>
      <c r="J47" s="48">
        <f>IMAGE("https://raw.githubusercontent.com/stautonico/pokemon-home-pokedex/main/sprites/dusclops.png", 2)</f>
        <v>0</v>
      </c>
      <c r="K47" s="48">
        <f>IMAGE("https://raw.githubusercontent.com/stautonico/pokemon-home-pokedex/main/sprites/tropius.png", 2)</f>
        <v>0</v>
      </c>
      <c r="L47" s="48">
        <f>IMAGE("https://raw.githubusercontent.com/stautonico/pokemon-home-pokedex/main/sprites/chimecho.png", 2)</f>
        <v>0</v>
      </c>
      <c r="M47" s="48">
        <f>IMAGE("https://raw.githubusercontent.com/stautonico/pokemon-home-pokedex/main/sprites/absol.png", 2)</f>
        <v>0</v>
      </c>
      <c r="N47" s="48">
        <f>IMAGE("https://raw.githubusercontent.com/stautonico/pokemon-home-pokedex/main/sprites/wynaut.png", 2)</f>
        <v>0</v>
      </c>
    </row>
    <row r="50" spans="2:14">
      <c r="B50" s="47" t="s">
        <v>1451</v>
      </c>
      <c r="I50" s="47" t="s">
        <v>1452</v>
      </c>
    </row>
    <row r="51" spans="2:14" ht="72" customHeight="1">
      <c r="B51" s="48">
        <f>IMAGE("https://raw.githubusercontent.com/stautonico/pokemon-home-pokedex/main/sprites/snorunt.png", 2)</f>
        <v>0</v>
      </c>
      <c r="C51" s="48">
        <f>IMAGE("https://raw.githubusercontent.com/stautonico/pokemon-home-pokedex/main/sprites/glalie.png", 2)</f>
        <v>0</v>
      </c>
      <c r="D51" s="48">
        <f>IMAGE("https://raw.githubusercontent.com/stautonico/pokemon-home-pokedex/main/sprites/spheal.png", 2)</f>
        <v>0</v>
      </c>
      <c r="E51" s="48">
        <f>IMAGE("https://raw.githubusercontent.com/stautonico/pokemon-home-pokedex/main/sprites/sealeo.png", 2)</f>
        <v>0</v>
      </c>
      <c r="F51" s="48">
        <f>IMAGE("https://raw.githubusercontent.com/stautonico/pokemon-home-pokedex/main/sprites/walrein.png", 2)</f>
        <v>0</v>
      </c>
      <c r="G51" s="48">
        <f>IMAGE("https://raw.githubusercontent.com/stautonico/pokemon-home-pokedex/main/sprites/clamperl.png", 2)</f>
        <v>0</v>
      </c>
      <c r="I51" s="48">
        <f>IMAGE("https://raw.githubusercontent.com/stautonico/pokemon-home-pokedex/main/sprites/monferno.png", 2)</f>
        <v>0</v>
      </c>
      <c r="J51" s="48">
        <f>IMAGE("https://raw.githubusercontent.com/stautonico/pokemon-home-pokedex/main/sprites/infernape.png", 2)</f>
        <v>0</v>
      </c>
      <c r="K51" s="48">
        <f>IMAGE("https://raw.githubusercontent.com/stautonico/pokemon-home-pokedex/main/sprites/piplup.png", 2)</f>
        <v>0</v>
      </c>
      <c r="L51" s="48">
        <f>IMAGE("https://raw.githubusercontent.com/stautonico/pokemon-home-pokedex/main/sprites/prinplup.png", 2)</f>
        <v>0</v>
      </c>
      <c r="M51" s="48">
        <f>IMAGE("https://raw.githubusercontent.com/stautonico/pokemon-home-pokedex/main/sprites/empoleon.png", 2)</f>
        <v>0</v>
      </c>
      <c r="N51" s="48">
        <f>IMAGE("https://raw.githubusercontent.com/stautonico/pokemon-home-pokedex/main/sprites/starly.png", 2)</f>
        <v>0</v>
      </c>
    </row>
    <row r="52" spans="2:14" ht="72" customHeight="1">
      <c r="B52" s="48">
        <f>IMAGE("https://raw.githubusercontent.com/stautonico/pokemon-home-pokedex/main/sprites/huntail.png", 2)</f>
        <v>0</v>
      </c>
      <c r="C52" s="48">
        <f>IMAGE("https://raw.githubusercontent.com/stautonico/pokemon-home-pokedex/main/sprites/gorebyss.png", 2)</f>
        <v>0</v>
      </c>
      <c r="D52" s="48">
        <f>IMAGE("https://raw.githubusercontent.com/stautonico/pokemon-home-pokedex/main/sprites/relicanth.png", 2)</f>
        <v>0</v>
      </c>
      <c r="E52" s="48">
        <f>IMAGE("https://raw.githubusercontent.com/stautonico/pokemon-home-pokedex/main/sprites/luvdisc.png", 2)</f>
        <v>0</v>
      </c>
      <c r="F52" s="48">
        <f>IMAGE("https://raw.githubusercontent.com/stautonico/pokemon-home-pokedex/main/sprites/bagon.png", 2)</f>
        <v>0</v>
      </c>
      <c r="G52" s="48">
        <f>IMAGE("https://raw.githubusercontent.com/stautonico/pokemon-home-pokedex/main/sprites/shelgon.png", 2)</f>
        <v>0</v>
      </c>
      <c r="I52" s="48">
        <f>IMAGE("https://raw.githubusercontent.com/stautonico/pokemon-home-pokedex/main/sprites/staravia.png", 2)</f>
        <v>0</v>
      </c>
      <c r="J52" s="48">
        <f>IMAGE("https://raw.githubusercontent.com/stautonico/pokemon-home-pokedex/main/sprites/staraptor.png", 2)</f>
        <v>0</v>
      </c>
      <c r="K52" s="48">
        <f>IMAGE("https://raw.githubusercontent.com/stautonico/pokemon-home-pokedex/main/sprites/bidoof.png", 2)</f>
        <v>0</v>
      </c>
      <c r="L52" s="48">
        <f>IMAGE("https://raw.githubusercontent.com/stautonico/pokemon-home-pokedex/main/sprites/bibarel.png", 2)</f>
        <v>0</v>
      </c>
      <c r="M52" s="48">
        <f>IMAGE("https://raw.githubusercontent.com/stautonico/pokemon-home-pokedex/main/sprites/kricketot.png", 2)</f>
        <v>0</v>
      </c>
      <c r="N52" s="48">
        <f>IMAGE("https://raw.githubusercontent.com/stautonico/pokemon-home-pokedex/main/sprites/kricketune.png", 2)</f>
        <v>0</v>
      </c>
    </row>
    <row r="53" spans="2:14" ht="72" customHeight="1">
      <c r="B53" s="48">
        <f>IMAGE("https://raw.githubusercontent.com/stautonico/pokemon-home-pokedex/main/sprites/salamence.png", 2)</f>
        <v>0</v>
      </c>
      <c r="C53" s="48">
        <f>IMAGE("https://raw.githubusercontent.com/stautonico/pokemon-home-pokedex/main/sprites/beldum.png", 2)</f>
        <v>0</v>
      </c>
      <c r="D53" s="48">
        <f>IMAGE("https://raw.githubusercontent.com/stautonico/pokemon-home-pokedex/main/sprites/metang.png", 2)</f>
        <v>0</v>
      </c>
      <c r="E53" s="48">
        <f>IMAGE("https://raw.githubusercontent.com/stautonico/pokemon-home-pokedex/main/sprites/metagross.png", 2)</f>
        <v>0</v>
      </c>
      <c r="F53" s="48">
        <f>IMAGE("https://raw.githubusercontent.com/stautonico/pokemon-home-pokedex/main/sprites/regirock.png", 2)</f>
        <v>0</v>
      </c>
      <c r="G53" s="48">
        <f>IMAGE("https://raw.githubusercontent.com/stautonico/pokemon-home-pokedex/main/sprites/regice.png", 2)</f>
        <v>0</v>
      </c>
      <c r="I53" s="48">
        <f>IMAGE("https://raw.githubusercontent.com/stautonico/pokemon-home-pokedex/main/sprites/shinx.png", 2)</f>
        <v>0</v>
      </c>
      <c r="J53" s="48">
        <f>IMAGE("https://raw.githubusercontent.com/stautonico/pokemon-home-pokedex/main/sprites/luxio.png", 2)</f>
        <v>0</v>
      </c>
      <c r="K53" s="48">
        <f>IMAGE("https://raw.githubusercontent.com/stautonico/pokemon-home-pokedex/main/sprites/luxray.png", 2)</f>
        <v>0</v>
      </c>
      <c r="L53" s="48">
        <f>IMAGE("https://raw.githubusercontent.com/stautonico/pokemon-home-pokedex/main/sprites/budew.png", 2)</f>
        <v>0</v>
      </c>
      <c r="M53" s="48">
        <f>IMAGE("https://raw.githubusercontent.com/stautonico/pokemon-home-pokedex/main/sprites/roserade.png", 2)</f>
        <v>0</v>
      </c>
      <c r="N53" s="48">
        <f>IMAGE("https://raw.githubusercontent.com/stautonico/pokemon-home-pokedex/main/sprites/cranidos.png", 2)</f>
        <v>0</v>
      </c>
    </row>
    <row r="54" spans="2:14" ht="72" customHeight="1">
      <c r="B54" s="48">
        <f>IMAGE("https://raw.githubusercontent.com/stautonico/pokemon-home-pokedex/main/sprites/registeel.png", 2)</f>
        <v>0</v>
      </c>
      <c r="C54" s="48">
        <f>IMAGE("https://raw.githubusercontent.com/stautonico/pokemon-home-pokedex/main/sprites/latias.png", 2)</f>
        <v>0</v>
      </c>
      <c r="D54" s="48">
        <f>IMAGE("https://raw.githubusercontent.com/stautonico/pokemon-home-pokedex/main/sprites/latios.png", 2)</f>
        <v>0</v>
      </c>
      <c r="E54" s="48">
        <f>IMAGE("https://raw.githubusercontent.com/stautonico/pokemon-home-pokedex/main/sprites/kyogre.png", 2)</f>
        <v>0</v>
      </c>
      <c r="F54" s="48">
        <f>IMAGE("https://raw.githubusercontent.com/stautonico/pokemon-home-pokedex/main/sprites/groudon.png", 2)</f>
        <v>0</v>
      </c>
      <c r="G54" s="48">
        <f>IMAGE("https://raw.githubusercontent.com/stautonico/pokemon-home-pokedex/main/sprites/rayquaza.png", 2)</f>
        <v>0</v>
      </c>
      <c r="I54" s="48">
        <f>IMAGE("https://raw.githubusercontent.com/stautonico/pokemon-home-pokedex/main/sprites/rampardos.png", 2)</f>
        <v>0</v>
      </c>
      <c r="J54" s="48">
        <f>IMAGE("https://raw.githubusercontent.com/stautonico/pokemon-home-pokedex/main/sprites/shieldon.png", 2)</f>
        <v>0</v>
      </c>
      <c r="K54" s="48">
        <f>IMAGE("https://raw.githubusercontent.com/stautonico/pokemon-home-pokedex/main/sprites/bastiodon.png", 2)</f>
        <v>0</v>
      </c>
      <c r="L54" s="48">
        <f>IMAGE("https://raw.githubusercontent.com/stautonico/pokemon-home-pokedex/main/sprites/burmy.png", 2)</f>
        <v>0</v>
      </c>
      <c r="M54" s="48">
        <f>IMAGE("https://raw.githubusercontent.com/stautonico/pokemon-home-pokedex/main/sprites/wormadam.png", 2)</f>
        <v>0</v>
      </c>
      <c r="N54" s="48">
        <f>IMAGE("https://raw.githubusercontent.com/stautonico/pokemon-home-pokedex/main/sprites/mothim.png", 2)</f>
        <v>0</v>
      </c>
    </row>
    <row r="55" spans="2:14" ht="72" customHeight="1">
      <c r="B55" s="48">
        <f>IMAGE("https://raw.githubusercontent.com/stautonico/pokemon-home-pokedex/main/sprites/jirachi.png", 2)</f>
        <v>0</v>
      </c>
      <c r="C55" s="48">
        <f>IMAGE("https://raw.githubusercontent.com/stautonico/pokemon-home-pokedex/main/sprites/deoxys.png", 2)</f>
        <v>0</v>
      </c>
      <c r="D55" s="48">
        <f>IMAGE("https://raw.githubusercontent.com/stautonico/pokemon-home-pokedex/main/sprites/turtwig.png", 2)</f>
        <v>0</v>
      </c>
      <c r="E55" s="48">
        <f>IMAGE("https://raw.githubusercontent.com/stautonico/pokemon-home-pokedex/main/sprites/grotle.png", 2)</f>
        <v>0</v>
      </c>
      <c r="F55" s="48">
        <f>IMAGE("https://raw.githubusercontent.com/stautonico/pokemon-home-pokedex/main/sprites/torterra.png", 2)</f>
        <v>0</v>
      </c>
      <c r="G55" s="48">
        <f>IMAGE("https://raw.githubusercontent.com/stautonico/pokemon-home-pokedex/main/sprites/chimchar.png", 2)</f>
        <v>0</v>
      </c>
      <c r="I55" s="48">
        <f>IMAGE("https://raw.githubusercontent.com/stautonico/pokemon-home-pokedex/main/sprites/combee.png", 2)</f>
        <v>0</v>
      </c>
      <c r="J55" s="48">
        <f>IMAGE("https://raw.githubusercontent.com/stautonico/pokemon-home-pokedex/main/sprites/vespiquen.png", 2)</f>
        <v>0</v>
      </c>
      <c r="K55" s="48">
        <f>IMAGE("https://raw.githubusercontent.com/stautonico/pokemon-home-pokedex/main/sprites/pachirisu.png", 2)</f>
        <v>0</v>
      </c>
      <c r="L55" s="48">
        <f>IMAGE("https://raw.githubusercontent.com/stautonico/pokemon-home-pokedex/main/sprites/buizel.png", 2)</f>
        <v>0</v>
      </c>
      <c r="M55" s="48">
        <f>IMAGE("https://raw.githubusercontent.com/stautonico/pokemon-home-pokedex/main/sprites/floatzel.png", 2)</f>
        <v>0</v>
      </c>
      <c r="N55" s="48">
        <f>IMAGE("https://raw.githubusercontent.com/stautonico/pokemon-home-pokedex/main/sprites/cherubi.png", 2)</f>
        <v>0</v>
      </c>
    </row>
    <row r="58" spans="2:14">
      <c r="B58" s="47" t="s">
        <v>1453</v>
      </c>
      <c r="I58" s="47" t="s">
        <v>1454</v>
      </c>
    </row>
    <row r="59" spans="2:14" ht="72" customHeight="1">
      <c r="B59" s="48">
        <f>IMAGE("https://raw.githubusercontent.com/stautonico/pokemon-home-pokedex/main/sprites/cherrim.png", 2)</f>
        <v>0</v>
      </c>
      <c r="C59" s="48">
        <f>IMAGE("https://raw.githubusercontent.com/stautonico/pokemon-home-pokedex/main/sprites/shellos.png", 2)</f>
        <v>0</v>
      </c>
      <c r="D59" s="48">
        <f>IMAGE("https://raw.githubusercontent.com/stautonico/pokemon-home-pokedex/main/sprites/gastrodon.png", 2)</f>
        <v>0</v>
      </c>
      <c r="E59" s="48">
        <f>IMAGE("https://raw.githubusercontent.com/stautonico/pokemon-home-pokedex/main/sprites/ambipom.png", 2)</f>
        <v>0</v>
      </c>
      <c r="F59" s="48">
        <f>IMAGE("https://raw.githubusercontent.com/stautonico/pokemon-home-pokedex/main/sprites/drifloon.png", 2)</f>
        <v>0</v>
      </c>
      <c r="G59" s="48">
        <f>IMAGE("https://raw.githubusercontent.com/stautonico/pokemon-home-pokedex/main/sprites/drifblim.png", 2)</f>
        <v>0</v>
      </c>
      <c r="I59" s="48">
        <f>IMAGE("https://raw.githubusercontent.com/stautonico/pokemon-home-pokedex/main/sprites/skorupi.png", 2)</f>
        <v>0</v>
      </c>
      <c r="J59" s="48">
        <f>IMAGE("https://raw.githubusercontent.com/stautonico/pokemon-home-pokedex/main/sprites/drapion.png", 2)</f>
        <v>0</v>
      </c>
      <c r="K59" s="48">
        <f>IMAGE("https://raw.githubusercontent.com/stautonico/pokemon-home-pokedex/main/sprites/croagunk.png", 2)</f>
        <v>0</v>
      </c>
      <c r="L59" s="48">
        <f>IMAGE("https://raw.githubusercontent.com/stautonico/pokemon-home-pokedex/main/sprites/toxicroak.png", 2)</f>
        <v>0</v>
      </c>
      <c r="M59" s="48">
        <f>IMAGE("https://raw.githubusercontent.com/stautonico/pokemon-home-pokedex/main/sprites/carnivine.png", 2)</f>
        <v>0</v>
      </c>
      <c r="N59" s="48">
        <f>IMAGE("https://raw.githubusercontent.com/stautonico/pokemon-home-pokedex/main/sprites/finneon.png", 2)</f>
        <v>0</v>
      </c>
    </row>
    <row r="60" spans="2:14" ht="72" customHeight="1">
      <c r="B60" s="48">
        <f>IMAGE("https://raw.githubusercontent.com/stautonico/pokemon-home-pokedex/main/sprites/buneary.png", 2)</f>
        <v>0</v>
      </c>
      <c r="C60" s="48">
        <f>IMAGE("https://raw.githubusercontent.com/stautonico/pokemon-home-pokedex/main/sprites/lopunny.png", 2)</f>
        <v>0</v>
      </c>
      <c r="D60" s="48">
        <f>IMAGE("https://raw.githubusercontent.com/stautonico/pokemon-home-pokedex/main/sprites/mismagius.png", 2)</f>
        <v>0</v>
      </c>
      <c r="E60" s="48">
        <f>IMAGE("https://raw.githubusercontent.com/stautonico/pokemon-home-pokedex/main/sprites/honchkrow.png", 2)</f>
        <v>0</v>
      </c>
      <c r="F60" s="48">
        <f>IMAGE("https://raw.githubusercontent.com/stautonico/pokemon-home-pokedex/main/sprites/glameow.png", 2)</f>
        <v>0</v>
      </c>
      <c r="G60" s="48">
        <f>IMAGE("https://raw.githubusercontent.com/stautonico/pokemon-home-pokedex/main/sprites/purugly.png", 2)</f>
        <v>0</v>
      </c>
      <c r="I60" s="48">
        <f>IMAGE("https://raw.githubusercontent.com/stautonico/pokemon-home-pokedex/main/sprites/lumineon.png", 2)</f>
        <v>0</v>
      </c>
      <c r="J60" s="48">
        <f>IMAGE("https://raw.githubusercontent.com/stautonico/pokemon-home-pokedex/main/sprites/mantyke.png", 2)</f>
        <v>0</v>
      </c>
      <c r="K60" s="48">
        <f>IMAGE("https://raw.githubusercontent.com/stautonico/pokemon-home-pokedex/main/sprites/snover.png", 2)</f>
        <v>0</v>
      </c>
      <c r="L60" s="48">
        <f>IMAGE("https://raw.githubusercontent.com/stautonico/pokemon-home-pokedex/main/sprites/abomasnow.png", 2)</f>
        <v>0</v>
      </c>
      <c r="M60" s="48">
        <f>IMAGE("https://raw.githubusercontent.com/stautonico/pokemon-home-pokedex/main/sprites/weavile.png", 2)</f>
        <v>0</v>
      </c>
      <c r="N60" s="48">
        <f>IMAGE("https://raw.githubusercontent.com/stautonico/pokemon-home-pokedex/main/sprites/magnezone.png", 2)</f>
        <v>0</v>
      </c>
    </row>
    <row r="61" spans="2:14" ht="72" customHeight="1">
      <c r="B61" s="48">
        <f>IMAGE("https://raw.githubusercontent.com/stautonico/pokemon-home-pokedex/main/sprites/chingling.png", 2)</f>
        <v>0</v>
      </c>
      <c r="C61" s="48">
        <f>IMAGE("https://raw.githubusercontent.com/stautonico/pokemon-home-pokedex/main/sprites/stunky.png", 2)</f>
        <v>0</v>
      </c>
      <c r="D61" s="48">
        <f>IMAGE("https://raw.githubusercontent.com/stautonico/pokemon-home-pokedex/main/sprites/skuntank.png", 2)</f>
        <v>0</v>
      </c>
      <c r="E61" s="48">
        <f>IMAGE("https://raw.githubusercontent.com/stautonico/pokemon-home-pokedex/main/sprites/bronzor.png", 2)</f>
        <v>0</v>
      </c>
      <c r="F61" s="48">
        <f>IMAGE("https://raw.githubusercontent.com/stautonico/pokemon-home-pokedex/main/sprites/bronzong.png", 2)</f>
        <v>0</v>
      </c>
      <c r="G61" s="48">
        <f>IMAGE("https://raw.githubusercontent.com/stautonico/pokemon-home-pokedex/main/sprites/bonsly.png", 2)</f>
        <v>0</v>
      </c>
      <c r="I61" s="48">
        <f>IMAGE("https://raw.githubusercontent.com/stautonico/pokemon-home-pokedex/main/sprites/lickilicky.png", 2)</f>
        <v>0</v>
      </c>
      <c r="J61" s="48">
        <f>IMAGE("https://raw.githubusercontent.com/stautonico/pokemon-home-pokedex/main/sprites/rhyperior.png", 2)</f>
        <v>0</v>
      </c>
      <c r="K61" s="48">
        <f>IMAGE("https://raw.githubusercontent.com/stautonico/pokemon-home-pokedex/main/sprites/tangrowth.png", 2)</f>
        <v>0</v>
      </c>
      <c r="L61" s="48">
        <f>IMAGE("https://raw.githubusercontent.com/stautonico/pokemon-home-pokedex/main/sprites/electivire.png", 2)</f>
        <v>0</v>
      </c>
      <c r="M61" s="48">
        <f>IMAGE("https://raw.githubusercontent.com/stautonico/pokemon-home-pokedex/main/sprites/magmortar.png", 2)</f>
        <v>0</v>
      </c>
      <c r="N61" s="48">
        <f>IMAGE("https://raw.githubusercontent.com/stautonico/pokemon-home-pokedex/main/sprites/togekiss.png", 2)</f>
        <v>0</v>
      </c>
    </row>
    <row r="62" spans="2:14" ht="72" customHeight="1">
      <c r="B62" s="48">
        <f>IMAGE("https://raw.githubusercontent.com/stautonico/pokemon-home-pokedex/main/sprites/mimejr.png", 2)</f>
        <v>0</v>
      </c>
      <c r="C62" s="48">
        <f>IMAGE("https://raw.githubusercontent.com/stautonico/pokemon-home-pokedex/main/sprites/happiny.png", 2)</f>
        <v>0</v>
      </c>
      <c r="D62" s="48">
        <f>IMAGE("https://raw.githubusercontent.com/stautonico/pokemon-home-pokedex/main/sprites/chatot.png", 2)</f>
        <v>0</v>
      </c>
      <c r="E62" s="48">
        <f>IMAGE("https://raw.githubusercontent.com/stautonico/pokemon-home-pokedex/main/sprites/spiritomb.png", 2)</f>
        <v>0</v>
      </c>
      <c r="F62" s="48">
        <f>IMAGE("https://raw.githubusercontent.com/stautonico/pokemon-home-pokedex/main/sprites/gible.png", 2)</f>
        <v>0</v>
      </c>
      <c r="G62" s="48">
        <f>IMAGE("https://raw.githubusercontent.com/stautonico/pokemon-home-pokedex/main/sprites/gabite.png", 2)</f>
        <v>0</v>
      </c>
      <c r="I62" s="48">
        <f>IMAGE("https://raw.githubusercontent.com/stautonico/pokemon-home-pokedex/main/sprites/yanmega.png", 2)</f>
        <v>0</v>
      </c>
      <c r="J62" s="48">
        <f>IMAGE("https://raw.githubusercontent.com/stautonico/pokemon-home-pokedex/main/sprites/leafeon.png", 2)</f>
        <v>0</v>
      </c>
      <c r="K62" s="48">
        <f>IMAGE("https://raw.githubusercontent.com/stautonico/pokemon-home-pokedex/main/sprites/glaceon.png", 2)</f>
        <v>0</v>
      </c>
      <c r="L62" s="48">
        <f>IMAGE("https://raw.githubusercontent.com/stautonico/pokemon-home-pokedex/main/sprites/gliscor.png", 2)</f>
        <v>0</v>
      </c>
      <c r="M62" s="48">
        <f>IMAGE("https://raw.githubusercontent.com/stautonico/pokemon-home-pokedex/main/sprites/mamoswine.png", 2)</f>
        <v>0</v>
      </c>
      <c r="N62" s="48">
        <f>IMAGE("https://raw.githubusercontent.com/stautonico/pokemon-home-pokedex/main/sprites/porygonz.png", 2)</f>
        <v>0</v>
      </c>
    </row>
    <row r="63" spans="2:14" ht="72" customHeight="1">
      <c r="B63" s="48">
        <f>IMAGE("https://raw.githubusercontent.com/stautonico/pokemon-home-pokedex/main/sprites/garchomp.png", 2)</f>
        <v>0</v>
      </c>
      <c r="C63" s="48">
        <f>IMAGE("https://raw.githubusercontent.com/stautonico/pokemon-home-pokedex/main/sprites/munchlax.png", 2)</f>
        <v>0</v>
      </c>
      <c r="D63" s="48">
        <f>IMAGE("https://raw.githubusercontent.com/stautonico/pokemon-home-pokedex/main/sprites/riolu.png", 2)</f>
        <v>0</v>
      </c>
      <c r="E63" s="48">
        <f>IMAGE("https://raw.githubusercontent.com/stautonico/pokemon-home-pokedex/main/sprites/lucario.png", 2)</f>
        <v>0</v>
      </c>
      <c r="F63" s="48">
        <f>IMAGE("https://raw.githubusercontent.com/stautonico/pokemon-home-pokedex/main/sprites/hippopotas.png", 2)</f>
        <v>0</v>
      </c>
      <c r="G63" s="48">
        <f>IMAGE("https://raw.githubusercontent.com/stautonico/pokemon-home-pokedex/main/sprites/hippowdon.png", 2)</f>
        <v>0</v>
      </c>
      <c r="I63" s="48">
        <f>IMAGE("https://raw.githubusercontent.com/stautonico/pokemon-home-pokedex/main/sprites/gallade.png", 2)</f>
        <v>0</v>
      </c>
      <c r="J63" s="48">
        <f>IMAGE("https://raw.githubusercontent.com/stautonico/pokemon-home-pokedex/main/sprites/probopass.png", 2)</f>
        <v>0</v>
      </c>
      <c r="K63" s="48">
        <f>IMAGE("https://raw.githubusercontent.com/stautonico/pokemon-home-pokedex/main/sprites/dusknoir.png", 2)</f>
        <v>0</v>
      </c>
      <c r="L63" s="48">
        <f>IMAGE("https://raw.githubusercontent.com/stautonico/pokemon-home-pokedex/main/sprites/froslass.png", 2)</f>
        <v>0</v>
      </c>
      <c r="M63" s="48">
        <f>IMAGE("https://raw.githubusercontent.com/stautonico/pokemon-home-pokedex/main/sprites/rotom.png", 2)</f>
        <v>0</v>
      </c>
      <c r="N63" s="48">
        <f>IMAGE("https://raw.githubusercontent.com/stautonico/pokemon-home-pokedex/main/sprites/uxie.png", 2)</f>
        <v>0</v>
      </c>
    </row>
    <row r="66" spans="2:14">
      <c r="B66" s="47" t="s">
        <v>1455</v>
      </c>
      <c r="I66" s="47" t="s">
        <v>1456</v>
      </c>
    </row>
    <row r="67" spans="2:14" ht="72" customHeight="1">
      <c r="B67" s="48">
        <f>IMAGE("https://raw.githubusercontent.com/stautonico/pokemon-home-pokedex/main/sprites/mesprit.png", 2)</f>
        <v>0</v>
      </c>
      <c r="C67" s="48">
        <f>IMAGE("https://raw.githubusercontent.com/stautonico/pokemon-home-pokedex/main/sprites/azelf.png", 2)</f>
        <v>0</v>
      </c>
      <c r="D67" s="48">
        <f>IMAGE("https://raw.githubusercontent.com/stautonico/pokemon-home-pokedex/main/sprites/dialga.png", 2)</f>
        <v>0</v>
      </c>
      <c r="E67" s="48">
        <f>IMAGE("https://raw.githubusercontent.com/stautonico/pokemon-home-pokedex/main/sprites/palkia.png", 2)</f>
        <v>0</v>
      </c>
      <c r="F67" s="48">
        <f>IMAGE("https://raw.githubusercontent.com/stautonico/pokemon-home-pokedex/main/sprites/heatran.png", 2)</f>
        <v>0</v>
      </c>
      <c r="G67" s="48">
        <f>IMAGE("https://raw.githubusercontent.com/stautonico/pokemon-home-pokedex/main/sprites/regigigas.png", 2)</f>
        <v>0</v>
      </c>
      <c r="I67" s="48">
        <f>IMAGE("https://raw.githubusercontent.com/stautonico/pokemon-home-pokedex/main/sprites/pansage.png", 2)</f>
        <v>0</v>
      </c>
      <c r="J67" s="48">
        <f>IMAGE("https://raw.githubusercontent.com/stautonico/pokemon-home-pokedex/main/sprites/simisage.png", 2)</f>
        <v>0</v>
      </c>
      <c r="K67" s="48">
        <f>IMAGE("https://raw.githubusercontent.com/stautonico/pokemon-home-pokedex/main/sprites/pansear.png", 2)</f>
        <v>0</v>
      </c>
      <c r="L67" s="48">
        <f>IMAGE("https://raw.githubusercontent.com/stautonico/pokemon-home-pokedex/main/sprites/simisear.png", 2)</f>
        <v>0</v>
      </c>
      <c r="M67" s="48">
        <f>IMAGE("https://raw.githubusercontent.com/stautonico/pokemon-home-pokedex/main/sprites/panpour.png", 2)</f>
        <v>0</v>
      </c>
      <c r="N67" s="48">
        <f>IMAGE("https://raw.githubusercontent.com/stautonico/pokemon-home-pokedex/main/sprites/simipour.png", 2)</f>
        <v>0</v>
      </c>
    </row>
    <row r="68" spans="2:14" ht="72" customHeight="1">
      <c r="B68" s="48">
        <f>IMAGE("https://raw.githubusercontent.com/stautonico/pokemon-home-pokedex/main/sprites/giratina.png", 2)</f>
        <v>0</v>
      </c>
      <c r="C68" s="48">
        <f>IMAGE("https://raw.githubusercontent.com/stautonico/pokemon-home-pokedex/main/sprites/cresselia.png", 2)</f>
        <v>0</v>
      </c>
      <c r="D68" s="48">
        <f>IMAGE("https://raw.githubusercontent.com/stautonico/pokemon-home-pokedex/main/sprites/phione.png", 2)</f>
        <v>0</v>
      </c>
      <c r="E68" s="48">
        <f>IMAGE("https://raw.githubusercontent.com/stautonico/pokemon-home-pokedex/main/sprites/manaphy.png", 2)</f>
        <v>0</v>
      </c>
      <c r="F68" s="48">
        <f>IMAGE("https://raw.githubusercontent.com/stautonico/pokemon-home-pokedex/main/sprites/darkrai.png", 2)</f>
        <v>0</v>
      </c>
      <c r="G68" s="48">
        <f>IMAGE("https://raw.githubusercontent.com/stautonico/pokemon-home-pokedex/main/sprites/shaymin.png", 2)</f>
        <v>0</v>
      </c>
      <c r="I68" s="48">
        <f>IMAGE("https://raw.githubusercontent.com/stautonico/pokemon-home-pokedex/main/sprites/munna.png", 2)</f>
        <v>0</v>
      </c>
      <c r="J68" s="48">
        <f>IMAGE("https://raw.githubusercontent.com/stautonico/pokemon-home-pokedex/main/sprites/musharna.png", 2)</f>
        <v>0</v>
      </c>
      <c r="K68" s="48">
        <f>IMAGE("https://raw.githubusercontent.com/stautonico/pokemon-home-pokedex/main/sprites/pidove.png", 2)</f>
        <v>0</v>
      </c>
      <c r="L68" s="48">
        <f>IMAGE("https://raw.githubusercontent.com/stautonico/pokemon-home-pokedex/main/sprites/tranquill.png", 2)</f>
        <v>0</v>
      </c>
      <c r="M68" s="48">
        <f>IMAGE("https://raw.githubusercontent.com/stautonico/pokemon-home-pokedex/main/sprites/unfezant.png", 2)</f>
        <v>0</v>
      </c>
      <c r="N68" s="48">
        <f>IMAGE("https://raw.githubusercontent.com/stautonico/pokemon-home-pokedex/main/sprites/blitzle.png", 2)</f>
        <v>0</v>
      </c>
    </row>
    <row r="69" spans="2:14" ht="72" customHeight="1">
      <c r="B69" s="48">
        <f>IMAGE("https://raw.githubusercontent.com/stautonico/pokemon-home-pokedex/main/sprites/arceus.png", 2)</f>
        <v>0</v>
      </c>
      <c r="C69" s="48">
        <f>IMAGE("https://raw.githubusercontent.com/stautonico/pokemon-home-pokedex/main/sprites/victini.png", 2)</f>
        <v>0</v>
      </c>
      <c r="D69" s="48">
        <f>IMAGE("https://raw.githubusercontent.com/stautonico/pokemon-home-pokedex/main/sprites/snivy.png", 2)</f>
        <v>0</v>
      </c>
      <c r="E69" s="48">
        <f>IMAGE("https://raw.githubusercontent.com/stautonico/pokemon-home-pokedex/main/sprites/servine.png", 2)</f>
        <v>0</v>
      </c>
      <c r="F69" s="48">
        <f>IMAGE("https://raw.githubusercontent.com/stautonico/pokemon-home-pokedex/main/sprites/serperior.png", 2)</f>
        <v>0</v>
      </c>
      <c r="G69" s="48">
        <f>IMAGE("https://raw.githubusercontent.com/stautonico/pokemon-home-pokedex/main/sprites/tepig.png", 2)</f>
        <v>0</v>
      </c>
      <c r="I69" s="48">
        <f>IMAGE("https://raw.githubusercontent.com/stautonico/pokemon-home-pokedex/main/sprites/zebstrika.png", 2)</f>
        <v>0</v>
      </c>
      <c r="J69" s="48">
        <f>IMAGE("https://raw.githubusercontent.com/stautonico/pokemon-home-pokedex/main/sprites/roggenrola.png", 2)</f>
        <v>0</v>
      </c>
      <c r="K69" s="48">
        <f>IMAGE("https://raw.githubusercontent.com/stautonico/pokemon-home-pokedex/main/sprites/boldore.png", 2)</f>
        <v>0</v>
      </c>
      <c r="L69" s="48">
        <f>IMAGE("https://raw.githubusercontent.com/stautonico/pokemon-home-pokedex/main/sprites/gigalith.png", 2)</f>
        <v>0</v>
      </c>
      <c r="M69" s="48">
        <f>IMAGE("https://raw.githubusercontent.com/stautonico/pokemon-home-pokedex/main/sprites/woobat.png", 2)</f>
        <v>0</v>
      </c>
      <c r="N69" s="48">
        <f>IMAGE("https://raw.githubusercontent.com/stautonico/pokemon-home-pokedex/main/sprites/swoobat.png", 2)</f>
        <v>0</v>
      </c>
    </row>
    <row r="70" spans="2:14" ht="72" customHeight="1">
      <c r="B70" s="48">
        <f>IMAGE("https://raw.githubusercontent.com/stautonico/pokemon-home-pokedex/main/sprites/pignite.png", 2)</f>
        <v>0</v>
      </c>
      <c r="C70" s="48">
        <f>IMAGE("https://raw.githubusercontent.com/stautonico/pokemon-home-pokedex/main/sprites/emboar.png", 2)</f>
        <v>0</v>
      </c>
      <c r="D70" s="48">
        <f>IMAGE("https://raw.githubusercontent.com/stautonico/pokemon-home-pokedex/main/sprites/oshawott.png", 2)</f>
        <v>0</v>
      </c>
      <c r="E70" s="48">
        <f>IMAGE("https://raw.githubusercontent.com/stautonico/pokemon-home-pokedex/main/sprites/dewott.png", 2)</f>
        <v>0</v>
      </c>
      <c r="F70" s="48">
        <f>IMAGE("https://raw.githubusercontent.com/stautonico/pokemon-home-pokedex/main/sprites/samurott.png", 2)</f>
        <v>0</v>
      </c>
      <c r="G70" s="48">
        <f>IMAGE("https://raw.githubusercontent.com/stautonico/pokemon-home-pokedex/main/sprites/patrat.png", 2)</f>
        <v>0</v>
      </c>
      <c r="I70" s="48">
        <f>IMAGE("https://raw.githubusercontent.com/stautonico/pokemon-home-pokedex/main/sprites/drilbur.png", 2)</f>
        <v>0</v>
      </c>
      <c r="J70" s="48">
        <f>IMAGE("https://raw.githubusercontent.com/stautonico/pokemon-home-pokedex/main/sprites/excadrill.png", 2)</f>
        <v>0</v>
      </c>
      <c r="K70" s="48">
        <f>IMAGE("https://raw.githubusercontent.com/stautonico/pokemon-home-pokedex/main/sprites/audino.png", 2)</f>
        <v>0</v>
      </c>
      <c r="L70" s="48">
        <f>IMAGE("https://raw.githubusercontent.com/stautonico/pokemon-home-pokedex/main/sprites/timburr.png", 2)</f>
        <v>0</v>
      </c>
      <c r="M70" s="48">
        <f>IMAGE("https://raw.githubusercontent.com/stautonico/pokemon-home-pokedex/main/sprites/gurdurr.png", 2)</f>
        <v>0</v>
      </c>
      <c r="N70" s="48">
        <f>IMAGE("https://raw.githubusercontent.com/stautonico/pokemon-home-pokedex/main/sprites/conkeldurr.png", 2)</f>
        <v>0</v>
      </c>
    </row>
    <row r="71" spans="2:14" ht="72" customHeight="1">
      <c r="B71" s="48">
        <f>IMAGE("https://raw.githubusercontent.com/stautonico/pokemon-home-pokedex/main/sprites/watchog.png", 2)</f>
        <v>0</v>
      </c>
      <c r="C71" s="48">
        <f>IMAGE("https://raw.githubusercontent.com/stautonico/pokemon-home-pokedex/main/sprites/lillipup.png", 2)</f>
        <v>0</v>
      </c>
      <c r="D71" s="48">
        <f>IMAGE("https://raw.githubusercontent.com/stautonico/pokemon-home-pokedex/main/sprites/herdier.png", 2)</f>
        <v>0</v>
      </c>
      <c r="E71" s="48">
        <f>IMAGE("https://raw.githubusercontent.com/stautonico/pokemon-home-pokedex/main/sprites/stoutland.png", 2)</f>
        <v>0</v>
      </c>
      <c r="F71" s="48">
        <f>IMAGE("https://raw.githubusercontent.com/stautonico/pokemon-home-pokedex/main/sprites/purrloin.png", 2)</f>
        <v>0</v>
      </c>
      <c r="G71" s="48">
        <f>IMAGE("https://raw.githubusercontent.com/stautonico/pokemon-home-pokedex/main/sprites/liepard.png", 2)</f>
        <v>0</v>
      </c>
      <c r="I71" s="48">
        <f>IMAGE("https://raw.githubusercontent.com/stautonico/pokemon-home-pokedex/main/sprites/tympole.png", 2)</f>
        <v>0</v>
      </c>
      <c r="J71" s="48">
        <f>IMAGE("https://raw.githubusercontent.com/stautonico/pokemon-home-pokedex/main/sprites/palpitoad.png", 2)</f>
        <v>0</v>
      </c>
      <c r="K71" s="48">
        <f>IMAGE("https://raw.githubusercontent.com/stautonico/pokemon-home-pokedex/main/sprites/seismitoad.png", 2)</f>
        <v>0</v>
      </c>
      <c r="L71" s="48">
        <f>IMAGE("https://raw.githubusercontent.com/stautonico/pokemon-home-pokedex/main/sprites/throh.png", 2)</f>
        <v>0</v>
      </c>
      <c r="M71" s="48">
        <f>IMAGE("https://raw.githubusercontent.com/stautonico/pokemon-home-pokedex/main/sprites/sawk.png", 2)</f>
        <v>0</v>
      </c>
      <c r="N71" s="48">
        <f>IMAGE("https://raw.githubusercontent.com/stautonico/pokemon-home-pokedex/main/sprites/sewaddle.png", 2)</f>
        <v>0</v>
      </c>
    </row>
    <row r="74" spans="2:14">
      <c r="B74" s="47" t="s">
        <v>1457</v>
      </c>
      <c r="I74" s="47" t="s">
        <v>1458</v>
      </c>
    </row>
    <row r="75" spans="2:14" ht="72" customHeight="1">
      <c r="B75" s="48">
        <f>IMAGE("https://raw.githubusercontent.com/stautonico/pokemon-home-pokedex/main/sprites/swadloon.png", 2)</f>
        <v>0</v>
      </c>
      <c r="C75" s="48">
        <f>IMAGE("https://raw.githubusercontent.com/stautonico/pokemon-home-pokedex/main/sprites/leavanny.png", 2)</f>
        <v>0</v>
      </c>
      <c r="D75" s="48">
        <f>IMAGE("https://raw.githubusercontent.com/stautonico/pokemon-home-pokedex/main/sprites/venipede.png", 2)</f>
        <v>0</v>
      </c>
      <c r="E75" s="48">
        <f>IMAGE("https://raw.githubusercontent.com/stautonico/pokemon-home-pokedex/main/sprites/whirlipede.png", 2)</f>
        <v>0</v>
      </c>
      <c r="F75" s="48">
        <f>IMAGE("https://raw.githubusercontent.com/stautonico/pokemon-home-pokedex/main/sprites/scolipede.png", 2)</f>
        <v>0</v>
      </c>
      <c r="G75" s="48">
        <f>IMAGE("https://raw.githubusercontent.com/stautonico/pokemon-home-pokedex/main/sprites/cottonee.png", 2)</f>
        <v>0</v>
      </c>
      <c r="I75" s="48">
        <f>IMAGE("https://raw.githubusercontent.com/stautonico/pokemon-home-pokedex/main/sprites/zoroark.png", 2)</f>
        <v>0</v>
      </c>
      <c r="J75" s="48">
        <f>IMAGE("https://raw.githubusercontent.com/stautonico/pokemon-home-pokedex/main/sprites/minccino.png", 2)</f>
        <v>0</v>
      </c>
      <c r="K75" s="48">
        <f>IMAGE("https://raw.githubusercontent.com/stautonico/pokemon-home-pokedex/main/sprites/cinccino.png", 2)</f>
        <v>0</v>
      </c>
      <c r="L75" s="48">
        <f>IMAGE("https://raw.githubusercontent.com/stautonico/pokemon-home-pokedex/main/sprites/gothita.png", 2)</f>
        <v>0</v>
      </c>
      <c r="M75" s="48">
        <f>IMAGE("https://raw.githubusercontent.com/stautonico/pokemon-home-pokedex/main/sprites/gothorita.png", 2)</f>
        <v>0</v>
      </c>
      <c r="N75" s="48">
        <f>IMAGE("https://raw.githubusercontent.com/stautonico/pokemon-home-pokedex/main/sprites/gothitelle.png", 2)</f>
        <v>0</v>
      </c>
    </row>
    <row r="76" spans="2:14" ht="72" customHeight="1">
      <c r="B76" s="48">
        <f>IMAGE("https://raw.githubusercontent.com/stautonico/pokemon-home-pokedex/main/sprites/whimsicott.png", 2)</f>
        <v>0</v>
      </c>
      <c r="C76" s="48">
        <f>IMAGE("https://raw.githubusercontent.com/stautonico/pokemon-home-pokedex/main/sprites/petilil.png", 2)</f>
        <v>0</v>
      </c>
      <c r="D76" s="48">
        <f>IMAGE("https://raw.githubusercontent.com/stautonico/pokemon-home-pokedex/main/sprites/lilligant.png", 2)</f>
        <v>0</v>
      </c>
      <c r="E76" s="48">
        <f>IMAGE("https://raw.githubusercontent.com/stautonico/pokemon-home-pokedex/main/sprites/basculin.png", 2)</f>
        <v>0</v>
      </c>
      <c r="F76" s="48">
        <f>IMAGE("https://raw.githubusercontent.com/stautonico/pokemon-home-pokedex/main/sprites/sandile.png", 2)</f>
        <v>0</v>
      </c>
      <c r="G76" s="48">
        <f>IMAGE("https://raw.githubusercontent.com/stautonico/pokemon-home-pokedex/main/sprites/krokorok.png", 2)</f>
        <v>0</v>
      </c>
      <c r="I76" s="48">
        <f>IMAGE("https://raw.githubusercontent.com/stautonico/pokemon-home-pokedex/main/sprites/solosis.png", 2)</f>
        <v>0</v>
      </c>
      <c r="J76" s="48">
        <f>IMAGE("https://raw.githubusercontent.com/stautonico/pokemon-home-pokedex/main/sprites/duosion.png", 2)</f>
        <v>0</v>
      </c>
      <c r="K76" s="48">
        <f>IMAGE("https://raw.githubusercontent.com/stautonico/pokemon-home-pokedex/main/sprites/reuniclus.png", 2)</f>
        <v>0</v>
      </c>
      <c r="L76" s="48">
        <f>IMAGE("https://raw.githubusercontent.com/stautonico/pokemon-home-pokedex/main/sprites/ducklett.png", 2)</f>
        <v>0</v>
      </c>
      <c r="M76" s="48">
        <f>IMAGE("https://raw.githubusercontent.com/stautonico/pokemon-home-pokedex/main/sprites/swanna.png", 2)</f>
        <v>0</v>
      </c>
      <c r="N76" s="48">
        <f>IMAGE("https://raw.githubusercontent.com/stautonico/pokemon-home-pokedex/main/sprites/vanillite.png", 2)</f>
        <v>0</v>
      </c>
    </row>
    <row r="77" spans="2:14" ht="72" customHeight="1">
      <c r="B77" s="48">
        <f>IMAGE("https://raw.githubusercontent.com/stautonico/pokemon-home-pokedex/main/sprites/krookodile.png", 2)</f>
        <v>0</v>
      </c>
      <c r="C77" s="48">
        <f>IMAGE("https://raw.githubusercontent.com/stautonico/pokemon-home-pokedex/main/sprites/darumaka.png", 2)</f>
        <v>0</v>
      </c>
      <c r="D77" s="48">
        <f>IMAGE("https://raw.githubusercontent.com/stautonico/pokemon-home-pokedex/main/sprites/darmanitan.png", 2)</f>
        <v>0</v>
      </c>
      <c r="E77" s="48">
        <f>IMAGE("https://raw.githubusercontent.com/stautonico/pokemon-home-pokedex/main/sprites/maractus.png", 2)</f>
        <v>0</v>
      </c>
      <c r="F77" s="48">
        <f>IMAGE("https://raw.githubusercontent.com/stautonico/pokemon-home-pokedex/main/sprites/dwebble.png", 2)</f>
        <v>0</v>
      </c>
      <c r="G77" s="48">
        <f>IMAGE("https://raw.githubusercontent.com/stautonico/pokemon-home-pokedex/main/sprites/crustle.png", 2)</f>
        <v>0</v>
      </c>
      <c r="I77" s="48">
        <f>IMAGE("https://raw.githubusercontent.com/stautonico/pokemon-home-pokedex/main/sprites/vanillish.png", 2)</f>
        <v>0</v>
      </c>
      <c r="J77" s="48">
        <f>IMAGE("https://raw.githubusercontent.com/stautonico/pokemon-home-pokedex/main/sprites/vanilluxe.png", 2)</f>
        <v>0</v>
      </c>
      <c r="K77" s="48">
        <f>IMAGE("https://raw.githubusercontent.com/stautonico/pokemon-home-pokedex/main/sprites/deerling.png", 2)</f>
        <v>0</v>
      </c>
      <c r="L77" s="48">
        <f>IMAGE("https://raw.githubusercontent.com/stautonico/pokemon-home-pokedex/main/sprites/sawsbuck.png", 2)</f>
        <v>0</v>
      </c>
      <c r="M77" s="48">
        <f>IMAGE("https://raw.githubusercontent.com/stautonico/pokemon-home-pokedex/main/sprites/emolga.png", 2)</f>
        <v>0</v>
      </c>
      <c r="N77" s="48">
        <f>IMAGE("https://raw.githubusercontent.com/stautonico/pokemon-home-pokedex/main/sprites/karrablast.png", 2)</f>
        <v>0</v>
      </c>
    </row>
    <row r="78" spans="2:14" ht="72" customHeight="1">
      <c r="B78" s="48">
        <f>IMAGE("https://raw.githubusercontent.com/stautonico/pokemon-home-pokedex/main/sprites/scraggy.png", 2)</f>
        <v>0</v>
      </c>
      <c r="C78" s="48">
        <f>IMAGE("https://raw.githubusercontent.com/stautonico/pokemon-home-pokedex/main/sprites/scrafty.png", 2)</f>
        <v>0</v>
      </c>
      <c r="D78" s="48">
        <f>IMAGE("https://raw.githubusercontent.com/stautonico/pokemon-home-pokedex/main/sprites/sigilyph.png", 2)</f>
        <v>0</v>
      </c>
      <c r="E78" s="48">
        <f>IMAGE("https://raw.githubusercontent.com/stautonico/pokemon-home-pokedex/main/sprites/yamask.png", 2)</f>
        <v>0</v>
      </c>
      <c r="F78" s="48">
        <f>IMAGE("https://raw.githubusercontent.com/stautonico/pokemon-home-pokedex/main/sprites/cofagrigus.png", 2)</f>
        <v>0</v>
      </c>
      <c r="G78" s="48">
        <f>IMAGE("https://raw.githubusercontent.com/stautonico/pokemon-home-pokedex/main/sprites/tirtouga.png", 2)</f>
        <v>0</v>
      </c>
      <c r="I78" s="48">
        <f>IMAGE("https://raw.githubusercontent.com/stautonico/pokemon-home-pokedex/main/sprites/escavalier.png", 2)</f>
        <v>0</v>
      </c>
      <c r="J78" s="48">
        <f>IMAGE("https://raw.githubusercontent.com/stautonico/pokemon-home-pokedex/main/sprites/foongus.png", 2)</f>
        <v>0</v>
      </c>
      <c r="K78" s="48">
        <f>IMAGE("https://raw.githubusercontent.com/stautonico/pokemon-home-pokedex/main/sprites/amoonguss.png", 2)</f>
        <v>0</v>
      </c>
      <c r="L78" s="48">
        <f>IMAGE("https://raw.githubusercontent.com/stautonico/pokemon-home-pokedex/main/sprites/frillish.png", 2)</f>
        <v>0</v>
      </c>
      <c r="M78" s="48">
        <f>IMAGE("https://raw.githubusercontent.com/stautonico/pokemon-home-pokedex/main/sprites/jellicent.png", 2)</f>
        <v>0</v>
      </c>
      <c r="N78" s="48">
        <f>IMAGE("https://raw.githubusercontent.com/stautonico/pokemon-home-pokedex/main/sprites/alomomola.png", 2)</f>
        <v>0</v>
      </c>
    </row>
    <row r="79" spans="2:14" ht="72" customHeight="1">
      <c r="B79" s="48">
        <f>IMAGE("https://raw.githubusercontent.com/stautonico/pokemon-home-pokedex/main/sprites/carracosta.png", 2)</f>
        <v>0</v>
      </c>
      <c r="C79" s="48">
        <f>IMAGE("https://raw.githubusercontent.com/stautonico/pokemon-home-pokedex/main/sprites/archen.png", 2)</f>
        <v>0</v>
      </c>
      <c r="D79" s="48">
        <f>IMAGE("https://raw.githubusercontent.com/stautonico/pokemon-home-pokedex/main/sprites/archeops.png", 2)</f>
        <v>0</v>
      </c>
      <c r="E79" s="48">
        <f>IMAGE("https://raw.githubusercontent.com/stautonico/pokemon-home-pokedex/main/sprites/trubbish.png", 2)</f>
        <v>0</v>
      </c>
      <c r="F79" s="48">
        <f>IMAGE("https://raw.githubusercontent.com/stautonico/pokemon-home-pokedex/main/sprites/garbodor.png", 2)</f>
        <v>0</v>
      </c>
      <c r="G79" s="48">
        <f>IMAGE("https://raw.githubusercontent.com/stautonico/pokemon-home-pokedex/main/sprites/zorua.png", 2)</f>
        <v>0</v>
      </c>
      <c r="I79" s="48">
        <f>IMAGE("https://raw.githubusercontent.com/stautonico/pokemon-home-pokedex/main/sprites/joltik.png", 2)</f>
        <v>0</v>
      </c>
      <c r="J79" s="48">
        <f>IMAGE("https://raw.githubusercontent.com/stautonico/pokemon-home-pokedex/main/sprites/galvantula.png", 2)</f>
        <v>0</v>
      </c>
      <c r="K79" s="48">
        <f>IMAGE("https://raw.githubusercontent.com/stautonico/pokemon-home-pokedex/main/sprites/ferroseed.png", 2)</f>
        <v>0</v>
      </c>
      <c r="L79" s="48">
        <f>IMAGE("https://raw.githubusercontent.com/stautonico/pokemon-home-pokedex/main/sprites/ferrothorn.png", 2)</f>
        <v>0</v>
      </c>
      <c r="M79" s="48">
        <f>IMAGE("https://raw.githubusercontent.com/stautonico/pokemon-home-pokedex/main/sprites/klink.png", 2)</f>
        <v>0</v>
      </c>
      <c r="N79" s="48">
        <f>IMAGE("https://raw.githubusercontent.com/stautonico/pokemon-home-pokedex/main/sprites/klang.png", 2)</f>
        <v>0</v>
      </c>
    </row>
    <row r="82" spans="2:14">
      <c r="B82" s="47" t="s">
        <v>1459</v>
      </c>
      <c r="I82" s="47" t="s">
        <v>1460</v>
      </c>
    </row>
    <row r="83" spans="2:14" ht="72" customHeight="1">
      <c r="B83" s="48">
        <f>IMAGE("https://raw.githubusercontent.com/stautonico/pokemon-home-pokedex/main/sprites/klinklang.png", 2)</f>
        <v>0</v>
      </c>
      <c r="C83" s="48">
        <f>IMAGE("https://raw.githubusercontent.com/stautonico/pokemon-home-pokedex/main/sprites/tynamo.png", 2)</f>
        <v>0</v>
      </c>
      <c r="D83" s="48">
        <f>IMAGE("https://raw.githubusercontent.com/stautonico/pokemon-home-pokedex/main/sprites/eelektrik.png", 2)</f>
        <v>0</v>
      </c>
      <c r="E83" s="48">
        <f>IMAGE("https://raw.githubusercontent.com/stautonico/pokemon-home-pokedex/main/sprites/eelektross.png", 2)</f>
        <v>0</v>
      </c>
      <c r="F83" s="48">
        <f>IMAGE("https://raw.githubusercontent.com/stautonico/pokemon-home-pokedex/main/sprites/elgyem.png", 2)</f>
        <v>0</v>
      </c>
      <c r="G83" s="48">
        <f>IMAGE("https://raw.githubusercontent.com/stautonico/pokemon-home-pokedex/main/sprites/beheeyem.png", 2)</f>
        <v>0</v>
      </c>
      <c r="I83" s="48">
        <f>IMAGE("https://raw.githubusercontent.com/stautonico/pokemon-home-pokedex/main/sprites/heatmor.png", 2)</f>
        <v>0</v>
      </c>
      <c r="J83" s="48">
        <f>IMAGE("https://raw.githubusercontent.com/stautonico/pokemon-home-pokedex/main/sprites/durant.png", 2)</f>
        <v>0</v>
      </c>
      <c r="K83" s="48">
        <f>IMAGE("https://raw.githubusercontent.com/stautonico/pokemon-home-pokedex/main/sprites/deino.png", 2)</f>
        <v>0</v>
      </c>
      <c r="L83" s="48">
        <f>IMAGE("https://raw.githubusercontent.com/stautonico/pokemon-home-pokedex/main/sprites/zweilous.png", 2)</f>
        <v>0</v>
      </c>
      <c r="M83" s="48">
        <f>IMAGE("https://raw.githubusercontent.com/stautonico/pokemon-home-pokedex/main/sprites/hydreigon.png", 2)</f>
        <v>0</v>
      </c>
      <c r="N83" s="48">
        <f>IMAGE("https://raw.githubusercontent.com/stautonico/pokemon-home-pokedex/main/sprites/larvesta.png", 2)</f>
        <v>0</v>
      </c>
    </row>
    <row r="84" spans="2:14" ht="72" customHeight="1">
      <c r="B84" s="48">
        <f>IMAGE("https://raw.githubusercontent.com/stautonico/pokemon-home-pokedex/main/sprites/litwick.png", 2)</f>
        <v>0</v>
      </c>
      <c r="C84" s="48">
        <f>IMAGE("https://raw.githubusercontent.com/stautonico/pokemon-home-pokedex/main/sprites/lampent.png", 2)</f>
        <v>0</v>
      </c>
      <c r="D84" s="48">
        <f>IMAGE("https://raw.githubusercontent.com/stautonico/pokemon-home-pokedex/main/sprites/chandelure.png", 2)</f>
        <v>0</v>
      </c>
      <c r="E84" s="48">
        <f>IMAGE("https://raw.githubusercontent.com/stautonico/pokemon-home-pokedex/main/sprites/axew.png", 2)</f>
        <v>0</v>
      </c>
      <c r="F84" s="48">
        <f>IMAGE("https://raw.githubusercontent.com/stautonico/pokemon-home-pokedex/main/sprites/fraxure.png", 2)</f>
        <v>0</v>
      </c>
      <c r="G84" s="48">
        <f>IMAGE("https://raw.githubusercontent.com/stautonico/pokemon-home-pokedex/main/sprites/haxorus.png", 2)</f>
        <v>0</v>
      </c>
      <c r="I84" s="48">
        <f>IMAGE("https://raw.githubusercontent.com/stautonico/pokemon-home-pokedex/main/sprites/volcarona.png", 2)</f>
        <v>0</v>
      </c>
      <c r="J84" s="48">
        <f>IMAGE("https://raw.githubusercontent.com/stautonico/pokemon-home-pokedex/main/sprites/cobalion.png", 2)</f>
        <v>0</v>
      </c>
      <c r="K84" s="48">
        <f>IMAGE("https://raw.githubusercontent.com/stautonico/pokemon-home-pokedex/main/sprites/terrakion.png", 2)</f>
        <v>0</v>
      </c>
      <c r="L84" s="48">
        <f>IMAGE("https://raw.githubusercontent.com/stautonico/pokemon-home-pokedex/main/sprites/virizion.png", 2)</f>
        <v>0</v>
      </c>
      <c r="M84" s="48">
        <f>IMAGE("https://raw.githubusercontent.com/stautonico/pokemon-home-pokedex/main/sprites/tornadus.png", 2)</f>
        <v>0</v>
      </c>
      <c r="N84" s="48">
        <f>IMAGE("https://raw.githubusercontent.com/stautonico/pokemon-home-pokedex/main/sprites/thundurus.png", 2)</f>
        <v>0</v>
      </c>
    </row>
    <row r="85" spans="2:14" ht="72" customHeight="1">
      <c r="B85" s="48">
        <f>IMAGE("https://raw.githubusercontent.com/stautonico/pokemon-home-pokedex/main/sprites/cubchoo.png", 2)</f>
        <v>0</v>
      </c>
      <c r="C85" s="48">
        <f>IMAGE("https://raw.githubusercontent.com/stautonico/pokemon-home-pokedex/main/sprites/beartic.png", 2)</f>
        <v>0</v>
      </c>
      <c r="D85" s="48">
        <f>IMAGE("https://raw.githubusercontent.com/stautonico/pokemon-home-pokedex/main/sprites/cryogonal.png", 2)</f>
        <v>0</v>
      </c>
      <c r="E85" s="48">
        <f>IMAGE("https://raw.githubusercontent.com/stautonico/pokemon-home-pokedex/main/sprites/shelmet.png", 2)</f>
        <v>0</v>
      </c>
      <c r="F85" s="48">
        <f>IMAGE("https://raw.githubusercontent.com/stautonico/pokemon-home-pokedex/main/sprites/accelgor.png", 2)</f>
        <v>0</v>
      </c>
      <c r="G85" s="48">
        <f>IMAGE("https://raw.githubusercontent.com/stautonico/pokemon-home-pokedex/main/sprites/stunfisk.png", 2)</f>
        <v>0</v>
      </c>
      <c r="I85" s="48">
        <f>IMAGE("https://raw.githubusercontent.com/stautonico/pokemon-home-pokedex/main/sprites/reshiram.png", 2)</f>
        <v>0</v>
      </c>
      <c r="J85" s="48">
        <f>IMAGE("https://raw.githubusercontent.com/stautonico/pokemon-home-pokedex/main/sprites/zekrom.png", 2)</f>
        <v>0</v>
      </c>
      <c r="K85" s="48">
        <f>IMAGE("https://raw.githubusercontent.com/stautonico/pokemon-home-pokedex/main/sprites/landorus.png", 2)</f>
        <v>0</v>
      </c>
      <c r="L85" s="48">
        <f>IMAGE("https://raw.githubusercontent.com/stautonico/pokemon-home-pokedex/main/sprites/kyurem.png", 2)</f>
        <v>0</v>
      </c>
      <c r="M85" s="48">
        <f>IMAGE("https://raw.githubusercontent.com/stautonico/pokemon-home-pokedex/main/sprites/keldeo.png", 2)</f>
        <v>0</v>
      </c>
      <c r="N85" s="48">
        <f>IMAGE("https://raw.githubusercontent.com/stautonico/pokemon-home-pokedex/main/sprites/meloetta.png", 2)</f>
        <v>0</v>
      </c>
    </row>
    <row r="86" spans="2:14" ht="72" customHeight="1">
      <c r="B86" s="48">
        <f>IMAGE("https://raw.githubusercontent.com/stautonico/pokemon-home-pokedex/main/sprites/mienfoo.png", 2)</f>
        <v>0</v>
      </c>
      <c r="C86" s="48">
        <f>IMAGE("https://raw.githubusercontent.com/stautonico/pokemon-home-pokedex/main/sprites/mienshao.png", 2)</f>
        <v>0</v>
      </c>
      <c r="D86" s="48">
        <f>IMAGE("https://raw.githubusercontent.com/stautonico/pokemon-home-pokedex/main/sprites/druddigon.png", 2)</f>
        <v>0</v>
      </c>
      <c r="E86" s="48">
        <f>IMAGE("https://raw.githubusercontent.com/stautonico/pokemon-home-pokedex/main/sprites/golett.png", 2)</f>
        <v>0</v>
      </c>
      <c r="F86" s="48">
        <f>IMAGE("https://raw.githubusercontent.com/stautonico/pokemon-home-pokedex/main/sprites/golurk.png", 2)</f>
        <v>0</v>
      </c>
      <c r="G86" s="48">
        <f>IMAGE("https://raw.githubusercontent.com/stautonico/pokemon-home-pokedex/main/sprites/pawniard.png", 2)</f>
        <v>0</v>
      </c>
      <c r="I86" s="48">
        <f>IMAGE("https://raw.githubusercontent.com/stautonico/pokemon-home-pokedex/main/sprites/genesect.png", 2)</f>
        <v>0</v>
      </c>
      <c r="J86" s="48">
        <f>IMAGE("https://raw.githubusercontent.com/stautonico/pokemon-home-pokedex/main/sprites/chespin.png", 2)</f>
        <v>0</v>
      </c>
      <c r="K86" s="48">
        <f>IMAGE("https://raw.githubusercontent.com/stautonico/pokemon-home-pokedex/main/sprites/quilladin.png", 2)</f>
        <v>0</v>
      </c>
      <c r="L86" s="48">
        <f>IMAGE("https://raw.githubusercontent.com/stautonico/pokemon-home-pokedex/main/sprites/chesnaught.png", 2)</f>
        <v>0</v>
      </c>
      <c r="M86" s="48">
        <f>IMAGE("https://raw.githubusercontent.com/stautonico/pokemon-home-pokedex/main/sprites/fennekin.png", 2)</f>
        <v>0</v>
      </c>
      <c r="N86" s="48">
        <f>IMAGE("https://raw.githubusercontent.com/stautonico/pokemon-home-pokedex/main/sprites/braixen.png", 2)</f>
        <v>0</v>
      </c>
    </row>
    <row r="87" spans="2:14" ht="72" customHeight="1">
      <c r="B87" s="48">
        <f>IMAGE("https://raw.githubusercontent.com/stautonico/pokemon-home-pokedex/main/sprites/bisharp.png", 2)</f>
        <v>0</v>
      </c>
      <c r="C87" s="48">
        <f>IMAGE("https://raw.githubusercontent.com/stautonico/pokemon-home-pokedex/main/sprites/bouffalant.png", 2)</f>
        <v>0</v>
      </c>
      <c r="D87" s="48">
        <f>IMAGE("https://raw.githubusercontent.com/stautonico/pokemon-home-pokedex/main/sprites/rufflet.png", 2)</f>
        <v>0</v>
      </c>
      <c r="E87" s="48">
        <f>IMAGE("https://raw.githubusercontent.com/stautonico/pokemon-home-pokedex/main/sprites/braviary.png", 2)</f>
        <v>0</v>
      </c>
      <c r="F87" s="48">
        <f>IMAGE("https://raw.githubusercontent.com/stautonico/pokemon-home-pokedex/main/sprites/vullaby.png", 2)</f>
        <v>0</v>
      </c>
      <c r="G87" s="48">
        <f>IMAGE("https://raw.githubusercontent.com/stautonico/pokemon-home-pokedex/main/sprites/mandibuzz.png", 2)</f>
        <v>0</v>
      </c>
      <c r="I87" s="48">
        <f>IMAGE("https://raw.githubusercontent.com/stautonico/pokemon-home-pokedex/main/sprites/delphox.png", 2)</f>
        <v>0</v>
      </c>
      <c r="J87" s="48">
        <f>IMAGE("https://raw.githubusercontent.com/stautonico/pokemon-home-pokedex/main/sprites/froakie.png", 2)</f>
        <v>0</v>
      </c>
      <c r="K87" s="48">
        <f>IMAGE("https://raw.githubusercontent.com/stautonico/pokemon-home-pokedex/main/sprites/frogadier.png", 2)</f>
        <v>0</v>
      </c>
      <c r="L87" s="48">
        <f>IMAGE("https://raw.githubusercontent.com/stautonico/pokemon-home-pokedex/main/sprites/greninja.png", 2)</f>
        <v>0</v>
      </c>
      <c r="M87" s="48">
        <f>IMAGE("https://raw.githubusercontent.com/stautonico/pokemon-home-pokedex/main/sprites/bunnelby.png", 2)</f>
        <v>0</v>
      </c>
      <c r="N87" s="48">
        <f>IMAGE("https://raw.githubusercontent.com/stautonico/pokemon-home-pokedex/main/sprites/diggersby.png", 2)</f>
        <v>0</v>
      </c>
    </row>
    <row r="90" spans="2:14">
      <c r="B90" s="47" t="s">
        <v>1461</v>
      </c>
      <c r="I90" s="47" t="s">
        <v>1462</v>
      </c>
    </row>
    <row r="91" spans="2:14" ht="72" customHeight="1">
      <c r="B91" s="48">
        <f>IMAGE("https://raw.githubusercontent.com/stautonico/pokemon-home-pokedex/main/sprites/fletchling.png", 2)</f>
        <v>0</v>
      </c>
      <c r="C91" s="48">
        <f>IMAGE("https://raw.githubusercontent.com/stautonico/pokemon-home-pokedex/main/sprites/fletchinder.png", 2)</f>
        <v>0</v>
      </c>
      <c r="D91" s="48">
        <f>IMAGE("https://raw.githubusercontent.com/stautonico/pokemon-home-pokedex/main/sprites/talonflame.png", 2)</f>
        <v>0</v>
      </c>
      <c r="E91" s="48">
        <f>IMAGE("https://raw.githubusercontent.com/stautonico/pokemon-home-pokedex/main/sprites/scatterbug.png", 2)</f>
        <v>0</v>
      </c>
      <c r="F91" s="48">
        <f>IMAGE("https://raw.githubusercontent.com/stautonico/pokemon-home-pokedex/main/sprites/spewpa.png", 2)</f>
        <v>0</v>
      </c>
      <c r="G91" s="48">
        <f>IMAGE("https://raw.githubusercontent.com/stautonico/pokemon-home-pokedex/main/sprites/vivillon.png", 2)</f>
        <v>0</v>
      </c>
      <c r="I91" s="48">
        <f>IMAGE("https://raw.githubusercontent.com/stautonico/pokemon-home-pokedex/main/sprites/dragalge.png", 2)</f>
        <v>0</v>
      </c>
      <c r="J91" s="48">
        <f>IMAGE("https://raw.githubusercontent.com/stautonico/pokemon-home-pokedex/main/sprites/clauncher.png", 2)</f>
        <v>0</v>
      </c>
      <c r="K91" s="48">
        <f>IMAGE("https://raw.githubusercontent.com/stautonico/pokemon-home-pokedex/main/sprites/clawitzer.png", 2)</f>
        <v>0</v>
      </c>
      <c r="L91" s="48">
        <f>IMAGE("https://raw.githubusercontent.com/stautonico/pokemon-home-pokedex/main/sprites/helioptile.png", 2)</f>
        <v>0</v>
      </c>
      <c r="M91" s="48">
        <f>IMAGE("https://raw.githubusercontent.com/stautonico/pokemon-home-pokedex/main/sprites/heliolisk.png", 2)</f>
        <v>0</v>
      </c>
      <c r="N91" s="48">
        <f>IMAGE("https://raw.githubusercontent.com/stautonico/pokemon-home-pokedex/main/sprites/tyrunt.png", 2)</f>
        <v>0</v>
      </c>
    </row>
    <row r="92" spans="2:14" ht="72" customHeight="1">
      <c r="B92" s="48">
        <f>IMAGE("https://raw.githubusercontent.com/stautonico/pokemon-home-pokedex/main/sprites/litleo.png", 2)</f>
        <v>0</v>
      </c>
      <c r="C92" s="48">
        <f>IMAGE("https://raw.githubusercontent.com/stautonico/pokemon-home-pokedex/main/sprites/pyroar.png", 2)</f>
        <v>0</v>
      </c>
      <c r="D92" s="48">
        <f>IMAGE("https://raw.githubusercontent.com/stautonico/pokemon-home-pokedex/main/sprites/flabebe.png", 2)</f>
        <v>0</v>
      </c>
      <c r="E92" s="48">
        <f>IMAGE("https://raw.githubusercontent.com/stautonico/pokemon-home-pokedex/main/sprites/floette.png", 2)</f>
        <v>0</v>
      </c>
      <c r="F92" s="48">
        <f>IMAGE("https://raw.githubusercontent.com/stautonico/pokemon-home-pokedex/main/sprites/florges.png", 2)</f>
        <v>0</v>
      </c>
      <c r="G92" s="48">
        <f>IMAGE("https://raw.githubusercontent.com/stautonico/pokemon-home-pokedex/main/sprites/skiddo.png", 2)</f>
        <v>0</v>
      </c>
      <c r="I92" s="48">
        <f>IMAGE("https://raw.githubusercontent.com/stautonico/pokemon-home-pokedex/main/sprites/tyrantrum.png", 2)</f>
        <v>0</v>
      </c>
      <c r="J92" s="48">
        <f>IMAGE("https://raw.githubusercontent.com/stautonico/pokemon-home-pokedex/main/sprites/amaura.png", 2)</f>
        <v>0</v>
      </c>
      <c r="K92" s="48">
        <f>IMAGE("https://raw.githubusercontent.com/stautonico/pokemon-home-pokedex/main/sprites/aurorus.png", 2)</f>
        <v>0</v>
      </c>
      <c r="L92" s="48">
        <f>IMAGE("https://raw.githubusercontent.com/stautonico/pokemon-home-pokedex/main/sprites/sylveon.png", 2)</f>
        <v>0</v>
      </c>
      <c r="M92" s="48">
        <f>IMAGE("https://raw.githubusercontent.com/stautonico/pokemon-home-pokedex/main/sprites/hawlucha.png", 2)</f>
        <v>0</v>
      </c>
      <c r="N92" s="48">
        <f>IMAGE("https://raw.githubusercontent.com/stautonico/pokemon-home-pokedex/main/sprites/dedenne.png", 2)</f>
        <v>0</v>
      </c>
    </row>
    <row r="93" spans="2:14" ht="72" customHeight="1">
      <c r="B93" s="48">
        <f>IMAGE("https://raw.githubusercontent.com/stautonico/pokemon-home-pokedex/main/sprites/gogoat.png", 2)</f>
        <v>0</v>
      </c>
      <c r="C93" s="48">
        <f>IMAGE("https://raw.githubusercontent.com/stautonico/pokemon-home-pokedex/main/sprites/pancham.png", 2)</f>
        <v>0</v>
      </c>
      <c r="D93" s="48">
        <f>IMAGE("https://raw.githubusercontent.com/stautonico/pokemon-home-pokedex/main/sprites/pangoro.png", 2)</f>
        <v>0</v>
      </c>
      <c r="E93" s="48">
        <f>IMAGE("https://raw.githubusercontent.com/stautonico/pokemon-home-pokedex/main/sprites/furfrou.png", 2)</f>
        <v>0</v>
      </c>
      <c r="F93" s="48">
        <f>IMAGE("https://raw.githubusercontent.com/stautonico/pokemon-home-pokedex/main/sprites/espurr.png", 2)</f>
        <v>0</v>
      </c>
      <c r="G93" s="48">
        <f>IMAGE("https://raw.githubusercontent.com/stautonico/pokemon-home-pokedex/main/sprites/meowstic.png", 2)</f>
        <v>0</v>
      </c>
      <c r="I93" s="48">
        <f>IMAGE("https://raw.githubusercontent.com/stautonico/pokemon-home-pokedex/main/sprites/carbink.png", 2)</f>
        <v>0</v>
      </c>
      <c r="J93" s="48">
        <f>IMAGE("https://raw.githubusercontent.com/stautonico/pokemon-home-pokedex/main/sprites/goomy.png", 2)</f>
        <v>0</v>
      </c>
      <c r="K93" s="48">
        <f>IMAGE("https://raw.githubusercontent.com/stautonico/pokemon-home-pokedex/main/sprites/sliggoo.png", 2)</f>
        <v>0</v>
      </c>
      <c r="L93" s="48">
        <f>IMAGE("https://raw.githubusercontent.com/stautonico/pokemon-home-pokedex/main/sprites/goodra.png", 2)</f>
        <v>0</v>
      </c>
      <c r="M93" s="48">
        <f>IMAGE("https://raw.githubusercontent.com/stautonico/pokemon-home-pokedex/main/sprites/klefki.png", 2)</f>
        <v>0</v>
      </c>
      <c r="N93" s="48">
        <f>IMAGE("https://raw.githubusercontent.com/stautonico/pokemon-home-pokedex/main/sprites/phantump.png", 2)</f>
        <v>0</v>
      </c>
    </row>
    <row r="94" spans="2:14" ht="72" customHeight="1">
      <c r="B94" s="48">
        <f>IMAGE("https://raw.githubusercontent.com/stautonico/pokemon-home-pokedex/main/sprites/honedge.png", 2)</f>
        <v>0</v>
      </c>
      <c r="C94" s="48">
        <f>IMAGE("https://raw.githubusercontent.com/stautonico/pokemon-home-pokedex/main/sprites/doublade.png", 2)</f>
        <v>0</v>
      </c>
      <c r="D94" s="48">
        <f>IMAGE("https://raw.githubusercontent.com/stautonico/pokemon-home-pokedex/main/sprites/aegislash.png", 2)</f>
        <v>0</v>
      </c>
      <c r="E94" s="48">
        <f>IMAGE("https://raw.githubusercontent.com/stautonico/pokemon-home-pokedex/main/sprites/spritzee.png", 2)</f>
        <v>0</v>
      </c>
      <c r="F94" s="48">
        <f>IMAGE("https://raw.githubusercontent.com/stautonico/pokemon-home-pokedex/main/sprites/aromatisse.png", 2)</f>
        <v>0</v>
      </c>
      <c r="G94" s="48">
        <f>IMAGE("https://raw.githubusercontent.com/stautonico/pokemon-home-pokedex/main/sprites/swirlix.png", 2)</f>
        <v>0</v>
      </c>
      <c r="I94" s="48">
        <f>IMAGE("https://raw.githubusercontent.com/stautonico/pokemon-home-pokedex/main/sprites/trevenant.png", 2)</f>
        <v>0</v>
      </c>
      <c r="J94" s="48">
        <f>IMAGE("https://raw.githubusercontent.com/stautonico/pokemon-home-pokedex/main/sprites/pumpkaboo.png", 2)</f>
        <v>0</v>
      </c>
      <c r="K94" s="48">
        <f>IMAGE("https://raw.githubusercontent.com/stautonico/pokemon-home-pokedex/main/sprites/gourgeist.png", 2)</f>
        <v>0</v>
      </c>
      <c r="L94" s="48">
        <f>IMAGE("https://raw.githubusercontent.com/stautonico/pokemon-home-pokedex/main/sprites/bergmite.png", 2)</f>
        <v>0</v>
      </c>
      <c r="M94" s="48">
        <f>IMAGE("https://raw.githubusercontent.com/stautonico/pokemon-home-pokedex/main/sprites/avalugg.png", 2)</f>
        <v>0</v>
      </c>
      <c r="N94" s="48">
        <f>IMAGE("https://raw.githubusercontent.com/stautonico/pokemon-home-pokedex/main/sprites/noibat.png", 2)</f>
        <v>0</v>
      </c>
    </row>
    <row r="95" spans="2:14" ht="72" customHeight="1">
      <c r="B95" s="48">
        <f>IMAGE("https://raw.githubusercontent.com/stautonico/pokemon-home-pokedex/main/sprites/slurpuff.png", 2)</f>
        <v>0</v>
      </c>
      <c r="C95" s="48">
        <f>IMAGE("https://raw.githubusercontent.com/stautonico/pokemon-home-pokedex/main/sprites/inkay.png", 2)</f>
        <v>0</v>
      </c>
      <c r="D95" s="48">
        <f>IMAGE("https://raw.githubusercontent.com/stautonico/pokemon-home-pokedex/main/sprites/malamar.png", 2)</f>
        <v>0</v>
      </c>
      <c r="E95" s="48">
        <f>IMAGE("https://raw.githubusercontent.com/stautonico/pokemon-home-pokedex/main/sprites/binacle.png", 2)</f>
        <v>0</v>
      </c>
      <c r="F95" s="48">
        <f>IMAGE("https://raw.githubusercontent.com/stautonico/pokemon-home-pokedex/main/sprites/barbaracle.png", 2)</f>
        <v>0</v>
      </c>
      <c r="G95" s="48">
        <f>IMAGE("https://raw.githubusercontent.com/stautonico/pokemon-home-pokedex/main/sprites/skrelp.png", 2)</f>
        <v>0</v>
      </c>
      <c r="I95" s="48">
        <f>IMAGE("https://raw.githubusercontent.com/stautonico/pokemon-home-pokedex/main/sprites/noivern.png", 2)</f>
        <v>0</v>
      </c>
      <c r="J95" s="48">
        <f>IMAGE("https://raw.githubusercontent.com/stautonico/pokemon-home-pokedex/main/sprites/xerneas.png", 2)</f>
        <v>0</v>
      </c>
      <c r="K95" s="48">
        <f>IMAGE("https://raw.githubusercontent.com/stautonico/pokemon-home-pokedex/main/sprites/yveltal.png", 2)</f>
        <v>0</v>
      </c>
      <c r="L95" s="48">
        <f>IMAGE("https://raw.githubusercontent.com/stautonico/pokemon-home-pokedex/main/sprites/zygarde.png", 2)</f>
        <v>0</v>
      </c>
      <c r="M95" s="48">
        <f>IMAGE("https://raw.githubusercontent.com/stautonico/pokemon-home-pokedex/main/sprites/diancie.png", 2)</f>
        <v>0</v>
      </c>
      <c r="N95" s="48">
        <f>IMAGE("https://raw.githubusercontent.com/stautonico/pokemon-home-pokedex/main/sprites/hoopa.png", 2)</f>
        <v>0</v>
      </c>
    </row>
    <row r="98" spans="2:14">
      <c r="B98" s="47" t="s">
        <v>1463</v>
      </c>
      <c r="I98" s="47" t="s">
        <v>1464</v>
      </c>
    </row>
    <row r="99" spans="2:14" ht="72" customHeight="1">
      <c r="B99" s="48">
        <f>IMAGE("https://raw.githubusercontent.com/stautonico/pokemon-home-pokedex/main/sprites/volcanion.png", 2)</f>
        <v>0</v>
      </c>
      <c r="C99" s="48">
        <f>IMAGE("https://raw.githubusercontent.com/stautonico/pokemon-home-pokedex/main/sprites/rowlet.png", 2)</f>
        <v>0</v>
      </c>
      <c r="D99" s="48">
        <f>IMAGE("https://raw.githubusercontent.com/stautonico/pokemon-home-pokedex/main/sprites/dartrix.png", 2)</f>
        <v>0</v>
      </c>
      <c r="E99" s="48">
        <f>IMAGE("https://raw.githubusercontent.com/stautonico/pokemon-home-pokedex/main/sprites/decidueye.png", 2)</f>
        <v>0</v>
      </c>
      <c r="F99" s="48">
        <f>IMAGE("https://raw.githubusercontent.com/stautonico/pokemon-home-pokedex/main/sprites/litten.png", 2)</f>
        <v>0</v>
      </c>
      <c r="G99" s="48">
        <f>IMAGE("https://raw.githubusercontent.com/stautonico/pokemon-home-pokedex/main/sprites/torracat.png", 2)</f>
        <v>0</v>
      </c>
      <c r="I99" s="48">
        <f>IMAGE("https://raw.githubusercontent.com/stautonico/pokemon-home-pokedex/main/sprites/dewpider.png", 2)</f>
        <v>0</v>
      </c>
      <c r="J99" s="48">
        <f>IMAGE("https://raw.githubusercontent.com/stautonico/pokemon-home-pokedex/main/sprites/araquanid.png", 2)</f>
        <v>0</v>
      </c>
      <c r="K99" s="48">
        <f>IMAGE("https://raw.githubusercontent.com/stautonico/pokemon-home-pokedex/main/sprites/fomantis.png", 2)</f>
        <v>0</v>
      </c>
      <c r="L99" s="48">
        <f>IMAGE("https://raw.githubusercontent.com/stautonico/pokemon-home-pokedex/main/sprites/lurantis.png", 2)</f>
        <v>0</v>
      </c>
      <c r="M99" s="48">
        <f>IMAGE("https://raw.githubusercontent.com/stautonico/pokemon-home-pokedex/main/sprites/morelull.png", 2)</f>
        <v>0</v>
      </c>
      <c r="N99" s="48">
        <f>IMAGE("https://raw.githubusercontent.com/stautonico/pokemon-home-pokedex/main/sprites/shiinotic.png", 2)</f>
        <v>0</v>
      </c>
    </row>
    <row r="100" spans="2:14" ht="72" customHeight="1">
      <c r="B100" s="48">
        <f>IMAGE("https://raw.githubusercontent.com/stautonico/pokemon-home-pokedex/main/sprites/incineroar.png", 2)</f>
        <v>0</v>
      </c>
      <c r="C100" s="48">
        <f>IMAGE("https://raw.githubusercontent.com/stautonico/pokemon-home-pokedex/main/sprites/popplio.png", 2)</f>
        <v>0</v>
      </c>
      <c r="D100" s="48">
        <f>IMAGE("https://raw.githubusercontent.com/stautonico/pokemon-home-pokedex/main/sprites/brionne.png", 2)</f>
        <v>0</v>
      </c>
      <c r="E100" s="48">
        <f>IMAGE("https://raw.githubusercontent.com/stautonico/pokemon-home-pokedex/main/sprites/primarina.png", 2)</f>
        <v>0</v>
      </c>
      <c r="F100" s="48">
        <f>IMAGE("https://raw.githubusercontent.com/stautonico/pokemon-home-pokedex/main/sprites/pikipek.png", 2)</f>
        <v>0</v>
      </c>
      <c r="G100" s="48">
        <f>IMAGE("https://raw.githubusercontent.com/stautonico/pokemon-home-pokedex/main/sprites/trumbeak.png", 2)</f>
        <v>0</v>
      </c>
      <c r="I100" s="48">
        <f>IMAGE("https://raw.githubusercontent.com/stautonico/pokemon-home-pokedex/main/sprites/salandit.png", 2)</f>
        <v>0</v>
      </c>
      <c r="J100" s="48">
        <f>IMAGE("https://raw.githubusercontent.com/stautonico/pokemon-home-pokedex/main/sprites/salazzle.png", 2)</f>
        <v>0</v>
      </c>
      <c r="K100" s="48">
        <f>IMAGE("https://raw.githubusercontent.com/stautonico/pokemon-home-pokedex/main/sprites/stufful.png", 2)</f>
        <v>0</v>
      </c>
      <c r="L100" s="48">
        <f>IMAGE("https://raw.githubusercontent.com/stautonico/pokemon-home-pokedex/main/sprites/bewear.png", 2)</f>
        <v>0</v>
      </c>
      <c r="M100" s="48">
        <f>IMAGE("https://raw.githubusercontent.com/stautonico/pokemon-home-pokedex/main/sprites/bounsweet.png", 2)</f>
        <v>0</v>
      </c>
      <c r="N100" s="48">
        <f>IMAGE("https://raw.githubusercontent.com/stautonico/pokemon-home-pokedex/main/sprites/steenee.png", 2)</f>
        <v>0</v>
      </c>
    </row>
    <row r="101" spans="2:14" ht="72" customHeight="1">
      <c r="B101" s="48">
        <f>IMAGE("https://raw.githubusercontent.com/stautonico/pokemon-home-pokedex/main/sprites/toucannon.png", 2)</f>
        <v>0</v>
      </c>
      <c r="C101" s="48">
        <f>IMAGE("https://raw.githubusercontent.com/stautonico/pokemon-home-pokedex/main/sprites/yungoos.png", 2)</f>
        <v>0</v>
      </c>
      <c r="D101" s="48">
        <f>IMAGE("https://raw.githubusercontent.com/stautonico/pokemon-home-pokedex/main/sprites/gumshoos.png", 2)</f>
        <v>0</v>
      </c>
      <c r="E101" s="48">
        <f>IMAGE("https://raw.githubusercontent.com/stautonico/pokemon-home-pokedex/main/sprites/grubbin.png", 2)</f>
        <v>0</v>
      </c>
      <c r="F101" s="48">
        <f>IMAGE("https://raw.githubusercontent.com/stautonico/pokemon-home-pokedex/main/sprites/charjabug.png", 2)</f>
        <v>0</v>
      </c>
      <c r="G101" s="48">
        <f>IMAGE("https://raw.githubusercontent.com/stautonico/pokemon-home-pokedex/main/sprites/vikavolt.png", 2)</f>
        <v>0</v>
      </c>
      <c r="I101" s="48">
        <f>IMAGE("https://raw.githubusercontent.com/stautonico/pokemon-home-pokedex/main/sprites/tsareena.png", 2)</f>
        <v>0</v>
      </c>
      <c r="J101" s="48">
        <f>IMAGE("https://raw.githubusercontent.com/stautonico/pokemon-home-pokedex/main/sprites/comfey.png", 2)</f>
        <v>0</v>
      </c>
      <c r="K101" s="48">
        <f>IMAGE("https://raw.githubusercontent.com/stautonico/pokemon-home-pokedex/main/sprites/oranguru.png", 2)</f>
        <v>0</v>
      </c>
      <c r="L101" s="48">
        <f>IMAGE("https://raw.githubusercontent.com/stautonico/pokemon-home-pokedex/main/sprites/passimian.png", 2)</f>
        <v>0</v>
      </c>
      <c r="M101" s="48">
        <f>IMAGE("https://raw.githubusercontent.com/stautonico/pokemon-home-pokedex/main/sprites/wimpod.png", 2)</f>
        <v>0</v>
      </c>
      <c r="N101" s="48">
        <f>IMAGE("https://raw.githubusercontent.com/stautonico/pokemon-home-pokedex/main/sprites/golisopod.png", 2)</f>
        <v>0</v>
      </c>
    </row>
    <row r="102" spans="2:14" ht="72" customHeight="1">
      <c r="B102" s="48">
        <f>IMAGE("https://raw.githubusercontent.com/stautonico/pokemon-home-pokedex/main/sprites/crabrawler.png", 2)</f>
        <v>0</v>
      </c>
      <c r="C102" s="48">
        <f>IMAGE("https://raw.githubusercontent.com/stautonico/pokemon-home-pokedex/main/sprites/crabominable.png", 2)</f>
        <v>0</v>
      </c>
      <c r="D102" s="48">
        <f>IMAGE("https://raw.githubusercontent.com/stautonico/pokemon-home-pokedex/main/sprites/oricorio.png", 2)</f>
        <v>0</v>
      </c>
      <c r="E102" s="48">
        <f>IMAGE("https://raw.githubusercontent.com/stautonico/pokemon-home-pokedex/main/sprites/cutiefly.png", 2)</f>
        <v>0</v>
      </c>
      <c r="F102" s="48">
        <f>IMAGE("https://raw.githubusercontent.com/stautonico/pokemon-home-pokedex/main/sprites/ribombee.png", 2)</f>
        <v>0</v>
      </c>
      <c r="G102" s="48">
        <f>IMAGE("https://raw.githubusercontent.com/stautonico/pokemon-home-pokedex/main/sprites/rockruff.png", 2)</f>
        <v>0</v>
      </c>
      <c r="I102" s="48">
        <f>IMAGE("https://raw.githubusercontent.com/stautonico/pokemon-home-pokedex/main/sprites/sandygast.png", 2)</f>
        <v>0</v>
      </c>
      <c r="J102" s="48">
        <f>IMAGE("https://raw.githubusercontent.com/stautonico/pokemon-home-pokedex/main/sprites/palossand.png", 2)</f>
        <v>0</v>
      </c>
      <c r="K102" s="48">
        <f>IMAGE("https://raw.githubusercontent.com/stautonico/pokemon-home-pokedex/main/sprites/pyukumuku.png", 2)</f>
        <v>0</v>
      </c>
      <c r="L102" s="48">
        <f>IMAGE("https://raw.githubusercontent.com/stautonico/pokemon-home-pokedex/main/sprites/typenull.png", 2)</f>
        <v>0</v>
      </c>
      <c r="M102" s="48">
        <f>IMAGE("https://raw.githubusercontent.com/stautonico/pokemon-home-pokedex/main/sprites/silvally.png", 2)</f>
        <v>0</v>
      </c>
      <c r="N102" s="48">
        <f>IMAGE("https://raw.githubusercontent.com/stautonico/pokemon-home-pokedex/main/sprites/minior-red.png", 2)</f>
        <v>0</v>
      </c>
    </row>
    <row r="103" spans="2:14" ht="72" customHeight="1">
      <c r="B103" s="48">
        <f>IMAGE("https://raw.githubusercontent.com/stautonico/pokemon-home-pokedex/main/sprites/lycanroc.png", 2)</f>
        <v>0</v>
      </c>
      <c r="C103" s="48">
        <f>IMAGE("https://raw.githubusercontent.com/stautonico/pokemon-home-pokedex/main/sprites/wishiwashi.png", 2)</f>
        <v>0</v>
      </c>
      <c r="D103" s="48">
        <f>IMAGE("https://raw.githubusercontent.com/stautonico/pokemon-home-pokedex/main/sprites/mareanie.png", 2)</f>
        <v>0</v>
      </c>
      <c r="E103" s="48">
        <f>IMAGE("https://raw.githubusercontent.com/stautonico/pokemon-home-pokedex/main/sprites/toxapex.png", 2)</f>
        <v>0</v>
      </c>
      <c r="F103" s="48">
        <f>IMAGE("https://raw.githubusercontent.com/stautonico/pokemon-home-pokedex/main/sprites/mudbray.png", 2)</f>
        <v>0</v>
      </c>
      <c r="G103" s="48">
        <f>IMAGE("https://raw.githubusercontent.com/stautonico/pokemon-home-pokedex/main/sprites/mudsdale.png", 2)</f>
        <v>0</v>
      </c>
      <c r="I103" s="48">
        <f>IMAGE("https://raw.githubusercontent.com/stautonico/pokemon-home-pokedex/main/sprites/komala.png", 2)</f>
        <v>0</v>
      </c>
      <c r="J103" s="48">
        <f>IMAGE("https://raw.githubusercontent.com/stautonico/pokemon-home-pokedex/main/sprites/turtonator.png", 2)</f>
        <v>0</v>
      </c>
      <c r="K103" s="48">
        <f>IMAGE("https://raw.githubusercontent.com/stautonico/pokemon-home-pokedex/main/sprites/togedemaru.png", 2)</f>
        <v>0</v>
      </c>
      <c r="L103" s="48">
        <f>IMAGE("https://raw.githubusercontent.com/stautonico/pokemon-home-pokedex/main/sprites/mimikyu.png", 2)</f>
        <v>0</v>
      </c>
      <c r="M103" s="48">
        <f>IMAGE("https://raw.githubusercontent.com/stautonico/pokemon-home-pokedex/main/sprites/bruxish.png", 2)</f>
        <v>0</v>
      </c>
      <c r="N103" s="48">
        <f>IMAGE("https://raw.githubusercontent.com/stautonico/pokemon-home-pokedex/main/sprites/drampa.png", 2)</f>
        <v>0</v>
      </c>
    </row>
    <row r="106" spans="2:14">
      <c r="B106" s="47" t="s">
        <v>1465</v>
      </c>
      <c r="I106" s="47" t="s">
        <v>1466</v>
      </c>
    </row>
    <row r="107" spans="2:14" ht="72" customHeight="1">
      <c r="B107" s="48">
        <f>IMAGE("https://raw.githubusercontent.com/stautonico/pokemon-home-pokedex/main/sprites/dhelmise.png", 2)</f>
        <v>0</v>
      </c>
      <c r="C107" s="48">
        <f>IMAGE("https://raw.githubusercontent.com/stautonico/pokemon-home-pokedex/main/sprites/jangmo-o.png", 2)</f>
        <v>0</v>
      </c>
      <c r="D107" s="48">
        <f>IMAGE("https://raw.githubusercontent.com/stautonico/pokemon-home-pokedex/main/sprites/hakamo-o.png", 2)</f>
        <v>0</v>
      </c>
      <c r="E107" s="48">
        <f>IMAGE("https://raw.githubusercontent.com/stautonico/pokemon-home-pokedex/main/sprites/kommo-o.png", 2)</f>
        <v>0</v>
      </c>
      <c r="F107" s="48">
        <f>IMAGE("https://raw.githubusercontent.com/stautonico/pokemon-home-pokedex/main/sprites/tapu-koko.png", 2)</f>
        <v>0</v>
      </c>
      <c r="G107" s="48">
        <f>IMAGE("https://raw.githubusercontent.com/stautonico/pokemon-home-pokedex/main/sprites/tapu-lele.png", 2)</f>
        <v>0</v>
      </c>
      <c r="I107" s="48">
        <f>IMAGE("https://raw.githubusercontent.com/stautonico/pokemon-home-pokedex/main/sprites/thwackey.png", 2)</f>
        <v>0</v>
      </c>
      <c r="J107" s="48">
        <f>IMAGE("https://raw.githubusercontent.com/stautonico/pokemon-home-pokedex/main/sprites/rillaboom.png", 2)</f>
        <v>0</v>
      </c>
      <c r="K107" s="48">
        <f>IMAGE("https://raw.githubusercontent.com/stautonico/pokemon-home-pokedex/main/sprites/scorbunny.png", 2)</f>
        <v>0</v>
      </c>
      <c r="L107" s="48">
        <f>IMAGE("https://raw.githubusercontent.com/stautonico/pokemon-home-pokedex/main/sprites/raboot.png", 2)</f>
        <v>0</v>
      </c>
      <c r="M107" s="48">
        <f>IMAGE("https://raw.githubusercontent.com/stautonico/pokemon-home-pokedex/main/sprites/cinderace.png", 2)</f>
        <v>0</v>
      </c>
      <c r="N107" s="48">
        <f>IMAGE("https://raw.githubusercontent.com/stautonico/pokemon-home-pokedex/main/sprites/sobble.png", 2)</f>
        <v>0</v>
      </c>
    </row>
    <row r="108" spans="2:14" ht="72" customHeight="1">
      <c r="B108" s="48">
        <f>IMAGE("https://raw.githubusercontent.com/stautonico/pokemon-home-pokedex/main/sprites/tapu-bulu.png", 2)</f>
        <v>0</v>
      </c>
      <c r="C108" s="48">
        <f>IMAGE("https://raw.githubusercontent.com/stautonico/pokemon-home-pokedex/main/sprites/tapu-fini.png", 2)</f>
        <v>0</v>
      </c>
      <c r="D108" s="48">
        <f>IMAGE("https://raw.githubusercontent.com/stautonico/pokemon-home-pokedex/main/sprites/cosmog.png", 2)</f>
        <v>0</v>
      </c>
      <c r="E108" s="48">
        <f>IMAGE("https://raw.githubusercontent.com/stautonico/pokemon-home-pokedex/main/sprites/cosmoem.png", 2)</f>
        <v>0</v>
      </c>
      <c r="F108" s="48">
        <f>IMAGE("https://raw.githubusercontent.com/stautonico/pokemon-home-pokedex/main/sprites/solgaleo.png", 2)</f>
        <v>0</v>
      </c>
      <c r="G108" s="48">
        <f>IMAGE("https://raw.githubusercontent.com/stautonico/pokemon-home-pokedex/main/sprites/lunala.png", 2)</f>
        <v>0</v>
      </c>
      <c r="I108" s="48">
        <f>IMAGE("https://raw.githubusercontent.com/stautonico/pokemon-home-pokedex/main/sprites/drizzile.png", 2)</f>
        <v>0</v>
      </c>
      <c r="J108" s="48">
        <f>IMAGE("https://raw.githubusercontent.com/stautonico/pokemon-home-pokedex/main/sprites/inteleon.png", 2)</f>
        <v>0</v>
      </c>
      <c r="K108" s="48">
        <f>IMAGE("https://raw.githubusercontent.com/stautonico/pokemon-home-pokedex/main/sprites/skwovet.png", 2)</f>
        <v>0</v>
      </c>
      <c r="L108" s="48">
        <f>IMAGE("https://raw.githubusercontent.com/stautonico/pokemon-home-pokedex/main/sprites/greedent.png", 2)</f>
        <v>0</v>
      </c>
      <c r="M108" s="48">
        <f>IMAGE("https://raw.githubusercontent.com/stautonico/pokemon-home-pokedex/main/sprites/rookidee.png", 2)</f>
        <v>0</v>
      </c>
      <c r="N108" s="48">
        <f>IMAGE("https://raw.githubusercontent.com/stautonico/pokemon-home-pokedex/main/sprites/corvisquire.png", 2)</f>
        <v>0</v>
      </c>
    </row>
    <row r="109" spans="2:14" ht="72" customHeight="1">
      <c r="B109" s="48">
        <f>IMAGE("https://raw.githubusercontent.com/stautonico/pokemon-home-pokedex/main/sprites/nihilego.png", 2)</f>
        <v>0</v>
      </c>
      <c r="C109" s="48">
        <f>IMAGE("https://raw.githubusercontent.com/stautonico/pokemon-home-pokedex/main/sprites/buzzwole.png", 2)</f>
        <v>0</v>
      </c>
      <c r="D109" s="48">
        <f>IMAGE("https://raw.githubusercontent.com/stautonico/pokemon-home-pokedex/main/sprites/pheromosa.png", 2)</f>
        <v>0</v>
      </c>
      <c r="E109" s="48">
        <f>IMAGE("https://raw.githubusercontent.com/stautonico/pokemon-home-pokedex/main/sprites/xurkitree.png", 2)</f>
        <v>0</v>
      </c>
      <c r="F109" s="48">
        <f>IMAGE("https://raw.githubusercontent.com/stautonico/pokemon-home-pokedex/main/sprites/celesteela.png", 2)</f>
        <v>0</v>
      </c>
      <c r="G109" s="48">
        <f>IMAGE("https://raw.githubusercontent.com/stautonico/pokemon-home-pokedex/main/sprites/kartana.png", 2)</f>
        <v>0</v>
      </c>
      <c r="I109" s="48">
        <f>IMAGE("https://raw.githubusercontent.com/stautonico/pokemon-home-pokedex/main/sprites/corviknight.png", 2)</f>
        <v>0</v>
      </c>
      <c r="J109" s="48">
        <f>IMAGE("https://raw.githubusercontent.com/stautonico/pokemon-home-pokedex/main/sprites/blipbug.png", 2)</f>
        <v>0</v>
      </c>
      <c r="K109" s="48">
        <f>IMAGE("https://raw.githubusercontent.com/stautonico/pokemon-home-pokedex/main/sprites/dottler.png", 2)</f>
        <v>0</v>
      </c>
      <c r="L109" s="48">
        <f>IMAGE("https://raw.githubusercontent.com/stautonico/pokemon-home-pokedex/main/sprites/orbeetle.png", 2)</f>
        <v>0</v>
      </c>
      <c r="M109" s="48">
        <f>IMAGE("https://raw.githubusercontent.com/stautonico/pokemon-home-pokedex/main/sprites/nickit.png", 2)</f>
        <v>0</v>
      </c>
      <c r="N109" s="48">
        <f>IMAGE("https://raw.githubusercontent.com/stautonico/pokemon-home-pokedex/main/sprites/thievul.png", 2)</f>
        <v>0</v>
      </c>
    </row>
    <row r="110" spans="2:14" ht="72" customHeight="1">
      <c r="B110" s="48">
        <f>IMAGE("https://raw.githubusercontent.com/stautonico/pokemon-home-pokedex/main/sprites/guzzlord.png", 2)</f>
        <v>0</v>
      </c>
      <c r="C110" s="48">
        <f>IMAGE("https://raw.githubusercontent.com/stautonico/pokemon-home-pokedex/main/sprites/necrozma.png", 2)</f>
        <v>0</v>
      </c>
      <c r="D110" s="48">
        <f>IMAGE("https://raw.githubusercontent.com/stautonico/pokemon-home-pokedex/main/sprites/magearna.png", 2)</f>
        <v>0</v>
      </c>
      <c r="E110" s="48">
        <f>IMAGE("https://raw.githubusercontent.com/stautonico/pokemon-home-pokedex/main/sprites/marshadow.png", 2)</f>
        <v>0</v>
      </c>
      <c r="F110" s="48">
        <f>IMAGE("https://raw.githubusercontent.com/stautonico/pokemon-home-pokedex/main/sprites/poipole.png", 2)</f>
        <v>0</v>
      </c>
      <c r="G110" s="48">
        <f>IMAGE("https://raw.githubusercontent.com/stautonico/pokemon-home-pokedex/main/sprites/naganadel.png", 2)</f>
        <v>0</v>
      </c>
      <c r="I110" s="48">
        <f>IMAGE("https://raw.githubusercontent.com/stautonico/pokemon-home-pokedex/main/sprites/gossifleur.png", 2)</f>
        <v>0</v>
      </c>
      <c r="J110" s="48">
        <f>IMAGE("https://raw.githubusercontent.com/stautonico/pokemon-home-pokedex/main/sprites/eldegoss.png", 2)</f>
        <v>0</v>
      </c>
      <c r="K110" s="48">
        <f>IMAGE("https://raw.githubusercontent.com/stautonico/pokemon-home-pokedex/main/sprites/wooloo.png", 2)</f>
        <v>0</v>
      </c>
      <c r="L110" s="48">
        <f>IMAGE("https://raw.githubusercontent.com/stautonico/pokemon-home-pokedex/main/sprites/dubwool.png", 2)</f>
        <v>0</v>
      </c>
      <c r="M110" s="48">
        <f>IMAGE("https://raw.githubusercontent.com/stautonico/pokemon-home-pokedex/main/sprites/chewtle.png", 2)</f>
        <v>0</v>
      </c>
      <c r="N110" s="48">
        <f>IMAGE("https://raw.githubusercontent.com/stautonico/pokemon-home-pokedex/main/sprites/drednaw.png", 2)</f>
        <v>0</v>
      </c>
    </row>
    <row r="111" spans="2:14" ht="72" customHeight="1">
      <c r="B111" s="48">
        <f>IMAGE("https://raw.githubusercontent.com/stautonico/pokemon-home-pokedex/main/sprites/stakataka.png", 2)</f>
        <v>0</v>
      </c>
      <c r="C111" s="48">
        <f>IMAGE("https://raw.githubusercontent.com/stautonico/pokemon-home-pokedex/main/sprites/blacephalon.png", 2)</f>
        <v>0</v>
      </c>
      <c r="D111" s="48">
        <f>IMAGE("https://raw.githubusercontent.com/stautonico/pokemon-home-pokedex/main/sprites/zeraora.png", 2)</f>
        <v>0</v>
      </c>
      <c r="E111" s="48">
        <f>IMAGE("https://raw.githubusercontent.com/stautonico/pokemon-home-pokedex/main/sprites/meltan.png", 2)</f>
        <v>0</v>
      </c>
      <c r="F111" s="48">
        <f>IMAGE("https://raw.githubusercontent.com/stautonico/pokemon-home-pokedex/main/sprites/melmetal.png", 2)</f>
        <v>0</v>
      </c>
      <c r="G111" s="48">
        <f>IMAGE("https://raw.githubusercontent.com/stautonico/pokemon-home-pokedex/main/sprites/grookey.png", 2)</f>
        <v>0</v>
      </c>
      <c r="I111" s="48">
        <f>IMAGE("https://raw.githubusercontent.com/stautonico/pokemon-home-pokedex/main/sprites/yamper.png", 2)</f>
        <v>0</v>
      </c>
      <c r="J111" s="48">
        <f>IMAGE("https://raw.githubusercontent.com/stautonico/pokemon-home-pokedex/main/sprites/boltund.png", 2)</f>
        <v>0</v>
      </c>
      <c r="K111" s="48">
        <f>IMAGE("https://raw.githubusercontent.com/stautonico/pokemon-home-pokedex/main/sprites/rolycoly.png", 2)</f>
        <v>0</v>
      </c>
      <c r="L111" s="48">
        <f>IMAGE("https://raw.githubusercontent.com/stautonico/pokemon-home-pokedex/main/sprites/carkol.png", 2)</f>
        <v>0</v>
      </c>
      <c r="M111" s="48">
        <f>IMAGE("https://raw.githubusercontent.com/stautonico/pokemon-home-pokedex/main/sprites/coalossal.png", 2)</f>
        <v>0</v>
      </c>
      <c r="N111" s="48">
        <f>IMAGE("https://raw.githubusercontent.com/stautonico/pokemon-home-pokedex/main/sprites/applin.png", 2)</f>
        <v>0</v>
      </c>
    </row>
    <row r="114" spans="2:14">
      <c r="B114" s="47" t="s">
        <v>1467</v>
      </c>
      <c r="I114" s="47" t="s">
        <v>1468</v>
      </c>
    </row>
    <row r="115" spans="2:14" ht="72" customHeight="1">
      <c r="B115" s="48">
        <f>IMAGE("https://raw.githubusercontent.com/stautonico/pokemon-home-pokedex/main/sprites/flapple.png", 2)</f>
        <v>0</v>
      </c>
      <c r="C115" s="48">
        <f>IMAGE("https://raw.githubusercontent.com/stautonico/pokemon-home-pokedex/main/sprites/appletun.png", 2)</f>
        <v>0</v>
      </c>
      <c r="D115" s="48">
        <f>IMAGE("https://raw.githubusercontent.com/stautonico/pokemon-home-pokedex/main/sprites/silicobra.png", 2)</f>
        <v>0</v>
      </c>
      <c r="E115" s="48">
        <f>IMAGE("https://raw.githubusercontent.com/stautonico/pokemon-home-pokedex/main/sprites/sandaconda.png", 2)</f>
        <v>0</v>
      </c>
      <c r="F115" s="48">
        <f>IMAGE("https://raw.githubusercontent.com/stautonico/pokemon-home-pokedex/main/sprites/cramorant.png", 2)</f>
        <v>0</v>
      </c>
      <c r="G115" s="48">
        <f>IMAGE("https://raw.githubusercontent.com/stautonico/pokemon-home-pokedex/main/sprites/arrokuda.png", 2)</f>
        <v>0</v>
      </c>
      <c r="I115" s="48">
        <f>IMAGE("https://raw.githubusercontent.com/stautonico/pokemon-home-pokedex/main/sprites/pincurchin.png", 2)</f>
        <v>0</v>
      </c>
      <c r="J115" s="48">
        <f>IMAGE("https://raw.githubusercontent.com/stautonico/pokemon-home-pokedex/main/sprites/snom.png", 2)</f>
        <v>0</v>
      </c>
      <c r="K115" s="48">
        <f>IMAGE("https://raw.githubusercontent.com/stautonico/pokemon-home-pokedex/main/sprites/frosmoth.png", 2)</f>
        <v>0</v>
      </c>
      <c r="L115" s="48">
        <f>IMAGE("https://raw.githubusercontent.com/stautonico/pokemon-home-pokedex/main/sprites/stonjourner.png", 2)</f>
        <v>0</v>
      </c>
      <c r="M115" s="48">
        <f>IMAGE("https://raw.githubusercontent.com/stautonico/pokemon-home-pokedex/main/sprites/eiscue.png", 2)</f>
        <v>0</v>
      </c>
      <c r="N115" s="48">
        <f>IMAGE("https://raw.githubusercontent.com/stautonico/pokemon-home-pokedex/main/sprites/indeedee.png", 2)</f>
        <v>0</v>
      </c>
    </row>
    <row r="116" spans="2:14" ht="72" customHeight="1">
      <c r="B116" s="48">
        <f>IMAGE("https://raw.githubusercontent.com/stautonico/pokemon-home-pokedex/main/sprites/barraskewda.png", 2)</f>
        <v>0</v>
      </c>
      <c r="C116" s="48">
        <f>IMAGE("https://raw.githubusercontent.com/stautonico/pokemon-home-pokedex/main/sprites/toxel.png", 2)</f>
        <v>0</v>
      </c>
      <c r="D116" s="48">
        <f>IMAGE("https://raw.githubusercontent.com/stautonico/pokemon-home-pokedex/main/sprites/toxtricity.png", 2)</f>
        <v>0</v>
      </c>
      <c r="E116" s="48">
        <f>IMAGE("https://raw.githubusercontent.com/stautonico/pokemon-home-pokedex/main/sprites/sizzlipede.png", 2)</f>
        <v>0</v>
      </c>
      <c r="F116" s="48">
        <f>IMAGE("https://raw.githubusercontent.com/stautonico/pokemon-home-pokedex/main/sprites/centiskorch.png", 2)</f>
        <v>0</v>
      </c>
      <c r="G116" s="48">
        <f>IMAGE("https://raw.githubusercontent.com/stautonico/pokemon-home-pokedex/main/sprites/clobbopus.png", 2)</f>
        <v>0</v>
      </c>
      <c r="I116" s="48">
        <f>IMAGE("https://raw.githubusercontent.com/stautonico/pokemon-home-pokedex/main/sprites/morpeko.png", 2)</f>
        <v>0</v>
      </c>
      <c r="J116" s="48">
        <f>IMAGE("https://raw.githubusercontent.com/stautonico/pokemon-home-pokedex/main/sprites/cufant.png", 2)</f>
        <v>0</v>
      </c>
      <c r="K116" s="48">
        <f>IMAGE("https://raw.githubusercontent.com/stautonico/pokemon-home-pokedex/main/sprites/copperajah.png", 2)</f>
        <v>0</v>
      </c>
      <c r="L116" s="48">
        <f>IMAGE("https://raw.githubusercontent.com/stautonico/pokemon-home-pokedex/main/sprites/dracozolt.png", 2)</f>
        <v>0</v>
      </c>
      <c r="M116" s="48">
        <f>IMAGE("https://raw.githubusercontent.com/stautonico/pokemon-home-pokedex/main/sprites/arctozolt.png", 2)</f>
        <v>0</v>
      </c>
      <c r="N116" s="48">
        <f>IMAGE("https://raw.githubusercontent.com/stautonico/pokemon-home-pokedex/main/sprites/dracovish.png", 2)</f>
        <v>0</v>
      </c>
    </row>
    <row r="117" spans="2:14" ht="72" customHeight="1">
      <c r="B117" s="48">
        <f>IMAGE("https://raw.githubusercontent.com/stautonico/pokemon-home-pokedex/main/sprites/grapploct.png", 2)</f>
        <v>0</v>
      </c>
      <c r="C117" s="48">
        <f>IMAGE("https://raw.githubusercontent.com/stautonico/pokemon-home-pokedex/main/sprites/sinistea.png", 2)</f>
        <v>0</v>
      </c>
      <c r="D117" s="48">
        <f>IMAGE("https://raw.githubusercontent.com/stautonico/pokemon-home-pokedex/main/sprites/polteageist.png", 2)</f>
        <v>0</v>
      </c>
      <c r="E117" s="48">
        <f>IMAGE("https://raw.githubusercontent.com/stautonico/pokemon-home-pokedex/main/sprites/hatenna.png", 2)</f>
        <v>0</v>
      </c>
      <c r="F117" s="48">
        <f>IMAGE("https://raw.githubusercontent.com/stautonico/pokemon-home-pokedex/main/sprites/hattrem.png", 2)</f>
        <v>0</v>
      </c>
      <c r="G117" s="48">
        <f>IMAGE("https://raw.githubusercontent.com/stautonico/pokemon-home-pokedex/main/sprites/hatterene.png", 2)</f>
        <v>0</v>
      </c>
      <c r="I117" s="48">
        <f>IMAGE("https://raw.githubusercontent.com/stautonico/pokemon-home-pokedex/main/sprites/arctovish.png", 2)</f>
        <v>0</v>
      </c>
      <c r="J117" s="48">
        <f>IMAGE("https://raw.githubusercontent.com/stautonico/pokemon-home-pokedex/main/sprites/duraludon.png", 2)</f>
        <v>0</v>
      </c>
      <c r="K117" s="48">
        <f>IMAGE("https://raw.githubusercontent.com/stautonico/pokemon-home-pokedex/main/sprites/dreepy.png", 2)</f>
        <v>0</v>
      </c>
      <c r="L117" s="48">
        <f>IMAGE("https://raw.githubusercontent.com/stautonico/pokemon-home-pokedex/main/sprites/drakloak.png", 2)</f>
        <v>0</v>
      </c>
      <c r="M117" s="48">
        <f>IMAGE("https://raw.githubusercontent.com/stautonico/pokemon-home-pokedex/main/sprites/dragapult.png", 2)</f>
        <v>0</v>
      </c>
      <c r="N117" s="48">
        <f>IMAGE("https://raw.githubusercontent.com/stautonico/pokemon-home-pokedex/main/sprites/zacian.png", 2)</f>
        <v>0</v>
      </c>
    </row>
    <row r="118" spans="2:14" ht="72" customHeight="1">
      <c r="B118" s="48">
        <f>IMAGE("https://raw.githubusercontent.com/stautonico/pokemon-home-pokedex/main/sprites/impidimp.png", 2)</f>
        <v>0</v>
      </c>
      <c r="C118" s="48">
        <f>IMAGE("https://raw.githubusercontent.com/stautonico/pokemon-home-pokedex/main/sprites/morgrem.png", 2)</f>
        <v>0</v>
      </c>
      <c r="D118" s="48">
        <f>IMAGE("https://raw.githubusercontent.com/stautonico/pokemon-home-pokedex/main/sprites/grimmsnarl.png", 2)</f>
        <v>0</v>
      </c>
      <c r="E118" s="48">
        <f>IMAGE("https://raw.githubusercontent.com/stautonico/pokemon-home-pokedex/main/sprites/obstagoon.png", 2)</f>
        <v>0</v>
      </c>
      <c r="F118" s="48">
        <f>IMAGE("https://raw.githubusercontent.com/stautonico/pokemon-home-pokedex/main/sprites/perrserker.png", 2)</f>
        <v>0</v>
      </c>
      <c r="G118" s="48">
        <f>IMAGE("https://raw.githubusercontent.com/stautonico/pokemon-home-pokedex/main/sprites/cursola.png", 2)</f>
        <v>0</v>
      </c>
      <c r="I118" s="48">
        <f>IMAGE("https://raw.githubusercontent.com/stautonico/pokemon-home-pokedex/main/sprites/zamazenta.png", 2)</f>
        <v>0</v>
      </c>
      <c r="J118" s="48">
        <f>IMAGE("https://raw.githubusercontent.com/stautonico/pokemon-home-pokedex/main/sprites/eternatus.png", 2)</f>
        <v>0</v>
      </c>
      <c r="K118" s="48">
        <f>IMAGE("https://raw.githubusercontent.com/stautonico/pokemon-home-pokedex/main/sprites/kubfu.png", 2)</f>
        <v>0</v>
      </c>
      <c r="L118" s="48">
        <f>IMAGE("https://raw.githubusercontent.com/stautonico/pokemon-home-pokedex/main/sprites/urshifu.png", 2)</f>
        <v>0</v>
      </c>
      <c r="M118" s="48">
        <f>IMAGE("https://raw.githubusercontent.com/stautonico/pokemon-home-pokedex/main/sprites/zarude.png", 2)</f>
        <v>0</v>
      </c>
      <c r="N118" s="48">
        <f>IMAGE("https://raw.githubusercontent.com/stautonico/pokemon-home-pokedex/main/sprites/regieleki.png", 2)</f>
        <v>0</v>
      </c>
    </row>
    <row r="119" spans="2:14" ht="72" customHeight="1">
      <c r="B119" s="48">
        <f>IMAGE("https://raw.githubusercontent.com/stautonico/pokemon-home-pokedex/main/sprites/sirfetchd.png", 2)</f>
        <v>0</v>
      </c>
      <c r="C119" s="48">
        <f>IMAGE("https://raw.githubusercontent.com/stautonico/pokemon-home-pokedex/main/sprites/mrrime.png", 2)</f>
        <v>0</v>
      </c>
      <c r="D119" s="48">
        <f>IMAGE("https://raw.githubusercontent.com/stautonico/pokemon-home-pokedex/main/sprites/runerigus.png", 2)</f>
        <v>0</v>
      </c>
      <c r="E119" s="48">
        <f>IMAGE("https://raw.githubusercontent.com/stautonico/pokemon-home-pokedex/main/sprites/milcery.png", 2)</f>
        <v>0</v>
      </c>
      <c r="F119" s="48">
        <f>IMAGE("https://raw.githubusercontent.com/stautonico/pokemon-home-pokedex/main/sprites/alcremie.png", 2)</f>
        <v>0</v>
      </c>
      <c r="G119" s="48">
        <f>IMAGE("https://raw.githubusercontent.com/stautonico/pokemon-home-pokedex/main/sprites/falinks.png", 2)</f>
        <v>0</v>
      </c>
      <c r="I119" s="48">
        <f>IMAGE("https://raw.githubusercontent.com/stautonico/pokemon-home-pokedex/main/sprites/regidrago.png", 2)</f>
        <v>0</v>
      </c>
      <c r="J119" s="48">
        <f>IMAGE("https://raw.githubusercontent.com/stautonico/pokemon-home-pokedex/main/sprites/glastrier.png", 2)</f>
        <v>0</v>
      </c>
      <c r="K119" s="48">
        <f>IMAGE("https://raw.githubusercontent.com/stautonico/pokemon-home-pokedex/main/sprites/spectrier.png", 2)</f>
        <v>0</v>
      </c>
      <c r="L119" s="48">
        <f>IMAGE("https://raw.githubusercontent.com/stautonico/pokemon-home-pokedex/main/sprites/calyrex.png", 2)</f>
        <v>0</v>
      </c>
      <c r="M119" s="48">
        <f>IMAGE("https://raw.githubusercontent.com/stautonico/pokemon-home-pokedex/main/sprites/wyrdeer.png", 2)</f>
        <v>0</v>
      </c>
      <c r="N119" s="48">
        <f>IMAGE("https://raw.githubusercontent.com/stautonico/pokemon-home-pokedex/main/sprites/kleavor.png", 2)</f>
        <v>0</v>
      </c>
    </row>
    <row r="122" spans="2:14">
      <c r="B122" s="47" t="s">
        <v>1469</v>
      </c>
      <c r="I122" s="47" t="s">
        <v>1470</v>
      </c>
    </row>
    <row r="123" spans="2:14" ht="72" customHeight="1">
      <c r="B123" s="48">
        <f>IMAGE("https://raw.githubusercontent.com/stautonico/pokemon-home-pokedex/main/sprites/ursaluna.png", 2)</f>
        <v>0</v>
      </c>
      <c r="C123" s="48">
        <f>IMAGE("https://raw.githubusercontent.com/stautonico/pokemon-home-pokedex/main/sprites/basculegion.png", 2)</f>
        <v>0</v>
      </c>
      <c r="D123" s="48">
        <f>IMAGE("https://raw.githubusercontent.com/stautonico/pokemon-home-pokedex/main/sprites/sneasler.png", 2)</f>
        <v>0</v>
      </c>
      <c r="E123" s="48">
        <f>IMAGE("https://raw.githubusercontent.com/stautonico/pokemon-home-pokedex/main/sprites/overqwil.png", 2)</f>
        <v>0</v>
      </c>
      <c r="F123" s="48">
        <f>IMAGE("https://raw.githubusercontent.com/stautonico/pokemon-home-pokedex/main/sprites/enamorus.png", 2)</f>
        <v>0</v>
      </c>
      <c r="G123" s="48">
        <f>IMAGE("https://raw.githubusercontent.com/stautonico/pokemon-home-pokedex/main/sprites/sprigatito.png", 2)</f>
        <v>0</v>
      </c>
      <c r="I123" s="48">
        <f>IMAGE("https://raw.githubusercontent.com/stautonico/pokemon-home-pokedex/main/sprites/squawkabilly.png", 2)</f>
        <v>0</v>
      </c>
      <c r="J123" s="48">
        <f>IMAGE("https://raw.githubusercontent.com/stautonico/pokemon-home-pokedex/main/sprites/nacli.png", 2)</f>
        <v>0</v>
      </c>
      <c r="K123" s="48">
        <f>IMAGE("https://raw.githubusercontent.com/stautonico/pokemon-home-pokedex/main/sprites/naclstack.png", 2)</f>
        <v>0</v>
      </c>
      <c r="L123" s="48">
        <f>IMAGE("https://raw.githubusercontent.com/stautonico/pokemon-home-pokedex/main/sprites/garganacl.png", 2)</f>
        <v>0</v>
      </c>
      <c r="M123" s="48">
        <f>IMAGE("https://raw.githubusercontent.com/stautonico/pokemon-home-pokedex/main/sprites/charcadet.png", 2)</f>
        <v>0</v>
      </c>
      <c r="N123" s="48">
        <f>IMAGE("https://raw.githubusercontent.com/stautonico/pokemon-home-pokedex/main/sprites/armarouge.png", 2)</f>
        <v>0</v>
      </c>
    </row>
    <row r="124" spans="2:14" ht="72" customHeight="1">
      <c r="B124" s="48">
        <f>IMAGE("https://raw.githubusercontent.com/stautonico/pokemon-home-pokedex/main/sprites/floragato.png", 2)</f>
        <v>0</v>
      </c>
      <c r="C124" s="48">
        <f>IMAGE("https://raw.githubusercontent.com/stautonico/pokemon-home-pokedex/main/sprites/meowscarada.png", 2)</f>
        <v>0</v>
      </c>
      <c r="D124" s="48">
        <f>IMAGE("https://raw.githubusercontent.com/stautonico/pokemon-home-pokedex/main/sprites/fuecoco.png", 2)</f>
        <v>0</v>
      </c>
      <c r="E124" s="48">
        <f>IMAGE("https://raw.githubusercontent.com/stautonico/pokemon-home-pokedex/main/sprites/crocalor.png", 2)</f>
        <v>0</v>
      </c>
      <c r="F124" s="48">
        <f>IMAGE("https://raw.githubusercontent.com/stautonico/pokemon-home-pokedex/main/sprites/skeledirge.png", 2)</f>
        <v>0</v>
      </c>
      <c r="G124" s="48">
        <f>IMAGE("https://raw.githubusercontent.com/stautonico/pokemon-home-pokedex/main/sprites/quaxly.png", 2)</f>
        <v>0</v>
      </c>
      <c r="I124" s="48">
        <f>IMAGE("https://raw.githubusercontent.com/stautonico/pokemon-home-pokedex/main/sprites/ceruledge.png", 2)</f>
        <v>0</v>
      </c>
      <c r="J124" s="48">
        <f>IMAGE("https://raw.githubusercontent.com/stautonico/pokemon-home-pokedex/main/sprites/tadbulb.png", 2)</f>
        <v>0</v>
      </c>
      <c r="K124" s="48">
        <f>IMAGE("https://raw.githubusercontent.com/stautonico/pokemon-home-pokedex/main/sprites/bellibolt.png", 2)</f>
        <v>0</v>
      </c>
      <c r="L124" s="48">
        <f>IMAGE("https://raw.githubusercontent.com/stautonico/pokemon-home-pokedex/main/sprites/wattrel.png", 2)</f>
        <v>0</v>
      </c>
      <c r="M124" s="48">
        <f>IMAGE("https://raw.githubusercontent.com/stautonico/pokemon-home-pokedex/main/sprites/kilowattrel.png", 2)</f>
        <v>0</v>
      </c>
      <c r="N124" s="48">
        <f>IMAGE("https://raw.githubusercontent.com/stautonico/pokemon-home-pokedex/main/sprites/maschiff.png", 2)</f>
        <v>0</v>
      </c>
    </row>
    <row r="125" spans="2:14" ht="72" customHeight="1">
      <c r="B125" s="48">
        <f>IMAGE("https://raw.githubusercontent.com/stautonico/pokemon-home-pokedex/main/sprites/quaxwell.png", 2)</f>
        <v>0</v>
      </c>
      <c r="C125" s="48">
        <f>IMAGE("https://raw.githubusercontent.com/stautonico/pokemon-home-pokedex/main/sprites/quaquaval.png", 2)</f>
        <v>0</v>
      </c>
      <c r="D125" s="48">
        <f>IMAGE("https://raw.githubusercontent.com/stautonico/pokemon-home-pokedex/main/sprites/lechonk.png", 2)</f>
        <v>0</v>
      </c>
      <c r="E125" s="48">
        <f>IMAGE("https://raw.githubusercontent.com/stautonico/pokemon-home-pokedex/main/sprites/oinkologne.png", 2)</f>
        <v>0</v>
      </c>
      <c r="F125" s="48">
        <f>IMAGE("https://raw.githubusercontent.com/stautonico/pokemon-home-pokedex/main/sprites/tarountula.png", 2)</f>
        <v>0</v>
      </c>
      <c r="G125" s="48">
        <f>IMAGE("https://raw.githubusercontent.com/stautonico/pokemon-home-pokedex/main/sprites/spidops.png", 2)</f>
        <v>0</v>
      </c>
      <c r="I125" s="48">
        <f>IMAGE("https://raw.githubusercontent.com/stautonico/pokemon-home-pokedex/main/sprites/mabosstiff.png", 2)</f>
        <v>0</v>
      </c>
      <c r="J125" s="48">
        <f>IMAGE("https://raw.githubusercontent.com/stautonico/pokemon-home-pokedex/main/sprites/shroodle.png", 2)</f>
        <v>0</v>
      </c>
      <c r="K125" s="48">
        <f>IMAGE("https://raw.githubusercontent.com/stautonico/pokemon-home-pokedex/main/sprites/grafaiai.png", 2)</f>
        <v>0</v>
      </c>
      <c r="L125" s="48">
        <f>IMAGE("https://raw.githubusercontent.com/stautonico/pokemon-home-pokedex/main/sprites/bramblin.png", 2)</f>
        <v>0</v>
      </c>
      <c r="M125" s="48">
        <f>IMAGE("https://raw.githubusercontent.com/stautonico/pokemon-home-pokedex/main/sprites/brambleghast.png", 2)</f>
        <v>0</v>
      </c>
      <c r="N125" s="48">
        <f>IMAGE("https://raw.githubusercontent.com/stautonico/pokemon-home-pokedex/main/sprites/toedscool.png", 2)</f>
        <v>0</v>
      </c>
    </row>
    <row r="126" spans="2:14" ht="72" customHeight="1">
      <c r="B126" s="48">
        <f>IMAGE("https://raw.githubusercontent.com/stautonico/pokemon-home-pokedex/main/sprites/nymble.png", 2)</f>
        <v>0</v>
      </c>
      <c r="C126" s="48">
        <f>IMAGE("https://raw.githubusercontent.com/stautonico/pokemon-home-pokedex/main/sprites/lokix.png", 2)</f>
        <v>0</v>
      </c>
      <c r="D126" s="48">
        <f>IMAGE("https://raw.githubusercontent.com/stautonico/pokemon-home-pokedex/main/sprites/pawmi.png", 2)</f>
        <v>0</v>
      </c>
      <c r="E126" s="48">
        <f>IMAGE("https://raw.githubusercontent.com/stautonico/pokemon-home-pokedex/main/sprites/pawmo.png", 2)</f>
        <v>0</v>
      </c>
      <c r="F126" s="48">
        <f>IMAGE("https://raw.githubusercontent.com/stautonico/pokemon-home-pokedex/main/sprites/pawmot.png", 2)</f>
        <v>0</v>
      </c>
      <c r="G126" s="48">
        <f>IMAGE("https://raw.githubusercontent.com/stautonico/pokemon-home-pokedex/main/sprites/tandemaus.png", 2)</f>
        <v>0</v>
      </c>
      <c r="I126" s="48">
        <f>IMAGE("https://raw.githubusercontent.com/stautonico/pokemon-home-pokedex/main/sprites/toedscruel.png", 2)</f>
        <v>0</v>
      </c>
      <c r="J126" s="48">
        <f>IMAGE("https://raw.githubusercontent.com/stautonico/pokemon-home-pokedex/main/sprites/klawf.png", 2)</f>
        <v>0</v>
      </c>
      <c r="K126" s="48">
        <f>IMAGE("https://raw.githubusercontent.com/stautonico/pokemon-home-pokedex/main/sprites/capsakid.png", 2)</f>
        <v>0</v>
      </c>
      <c r="L126" s="48">
        <f>IMAGE("https://raw.githubusercontent.com/stautonico/pokemon-home-pokedex/main/sprites/scovillain.png", 2)</f>
        <v>0</v>
      </c>
      <c r="M126" s="48">
        <f>IMAGE("https://raw.githubusercontent.com/stautonico/pokemon-home-pokedex/main/sprites/rellor.png", 2)</f>
        <v>0</v>
      </c>
      <c r="N126" s="48">
        <f>IMAGE("https://raw.githubusercontent.com/stautonico/pokemon-home-pokedex/main/sprites/rabsca.png", 2)</f>
        <v>0</v>
      </c>
    </row>
    <row r="127" spans="2:14" ht="72" customHeight="1">
      <c r="B127" s="48">
        <f>IMAGE("https://raw.githubusercontent.com/stautonico/pokemon-home-pokedex/main/sprites/maushold.png", 2)</f>
        <v>0</v>
      </c>
      <c r="C127" s="48">
        <f>IMAGE("https://raw.githubusercontent.com/stautonico/pokemon-home-pokedex/main/sprites/fidough.png", 2)</f>
        <v>0</v>
      </c>
      <c r="D127" s="48">
        <f>IMAGE("https://raw.githubusercontent.com/stautonico/pokemon-home-pokedex/main/sprites/dachsbun.png", 2)</f>
        <v>0</v>
      </c>
      <c r="E127" s="48">
        <f>IMAGE("https://raw.githubusercontent.com/stautonico/pokemon-home-pokedex/main/sprites/smoliv.png", 2)</f>
        <v>0</v>
      </c>
      <c r="F127" s="48">
        <f>IMAGE("https://raw.githubusercontent.com/stautonico/pokemon-home-pokedex/main/sprites/dolliv.png", 2)</f>
        <v>0</v>
      </c>
      <c r="G127" s="48">
        <f>IMAGE("https://raw.githubusercontent.com/stautonico/pokemon-home-pokedex/main/sprites/arboliva.png", 2)</f>
        <v>0</v>
      </c>
      <c r="I127" s="48">
        <f>IMAGE("https://raw.githubusercontent.com/stautonico/pokemon-home-pokedex/main/sprites/flittle.png", 2)</f>
        <v>0</v>
      </c>
      <c r="J127" s="48">
        <f>IMAGE("https://raw.githubusercontent.com/stautonico/pokemon-home-pokedex/main/sprites/espathra.png", 2)</f>
        <v>0</v>
      </c>
      <c r="K127" s="48">
        <f>IMAGE("https://raw.githubusercontent.com/stautonico/pokemon-home-pokedex/main/sprites/tinkatink.png", 2)</f>
        <v>0</v>
      </c>
      <c r="L127" s="48">
        <f>IMAGE("https://raw.githubusercontent.com/stautonico/pokemon-home-pokedex/main/sprites/tinkatuff.png", 2)</f>
        <v>0</v>
      </c>
      <c r="M127" s="48">
        <f>IMAGE("https://raw.githubusercontent.com/stautonico/pokemon-home-pokedex/main/sprites/tinkaton.png", 2)</f>
        <v>0</v>
      </c>
      <c r="N127" s="48">
        <f>IMAGE("https://raw.githubusercontent.com/stautonico/pokemon-home-pokedex/main/sprites/wiglett.png", 2)</f>
        <v>0</v>
      </c>
    </row>
    <row r="130" spans="2:14">
      <c r="B130" s="47" t="s">
        <v>1471</v>
      </c>
      <c r="I130" s="47" t="s">
        <v>1472</v>
      </c>
    </row>
    <row r="131" spans="2:14" ht="72" customHeight="1">
      <c r="B131" s="48">
        <f>IMAGE("https://raw.githubusercontent.com/stautonico/pokemon-home-pokedex/main/sprites/wugtrio.png", 2)</f>
        <v>0</v>
      </c>
      <c r="C131" s="48">
        <f>IMAGE("https://raw.githubusercontent.com/stautonico/pokemon-home-pokedex/main/sprites/bombirdier.png", 2)</f>
        <v>0</v>
      </c>
      <c r="D131" s="48">
        <f>IMAGE("https://raw.githubusercontent.com/stautonico/pokemon-home-pokedex/main/sprites/finizen.png", 2)</f>
        <v>0</v>
      </c>
      <c r="E131" s="48">
        <f>IMAGE("https://raw.githubusercontent.com/stautonico/pokemon-home-pokedex/main/sprites/palafin.png", 2)</f>
        <v>0</v>
      </c>
      <c r="F131" s="48">
        <f>IMAGE("https://raw.githubusercontent.com/stautonico/pokemon-home-pokedex/main/sprites/varoom.png", 2)</f>
        <v>0</v>
      </c>
      <c r="G131" s="48">
        <f>IMAGE("https://raw.githubusercontent.com/stautonico/pokemon-home-pokedex/main/sprites/revavroom.png", 2)</f>
        <v>0</v>
      </c>
      <c r="I131" s="48">
        <f>IMAGE("https://raw.githubusercontent.com/stautonico/pokemon-home-pokedex/main/sprites/iron-bundle.png", 2)</f>
        <v>0</v>
      </c>
      <c r="J131" s="48">
        <f>IMAGE("https://raw.githubusercontent.com/stautonico/pokemon-home-pokedex/main/sprites/iron-hands.png", 2)</f>
        <v>0</v>
      </c>
      <c r="K131" s="48">
        <f>IMAGE("https://raw.githubusercontent.com/stautonico/pokemon-home-pokedex/main/sprites/iron-jugulis.png", 2)</f>
        <v>0</v>
      </c>
      <c r="L131" s="48">
        <f>IMAGE("https://raw.githubusercontent.com/stautonico/pokemon-home-pokedex/main/sprites/iron-moth.png", 2)</f>
        <v>0</v>
      </c>
      <c r="M131" s="48">
        <f>IMAGE("https://raw.githubusercontent.com/stautonico/pokemon-home-pokedex/main/sprites/iron-thorns.png", 2)</f>
        <v>0</v>
      </c>
      <c r="N131" s="48">
        <f>IMAGE("https://raw.githubusercontent.com/stautonico/pokemon-home-pokedex/main/sprites/frigibax.png", 2)</f>
        <v>0</v>
      </c>
    </row>
    <row r="132" spans="2:14" ht="72" customHeight="1">
      <c r="B132" s="48">
        <f>IMAGE("https://raw.githubusercontent.com/stautonico/pokemon-home-pokedex/main/sprites/cyclizar.png", 2)</f>
        <v>0</v>
      </c>
      <c r="C132" s="48">
        <f>IMAGE("https://raw.githubusercontent.com/stautonico/pokemon-home-pokedex/main/sprites/orthworm.png", 2)</f>
        <v>0</v>
      </c>
      <c r="D132" s="48">
        <f>IMAGE("https://raw.githubusercontent.com/stautonico/pokemon-home-pokedex/main/sprites/glimmet.png", 2)</f>
        <v>0</v>
      </c>
      <c r="E132" s="48">
        <f>IMAGE("https://raw.githubusercontent.com/stautonico/pokemon-home-pokedex/main/sprites/glimmora.png", 2)</f>
        <v>0</v>
      </c>
      <c r="F132" s="48">
        <f>IMAGE("https://raw.githubusercontent.com/stautonico/pokemon-home-pokedex/main/sprites/greavard.png", 2)</f>
        <v>0</v>
      </c>
      <c r="G132" s="48">
        <f>IMAGE("https://raw.githubusercontent.com/stautonico/pokemon-home-pokedex/main/sprites/houndstone.png", 2)</f>
        <v>0</v>
      </c>
      <c r="I132" s="48">
        <f>IMAGE("https://raw.githubusercontent.com/stautonico/pokemon-home-pokedex/main/sprites/arctibax.png", 2)</f>
        <v>0</v>
      </c>
      <c r="J132" s="48">
        <f>IMAGE("https://raw.githubusercontent.com/stautonico/pokemon-home-pokedex/main/sprites/baxcalibur.png", 2)</f>
        <v>0</v>
      </c>
      <c r="K132" s="48">
        <f>IMAGE("https://raw.githubusercontent.com/stautonico/pokemon-home-pokedex/main/sprites/gimmighoul.png", 2)</f>
        <v>0</v>
      </c>
      <c r="L132" s="48">
        <f>IMAGE("https://raw.githubusercontent.com/stautonico/pokemon-home-pokedex/main/sprites/gholdengo.png", 2)</f>
        <v>0</v>
      </c>
      <c r="M132" s="48">
        <f>IMAGE("https://raw.githubusercontent.com/stautonico/pokemon-home-pokedex/main/sprites/wo-chien.png", 2)</f>
        <v>0</v>
      </c>
      <c r="N132" s="48">
        <f>IMAGE("https://raw.githubusercontent.com/stautonico/pokemon-home-pokedex/main/sprites/chien-pao.png", 2)</f>
        <v>0</v>
      </c>
    </row>
    <row r="133" spans="2:14" ht="72" customHeight="1">
      <c r="B133" s="48">
        <f>IMAGE("https://raw.githubusercontent.com/stautonico/pokemon-home-pokedex/main/sprites/flamigo.png", 2)</f>
        <v>0</v>
      </c>
      <c r="C133" s="48">
        <f>IMAGE("https://raw.githubusercontent.com/stautonico/pokemon-home-pokedex/main/sprites/cetoddle.png", 2)</f>
        <v>0</v>
      </c>
      <c r="D133" s="48">
        <f>IMAGE("https://raw.githubusercontent.com/stautonico/pokemon-home-pokedex/main/sprites/cetitan.png", 2)</f>
        <v>0</v>
      </c>
      <c r="E133" s="48">
        <f>IMAGE("https://raw.githubusercontent.com/stautonico/pokemon-home-pokedex/main/sprites/veluza.png", 2)</f>
        <v>0</v>
      </c>
      <c r="F133" s="48">
        <f>IMAGE("https://raw.githubusercontent.com/stautonico/pokemon-home-pokedex/main/sprites/dondozo.png", 2)</f>
        <v>0</v>
      </c>
      <c r="G133" s="48">
        <f>IMAGE("https://raw.githubusercontent.com/stautonico/pokemon-home-pokedex/main/sprites/tatsugiri.png", 2)</f>
        <v>0</v>
      </c>
      <c r="I133" s="48">
        <f>IMAGE("https://raw.githubusercontent.com/stautonico/pokemon-home-pokedex/main/sprites/ting-lu.png", 2)</f>
        <v>0</v>
      </c>
      <c r="J133" s="48">
        <f>IMAGE("https://raw.githubusercontent.com/stautonico/pokemon-home-pokedex/main/sprites/chi-yu.png", 2)</f>
        <v>0</v>
      </c>
      <c r="K133" s="48">
        <f>IMAGE("https://raw.githubusercontent.com/stautonico/pokemon-home-pokedex/main/sprites/roaring-moon.png", 2)</f>
        <v>0</v>
      </c>
      <c r="L133" s="48">
        <f>IMAGE("https://raw.githubusercontent.com/stautonico/pokemon-home-pokedex/main/sprites/iron-valiant.png", 2)</f>
        <v>0</v>
      </c>
      <c r="M133" s="48">
        <f>IMAGE("https://raw.githubusercontent.com/stautonico/pokemon-home-pokedex/main/sprites/koraidon.png", 2)</f>
        <v>0</v>
      </c>
      <c r="N133" s="48">
        <f>IMAGE("https://raw.githubusercontent.com/stautonico/pokemon-home-pokedex/main/sprites/miraidon.png", 2)</f>
        <v>0</v>
      </c>
    </row>
    <row r="134" spans="2:14" ht="72" customHeight="1">
      <c r="B134" s="48">
        <f>IMAGE("https://raw.githubusercontent.com/stautonico/pokemon-home-pokedex/main/sprites/annihilape.png", 2)</f>
        <v>0</v>
      </c>
      <c r="C134" s="48">
        <f>IMAGE("https://raw.githubusercontent.com/stautonico/pokemon-home-pokedex/main/sprites/clodsire.png", 2)</f>
        <v>0</v>
      </c>
      <c r="D134" s="48">
        <f>IMAGE("https://raw.githubusercontent.com/stautonico/pokemon-home-pokedex/main/sprites/farigiraf.png", 2)</f>
        <v>0</v>
      </c>
      <c r="E134" s="48">
        <f>IMAGE("https://raw.githubusercontent.com/stautonico/pokemon-home-pokedex/main/sprites/dudunsparce.png", 2)</f>
        <v>0</v>
      </c>
      <c r="F134" s="48">
        <f>IMAGE("https://raw.githubusercontent.com/stautonico/pokemon-home-pokedex/main/sprites/kingambit.png", 2)</f>
        <v>0</v>
      </c>
      <c r="G134" s="48">
        <f>IMAGE("https://raw.githubusercontent.com/stautonico/pokemon-home-pokedex/main/sprites/great-tusk.png", 2)</f>
        <v>0</v>
      </c>
      <c r="I134" s="48">
        <f>IMAGE("https://raw.githubusercontent.com/stautonico/pokemon-home-pokedex/main/sprites/walking-wake.png", 2)</f>
        <v>0</v>
      </c>
      <c r="J134" s="48">
        <f>IMAGE("https://raw.githubusercontent.com/stautonico/pokemon-home-pokedex/main/sprites/iron-leaves.png", 2)</f>
        <v>0</v>
      </c>
      <c r="K134" s="48"/>
      <c r="L134" s="48"/>
      <c r="M134" s="48"/>
      <c r="N134" s="48"/>
    </row>
    <row r="135" spans="2:14" ht="72" customHeight="1">
      <c r="B135" s="48">
        <f>IMAGE("https://raw.githubusercontent.com/stautonico/pokemon-home-pokedex/main/sprites/scream-tail.png", 2)</f>
        <v>0</v>
      </c>
      <c r="C135" s="48">
        <f>IMAGE("https://raw.githubusercontent.com/stautonico/pokemon-home-pokedex/main/sprites/brute-bonnet.png", 2)</f>
        <v>0</v>
      </c>
      <c r="D135" s="48">
        <f>IMAGE("https://raw.githubusercontent.com/stautonico/pokemon-home-pokedex/main/sprites/flutter-mane.png", 2)</f>
        <v>0</v>
      </c>
      <c r="E135" s="48">
        <f>IMAGE("https://raw.githubusercontent.com/stautonico/pokemon-home-pokedex/main/sprites/slither-wing.png", 2)</f>
        <v>0</v>
      </c>
      <c r="F135" s="48">
        <f>IMAGE("https://raw.githubusercontent.com/stautonico/pokemon-home-pokedex/main/sprites/sandy-shocks.png", 2)</f>
        <v>0</v>
      </c>
      <c r="G135" s="48">
        <f>IMAGE("https://raw.githubusercontent.com/stautonico/pokemon-home-pokedex/main/sprites/iron-treads.png", 2)</f>
        <v>0</v>
      </c>
      <c r="I135" s="48"/>
      <c r="J135" s="48"/>
      <c r="K135" s="48"/>
      <c r="L135" s="48"/>
      <c r="M135" s="48"/>
      <c r="N135" s="48"/>
    </row>
    <row r="138" spans="2:14">
      <c r="B138" s="47" t="s">
        <v>1473</v>
      </c>
      <c r="I138" s="47" t="s">
        <v>1474</v>
      </c>
    </row>
    <row r="139" spans="2:14" ht="72" customHeight="1">
      <c r="B139" s="48">
        <f>IMAGE("https://raw.githubusercontent.com/stautonico/pokemon-home-pokedex/main/sprites/venusaur-f.png", 2)</f>
        <v>0</v>
      </c>
      <c r="C139" s="48">
        <f>IMAGE("https://raw.githubusercontent.com/stautonico/pokemon-home-pokedex/main/sprites/butterfree-f.png", 2)</f>
        <v>0</v>
      </c>
      <c r="D139" s="48">
        <f>IMAGE("https://raw.githubusercontent.com/stautonico/pokemon-home-pokedex/main/sprites/rattata-f.png", 2)</f>
        <v>0</v>
      </c>
      <c r="E139" s="48">
        <f>IMAGE("https://raw.githubusercontent.com/stautonico/pokemon-home-pokedex/main/sprites/raticate-f.png", 2)</f>
        <v>0</v>
      </c>
      <c r="F139" s="48">
        <f>IMAGE("https://raw.githubusercontent.com/stautonico/pokemon-home-pokedex/main/sprites/pikachu-f.png", 2)</f>
        <v>0</v>
      </c>
      <c r="G139" s="48">
        <f>IMAGE("https://raw.githubusercontent.com/stautonico/pokemon-home-pokedex/main/sprites/raichu-f.png", 2)</f>
        <v>0</v>
      </c>
      <c r="I139" s="48">
        <f>IMAGE("https://raw.githubusercontent.com/stautonico/pokemon-home-pokedex/main/sprites/wooper-f.png", 2)</f>
        <v>0</v>
      </c>
      <c r="J139" s="48">
        <f>IMAGE("https://raw.githubusercontent.com/stautonico/pokemon-home-pokedex/main/sprites/quagsire-f.png", 2)</f>
        <v>0</v>
      </c>
      <c r="K139" s="48">
        <f>IMAGE("https://raw.githubusercontent.com/stautonico/pokemon-home-pokedex/main/sprites/murkrow-f.png", 2)</f>
        <v>0</v>
      </c>
      <c r="L139" s="48">
        <f>IMAGE("https://raw.githubusercontent.com/stautonico/pokemon-home-pokedex/main/sprites/wobbuffet-f.png", 2)</f>
        <v>0</v>
      </c>
      <c r="M139" s="48">
        <f>IMAGE("https://raw.githubusercontent.com/stautonico/pokemon-home-pokedex/main/sprites/girafarig-f.png", 2)</f>
        <v>0</v>
      </c>
      <c r="N139" s="48">
        <f>IMAGE("https://raw.githubusercontent.com/stautonico/pokemon-home-pokedex/main/sprites/gligar-f.png", 2)</f>
        <v>0</v>
      </c>
    </row>
    <row r="140" spans="2:14" ht="72" customHeight="1">
      <c r="B140" s="48">
        <f>IMAGE("https://raw.githubusercontent.com/stautonico/pokemon-home-pokedex/main/sprites/zubat-f.png", 2)</f>
        <v>0</v>
      </c>
      <c r="C140" s="48">
        <f>IMAGE("https://raw.githubusercontent.com/stautonico/pokemon-home-pokedex/main/sprites/golbat-f.png", 2)</f>
        <v>0</v>
      </c>
      <c r="D140" s="48">
        <f>IMAGE("https://raw.githubusercontent.com/stautonico/pokemon-home-pokedex/main/sprites/gloom-f.png", 2)</f>
        <v>0</v>
      </c>
      <c r="E140" s="48">
        <f>IMAGE("https://raw.githubusercontent.com/stautonico/pokemon-home-pokedex/main/sprites/vileplume-f.png", 2)</f>
        <v>0</v>
      </c>
      <c r="F140" s="48">
        <f>IMAGE("https://raw.githubusercontent.com/stautonico/pokemon-home-pokedex/main/sprites/kadabra-f.png", 2)</f>
        <v>0</v>
      </c>
      <c r="G140" s="48">
        <f>IMAGE("https://raw.githubusercontent.com/stautonico/pokemon-home-pokedex/main/sprites/alakazam-f.png", 2)</f>
        <v>0</v>
      </c>
      <c r="I140" s="48">
        <f>IMAGE("https://raw.githubusercontent.com/stautonico/pokemon-home-pokedex/main/sprites/steelix-f.png", 2)</f>
        <v>0</v>
      </c>
      <c r="J140" s="48">
        <f>IMAGE("https://raw.githubusercontent.com/stautonico/pokemon-home-pokedex/main/sprites/scizor-f.png", 2)</f>
        <v>0</v>
      </c>
      <c r="K140" s="48">
        <f>IMAGE("https://raw.githubusercontent.com/stautonico/pokemon-home-pokedex/main/sprites/heracross-f.png", 2)</f>
        <v>0</v>
      </c>
      <c r="L140" s="48">
        <f>IMAGE("https://raw.githubusercontent.com/stautonico/pokemon-home-pokedex/main/sprites/sneasel-f.png", 2)</f>
        <v>0</v>
      </c>
      <c r="M140" s="48">
        <f>IMAGE("https://raw.githubusercontent.com/stautonico/pokemon-home-pokedex/main/sprites/sneasel-hisui-f.png", 2)</f>
        <v>0</v>
      </c>
      <c r="N140" s="48">
        <f>IMAGE("https://raw.githubusercontent.com/stautonico/pokemon-home-pokedex/main/sprites/ursaring-f.png", 2)</f>
        <v>0</v>
      </c>
    </row>
    <row r="141" spans="2:14" ht="72" customHeight="1">
      <c r="B141" s="48">
        <f>IMAGE("https://raw.githubusercontent.com/stautonico/pokemon-home-pokedex/main/sprites/doduo-f.png", 2)</f>
        <v>0</v>
      </c>
      <c r="C141" s="48">
        <f>IMAGE("https://raw.githubusercontent.com/stautonico/pokemon-home-pokedex/main/sprites/dodrio-f.png", 2)</f>
        <v>0</v>
      </c>
      <c r="D141" s="48">
        <f>IMAGE("https://raw.githubusercontent.com/stautonico/pokemon-home-pokedex/main/sprites/hypno-f.png", 2)</f>
        <v>0</v>
      </c>
      <c r="E141" s="48">
        <f>IMAGE("https://raw.githubusercontent.com/stautonico/pokemon-home-pokedex/main/sprites/rhyhorn-f.png", 2)</f>
        <v>0</v>
      </c>
      <c r="F141" s="48">
        <f>IMAGE("https://raw.githubusercontent.com/stautonico/pokemon-home-pokedex/main/sprites/rhydon-f.png", 2)</f>
        <v>0</v>
      </c>
      <c r="G141" s="48">
        <f>IMAGE("https://raw.githubusercontent.com/stautonico/pokemon-home-pokedex/main/sprites/goldeen-f.png", 2)</f>
        <v>0</v>
      </c>
      <c r="I141" s="48">
        <f>IMAGE("https://raw.githubusercontent.com/stautonico/pokemon-home-pokedex/main/sprites/piloswine-f.png", 2)</f>
        <v>0</v>
      </c>
      <c r="J141" s="48">
        <f>IMAGE("https://raw.githubusercontent.com/stautonico/pokemon-home-pokedex/main/sprites/octillery-f.png", 2)</f>
        <v>0</v>
      </c>
      <c r="K141" s="48">
        <f>IMAGE("https://raw.githubusercontent.com/stautonico/pokemon-home-pokedex/main/sprites/houndoom-f.png", 2)</f>
        <v>0</v>
      </c>
      <c r="L141" s="48">
        <f>IMAGE("https://raw.githubusercontent.com/stautonico/pokemon-home-pokedex/main/sprites/donphan-f.png", 2)</f>
        <v>0</v>
      </c>
      <c r="M141" s="48">
        <f>IMAGE("https://raw.githubusercontent.com/stautonico/pokemon-home-pokedex/main/sprites/torchic-f.png", 2)</f>
        <v>0</v>
      </c>
      <c r="N141" s="48">
        <f>IMAGE("https://raw.githubusercontent.com/stautonico/pokemon-home-pokedex/main/sprites/combusken-f.png", 2)</f>
        <v>0</v>
      </c>
    </row>
    <row r="142" spans="2:14" ht="72" customHeight="1">
      <c r="B142" s="48">
        <f>IMAGE("https://raw.githubusercontent.com/stautonico/pokemon-home-pokedex/main/sprites/seaking-f.png", 2)</f>
        <v>0</v>
      </c>
      <c r="C142" s="48">
        <f>IMAGE("https://raw.githubusercontent.com/stautonico/pokemon-home-pokedex/main/sprites/scyther-f.png", 2)</f>
        <v>0</v>
      </c>
      <c r="D142" s="48">
        <f>IMAGE("https://raw.githubusercontent.com/stautonico/pokemon-home-pokedex/main/sprites/magikarp-f.png", 2)</f>
        <v>0</v>
      </c>
      <c r="E142" s="48">
        <f>IMAGE("https://raw.githubusercontent.com/stautonico/pokemon-home-pokedex/main/sprites/gyarados-f.png", 2)</f>
        <v>0</v>
      </c>
      <c r="F142" s="48">
        <f>IMAGE("https://raw.githubusercontent.com/stautonico/pokemon-home-pokedex/main/sprites/eevee-f.png", 2)</f>
        <v>0</v>
      </c>
      <c r="G142" s="48">
        <f>IMAGE("https://raw.githubusercontent.com/stautonico/pokemon-home-pokedex/main/sprites/meganium-f.png", 2)</f>
        <v>0</v>
      </c>
      <c r="I142" s="48">
        <f>IMAGE("https://raw.githubusercontent.com/stautonico/pokemon-home-pokedex/main/sprites/blaziken-f.png", 2)</f>
        <v>0</v>
      </c>
      <c r="J142" s="48">
        <f>IMAGE("https://raw.githubusercontent.com/stautonico/pokemon-home-pokedex/main/sprites/beautifly-f.png", 2)</f>
        <v>0</v>
      </c>
      <c r="K142" s="48">
        <f>IMAGE("https://raw.githubusercontent.com/stautonico/pokemon-home-pokedex/main/sprites/dustox-f.png", 2)</f>
        <v>0</v>
      </c>
      <c r="L142" s="48">
        <f>IMAGE("https://raw.githubusercontent.com/stautonico/pokemon-home-pokedex/main/sprites/ludicolo-f.png", 2)</f>
        <v>0</v>
      </c>
      <c r="M142" s="48">
        <f>IMAGE("https://raw.githubusercontent.com/stautonico/pokemon-home-pokedex/main/sprites/nuzleaf-f.png", 2)</f>
        <v>0</v>
      </c>
      <c r="N142" s="48">
        <f>IMAGE("https://raw.githubusercontent.com/stautonico/pokemon-home-pokedex/main/sprites/shiftry-f.png", 2)</f>
        <v>0</v>
      </c>
    </row>
    <row r="143" spans="2:14" ht="72" customHeight="1">
      <c r="B143" s="48">
        <f>IMAGE("https://raw.githubusercontent.com/stautonico/pokemon-home-pokedex/main/sprites/ledyba-f.png", 2)</f>
        <v>0</v>
      </c>
      <c r="C143" s="48">
        <f>IMAGE("https://raw.githubusercontent.com/stautonico/pokemon-home-pokedex/main/sprites/ledian-f.png", 2)</f>
        <v>0</v>
      </c>
      <c r="D143" s="48">
        <f>IMAGE("https://raw.githubusercontent.com/stautonico/pokemon-home-pokedex/main/sprites/xatu-f.png", 2)</f>
        <v>0</v>
      </c>
      <c r="E143" s="48">
        <f>IMAGE("https://raw.githubusercontent.com/stautonico/pokemon-home-pokedex/main/sprites/sudowoodo-f.png", 2)</f>
        <v>0</v>
      </c>
      <c r="F143" s="48">
        <f>IMAGE("https://raw.githubusercontent.com/stautonico/pokemon-home-pokedex/main/sprites/politoed-f.png", 2)</f>
        <v>0</v>
      </c>
      <c r="G143" s="48">
        <f>IMAGE("https://raw.githubusercontent.com/stautonico/pokemon-home-pokedex/main/sprites/aipom-f.png", 2)</f>
        <v>0</v>
      </c>
      <c r="I143" s="48">
        <f>IMAGE("https://raw.githubusercontent.com/stautonico/pokemon-home-pokedex/main/sprites/meditite-f.png", 2)</f>
        <v>0</v>
      </c>
      <c r="J143" s="48">
        <f>IMAGE("https://raw.githubusercontent.com/stautonico/pokemon-home-pokedex/main/sprites/medicham-f.png", 2)</f>
        <v>0</v>
      </c>
      <c r="K143" s="48">
        <f>IMAGE("https://raw.githubusercontent.com/stautonico/pokemon-home-pokedex/main/sprites/roselia-f.png", 2)</f>
        <v>0</v>
      </c>
      <c r="L143" s="48">
        <f>IMAGE("https://raw.githubusercontent.com/stautonico/pokemon-home-pokedex/main/sprites/gulpin-f.png", 2)</f>
        <v>0</v>
      </c>
      <c r="M143" s="48">
        <f>IMAGE("https://raw.githubusercontent.com/stautonico/pokemon-home-pokedex/main/sprites/swalot-f.png", 2)</f>
        <v>0</v>
      </c>
      <c r="N143" s="48">
        <f>IMAGE("https://raw.githubusercontent.com/stautonico/pokemon-home-pokedex/main/sprites/numel-f.png", 2)</f>
        <v>0</v>
      </c>
    </row>
    <row r="146" spans="2:14">
      <c r="B146" s="47" t="s">
        <v>1475</v>
      </c>
      <c r="I146" s="47" t="s">
        <v>1476</v>
      </c>
    </row>
    <row r="147" spans="2:14" ht="72" customHeight="1">
      <c r="B147" s="48">
        <f>IMAGE("https://raw.githubusercontent.com/stautonico/pokemon-home-pokedex/main/sprites/camerupt-f.png", 2)</f>
        <v>0</v>
      </c>
      <c r="C147" s="48">
        <f>IMAGE("https://raw.githubusercontent.com/stautonico/pokemon-home-pokedex/main/sprites/cacturne-f.png", 2)</f>
        <v>0</v>
      </c>
      <c r="D147" s="48">
        <f>IMAGE("https://raw.githubusercontent.com/stautonico/pokemon-home-pokedex/main/sprites/milotic-f.png", 2)</f>
        <v>0</v>
      </c>
      <c r="E147" s="48">
        <f>IMAGE("https://raw.githubusercontent.com/stautonico/pokemon-home-pokedex/main/sprites/relicanth-f.png", 2)</f>
        <v>0</v>
      </c>
      <c r="F147" s="48">
        <f>IMAGE("https://raw.githubusercontent.com/stautonico/pokemon-home-pokedex/main/sprites/starly-f.png", 2)</f>
        <v>0</v>
      </c>
      <c r="G147" s="48">
        <f>IMAGE("https://raw.githubusercontent.com/stautonico/pokemon-home-pokedex/main/sprites/staravia-f.png", 2)</f>
        <v>0</v>
      </c>
      <c r="I147" s="48">
        <f>IMAGE("https://raw.githubusercontent.com/stautonico/pokemon-home-pokedex/main/sprites/abomasnow-f.png", 2)</f>
        <v>0</v>
      </c>
      <c r="J147" s="48">
        <f>IMAGE("https://raw.githubusercontent.com/stautonico/pokemon-home-pokedex/main/sprites/weavile-f.png", 2)</f>
        <v>0</v>
      </c>
      <c r="K147" s="48">
        <f>IMAGE("https://raw.githubusercontent.com/stautonico/pokemon-home-pokedex/main/sprites/rhyperior-f.png", 2)</f>
        <v>0</v>
      </c>
      <c r="L147" s="48">
        <f>IMAGE("https://raw.githubusercontent.com/stautonico/pokemon-home-pokedex/main/sprites/tangrowth-f.png", 2)</f>
        <v>0</v>
      </c>
      <c r="M147" s="48">
        <f>IMAGE("https://raw.githubusercontent.com/stautonico/pokemon-home-pokedex/main/sprites/mamoswine-f.png", 2)</f>
        <v>0</v>
      </c>
      <c r="N147" s="48">
        <f>IMAGE("https://raw.githubusercontent.com/stautonico/pokemon-home-pokedex/main/sprites/unfezant-f.png", 2)</f>
        <v>0</v>
      </c>
    </row>
    <row r="148" spans="2:14" ht="72" customHeight="1">
      <c r="B148" s="48">
        <f>IMAGE("https://raw.githubusercontent.com/stautonico/pokemon-home-pokedex/main/sprites/staraptor-f.png", 2)</f>
        <v>0</v>
      </c>
      <c r="C148" s="48">
        <f>IMAGE("https://raw.githubusercontent.com/stautonico/pokemon-home-pokedex/main/sprites/bidoof-f.png", 2)</f>
        <v>0</v>
      </c>
      <c r="D148" s="48">
        <f>IMAGE("https://raw.githubusercontent.com/stautonico/pokemon-home-pokedex/main/sprites/bibarel-f.png", 2)</f>
        <v>0</v>
      </c>
      <c r="E148" s="48">
        <f>IMAGE("https://raw.githubusercontent.com/stautonico/pokemon-home-pokedex/main/sprites/kricketot-f.png", 2)</f>
        <v>0</v>
      </c>
      <c r="F148" s="48">
        <f>IMAGE("https://raw.githubusercontent.com/stautonico/pokemon-home-pokedex/main/sprites/kricketune-f.png", 2)</f>
        <v>0</v>
      </c>
      <c r="G148" s="48">
        <f>IMAGE("https://raw.githubusercontent.com/stautonico/pokemon-home-pokedex/main/sprites/shinx-f.png", 2)</f>
        <v>0</v>
      </c>
      <c r="I148" s="48">
        <f>IMAGE("https://raw.githubusercontent.com/stautonico/pokemon-home-pokedex/main/sprites/frillish-f.png", 2)</f>
        <v>0</v>
      </c>
      <c r="J148" s="48">
        <f>IMAGE("https://raw.githubusercontent.com/stautonico/pokemon-home-pokedex/main/sprites/jellicent-f.png", 2)</f>
        <v>0</v>
      </c>
      <c r="K148" s="48">
        <f>IMAGE("https://raw.githubusercontent.com/stautonico/pokemon-home-pokedex/main/sprites/pyroar-f.png", 2)</f>
        <v>0</v>
      </c>
      <c r="L148" s="48">
        <f>IMAGE("https://raw.githubusercontent.com/stautonico/pokemon-home-pokedex/main/sprites/meowstic-f.png", 2)</f>
        <v>0</v>
      </c>
      <c r="M148" s="48">
        <f>IMAGE("https://raw.githubusercontent.com/stautonico/pokemon-home-pokedex/main/sprites/indeedee-f.png", 2)</f>
        <v>0</v>
      </c>
      <c r="N148" s="48">
        <f>IMAGE("https://raw.githubusercontent.com/stautonico/pokemon-home-pokedex/main/sprites/basculegion-f.png", 2)</f>
        <v>0</v>
      </c>
    </row>
    <row r="149" spans="2:14" ht="72" customHeight="1">
      <c r="B149" s="48">
        <f>IMAGE("https://raw.githubusercontent.com/stautonico/pokemon-home-pokedex/main/sprites/luxio-f.png", 2)</f>
        <v>0</v>
      </c>
      <c r="C149" s="48">
        <f>IMAGE("https://raw.githubusercontent.com/stautonico/pokemon-home-pokedex/main/sprites/luxray-f.png", 2)</f>
        <v>0</v>
      </c>
      <c r="D149" s="48">
        <f>IMAGE("https://raw.githubusercontent.com/stautonico/pokemon-home-pokedex/main/sprites/roserade-f.png", 2)</f>
        <v>0</v>
      </c>
      <c r="E149" s="48">
        <f>IMAGE("https://raw.githubusercontent.com/stautonico/pokemon-home-pokedex/main/sprites/combee-f.png", 2)</f>
        <v>0</v>
      </c>
      <c r="F149" s="48">
        <f>IMAGE("https://raw.githubusercontent.com/stautonico/pokemon-home-pokedex/main/sprites/pachirisu-f.png", 2)</f>
        <v>0</v>
      </c>
      <c r="G149" s="48">
        <f>IMAGE("https://raw.githubusercontent.com/stautonico/pokemon-home-pokedex/main/sprites/buizel-f.png", 2)</f>
        <v>0</v>
      </c>
      <c r="I149" s="48">
        <f>IMAGE("https://raw.githubusercontent.com/stautonico/pokemon-home-pokedex/main/sprites/oinkologne-f.png", 2)</f>
        <v>0</v>
      </c>
      <c r="J149" s="48"/>
      <c r="K149" s="48"/>
      <c r="L149" s="48"/>
      <c r="M149" s="48"/>
      <c r="N149" s="48"/>
    </row>
    <row r="150" spans="2:14" ht="72" customHeight="1">
      <c r="B150" s="48">
        <f>IMAGE("https://raw.githubusercontent.com/stautonico/pokemon-home-pokedex/main/sprites/floatzel-f.png", 2)</f>
        <v>0</v>
      </c>
      <c r="C150" s="48">
        <f>IMAGE("https://raw.githubusercontent.com/stautonico/pokemon-home-pokedex/main/sprites/ambipom-f.png", 2)</f>
        <v>0</v>
      </c>
      <c r="D150" s="48">
        <f>IMAGE("https://raw.githubusercontent.com/stautonico/pokemon-home-pokedex/main/sprites/gible-f.png", 2)</f>
        <v>0</v>
      </c>
      <c r="E150" s="48">
        <f>IMAGE("https://raw.githubusercontent.com/stautonico/pokemon-home-pokedex/main/sprites/gabite-f.png", 2)</f>
        <v>0</v>
      </c>
      <c r="F150" s="48">
        <f>IMAGE("https://raw.githubusercontent.com/stautonico/pokemon-home-pokedex/main/sprites/garchomp-f.png", 2)</f>
        <v>0</v>
      </c>
      <c r="G150" s="48">
        <f>IMAGE("https://raw.githubusercontent.com/stautonico/pokemon-home-pokedex/main/sprites/hippopotas-f.png", 2)</f>
        <v>0</v>
      </c>
      <c r="I150" s="48"/>
      <c r="J150" s="48"/>
      <c r="K150" s="48"/>
      <c r="L150" s="48"/>
      <c r="M150" s="48"/>
      <c r="N150" s="48"/>
    </row>
    <row r="151" spans="2:14" ht="72" customHeight="1">
      <c r="B151" s="48">
        <f>IMAGE("https://raw.githubusercontent.com/stautonico/pokemon-home-pokedex/main/sprites/hippowdon-f.png", 2)</f>
        <v>0</v>
      </c>
      <c r="C151" s="48">
        <f>IMAGE("https://raw.githubusercontent.com/stautonico/pokemon-home-pokedex/main/sprites/croagunk-f.png", 2)</f>
        <v>0</v>
      </c>
      <c r="D151" s="48">
        <f>IMAGE("https://raw.githubusercontent.com/stautonico/pokemon-home-pokedex/main/sprites/toxicroak-f.png", 2)</f>
        <v>0</v>
      </c>
      <c r="E151" s="48">
        <f>IMAGE("https://raw.githubusercontent.com/stautonico/pokemon-home-pokedex/main/sprites/finneon-f.png", 2)</f>
        <v>0</v>
      </c>
      <c r="F151" s="48">
        <f>IMAGE("https://raw.githubusercontent.com/stautonico/pokemon-home-pokedex/main/sprites/lumineon-f.png", 2)</f>
        <v>0</v>
      </c>
      <c r="G151" s="48">
        <f>IMAGE("https://raw.githubusercontent.com/stautonico/pokemon-home-pokedex/main/sprites/snover-f.png", 2)</f>
        <v>0</v>
      </c>
      <c r="I151" s="48"/>
      <c r="J151" s="48"/>
      <c r="K151" s="48"/>
      <c r="L151" s="48"/>
      <c r="M151" s="48"/>
      <c r="N151" s="48"/>
    </row>
    <row r="154" spans="2:14">
      <c r="B154" s="47" t="s">
        <v>1477</v>
      </c>
      <c r="I154" s="47" t="s">
        <v>1478</v>
      </c>
    </row>
    <row r="155" spans="2:14" ht="72" customHeight="1">
      <c r="B155" s="48">
        <f>IMAGE("https://raw.githubusercontent.com/stautonico/pokemon-home-pokedex/main/sprites/pikachu-f.png", 2)</f>
        <v>0</v>
      </c>
      <c r="C155" s="48">
        <f>IMAGE("https://raw.githubusercontent.com/stautonico/pokemon-home-pokedex/main/sprites/pikachu-original.png", 2)</f>
        <v>0</v>
      </c>
      <c r="D155" s="48">
        <f>IMAGE("https://raw.githubusercontent.com/stautonico/pokemon-home-pokedex/main/sprites/pikachu-hoenn.png", 2)</f>
        <v>0</v>
      </c>
      <c r="E155" s="48">
        <f>IMAGE("https://raw.githubusercontent.com/stautonico/pokemon-home-pokedex/main/sprites/pikachu-sinnoh.png", 2)</f>
        <v>0</v>
      </c>
      <c r="F155" s="48">
        <f>IMAGE("https://raw.githubusercontent.com/stautonico/pokemon-home-pokedex/main/sprites/pikachu-unova.png", 2)</f>
        <v>0</v>
      </c>
      <c r="G155" s="48">
        <f>IMAGE("https://raw.githubusercontent.com/stautonico/pokemon-home-pokedex/main/sprites/pikachu-kalos.png", 2)</f>
        <v>0</v>
      </c>
      <c r="I155" s="48">
        <f>IMAGE("https://raw.githubusercontent.com/stautonico/pokemon-home-pokedex/main/sprites/unown.png", 2)</f>
        <v>0</v>
      </c>
      <c r="J155" s="48">
        <f>IMAGE("https://raw.githubusercontent.com/stautonico/pokemon-home-pokedex/main/sprites/unown-b.png", 2)</f>
        <v>0</v>
      </c>
      <c r="K155" s="48">
        <f>IMAGE("https://raw.githubusercontent.com/stautonico/pokemon-home-pokedex/main/sprites/unown-c.png", 2)</f>
        <v>0</v>
      </c>
      <c r="L155" s="48">
        <f>IMAGE("https://raw.githubusercontent.com/stautonico/pokemon-home-pokedex/main/sprites/unown-d.png", 2)</f>
        <v>0</v>
      </c>
      <c r="M155" s="48">
        <f>IMAGE("https://raw.githubusercontent.com/stautonico/pokemon-home-pokedex/main/sprites/unown-e.png", 2)</f>
        <v>0</v>
      </c>
      <c r="N155" s="48">
        <f>IMAGE("https://raw.githubusercontent.com/stautonico/pokemon-home-pokedex/main/sprites/unown-f.png", 2)</f>
        <v>0</v>
      </c>
    </row>
    <row r="156" spans="2:14" ht="72" customHeight="1">
      <c r="B156" s="48">
        <f>IMAGE("https://raw.githubusercontent.com/stautonico/pokemon-home-pokedex/main/sprites/pikachu-alola.png", 2)</f>
        <v>0</v>
      </c>
      <c r="C156" s="48">
        <f>IMAGE("https://raw.githubusercontent.com/stautonico/pokemon-home-pokedex/main/sprites/pikachu-partner.png", 2)</f>
        <v>0</v>
      </c>
      <c r="D156" s="48">
        <f>IMAGE("https://raw.githubusercontent.com/stautonico/pokemon-home-pokedex/main/sprites/pikachu-world.png", 2)</f>
        <v>0</v>
      </c>
      <c r="E156" s="48"/>
      <c r="F156" s="48"/>
      <c r="G156" s="48"/>
      <c r="I156" s="48">
        <f>IMAGE("https://raw.githubusercontent.com/stautonico/pokemon-home-pokedex/main/sprites/unown-g.png", 2)</f>
        <v>0</v>
      </c>
      <c r="J156" s="48">
        <f>IMAGE("https://raw.githubusercontent.com/stautonico/pokemon-home-pokedex/main/sprites/unown-h.png", 2)</f>
        <v>0</v>
      </c>
      <c r="K156" s="48">
        <f>IMAGE("https://raw.githubusercontent.com/stautonico/pokemon-home-pokedex/main/sprites/unown-i.png", 2)</f>
        <v>0</v>
      </c>
      <c r="L156" s="48">
        <f>IMAGE("https://raw.githubusercontent.com/stautonico/pokemon-home-pokedex/main/sprites/unown-j.png", 2)</f>
        <v>0</v>
      </c>
      <c r="M156" s="48">
        <f>IMAGE("https://raw.githubusercontent.com/stautonico/pokemon-home-pokedex/main/sprites/unown-k.png", 2)</f>
        <v>0</v>
      </c>
      <c r="N156" s="48">
        <f>IMAGE("https://raw.githubusercontent.com/stautonico/pokemon-home-pokedex/main/sprites/unown-l.png", 2)</f>
        <v>0</v>
      </c>
    </row>
    <row r="157" spans="2:14" ht="72" customHeight="1">
      <c r="B157" s="48"/>
      <c r="C157" s="48"/>
      <c r="D157" s="48"/>
      <c r="E157" s="48"/>
      <c r="F157" s="48"/>
      <c r="G157" s="48"/>
      <c r="I157" s="48">
        <f>IMAGE("https://raw.githubusercontent.com/stautonico/pokemon-home-pokedex/main/sprites/unown-m.png", 2)</f>
        <v>0</v>
      </c>
      <c r="J157" s="48">
        <f>IMAGE("https://raw.githubusercontent.com/stautonico/pokemon-home-pokedex/main/sprites/unown-n.png", 2)</f>
        <v>0</v>
      </c>
      <c r="K157" s="48">
        <f>IMAGE("https://raw.githubusercontent.com/stautonico/pokemon-home-pokedex/main/sprites/unown-o.png", 2)</f>
        <v>0</v>
      </c>
      <c r="L157" s="48">
        <f>IMAGE("https://raw.githubusercontent.com/stautonico/pokemon-home-pokedex/main/sprites/unown-p.png", 2)</f>
        <v>0</v>
      </c>
      <c r="M157" s="48">
        <f>IMAGE("https://raw.githubusercontent.com/stautonico/pokemon-home-pokedex/main/sprites/unown-q.png", 2)</f>
        <v>0</v>
      </c>
      <c r="N157" s="48">
        <f>IMAGE("https://raw.githubusercontent.com/stautonico/pokemon-home-pokedex/main/sprites/unown-r.png", 2)</f>
        <v>0</v>
      </c>
    </row>
    <row r="158" spans="2:14" ht="72" customHeight="1">
      <c r="B158" s="48"/>
      <c r="C158" s="48"/>
      <c r="D158" s="48"/>
      <c r="E158" s="48"/>
      <c r="F158" s="48"/>
      <c r="G158" s="48"/>
      <c r="I158" s="48">
        <f>IMAGE("https://raw.githubusercontent.com/stautonico/pokemon-home-pokedex/main/sprites/unown-s.png", 2)</f>
        <v>0</v>
      </c>
      <c r="J158" s="48">
        <f>IMAGE("https://raw.githubusercontent.com/stautonico/pokemon-home-pokedex/main/sprites/unown-t.png", 2)</f>
        <v>0</v>
      </c>
      <c r="K158" s="48">
        <f>IMAGE("https://raw.githubusercontent.com/stautonico/pokemon-home-pokedex/main/sprites/unown-u.png", 2)</f>
        <v>0</v>
      </c>
      <c r="L158" s="48">
        <f>IMAGE("https://raw.githubusercontent.com/stautonico/pokemon-home-pokedex/main/sprites/unown-v.png", 2)</f>
        <v>0</v>
      </c>
      <c r="M158" s="48">
        <f>IMAGE("https://raw.githubusercontent.com/stautonico/pokemon-home-pokedex/main/sprites/unown-w.png", 2)</f>
        <v>0</v>
      </c>
      <c r="N158" s="48">
        <f>IMAGE("https://raw.githubusercontent.com/stautonico/pokemon-home-pokedex/main/sprites/unown-x.png", 2)</f>
        <v>0</v>
      </c>
    </row>
    <row r="159" spans="2:14" ht="72" customHeight="1">
      <c r="B159" s="48"/>
      <c r="C159" s="48"/>
      <c r="D159" s="48"/>
      <c r="E159" s="48"/>
      <c r="F159" s="48"/>
      <c r="G159" s="48"/>
      <c r="I159" s="48">
        <f>IMAGE("https://raw.githubusercontent.com/stautonico/pokemon-home-pokedex/main/sprites/unown-y.png", 2)</f>
        <v>0</v>
      </c>
      <c r="J159" s="48">
        <f>IMAGE("https://raw.githubusercontent.com/stautonico/pokemon-home-pokedex/main/sprites/unown-z.png", 2)</f>
        <v>0</v>
      </c>
      <c r="K159" s="48">
        <f>IMAGE("https://raw.githubusercontent.com/stautonico/pokemon-home-pokedex/main/sprites/unown-exclamation.png", 2)</f>
        <v>0</v>
      </c>
      <c r="L159" s="48">
        <f>IMAGE("https://raw.githubusercontent.com/stautonico/pokemon-home-pokedex/main/sprites/unown-question.png", 2)</f>
        <v>0</v>
      </c>
      <c r="M159" s="48"/>
      <c r="N159" s="48"/>
    </row>
    <row r="162" spans="2:14">
      <c r="B162" s="47" t="s">
        <v>1479</v>
      </c>
      <c r="I162" s="47" t="s">
        <v>1480</v>
      </c>
    </row>
    <row r="163" spans="2:14" ht="72" customHeight="1">
      <c r="B163" s="48">
        <f>IMAGE("https://raw.githubusercontent.com/stautonico/pokemon-home-pokedex/main/sprites/deoxys.png", 2)</f>
        <v>0</v>
      </c>
      <c r="C163" s="48">
        <f>IMAGE("https://raw.githubusercontent.com/stautonico/pokemon-home-pokedex/main/sprites/deoxys-attack.png", 2)</f>
        <v>0</v>
      </c>
      <c r="D163" s="48">
        <f>IMAGE("https://raw.githubusercontent.com/stautonico/pokemon-home-pokedex/main/sprites/deoxys-defense.png", 2)</f>
        <v>0</v>
      </c>
      <c r="E163" s="48">
        <f>IMAGE("https://raw.githubusercontent.com/stautonico/pokemon-home-pokedex/main/sprites/deoxys-speed.png", 2)</f>
        <v>0</v>
      </c>
      <c r="F163" s="48"/>
      <c r="G163" s="48"/>
      <c r="I163" s="48">
        <f>IMAGE("https://raw.githubusercontent.com/stautonico/pokemon-home-pokedex/main/sprites/deerling.png", 2)</f>
        <v>0</v>
      </c>
      <c r="J163" s="48">
        <f>IMAGE("https://raw.githubusercontent.com/stautonico/pokemon-home-pokedex/main/sprites/deerling-summer.png", 2)</f>
        <v>0</v>
      </c>
      <c r="K163" s="48">
        <f>IMAGE("https://raw.githubusercontent.com/stautonico/pokemon-home-pokedex/main/sprites/deerling-autumn.png", 2)</f>
        <v>0</v>
      </c>
      <c r="L163" s="48">
        <f>IMAGE("https://raw.githubusercontent.com/stautonico/pokemon-home-pokedex/main/sprites/deerling-winter.png", 2)</f>
        <v>0</v>
      </c>
      <c r="M163" s="48"/>
      <c r="N163" s="48"/>
    </row>
    <row r="164" spans="2:14" ht="72" customHeight="1">
      <c r="B164" s="48">
        <f>IMAGE("https://raw.githubusercontent.com/stautonico/pokemon-home-pokedex/main/sprites/burmy.png", 2)</f>
        <v>0</v>
      </c>
      <c r="C164" s="48">
        <f>IMAGE("https://raw.githubusercontent.com/stautonico/pokemon-home-pokedex/main/sprites/burmy-sandy.png", 2)</f>
        <v>0</v>
      </c>
      <c r="D164" s="48">
        <f>IMAGE("https://raw.githubusercontent.com/stautonico/pokemon-home-pokedex/main/sprites/burmy-trash.png", 2)</f>
        <v>0</v>
      </c>
      <c r="E164" s="48">
        <f>IMAGE("https://raw.githubusercontent.com/stautonico/pokemon-home-pokedex/main/sprites/shellos.png", 2)</f>
        <v>0</v>
      </c>
      <c r="F164" s="48">
        <f>IMAGE("https://raw.githubusercontent.com/stautonico/pokemon-home-pokedex/main/sprites/gastrodon.png", 2)</f>
        <v>0</v>
      </c>
      <c r="G164" s="48"/>
      <c r="I164" s="48">
        <f>IMAGE("https://raw.githubusercontent.com/stautonico/pokemon-home-pokedex/main/sprites/sawsbuck.png", 2)</f>
        <v>0</v>
      </c>
      <c r="J164" s="48">
        <f>IMAGE("https://raw.githubusercontent.com/stautonico/pokemon-home-pokedex/main/sprites/sawsbuck-summer.png", 2)</f>
        <v>0</v>
      </c>
      <c r="K164" s="48">
        <f>IMAGE("https://raw.githubusercontent.com/stautonico/pokemon-home-pokedex/main/sprites/sawsbuck-autumn.png", 2)</f>
        <v>0</v>
      </c>
      <c r="L164" s="48">
        <f>IMAGE("https://raw.githubusercontent.com/stautonico/pokemon-home-pokedex/main/sprites/sawsbuck-winter.png", 2)</f>
        <v>0</v>
      </c>
      <c r="M164" s="48"/>
      <c r="N164" s="48"/>
    </row>
    <row r="165" spans="2:14" ht="72" customHeight="1">
      <c r="B165" s="48">
        <f>IMAGE("https://raw.githubusercontent.com/stautonico/pokemon-home-pokedex/main/sprites/wormadam.png", 2)</f>
        <v>0</v>
      </c>
      <c r="C165" s="48">
        <f>IMAGE("https://raw.githubusercontent.com/stautonico/pokemon-home-pokedex/main/sprites/wormadam-sandy.png", 2)</f>
        <v>0</v>
      </c>
      <c r="D165" s="48">
        <f>IMAGE("https://raw.githubusercontent.com/stautonico/pokemon-home-pokedex/main/sprites/wormadam-trash.png", 2)</f>
        <v>0</v>
      </c>
      <c r="E165" s="48">
        <f>IMAGE("https://raw.githubusercontent.com/stautonico/pokemon-home-pokedex/main/sprites/shellos-east.png", 2)</f>
        <v>0</v>
      </c>
      <c r="F165" s="48">
        <f>IMAGE("https://raw.githubusercontent.com/stautonico/pokemon-home-pokedex/main/sprites/gastrodon-east.png", 2)</f>
        <v>0</v>
      </c>
      <c r="G165" s="48"/>
      <c r="I165" s="48">
        <f>IMAGE("https://raw.githubusercontent.com/stautonico/pokemon-home-pokedex/main/sprites/basculin.png", 2)</f>
        <v>0</v>
      </c>
      <c r="J165" s="48">
        <f>IMAGE("https://raw.githubusercontent.com/stautonico/pokemon-home-pokedex/main/sprites/basculin-blue-striped.png", 2)</f>
        <v>0</v>
      </c>
      <c r="K165" s="48"/>
      <c r="L165" s="48"/>
      <c r="M165" s="48"/>
      <c r="N165" s="48"/>
    </row>
    <row r="166" spans="2:14" ht="72" customHeight="1">
      <c r="B166" s="48">
        <f>IMAGE("https://raw.githubusercontent.com/stautonico/pokemon-home-pokedex/main/sprites/rotom.png", 2)</f>
        <v>0</v>
      </c>
      <c r="C166" s="48">
        <f>IMAGE("https://raw.githubusercontent.com/stautonico/pokemon-home-pokedex/main/sprites/rotom-heat.png", 2)</f>
        <v>0</v>
      </c>
      <c r="D166" s="48">
        <f>IMAGE("https://raw.githubusercontent.com/stautonico/pokemon-home-pokedex/main/sprites/rotom-wash.png", 2)</f>
        <v>0</v>
      </c>
      <c r="E166" s="48">
        <f>IMAGE("https://raw.githubusercontent.com/stautonico/pokemon-home-pokedex/main/sprites/rotom-frost.png", 2)</f>
        <v>0</v>
      </c>
      <c r="F166" s="48">
        <f>IMAGE("https://raw.githubusercontent.com/stautonico/pokemon-home-pokedex/main/sprites/rotom-fan.png", 2)</f>
        <v>0</v>
      </c>
      <c r="G166" s="48">
        <f>IMAGE("https://raw.githubusercontent.com/stautonico/pokemon-home-pokedex/main/sprites/rotom-mow.png", 2)</f>
        <v>0</v>
      </c>
      <c r="I166" s="48">
        <f>IMAGE("https://raw.githubusercontent.com/stautonico/pokemon-home-pokedex/main/sprites/tornadus.png", 2)</f>
        <v>0</v>
      </c>
      <c r="J166" s="48">
        <f>IMAGE("https://raw.githubusercontent.com/stautonico/pokemon-home-pokedex/main/sprites/tornadus-therian.png", 2)</f>
        <v>0</v>
      </c>
      <c r="K166" s="48">
        <f>IMAGE("https://raw.githubusercontent.com/stautonico/pokemon-home-pokedex/main/sprites/thundurus.png", 2)</f>
        <v>0</v>
      </c>
      <c r="L166" s="48">
        <f>IMAGE("https://raw.githubusercontent.com/stautonico/pokemon-home-pokedex/main/sprites/thundurus-therian.png", 2)</f>
        <v>0</v>
      </c>
      <c r="M166" s="48">
        <f>IMAGE("https://raw.githubusercontent.com/stautonico/pokemon-home-pokedex/main/sprites/landorus.png", 2)</f>
        <v>0</v>
      </c>
      <c r="N166" s="48">
        <f>IMAGE("https://raw.githubusercontent.com/stautonico/pokemon-home-pokedex/main/sprites/landorus-therian.png", 2)</f>
        <v>0</v>
      </c>
    </row>
    <row r="167" spans="2:14" ht="72" customHeight="1">
      <c r="B167" s="48">
        <f>IMAGE("https://raw.githubusercontent.com/stautonico/pokemon-home-pokedex/main/sprites/shaymin.png", 2)</f>
        <v>0</v>
      </c>
      <c r="C167" s="48">
        <f>IMAGE("https://raw.githubusercontent.com/stautonico/pokemon-home-pokedex/main/sprites/shaymin-sky.png", 2)</f>
        <v>0</v>
      </c>
      <c r="D167" s="48"/>
      <c r="E167" s="48"/>
      <c r="F167" s="48"/>
      <c r="G167" s="48"/>
      <c r="I167" s="48">
        <f>IMAGE("https://raw.githubusercontent.com/stautonico/pokemon-home-pokedex/main/sprites/keldeo.png", 2)</f>
        <v>0</v>
      </c>
      <c r="J167" s="48">
        <f>IMAGE("https://raw.githubusercontent.com/stautonico/pokemon-home-pokedex/main/sprites/keldeo-resolute.png", 2)</f>
        <v>0</v>
      </c>
      <c r="K167" s="48"/>
      <c r="L167" s="48"/>
      <c r="M167" s="48"/>
      <c r="N167" s="48"/>
    </row>
    <row r="170" spans="2:14">
      <c r="B170" s="47" t="s">
        <v>1481</v>
      </c>
      <c r="I170" s="47" t="s">
        <v>1482</v>
      </c>
    </row>
    <row r="171" spans="2:14" ht="72" customHeight="1">
      <c r="B171" s="48">
        <f>IMAGE("https://raw.githubusercontent.com/stautonico/pokemon-home-pokedex/main/sprites/pumpkaboo.png", 2)</f>
        <v>0</v>
      </c>
      <c r="C171" s="48">
        <f>IMAGE("https://raw.githubusercontent.com/stautonico/pokemon-home-pokedex/main/sprites/pumpkaboo-small.png", 2)</f>
        <v>0</v>
      </c>
      <c r="D171" s="48">
        <f>IMAGE("https://raw.githubusercontent.com/stautonico/pokemon-home-pokedex/main/sprites/pumpkaboo-large.png", 2)</f>
        <v>0</v>
      </c>
      <c r="E171" s="48">
        <f>IMAGE("https://raw.githubusercontent.com/stautonico/pokemon-home-pokedex/main/sprites/pumpkaboo-super.png", 2)</f>
        <v>0</v>
      </c>
      <c r="F171" s="48"/>
      <c r="G171" s="48"/>
      <c r="I171" s="48">
        <f>IMAGE("https://raw.githubusercontent.com/stautonico/pokemon-home-pokedex/main/sprites/flabebe.png", 2)</f>
        <v>0</v>
      </c>
      <c r="J171" s="48">
        <f>IMAGE("https://raw.githubusercontent.com/stautonico/pokemon-home-pokedex/main/sprites/flabebe-yellow.png", 2)</f>
        <v>0</v>
      </c>
      <c r="K171" s="48">
        <f>IMAGE("https://raw.githubusercontent.com/stautonico/pokemon-home-pokedex/main/sprites/flabebe-orange.png", 2)</f>
        <v>0</v>
      </c>
      <c r="L171" s="48">
        <f>IMAGE("https://raw.githubusercontent.com/stautonico/pokemon-home-pokedex/main/sprites/flabebe-blue.png", 2)</f>
        <v>0</v>
      </c>
      <c r="M171" s="48">
        <f>IMAGE("https://raw.githubusercontent.com/stautonico/pokemon-home-pokedex/main/sprites/flabebe-white.png", 2)</f>
        <v>0</v>
      </c>
      <c r="N171" s="48"/>
    </row>
    <row r="172" spans="2:14" ht="72" customHeight="1">
      <c r="B172" s="48">
        <f>IMAGE("https://raw.githubusercontent.com/stautonico/pokemon-home-pokedex/main/sprites/gourgeist.png", 2)</f>
        <v>0</v>
      </c>
      <c r="C172" s="48">
        <f>IMAGE("https://raw.githubusercontent.com/stautonico/pokemon-home-pokedex/main/sprites/gourgeist-small.png", 2)</f>
        <v>0</v>
      </c>
      <c r="D172" s="48">
        <f>IMAGE("https://raw.githubusercontent.com/stautonico/pokemon-home-pokedex/main/sprites/gourgeist-large.png", 2)</f>
        <v>0</v>
      </c>
      <c r="E172" s="48">
        <f>IMAGE("https://raw.githubusercontent.com/stautonico/pokemon-home-pokedex/main/sprites/gourgeist-super.png", 2)</f>
        <v>0</v>
      </c>
      <c r="F172" s="48"/>
      <c r="G172" s="48"/>
      <c r="I172" s="48">
        <f>IMAGE("https://raw.githubusercontent.com/stautonico/pokemon-home-pokedex/main/sprites/floette.png", 2)</f>
        <v>0</v>
      </c>
      <c r="J172" s="48">
        <f>IMAGE("https://raw.githubusercontent.com/stautonico/pokemon-home-pokedex/main/sprites/floette-yellow.png", 2)</f>
        <v>0</v>
      </c>
      <c r="K172" s="48">
        <f>IMAGE("https://raw.githubusercontent.com/stautonico/pokemon-home-pokedex/main/sprites/floette-orange.png", 2)</f>
        <v>0</v>
      </c>
      <c r="L172" s="48">
        <f>IMAGE("https://raw.githubusercontent.com/stautonico/pokemon-home-pokedex/main/sprites/floette-blue.png", 2)</f>
        <v>0</v>
      </c>
      <c r="M172" s="48">
        <f>IMAGE("https://raw.githubusercontent.com/stautonico/pokemon-home-pokedex/main/sprites/floette-white.png", 2)</f>
        <v>0</v>
      </c>
      <c r="N172" s="48"/>
    </row>
    <row r="173" spans="2:14" ht="72" customHeight="1">
      <c r="B173" s="48">
        <f>IMAGE("https://raw.githubusercontent.com/stautonico/pokemon-home-pokedex/main/sprites/furfrou.png", 2)</f>
        <v>0</v>
      </c>
      <c r="C173" s="48">
        <f>IMAGE("https://raw.githubusercontent.com/stautonico/pokemon-home-pokedex/main/sprites/furfrou-heart.png", 2)</f>
        <v>0</v>
      </c>
      <c r="D173" s="48">
        <f>IMAGE("https://raw.githubusercontent.com/stautonico/pokemon-home-pokedex/main/sprites/furfrou-star.png", 2)</f>
        <v>0</v>
      </c>
      <c r="E173" s="48">
        <f>IMAGE("https://raw.githubusercontent.com/stautonico/pokemon-home-pokedex/main/sprites/furfrou-diamond.png", 2)</f>
        <v>0</v>
      </c>
      <c r="F173" s="48">
        <f>IMAGE("https://raw.githubusercontent.com/stautonico/pokemon-home-pokedex/main/sprites/furfrou-debutante.png", 2)</f>
        <v>0</v>
      </c>
      <c r="G173" s="48"/>
      <c r="I173" s="48">
        <f>IMAGE("https://raw.githubusercontent.com/stautonico/pokemon-home-pokedex/main/sprites/florges.png", 2)</f>
        <v>0</v>
      </c>
      <c r="J173" s="48">
        <f>IMAGE("https://raw.githubusercontent.com/stautonico/pokemon-home-pokedex/main/sprites/florges-yellow.png", 2)</f>
        <v>0</v>
      </c>
      <c r="K173" s="48">
        <f>IMAGE("https://raw.githubusercontent.com/stautonico/pokemon-home-pokedex/main/sprites/florges-orange.png", 2)</f>
        <v>0</v>
      </c>
      <c r="L173" s="48">
        <f>IMAGE("https://raw.githubusercontent.com/stautonico/pokemon-home-pokedex/main/sprites/florges-blue.png", 2)</f>
        <v>0</v>
      </c>
      <c r="M173" s="48">
        <f>IMAGE("https://raw.githubusercontent.com/stautonico/pokemon-home-pokedex/main/sprites/florges-white.png", 2)</f>
        <v>0</v>
      </c>
      <c r="N173" s="48"/>
    </row>
    <row r="174" spans="2:14" ht="72" customHeight="1">
      <c r="B174" s="48">
        <f>IMAGE("https://raw.githubusercontent.com/stautonico/pokemon-home-pokedex/main/sprites/furfrou-matron.png", 2)</f>
        <v>0</v>
      </c>
      <c r="C174" s="48">
        <f>IMAGE("https://raw.githubusercontent.com/stautonico/pokemon-home-pokedex/main/sprites/furfrou-dandy.png", 2)</f>
        <v>0</v>
      </c>
      <c r="D174" s="48">
        <f>IMAGE("https://raw.githubusercontent.com/stautonico/pokemon-home-pokedex/main/sprites/furfrou-la-reine.png", 2)</f>
        <v>0</v>
      </c>
      <c r="E174" s="48">
        <f>IMAGE("https://raw.githubusercontent.com/stautonico/pokemon-home-pokedex/main/sprites/furfrou-kabuki.png", 2)</f>
        <v>0</v>
      </c>
      <c r="F174" s="48">
        <f>IMAGE("https://raw.githubusercontent.com/stautonico/pokemon-home-pokedex/main/sprites/furfrou-pharaoh.png", 2)</f>
        <v>0</v>
      </c>
      <c r="G174" s="48"/>
      <c r="I174" s="48">
        <f>IMAGE("https://raw.githubusercontent.com/stautonico/pokemon-home-pokedex/main/sprites/hoopa.png", 2)</f>
        <v>0</v>
      </c>
      <c r="J174" s="48">
        <f>IMAGE("https://raw.githubusercontent.com/stautonico/pokemon-home-pokedex/main/sprites/hoopa-unbound.png", 2)</f>
        <v>0</v>
      </c>
      <c r="K174" s="48"/>
      <c r="L174" s="48"/>
      <c r="M174" s="48"/>
      <c r="N174" s="48"/>
    </row>
    <row r="175" spans="2:14" ht="72" customHeight="1">
      <c r="B175" s="48"/>
      <c r="C175" s="48"/>
      <c r="D175" s="48"/>
      <c r="E175" s="48"/>
      <c r="F175" s="48"/>
      <c r="G175" s="48"/>
      <c r="I175" s="48">
        <f>IMAGE("https://raw.githubusercontent.com/stautonico/pokemon-home-pokedex/main/sprites/greninja.png", 2)</f>
        <v>0</v>
      </c>
      <c r="J175" s="48">
        <f>IMAGE("https://raw.githubusercontent.com/stautonico/pokemon-home-pokedex/main/sprites/greninja-battle-bond.png", 2)</f>
        <v>0</v>
      </c>
      <c r="K175" s="48">
        <f>IMAGE("https://raw.githubusercontent.com/stautonico/pokemon-home-pokedex/main/sprites/zygarde.png", 2)</f>
        <v>0</v>
      </c>
      <c r="L175" s="48">
        <f>IMAGE("https://raw.githubusercontent.com/stautonico/pokemon-home-pokedex/main/sprites/zygarde-10.png", 2)</f>
        <v>0</v>
      </c>
      <c r="M175" s="48">
        <f>IMAGE("https://raw.githubusercontent.com/stautonico/pokemon-home-pokedex/main/sprites/zygarde-power-construct.png", 2)</f>
        <v>0</v>
      </c>
      <c r="N175" s="48">
        <f>IMAGE("https://raw.githubusercontent.com/stautonico/pokemon-home-pokedex/main/sprites/zygarde-10-power-construct.png", 2)</f>
        <v>0</v>
      </c>
    </row>
    <row r="178" spans="2:14">
      <c r="B178" s="47" t="s">
        <v>1483</v>
      </c>
      <c r="I178" s="47" t="s">
        <v>1484</v>
      </c>
    </row>
    <row r="179" spans="2:14" ht="72" customHeight="1">
      <c r="B179" s="48">
        <f>IMAGE("https://raw.githubusercontent.com/stautonico/pokemon-home-pokedex/main/sprites/vivillon.png", 2)</f>
        <v>0</v>
      </c>
      <c r="C179" s="48">
        <f>IMAGE("https://raw.githubusercontent.com/stautonico/pokemon-home-pokedex/main/sprites/vivillon-polar.png", 2)</f>
        <v>0</v>
      </c>
      <c r="D179" s="48">
        <f>IMAGE("https://raw.githubusercontent.com/stautonico/pokemon-home-pokedex/main/sprites/vivillon-tundra.png", 2)</f>
        <v>0</v>
      </c>
      <c r="E179" s="48">
        <f>IMAGE("https://raw.githubusercontent.com/stautonico/pokemon-home-pokedex/main/sprites/vivillon-continental.png", 2)</f>
        <v>0</v>
      </c>
      <c r="F179" s="48">
        <f>IMAGE("https://raw.githubusercontent.com/stautonico/pokemon-home-pokedex/main/sprites/vivillon-garden.png", 2)</f>
        <v>0</v>
      </c>
      <c r="G179" s="48">
        <f>IMAGE("https://raw.githubusercontent.com/stautonico/pokemon-home-pokedex/main/sprites/vivillon-elegant.png", 2)</f>
        <v>0</v>
      </c>
      <c r="I179" s="48">
        <f>IMAGE("https://raw.githubusercontent.com/stautonico/pokemon-home-pokedex/main/sprites/oricorio.png", 2)</f>
        <v>0</v>
      </c>
      <c r="J179" s="48">
        <f>IMAGE("https://raw.githubusercontent.com/stautonico/pokemon-home-pokedex/main/sprites/oricorio-pom-pom.png", 2)</f>
        <v>0</v>
      </c>
      <c r="K179" s="48">
        <f>IMAGE("https://raw.githubusercontent.com/stautonico/pokemon-home-pokedex/main/sprites/oricorio-pau.png", 2)</f>
        <v>0</v>
      </c>
      <c r="L179" s="48">
        <f>IMAGE("https://raw.githubusercontent.com/stautonico/pokemon-home-pokedex/main/sprites/oricorio-sensu.png", 2)</f>
        <v>0</v>
      </c>
      <c r="M179" s="48"/>
      <c r="N179" s="48"/>
    </row>
    <row r="180" spans="2:14" ht="72" customHeight="1">
      <c r="B180" s="48">
        <f>IMAGE("https://raw.githubusercontent.com/stautonico/pokemon-home-pokedex/main/sprites/vivillon-meadow.png", 2)</f>
        <v>0</v>
      </c>
      <c r="C180" s="48">
        <f>IMAGE("https://raw.githubusercontent.com/stautonico/pokemon-home-pokedex/main/sprites/vivillon-modern.png", 2)</f>
        <v>0</v>
      </c>
      <c r="D180" s="48">
        <f>IMAGE("https://raw.githubusercontent.com/stautonico/pokemon-home-pokedex/main/sprites/vivillon-marine.png", 2)</f>
        <v>0</v>
      </c>
      <c r="E180" s="48">
        <f>IMAGE("https://raw.githubusercontent.com/stautonico/pokemon-home-pokedex/main/sprites/vivillon-archipelago.png", 2)</f>
        <v>0</v>
      </c>
      <c r="F180" s="48">
        <f>IMAGE("https://raw.githubusercontent.com/stautonico/pokemon-home-pokedex/main/sprites/vivillon-high-plains.png", 2)</f>
        <v>0</v>
      </c>
      <c r="G180" s="48">
        <f>IMAGE("https://raw.githubusercontent.com/stautonico/pokemon-home-pokedex/main/sprites/vivillon-sandstorm.png", 2)</f>
        <v>0</v>
      </c>
      <c r="I180" s="48">
        <f>IMAGE("https://raw.githubusercontent.com/stautonico/pokemon-home-pokedex/main/sprites/rockruff.png", 2)</f>
        <v>0</v>
      </c>
      <c r="J180" s="48">
        <f>IMAGE("https://raw.githubusercontent.com/stautonico/pokemon-home-pokedex/main/sprites/rockruff-own-tempo.png", 2)</f>
        <v>0</v>
      </c>
      <c r="K180" s="48">
        <f>IMAGE("https://raw.githubusercontent.com/stautonico/pokemon-home-pokedex/main/sprites/lycanroc.png", 2)</f>
        <v>0</v>
      </c>
      <c r="L180" s="48">
        <f>IMAGE("https://raw.githubusercontent.com/stautonico/pokemon-home-pokedex/main/sprites/lycanroc-midnight.png", 2)</f>
        <v>0</v>
      </c>
      <c r="M180" s="48">
        <f>IMAGE("https://raw.githubusercontent.com/stautonico/pokemon-home-pokedex/main/sprites/lycanroc-dusk.png", 2)</f>
        <v>0</v>
      </c>
      <c r="N180" s="48"/>
    </row>
    <row r="181" spans="2:14" ht="72" customHeight="1">
      <c r="B181" s="48">
        <f>IMAGE("https://raw.githubusercontent.com/stautonico/pokemon-home-pokedex/main/sprites/vivillon-river.png", 2)</f>
        <v>0</v>
      </c>
      <c r="C181" s="48">
        <f>IMAGE("https://raw.githubusercontent.com/stautonico/pokemon-home-pokedex/main/sprites/vivillon-monsoon.png", 2)</f>
        <v>0</v>
      </c>
      <c r="D181" s="48">
        <f>IMAGE("https://raw.githubusercontent.com/stautonico/pokemon-home-pokedex/main/sprites/vivillon-savanna.png", 2)</f>
        <v>0</v>
      </c>
      <c r="E181" s="48">
        <f>IMAGE("https://raw.githubusercontent.com/stautonico/pokemon-home-pokedex/main/sprites/vivillon-sun.png", 2)</f>
        <v>0</v>
      </c>
      <c r="F181" s="48">
        <f>IMAGE("https://raw.githubusercontent.com/stautonico/pokemon-home-pokedex/main/sprites/vivillon-ocean.png", 2)</f>
        <v>0</v>
      </c>
      <c r="G181" s="48">
        <f>IMAGE("https://raw.githubusercontent.com/stautonico/pokemon-home-pokedex/main/sprites/vivillon-jungle.png", 2)</f>
        <v>0</v>
      </c>
      <c r="I181" s="48">
        <f>IMAGE("https://raw.githubusercontent.com/stautonico/pokemon-home-pokedex/main/sprites/minior-red.png", 2)</f>
        <v>0</v>
      </c>
      <c r="J181" s="48">
        <f>IMAGE("https://raw.githubusercontent.com/stautonico/pokemon-home-pokedex/main/sprites/minior-orange.png", 2)</f>
        <v>0</v>
      </c>
      <c r="K181" s="48">
        <f>IMAGE("https://raw.githubusercontent.com/stautonico/pokemon-home-pokedex/main/sprites/minior-yellow.png", 2)</f>
        <v>0</v>
      </c>
      <c r="L181" s="48">
        <f>IMAGE("https://raw.githubusercontent.com/stautonico/pokemon-home-pokedex/main/sprites/minior-green.png", 2)</f>
        <v>0</v>
      </c>
      <c r="M181" s="48">
        <f>IMAGE("https://raw.githubusercontent.com/stautonico/pokemon-home-pokedex/main/sprites/minior-blue.png", 2)</f>
        <v>0</v>
      </c>
      <c r="N181" s="48">
        <f>IMAGE("https://raw.githubusercontent.com/stautonico/pokemon-home-pokedex/main/sprites/minior-indigo.png", 2)</f>
        <v>0</v>
      </c>
    </row>
    <row r="182" spans="2:14" ht="72" customHeight="1">
      <c r="B182" s="48">
        <f>IMAGE("https://raw.githubusercontent.com/stautonico/pokemon-home-pokedex/main/sprites/vivillon-fancy.png", 2)</f>
        <v>0</v>
      </c>
      <c r="C182" s="48">
        <f>IMAGE("https://raw.githubusercontent.com/stautonico/pokemon-home-pokedex/main/sprites/vivillon-pokeball.png", 2)</f>
        <v>0</v>
      </c>
      <c r="D182" s="48"/>
      <c r="E182" s="48"/>
      <c r="F182" s="48"/>
      <c r="G182" s="48"/>
      <c r="I182" s="48">
        <f>IMAGE("https://raw.githubusercontent.com/stautonico/pokemon-home-pokedex/main/sprites/minior-violet.png", 2)</f>
        <v>0</v>
      </c>
      <c r="J182" s="48">
        <f>IMAGE("https://raw.githubusercontent.com/stautonico/pokemon-home-pokedex/main/sprites/magearna.png", 2)</f>
        <v>0</v>
      </c>
      <c r="K182" s="48">
        <f>IMAGE("https://raw.githubusercontent.com/stautonico/pokemon-home-pokedex/main/sprites/magearna-original.png", 2)</f>
        <v>0</v>
      </c>
      <c r="L182" s="48"/>
      <c r="M182" s="48"/>
      <c r="N182" s="48"/>
    </row>
    <row r="183" spans="2:14" ht="72" customHeight="1">
      <c r="B183" s="48"/>
      <c r="C183" s="48"/>
      <c r="D183" s="48"/>
      <c r="E183" s="48"/>
      <c r="F183" s="48"/>
      <c r="G183" s="48"/>
      <c r="I183" s="48"/>
      <c r="J183" s="48"/>
      <c r="K183" s="48"/>
      <c r="L183" s="48"/>
      <c r="M183" s="48"/>
      <c r="N183" s="48"/>
    </row>
    <row r="186" spans="2:14">
      <c r="B186" s="47" t="s">
        <v>1485</v>
      </c>
      <c r="I186" s="47" t="s">
        <v>1486</v>
      </c>
    </row>
    <row r="187" spans="2:14" ht="72" customHeight="1">
      <c r="B187" s="48">
        <f>IMAGE("https://raw.githubusercontent.com/stautonico/pokemon-home-pokedex/main/sprites/toxtricity.png", 2)</f>
        <v>0</v>
      </c>
      <c r="C187" s="48">
        <f>IMAGE("https://raw.githubusercontent.com/stautonico/pokemon-home-pokedex/main/sprites/toxtricity-low-key.png", 2)</f>
        <v>0</v>
      </c>
      <c r="D187" s="48"/>
      <c r="E187" s="48"/>
      <c r="F187" s="48"/>
      <c r="G187" s="48"/>
      <c r="I187" s="48">
        <f>IMAGE("https://raw.githubusercontent.com/stautonico/pokemon-home-pokedex/main/sprites/alcremie.png", 2)</f>
        <v>0</v>
      </c>
      <c r="J187" s="48">
        <f>IMAGE("https://raw.githubusercontent.com/stautonico/pokemon-home-pokedex/main/sprites/alcremie-vanilla-cream-berry.png", 2)</f>
        <v>0</v>
      </c>
      <c r="K187" s="48">
        <f>IMAGE("https://raw.githubusercontent.com/stautonico/pokemon-home-pokedex/main/sprites/alcremie-vanilla-cream-love.png", 2)</f>
        <v>0</v>
      </c>
      <c r="L187" s="48">
        <f>IMAGE("https://raw.githubusercontent.com/stautonico/pokemon-home-pokedex/main/sprites/alcremie-vanilla-cream-star.png", 2)</f>
        <v>0</v>
      </c>
      <c r="M187" s="48">
        <f>IMAGE("https://raw.githubusercontent.com/stautonico/pokemon-home-pokedex/main/sprites/alcremie-vanilla-cream-clover.png", 2)</f>
        <v>0</v>
      </c>
      <c r="N187" s="48">
        <f>IMAGE("https://raw.githubusercontent.com/stautonico/pokemon-home-pokedex/main/sprites/alcremie-vanilla-cream-flower.png", 2)</f>
        <v>0</v>
      </c>
    </row>
    <row r="188" spans="2:14" ht="72" customHeight="1">
      <c r="B188" s="48">
        <f>IMAGE("https://raw.githubusercontent.com/stautonico/pokemon-home-pokedex/main/sprites/sinistea.png", 2)</f>
        <v>0</v>
      </c>
      <c r="C188" s="48">
        <f>IMAGE("https://raw.githubusercontent.com/stautonico/pokemon-home-pokedex/main/sprites/sinistea-antique.png", 2)</f>
        <v>0</v>
      </c>
      <c r="D188" s="48">
        <f>IMAGE("https://raw.githubusercontent.com/stautonico/pokemon-home-pokedex/main/sprites/polteageist.png", 2)</f>
        <v>0</v>
      </c>
      <c r="E188" s="48">
        <f>IMAGE("https://raw.githubusercontent.com/stautonico/pokemon-home-pokedex/main/sprites/polteageist-antique.png", 2)</f>
        <v>0</v>
      </c>
      <c r="F188" s="48"/>
      <c r="G188" s="48"/>
      <c r="I188" s="48">
        <f>IMAGE("https://raw.githubusercontent.com/stautonico/pokemon-home-pokedex/main/sprites/alcremie-vanilla-cream-ribbon.png", 2)</f>
        <v>0</v>
      </c>
      <c r="J188" s="48">
        <f>IMAGE("https://raw.githubusercontent.com/stautonico/pokemon-home-pokedex/main/sprites/alcremie-ruby-cream-strawberry.png", 2)</f>
        <v>0</v>
      </c>
      <c r="K188" s="48">
        <f>IMAGE("https://raw.githubusercontent.com/stautonico/pokemon-home-pokedex/main/sprites/alcremie-ruby-cream-berry.png", 2)</f>
        <v>0</v>
      </c>
      <c r="L188" s="48">
        <f>IMAGE("https://raw.githubusercontent.com/stautonico/pokemon-home-pokedex/main/sprites/alcremie-ruby-cream-love.png", 2)</f>
        <v>0</v>
      </c>
      <c r="M188" s="48">
        <f>IMAGE("https://raw.githubusercontent.com/stautonico/pokemon-home-pokedex/main/sprites/alcremie-ruby-cream-star.png", 2)</f>
        <v>0</v>
      </c>
      <c r="N188" s="48">
        <f>IMAGE("https://raw.githubusercontent.com/stautonico/pokemon-home-pokedex/main/sprites/alcremie-ruby-cream-clover.png", 2)</f>
        <v>0</v>
      </c>
    </row>
    <row r="189" spans="2:14" ht="72" customHeight="1">
      <c r="B189" s="48">
        <f>IMAGE("https://raw.githubusercontent.com/stautonico/pokemon-home-pokedex/main/sprites/urshifu.png", 2)</f>
        <v>0</v>
      </c>
      <c r="C189" s="48">
        <f>IMAGE("https://raw.githubusercontent.com/stautonico/pokemon-home-pokedex/main/sprites/urshifu-rapid-strike.png", 2)</f>
        <v>0</v>
      </c>
      <c r="D189" s="48"/>
      <c r="E189" s="48"/>
      <c r="F189" s="48"/>
      <c r="G189" s="48"/>
      <c r="I189" s="48">
        <f>IMAGE("https://raw.githubusercontent.com/stautonico/pokemon-home-pokedex/main/sprites/alcremie-ruby-cream-flower.png", 2)</f>
        <v>0</v>
      </c>
      <c r="J189" s="48">
        <f>IMAGE("https://raw.githubusercontent.com/stautonico/pokemon-home-pokedex/main/sprites/alcremie-ruby-cream-ribbon.png", 2)</f>
        <v>0</v>
      </c>
      <c r="K189" s="48">
        <f>IMAGE("https://raw.githubusercontent.com/stautonico/pokemon-home-pokedex/main/sprites/alcremie-matcha-cream-strawberry.png", 2)</f>
        <v>0</v>
      </c>
      <c r="L189" s="48">
        <f>IMAGE("https://raw.githubusercontent.com/stautonico/pokemon-home-pokedex/main/sprites/alcremie-matcha-cream-berry.png", 2)</f>
        <v>0</v>
      </c>
      <c r="M189" s="48">
        <f>IMAGE("https://raw.githubusercontent.com/stautonico/pokemon-home-pokedex/main/sprites/alcremie-matcha-cream-love.png", 2)</f>
        <v>0</v>
      </c>
      <c r="N189" s="48">
        <f>IMAGE("https://raw.githubusercontent.com/stautonico/pokemon-home-pokedex/main/sprites/alcremie-matcha-cream-star.png", 2)</f>
        <v>0</v>
      </c>
    </row>
    <row r="190" spans="2:14" ht="72" customHeight="1">
      <c r="B190" s="48">
        <f>IMAGE("https://raw.githubusercontent.com/stautonico/pokemon-home-pokedex/main/sprites/zarude.png", 2)</f>
        <v>0</v>
      </c>
      <c r="C190" s="48">
        <f>IMAGE("https://raw.githubusercontent.com/stautonico/pokemon-home-pokedex/main/sprites/zarude-dada.png", 2)</f>
        <v>0</v>
      </c>
      <c r="D190" s="48"/>
      <c r="E190" s="48"/>
      <c r="F190" s="48"/>
      <c r="G190" s="48"/>
      <c r="I190" s="48">
        <f>IMAGE("https://raw.githubusercontent.com/stautonico/pokemon-home-pokedex/main/sprites/alcremie-matcha-cream-clover.png", 2)</f>
        <v>0</v>
      </c>
      <c r="J190" s="48">
        <f>IMAGE("https://raw.githubusercontent.com/stautonico/pokemon-home-pokedex/main/sprites/alcremie-matcha-cream-flower.png", 2)</f>
        <v>0</v>
      </c>
      <c r="K190" s="48">
        <f>IMAGE("https://raw.githubusercontent.com/stautonico/pokemon-home-pokedex/main/sprites/alcremie-matcha-cream-ribbon.png", 2)</f>
        <v>0</v>
      </c>
      <c r="L190" s="48">
        <f>IMAGE("https://raw.githubusercontent.com/stautonico/pokemon-home-pokedex/main/sprites/alcremie-mint-cream-strawberry.png", 2)</f>
        <v>0</v>
      </c>
      <c r="M190" s="48">
        <f>IMAGE("https://raw.githubusercontent.com/stautonico/pokemon-home-pokedex/main/sprites/alcremie-mint-cream-berry.png", 2)</f>
        <v>0</v>
      </c>
      <c r="N190" s="48">
        <f>IMAGE("https://raw.githubusercontent.com/stautonico/pokemon-home-pokedex/main/sprites/alcremie-mint-cream-love.png", 2)</f>
        <v>0</v>
      </c>
    </row>
    <row r="191" spans="2:14" ht="72" customHeight="1">
      <c r="B191" s="48">
        <f>IMAGE("https://raw.githubusercontent.com/stautonico/pokemon-home-pokedex/main/sprites/enamorus.png", 2)</f>
        <v>0</v>
      </c>
      <c r="C191" s="48">
        <f>IMAGE("https://raw.githubusercontent.com/stautonico/pokemon-home-pokedex/main/sprites/enamorus-therian.png", 2)</f>
        <v>0</v>
      </c>
      <c r="D191" s="48"/>
      <c r="E191" s="48"/>
      <c r="F191" s="48"/>
      <c r="G191" s="48"/>
      <c r="I191" s="48">
        <f>IMAGE("https://raw.githubusercontent.com/stautonico/pokemon-home-pokedex/main/sprites/alcremie-mint-cream-star.png", 2)</f>
        <v>0</v>
      </c>
      <c r="J191" s="48">
        <f>IMAGE("https://raw.githubusercontent.com/stautonico/pokemon-home-pokedex/main/sprites/alcremie-mint-cream-clover.png", 2)</f>
        <v>0</v>
      </c>
      <c r="K191" s="48">
        <f>IMAGE("https://raw.githubusercontent.com/stautonico/pokemon-home-pokedex/main/sprites/alcremie-mint-cream-flower.png", 2)</f>
        <v>0</v>
      </c>
      <c r="L191" s="48">
        <f>IMAGE("https://raw.githubusercontent.com/stautonico/pokemon-home-pokedex/main/sprites/alcremie-mint-cream-ribbon.png", 2)</f>
        <v>0</v>
      </c>
      <c r="M191" s="48"/>
      <c r="N191" s="48"/>
    </row>
    <row r="194" spans="2:14">
      <c r="B194" s="47" t="s">
        <v>1487</v>
      </c>
      <c r="I194" s="47" t="s">
        <v>1488</v>
      </c>
    </row>
    <row r="195" spans="2:14" ht="72" customHeight="1">
      <c r="B195" s="48">
        <f>IMAGE("https://raw.githubusercontent.com/stautonico/pokemon-home-pokedex/main/sprites/alcremie-lemon-cream-strawberry.png", 2)</f>
        <v>0</v>
      </c>
      <c r="C195" s="48">
        <f>IMAGE("https://raw.githubusercontent.com/stautonico/pokemon-home-pokedex/main/sprites/alcremie-lemon-cream-berry.png", 2)</f>
        <v>0</v>
      </c>
      <c r="D195" s="48">
        <f>IMAGE("https://raw.githubusercontent.com/stautonico/pokemon-home-pokedex/main/sprites/alcremie-lemon-cream-love.png", 2)</f>
        <v>0</v>
      </c>
      <c r="E195" s="48">
        <f>IMAGE("https://raw.githubusercontent.com/stautonico/pokemon-home-pokedex/main/sprites/alcremie-lemon-cream-star.png", 2)</f>
        <v>0</v>
      </c>
      <c r="F195" s="48">
        <f>IMAGE("https://raw.githubusercontent.com/stautonico/pokemon-home-pokedex/main/sprites/alcremie-lemon-cream-clover.png", 2)</f>
        <v>0</v>
      </c>
      <c r="G195" s="48">
        <f>IMAGE("https://raw.githubusercontent.com/stautonico/pokemon-home-pokedex/main/sprites/alcremie-lemon-cream-flower.png", 2)</f>
        <v>0</v>
      </c>
      <c r="I195" s="48">
        <f>IMAGE("https://raw.githubusercontent.com/stautonico/pokemon-home-pokedex/main/sprites/alcremie-rainbow-swirl-strawberry.png", 2)</f>
        <v>0</v>
      </c>
      <c r="J195" s="48">
        <f>IMAGE("https://raw.githubusercontent.com/stautonico/pokemon-home-pokedex/main/sprites/alcremie-rainbow-swirl-berry.png", 2)</f>
        <v>0</v>
      </c>
      <c r="K195" s="48">
        <f>IMAGE("https://raw.githubusercontent.com/stautonico/pokemon-home-pokedex/main/sprites/alcremie-rainbow-swirl-love.png", 2)</f>
        <v>0</v>
      </c>
      <c r="L195" s="48">
        <f>IMAGE("https://raw.githubusercontent.com/stautonico/pokemon-home-pokedex/main/sprites/alcremie-rainbow-swirl-star.png", 2)</f>
        <v>0</v>
      </c>
      <c r="M195" s="48">
        <f>IMAGE("https://raw.githubusercontent.com/stautonico/pokemon-home-pokedex/main/sprites/alcremie-rainbow-swirl-clover.png", 2)</f>
        <v>0</v>
      </c>
      <c r="N195" s="48">
        <f>IMAGE("https://raw.githubusercontent.com/stautonico/pokemon-home-pokedex/main/sprites/alcremie-rainbow-swirl-flower.png", 2)</f>
        <v>0</v>
      </c>
    </row>
    <row r="196" spans="2:14" ht="72" customHeight="1">
      <c r="B196" s="48">
        <f>IMAGE("https://raw.githubusercontent.com/stautonico/pokemon-home-pokedex/main/sprites/alcremie-lemon-cream-ribbon.png", 2)</f>
        <v>0</v>
      </c>
      <c r="C196" s="48">
        <f>IMAGE("https://raw.githubusercontent.com/stautonico/pokemon-home-pokedex/main/sprites/alcremie-salted-cream-strawberry.png", 2)</f>
        <v>0</v>
      </c>
      <c r="D196" s="48">
        <f>IMAGE("https://raw.githubusercontent.com/stautonico/pokemon-home-pokedex/main/sprites/alcremie-salted-cream-berry.png", 2)</f>
        <v>0</v>
      </c>
      <c r="E196" s="48">
        <f>IMAGE("https://raw.githubusercontent.com/stautonico/pokemon-home-pokedex/main/sprites/alcremie-salted-cream-love.png", 2)</f>
        <v>0</v>
      </c>
      <c r="F196" s="48">
        <f>IMAGE("https://raw.githubusercontent.com/stautonico/pokemon-home-pokedex/main/sprites/alcremie-salted-cream-star.png", 2)</f>
        <v>0</v>
      </c>
      <c r="G196" s="48">
        <f>IMAGE("https://raw.githubusercontent.com/stautonico/pokemon-home-pokedex/main/sprites/alcremie-salted-cream-clover.png", 2)</f>
        <v>0</v>
      </c>
      <c r="I196" s="48">
        <f>IMAGE("https://raw.githubusercontent.com/stautonico/pokemon-home-pokedex/main/sprites/alcremie-rainbow-swirl-ribbon.png", 2)</f>
        <v>0</v>
      </c>
      <c r="J196" s="48"/>
      <c r="K196" s="48"/>
      <c r="L196" s="48"/>
      <c r="M196" s="48"/>
      <c r="N196" s="48"/>
    </row>
    <row r="197" spans="2:14" ht="72" customHeight="1">
      <c r="B197" s="48">
        <f>IMAGE("https://raw.githubusercontent.com/stautonico/pokemon-home-pokedex/main/sprites/alcremie-salted-cream-flower.png", 2)</f>
        <v>0</v>
      </c>
      <c r="C197" s="48">
        <f>IMAGE("https://raw.githubusercontent.com/stautonico/pokemon-home-pokedex/main/sprites/alcremie-salted-cream-ribbon.png", 2)</f>
        <v>0</v>
      </c>
      <c r="D197" s="48">
        <f>IMAGE("https://raw.githubusercontent.com/stautonico/pokemon-home-pokedex/main/sprites/alcremie-ruby-swirl-strawberry.png", 2)</f>
        <v>0</v>
      </c>
      <c r="E197" s="48">
        <f>IMAGE("https://raw.githubusercontent.com/stautonico/pokemon-home-pokedex/main/sprites/alcremie-ruby-swirl-berry.png", 2)</f>
        <v>0</v>
      </c>
      <c r="F197" s="48">
        <f>IMAGE("https://raw.githubusercontent.com/stautonico/pokemon-home-pokedex/main/sprites/alcremie-ruby-swirl-love.png", 2)</f>
        <v>0</v>
      </c>
      <c r="G197" s="48">
        <f>IMAGE("https://raw.githubusercontent.com/stautonico/pokemon-home-pokedex/main/sprites/alcremie-ruby-swirl-star.png", 2)</f>
        <v>0</v>
      </c>
      <c r="I197" s="48"/>
      <c r="J197" s="48"/>
      <c r="K197" s="48"/>
      <c r="L197" s="48"/>
      <c r="M197" s="48"/>
      <c r="N197" s="48"/>
    </row>
    <row r="198" spans="2:14" ht="72" customHeight="1">
      <c r="B198" s="48">
        <f>IMAGE("https://raw.githubusercontent.com/stautonico/pokemon-home-pokedex/main/sprites/alcremie-ruby-swirl-clover.png", 2)</f>
        <v>0</v>
      </c>
      <c r="C198" s="48">
        <f>IMAGE("https://raw.githubusercontent.com/stautonico/pokemon-home-pokedex/main/sprites/alcremie-ruby-swirl-flower.png", 2)</f>
        <v>0</v>
      </c>
      <c r="D198" s="48">
        <f>IMAGE("https://raw.githubusercontent.com/stautonico/pokemon-home-pokedex/main/sprites/alcremie-ruby-swirl-ribbon.png", 2)</f>
        <v>0</v>
      </c>
      <c r="E198" s="48">
        <f>IMAGE("https://raw.githubusercontent.com/stautonico/pokemon-home-pokedex/main/sprites/alcremie-caramel-swirl-strawberry.png", 2)</f>
        <v>0</v>
      </c>
      <c r="F198" s="48">
        <f>IMAGE("https://raw.githubusercontent.com/stautonico/pokemon-home-pokedex/main/sprites/alcremie-caramel-swirl-berry.png", 2)</f>
        <v>0</v>
      </c>
      <c r="G198" s="48">
        <f>IMAGE("https://raw.githubusercontent.com/stautonico/pokemon-home-pokedex/main/sprites/alcremie-caramel-swirl-love.png", 2)</f>
        <v>0</v>
      </c>
      <c r="I198" s="48"/>
      <c r="J198" s="48"/>
      <c r="K198" s="48"/>
      <c r="L198" s="48"/>
      <c r="M198" s="48"/>
      <c r="N198" s="48"/>
    </row>
    <row r="199" spans="2:14" ht="72" customHeight="1">
      <c r="B199" s="48">
        <f>IMAGE("https://raw.githubusercontent.com/stautonico/pokemon-home-pokedex/main/sprites/alcremie-caramel-swirl-star.png", 2)</f>
        <v>0</v>
      </c>
      <c r="C199" s="48">
        <f>IMAGE("https://raw.githubusercontent.com/stautonico/pokemon-home-pokedex/main/sprites/alcremie-caramel-swirl-clover.png", 2)</f>
        <v>0</v>
      </c>
      <c r="D199" s="48">
        <f>IMAGE("https://raw.githubusercontent.com/stautonico/pokemon-home-pokedex/main/sprites/alcremie-caramel-swirl-flower.png", 2)</f>
        <v>0</v>
      </c>
      <c r="E199" s="48">
        <f>IMAGE("https://raw.githubusercontent.com/stautonico/pokemon-home-pokedex/main/sprites/alcremie-caramel-swirl-ribbon.png", 2)</f>
        <v>0</v>
      </c>
      <c r="F199" s="48"/>
      <c r="G199" s="48"/>
      <c r="I199" s="48"/>
      <c r="J199" s="48"/>
      <c r="K199" s="48"/>
      <c r="L199" s="48"/>
      <c r="M199" s="48"/>
      <c r="N199" s="48"/>
    </row>
    <row r="202" spans="2:14">
      <c r="B202" s="47" t="s">
        <v>1489</v>
      </c>
      <c r="I202" s="47" t="s">
        <v>1490</v>
      </c>
    </row>
    <row r="203" spans="2:14" ht="72" customHeight="1">
      <c r="B203" s="48">
        <f>IMAGE("https://raw.githubusercontent.com/stautonico/pokemon-home-pokedex/main/sprites/venusaur-gigantamax.png", 2)</f>
        <v>0</v>
      </c>
      <c r="C203" s="48">
        <f>IMAGE("https://raw.githubusercontent.com/stautonico/pokemon-home-pokedex/main/sprites/venusaur-f-gigantamax.png", 2)</f>
        <v>0</v>
      </c>
      <c r="D203" s="48">
        <f>IMAGE("https://raw.githubusercontent.com/stautonico/pokemon-home-pokedex/main/sprites/charizard-gigantamax.png", 2)</f>
        <v>0</v>
      </c>
      <c r="E203" s="48">
        <f>IMAGE("https://raw.githubusercontent.com/stautonico/pokemon-home-pokedex/main/sprites/blastoise-gigantamax.png", 2)</f>
        <v>0</v>
      </c>
      <c r="F203" s="48">
        <f>IMAGE("https://raw.githubusercontent.com/stautonico/pokemon-home-pokedex/main/sprites/butterfree-gigantamax.png", 2)</f>
        <v>0</v>
      </c>
      <c r="G203" s="48">
        <f>IMAGE("https://raw.githubusercontent.com/stautonico/pokemon-home-pokedex/main/sprites/butterfree-f-gigantamax.png", 2)</f>
        <v>0</v>
      </c>
      <c r="I203" s="48">
        <f>IMAGE("https://raw.githubusercontent.com/stautonico/pokemon-home-pokedex/main/sprites/centiskorch-gigantamax.png", 2)</f>
        <v>0</v>
      </c>
      <c r="J203" s="48">
        <f>IMAGE("https://raw.githubusercontent.com/stautonico/pokemon-home-pokedex/main/sprites/hatterene-gigantamax.png", 2)</f>
        <v>0</v>
      </c>
      <c r="K203" s="48">
        <f>IMAGE("https://raw.githubusercontent.com/stautonico/pokemon-home-pokedex/main/sprites/grimmsnarl-gigantamax.png", 2)</f>
        <v>0</v>
      </c>
      <c r="L203" s="48">
        <f>IMAGE("https://raw.githubusercontent.com/stautonico/pokemon-home-pokedex/main/sprites/alcremie-gigantamax.png", 2)</f>
        <v>0</v>
      </c>
      <c r="M203" s="48">
        <f>IMAGE("https://raw.githubusercontent.com/stautonico/pokemon-home-pokedex/main/sprites/copperajah-gigantamax.png", 2)</f>
        <v>0</v>
      </c>
      <c r="N203" s="48">
        <f>IMAGE("https://raw.githubusercontent.com/stautonico/pokemon-home-pokedex/main/sprites/duraludon-gigantamax.png", 2)</f>
        <v>0</v>
      </c>
    </row>
    <row r="204" spans="2:14" ht="72" customHeight="1">
      <c r="B204" s="48">
        <f>IMAGE("https://raw.githubusercontent.com/stautonico/pokemon-home-pokedex/main/sprites/pikachu-gigantamax.png", 2)</f>
        <v>0</v>
      </c>
      <c r="C204" s="48">
        <f>IMAGE("https://raw.githubusercontent.com/stautonico/pokemon-home-pokedex/main/sprites/pikachu-f-gigantamax.png", 2)</f>
        <v>0</v>
      </c>
      <c r="D204" s="48">
        <f>IMAGE("https://raw.githubusercontent.com/stautonico/pokemon-home-pokedex/main/sprites/meowth-gigantamax.png", 2)</f>
        <v>0</v>
      </c>
      <c r="E204" s="48">
        <f>IMAGE("https://raw.githubusercontent.com/stautonico/pokemon-home-pokedex/main/sprites/machamp-gigantamax.png", 2)</f>
        <v>0</v>
      </c>
      <c r="F204" s="48">
        <f>IMAGE("https://raw.githubusercontent.com/stautonico/pokemon-home-pokedex/main/sprites/gengar-gigantamax.png", 2)</f>
        <v>0</v>
      </c>
      <c r="G204" s="48">
        <f>IMAGE("https://raw.githubusercontent.com/stautonico/pokemon-home-pokedex/main/sprites/kingler-gigantamax.png", 2)</f>
        <v>0</v>
      </c>
      <c r="I204" s="48">
        <f>IMAGE("https://raw.githubusercontent.com/stautonico/pokemon-home-pokedex/main/sprites/urshifu-single-strike-gigantamax.png", 2)</f>
        <v>0</v>
      </c>
      <c r="J204" s="48">
        <f>IMAGE("https://raw.githubusercontent.com/stautonico/pokemon-home-pokedex/main/sprites/urshifu-rapid-strike-gigantamax.png", 2)</f>
        <v>0</v>
      </c>
      <c r="K204" s="48"/>
      <c r="L204" s="48"/>
      <c r="M204" s="48"/>
      <c r="N204" s="48"/>
    </row>
    <row r="205" spans="2:14" ht="72" customHeight="1">
      <c r="B205" s="48">
        <f>IMAGE("https://raw.githubusercontent.com/stautonico/pokemon-home-pokedex/main/sprites/lapras-gigantamax.png", 2)</f>
        <v>0</v>
      </c>
      <c r="C205" s="48">
        <f>IMAGE("https://raw.githubusercontent.com/stautonico/pokemon-home-pokedex/main/sprites/eevee-gigantamax.png", 2)</f>
        <v>0</v>
      </c>
      <c r="D205" s="48">
        <f>IMAGE("https://raw.githubusercontent.com/stautonico/pokemon-home-pokedex/main/sprites/eevee-f-gigantamax.png", 2)</f>
        <v>0</v>
      </c>
      <c r="E205" s="48">
        <f>IMAGE("https://raw.githubusercontent.com/stautonico/pokemon-home-pokedex/main/sprites/snorlax-gigantamax.png", 2)</f>
        <v>0</v>
      </c>
      <c r="F205" s="48">
        <f>IMAGE("https://raw.githubusercontent.com/stautonico/pokemon-home-pokedex/main/sprites/garbodor-gigantamax.png", 2)</f>
        <v>0</v>
      </c>
      <c r="G205" s="48">
        <f>IMAGE("https://raw.githubusercontent.com/stautonico/pokemon-home-pokedex/main/sprites/melmetal-gigantamax.png", 2)</f>
        <v>0</v>
      </c>
      <c r="I205" s="48"/>
      <c r="J205" s="48"/>
      <c r="K205" s="48"/>
      <c r="L205" s="48"/>
      <c r="M205" s="48"/>
      <c r="N205" s="48"/>
    </row>
    <row r="206" spans="2:14" ht="72" customHeight="1">
      <c r="B206" s="48">
        <f>IMAGE("https://raw.githubusercontent.com/stautonico/pokemon-home-pokedex/main/sprites/rillaboom-gigantamax.png", 2)</f>
        <v>0</v>
      </c>
      <c r="C206" s="48">
        <f>IMAGE("https://raw.githubusercontent.com/stautonico/pokemon-home-pokedex/main/sprites/cinderace-gigantamax.png", 2)</f>
        <v>0</v>
      </c>
      <c r="D206" s="48">
        <f>IMAGE("https://raw.githubusercontent.com/stautonico/pokemon-home-pokedex/main/sprites/inteleon-gigantamax.png", 2)</f>
        <v>0</v>
      </c>
      <c r="E206" s="48">
        <f>IMAGE("https://raw.githubusercontent.com/stautonico/pokemon-home-pokedex/main/sprites/corviknight-gigantamax.png", 2)</f>
        <v>0</v>
      </c>
      <c r="F206" s="48">
        <f>IMAGE("https://raw.githubusercontent.com/stautonico/pokemon-home-pokedex/main/sprites/orbeetle-gigantamax.png", 2)</f>
        <v>0</v>
      </c>
      <c r="G206" s="48">
        <f>IMAGE("https://raw.githubusercontent.com/stautonico/pokemon-home-pokedex/main/sprites/drednaw-gigantamax.png", 2)</f>
        <v>0</v>
      </c>
      <c r="I206" s="48"/>
      <c r="J206" s="48"/>
      <c r="K206" s="48"/>
      <c r="L206" s="48"/>
      <c r="M206" s="48"/>
      <c r="N206" s="48"/>
    </row>
    <row r="207" spans="2:14" ht="72" customHeight="1">
      <c r="B207" s="48">
        <f>IMAGE("https://raw.githubusercontent.com/stautonico/pokemon-home-pokedex/main/sprites/coalossal-gigantamax.png", 2)</f>
        <v>0</v>
      </c>
      <c r="C207" s="48">
        <f>IMAGE("https://raw.githubusercontent.com/stautonico/pokemon-home-pokedex/main/sprites/flapple-gigantamax.png", 2)</f>
        <v>0</v>
      </c>
      <c r="D207" s="48">
        <f>IMAGE("https://raw.githubusercontent.com/stautonico/pokemon-home-pokedex/main/sprites/appletun-gigantamax.png", 2)</f>
        <v>0</v>
      </c>
      <c r="E207" s="48">
        <f>IMAGE("https://raw.githubusercontent.com/stautonico/pokemon-home-pokedex/main/sprites/sandaconda-gigantamax.png", 2)</f>
        <v>0</v>
      </c>
      <c r="F207" s="48">
        <f>IMAGE("https://raw.githubusercontent.com/stautonico/pokemon-home-pokedex/main/sprites/toxtricity-gigantamax.png", 2)</f>
        <v>0</v>
      </c>
      <c r="G207" s="48">
        <f>IMAGE("https://raw.githubusercontent.com/stautonico/pokemon-home-pokedex/main/sprites/toxtricity-low-key-gigantamax.png", 2)</f>
        <v>0</v>
      </c>
      <c r="I207" s="48"/>
      <c r="J207" s="48"/>
      <c r="K207" s="48"/>
      <c r="L207" s="48"/>
      <c r="M207" s="48"/>
      <c r="N207" s="48"/>
    </row>
    <row r="210" spans="2:14">
      <c r="B210" s="47" t="s">
        <v>1491</v>
      </c>
      <c r="I210" s="47" t="s">
        <v>1492</v>
      </c>
    </row>
    <row r="211" spans="2:14" ht="72" customHeight="1">
      <c r="B211" s="48">
        <f>IMAGE("https://raw.githubusercontent.com/stautonico/pokemon-home-pokedex/main/sprites/maushold.png", 2)</f>
        <v>0</v>
      </c>
      <c r="C211" s="48">
        <f>IMAGE("https://raw.githubusercontent.com/stautonico/pokemon-home-pokedex/main/sprites/maushold-family-of-three.png", 2)</f>
        <v>0</v>
      </c>
      <c r="D211" s="48">
        <f>IMAGE("https://raw.githubusercontent.com/stautonico/pokemon-home-pokedex/main/sprites/squawkabilly.png", 2)</f>
        <v>0</v>
      </c>
      <c r="E211" s="48">
        <f>IMAGE("https://raw.githubusercontent.com/stautonico/pokemon-home-pokedex/main/sprites/squawkabilly-blue-plumage.png", 2)</f>
        <v>0</v>
      </c>
      <c r="F211" s="48">
        <f>IMAGE("https://raw.githubusercontent.com/stautonico/pokemon-home-pokedex/main/sprites/squawkabilly-white-plumage.png", 2)</f>
        <v>0</v>
      </c>
      <c r="G211" s="48">
        <f>IMAGE("https://raw.githubusercontent.com/stautonico/pokemon-home-pokedex/main/sprites/squawkabilly-yellow-plumage.png", 2)</f>
        <v>0</v>
      </c>
      <c r="I211" s="48">
        <f>IMAGE("https://raw.githubusercontent.com/stautonico/pokemon-home-pokedex/main/sprites/rattata-alola.png", 2)</f>
        <v>0</v>
      </c>
      <c r="J211" s="48">
        <f>IMAGE("https://raw.githubusercontent.com/stautonico/pokemon-home-pokedex/main/sprites/raticate-alola.png", 2)</f>
        <v>0</v>
      </c>
      <c r="K211" s="48">
        <f>IMAGE("https://raw.githubusercontent.com/stautonico/pokemon-home-pokedex/main/sprites/raichu-alola.png", 2)</f>
        <v>0</v>
      </c>
      <c r="L211" s="48">
        <f>IMAGE("https://raw.githubusercontent.com/stautonico/pokemon-home-pokedex/main/sprites/sandshrew-alola.png", 2)</f>
        <v>0</v>
      </c>
      <c r="M211" s="48">
        <f>IMAGE("https://raw.githubusercontent.com/stautonico/pokemon-home-pokedex/main/sprites/sandslash-alola.png", 2)</f>
        <v>0</v>
      </c>
      <c r="N211" s="48">
        <f>IMAGE("https://raw.githubusercontent.com/stautonico/pokemon-home-pokedex/main/sprites/vulpix-alola.png", 2)</f>
        <v>0</v>
      </c>
    </row>
    <row r="212" spans="2:14" ht="72" customHeight="1">
      <c r="B212" s="48">
        <f>IMAGE("https://raw.githubusercontent.com/stautonico/pokemon-home-pokedex/main/sprites/tatsugiri.png", 2)</f>
        <v>0</v>
      </c>
      <c r="C212" s="48">
        <f>IMAGE("https://raw.githubusercontent.com/stautonico/pokemon-home-pokedex/main/sprites/tatsugiri-droopy.png", 2)</f>
        <v>0</v>
      </c>
      <c r="D212" s="48">
        <f>IMAGE("https://raw.githubusercontent.com/stautonico/pokemon-home-pokedex/main/sprites/tatsugiri-stretchy.png", 2)</f>
        <v>0</v>
      </c>
      <c r="E212" s="48">
        <f>IMAGE("https://raw.githubusercontent.com/stautonico/pokemon-home-pokedex/main/sprites/dudunsparce.png", 2)</f>
        <v>0</v>
      </c>
      <c r="F212" s="48">
        <f>IMAGE("https://raw.githubusercontent.com/stautonico/pokemon-home-pokedex/main/sprites/dudunsparce-three-segment.png", 2)</f>
        <v>0</v>
      </c>
      <c r="G212" s="48">
        <f>IMAGE("https://raw.githubusercontent.com/stautonico/pokemon-home-pokedex/main/sprites/wooper-paldea.png", 2)</f>
        <v>0</v>
      </c>
      <c r="I212" s="48">
        <f>IMAGE("https://raw.githubusercontent.com/stautonico/pokemon-home-pokedex/main/sprites/ninetales-alola.png", 2)</f>
        <v>0</v>
      </c>
      <c r="J212" s="48">
        <f>IMAGE("https://raw.githubusercontent.com/stautonico/pokemon-home-pokedex/main/sprites/diglett-alola.png", 2)</f>
        <v>0</v>
      </c>
      <c r="K212" s="48">
        <f>IMAGE("https://raw.githubusercontent.com/stautonico/pokemon-home-pokedex/main/sprites/dugtrio-alola.png", 2)</f>
        <v>0</v>
      </c>
      <c r="L212" s="48">
        <f>IMAGE("https://raw.githubusercontent.com/stautonico/pokemon-home-pokedex/main/sprites/meowth-alola.png", 2)</f>
        <v>0</v>
      </c>
      <c r="M212" s="48">
        <f>IMAGE("https://raw.githubusercontent.com/stautonico/pokemon-home-pokedex/main/sprites/persian-alola.png", 2)</f>
        <v>0</v>
      </c>
      <c r="N212" s="48">
        <f>IMAGE("https://raw.githubusercontent.com/stautonico/pokemon-home-pokedex/main/sprites/geodude-alola.png", 2)</f>
        <v>0</v>
      </c>
    </row>
    <row r="213" spans="2:14" ht="72" customHeight="1">
      <c r="B213" s="48">
        <f>IMAGE("https://raw.githubusercontent.com/stautonico/pokemon-home-pokedex/main/sprites/tauros-paldea-combat-breed.png", 2)</f>
        <v>0</v>
      </c>
      <c r="C213" s="48">
        <f>IMAGE("https://raw.githubusercontent.com/stautonico/pokemon-home-pokedex/main/sprites/tauros-paldea-aqua-breed.png", 2)</f>
        <v>0</v>
      </c>
      <c r="D213" s="48">
        <f>IMAGE("https://raw.githubusercontent.com/stautonico/pokemon-home-pokedex/main/sprites/tauros-paldea-blaze-breed.png", 2)</f>
        <v>0</v>
      </c>
      <c r="E213" s="48"/>
      <c r="F213" s="48"/>
      <c r="G213" s="48"/>
      <c r="I213" s="48">
        <f>IMAGE("https://raw.githubusercontent.com/stautonico/pokemon-home-pokedex/main/sprites/graveler-alola.png", 2)</f>
        <v>0</v>
      </c>
      <c r="J213" s="48">
        <f>IMAGE("https://raw.githubusercontent.com/stautonico/pokemon-home-pokedex/main/sprites/golem-alola.png", 2)</f>
        <v>0</v>
      </c>
      <c r="K213" s="48">
        <f>IMAGE("https://raw.githubusercontent.com/stautonico/pokemon-home-pokedex/main/sprites/grimer-alola.png", 2)</f>
        <v>0</v>
      </c>
      <c r="L213" s="48">
        <f>IMAGE("https://raw.githubusercontent.com/stautonico/pokemon-home-pokedex/main/sprites/muk-alola.png", 2)</f>
        <v>0</v>
      </c>
      <c r="M213" s="48">
        <f>IMAGE("https://raw.githubusercontent.com/stautonico/pokemon-home-pokedex/main/sprites/exeggutor-alola.png", 2)</f>
        <v>0</v>
      </c>
      <c r="N213" s="48">
        <f>IMAGE("https://raw.githubusercontent.com/stautonico/pokemon-home-pokedex/main/sprites/marowak-alola.png", 2)</f>
        <v>0</v>
      </c>
    </row>
    <row r="214" spans="2:14" ht="72" customHeight="1">
      <c r="B214" s="48"/>
      <c r="C214" s="48"/>
      <c r="D214" s="48"/>
      <c r="E214" s="48"/>
      <c r="F214" s="48"/>
      <c r="G214" s="48"/>
      <c r="I214" s="48"/>
      <c r="J214" s="48"/>
      <c r="K214" s="48"/>
      <c r="L214" s="48"/>
      <c r="M214" s="48"/>
      <c r="N214" s="48"/>
    </row>
    <row r="215" spans="2:14" ht="72" customHeight="1">
      <c r="B215" s="48"/>
      <c r="C215" s="48"/>
      <c r="D215" s="48"/>
      <c r="E215" s="48"/>
      <c r="F215" s="48"/>
      <c r="G215" s="48"/>
      <c r="I215" s="48"/>
      <c r="J215" s="48"/>
      <c r="K215" s="48"/>
      <c r="L215" s="48"/>
      <c r="M215" s="48"/>
      <c r="N215" s="48"/>
    </row>
    <row r="218" spans="2:14">
      <c r="B218" s="47" t="s">
        <v>1493</v>
      </c>
      <c r="I218" s="47" t="s">
        <v>1494</v>
      </c>
    </row>
    <row r="219" spans="2:14" ht="72" customHeight="1">
      <c r="B219" s="48">
        <f>IMAGE("https://raw.githubusercontent.com/stautonico/pokemon-home-pokedex/main/sprites/meowth-galar.png", 2)</f>
        <v>0</v>
      </c>
      <c r="C219" s="48">
        <f>IMAGE("https://raw.githubusercontent.com/stautonico/pokemon-home-pokedex/main/sprites/ponyta-galar.png", 2)</f>
        <v>0</v>
      </c>
      <c r="D219" s="48">
        <f>IMAGE("https://raw.githubusercontent.com/stautonico/pokemon-home-pokedex/main/sprites/rapidash-galar.png", 2)</f>
        <v>0</v>
      </c>
      <c r="E219" s="48">
        <f>IMAGE("https://raw.githubusercontent.com/stautonico/pokemon-home-pokedex/main/sprites/slowpoke-galar.png", 2)</f>
        <v>0</v>
      </c>
      <c r="F219" s="48">
        <f>IMAGE("https://raw.githubusercontent.com/stautonico/pokemon-home-pokedex/main/sprites/slowbro-galar.png", 2)</f>
        <v>0</v>
      </c>
      <c r="G219" s="48">
        <f>IMAGE("https://raw.githubusercontent.com/stautonico/pokemon-home-pokedex/main/sprites/farfetchd-galar.png", 2)</f>
        <v>0</v>
      </c>
      <c r="I219" s="48">
        <f>IMAGE("https://raw.githubusercontent.com/stautonico/pokemon-home-pokedex/main/sprites/growlithe-hisui.png", 2)</f>
        <v>0</v>
      </c>
      <c r="J219" s="48">
        <f>IMAGE("https://raw.githubusercontent.com/stautonico/pokemon-home-pokedex/main/sprites/arcanine-hisui.png", 2)</f>
        <v>0</v>
      </c>
      <c r="K219" s="48">
        <f>IMAGE("https://raw.githubusercontent.com/stautonico/pokemon-home-pokedex/main/sprites/voltorb-hisui.png", 2)</f>
        <v>0</v>
      </c>
      <c r="L219" s="48">
        <f>IMAGE("https://raw.githubusercontent.com/stautonico/pokemon-home-pokedex/main/sprites/electrode-hisui.png", 2)</f>
        <v>0</v>
      </c>
      <c r="M219" s="48">
        <f>IMAGE("https://raw.githubusercontent.com/stautonico/pokemon-home-pokedex/main/sprites/typhlosion-hisui.png", 2)</f>
        <v>0</v>
      </c>
      <c r="N219" s="48">
        <f>IMAGE("https://raw.githubusercontent.com/stautonico/pokemon-home-pokedex/main/sprites/qwilfish-hisui.png", 2)</f>
        <v>0</v>
      </c>
    </row>
    <row r="220" spans="2:14" ht="72" customHeight="1">
      <c r="B220" s="48">
        <f>IMAGE("https://raw.githubusercontent.com/stautonico/pokemon-home-pokedex/main/sprites/weezing-galar.png", 2)</f>
        <v>0</v>
      </c>
      <c r="C220" s="48">
        <f>IMAGE("https://raw.githubusercontent.com/stautonico/pokemon-home-pokedex/main/sprites/mrmime-galar.png", 2)</f>
        <v>0</v>
      </c>
      <c r="D220" s="48">
        <f>IMAGE("https://raw.githubusercontent.com/stautonico/pokemon-home-pokedex/main/sprites/articuno-galar.png", 2)</f>
        <v>0</v>
      </c>
      <c r="E220" s="48">
        <f>IMAGE("https://raw.githubusercontent.com/stautonico/pokemon-home-pokedex/main/sprites/zapdos-galar.png", 2)</f>
        <v>0</v>
      </c>
      <c r="F220" s="48">
        <f>IMAGE("https://raw.githubusercontent.com/stautonico/pokemon-home-pokedex/main/sprites/moltres-galar.png", 2)</f>
        <v>0</v>
      </c>
      <c r="G220" s="48">
        <f>IMAGE("https://raw.githubusercontent.com/stautonico/pokemon-home-pokedex/main/sprites/slowking-galar.png", 2)</f>
        <v>0</v>
      </c>
      <c r="I220" s="48">
        <f>IMAGE("https://raw.githubusercontent.com/stautonico/pokemon-home-pokedex/main/sprites/sneasel-hisui.png", 2)</f>
        <v>0</v>
      </c>
      <c r="J220" s="48">
        <f>IMAGE("https://raw.githubusercontent.com/stautonico/pokemon-home-pokedex/main/sprites/samurott-hisui.png", 2)</f>
        <v>0</v>
      </c>
      <c r="K220" s="48">
        <f>IMAGE("https://raw.githubusercontent.com/stautonico/pokemon-home-pokedex/main/sprites/lilligant-hisui.png", 2)</f>
        <v>0</v>
      </c>
      <c r="L220" s="48">
        <f>IMAGE("https://raw.githubusercontent.com/stautonico/pokemon-home-pokedex/main/sprites/basculin-white-striped.png", 2)</f>
        <v>0</v>
      </c>
      <c r="M220" s="48">
        <f>IMAGE("https://raw.githubusercontent.com/stautonico/pokemon-home-pokedex/main/sprites/zorua-hisui.png", 2)</f>
        <v>0</v>
      </c>
      <c r="N220" s="48">
        <f>IMAGE("https://raw.githubusercontent.com/stautonico/pokemon-home-pokedex/main/sprites/zoroark-hisui.png", 2)</f>
        <v>0</v>
      </c>
    </row>
    <row r="221" spans="2:14" ht="72" customHeight="1">
      <c r="B221" s="48">
        <f>IMAGE("https://raw.githubusercontent.com/stautonico/pokemon-home-pokedex/main/sprites/corsola-galar.png", 2)</f>
        <v>0</v>
      </c>
      <c r="C221" s="48">
        <f>IMAGE("https://raw.githubusercontent.com/stautonico/pokemon-home-pokedex/main/sprites/zigzagoon-galar.png", 2)</f>
        <v>0</v>
      </c>
      <c r="D221" s="48">
        <f>IMAGE("https://raw.githubusercontent.com/stautonico/pokemon-home-pokedex/main/sprites/linoone-galar.png", 2)</f>
        <v>0</v>
      </c>
      <c r="E221" s="48">
        <f>IMAGE("https://raw.githubusercontent.com/stautonico/pokemon-home-pokedex/main/sprites/darumaka-galar.png", 2)</f>
        <v>0</v>
      </c>
      <c r="F221" s="48">
        <f>IMAGE("https://raw.githubusercontent.com/stautonico/pokemon-home-pokedex/main/sprites/darmanitan-galar.png", 2)</f>
        <v>0</v>
      </c>
      <c r="G221" s="48">
        <f>IMAGE("https://raw.githubusercontent.com/stautonico/pokemon-home-pokedex/main/sprites/yamask-galar.png", 2)</f>
        <v>0</v>
      </c>
      <c r="I221" s="48">
        <f>IMAGE("https://raw.githubusercontent.com/stautonico/pokemon-home-pokedex/main/sprites/braviary-hisui.png", 2)</f>
        <v>0</v>
      </c>
      <c r="J221" s="48">
        <f>IMAGE("https://raw.githubusercontent.com/stautonico/pokemon-home-pokedex/main/sprites/sliggoo-hisui.png", 2)</f>
        <v>0</v>
      </c>
      <c r="K221" s="48">
        <f>IMAGE("https://raw.githubusercontent.com/stautonico/pokemon-home-pokedex/main/sprites/goodra-hisui.png", 2)</f>
        <v>0</v>
      </c>
      <c r="L221" s="48">
        <f>IMAGE("https://raw.githubusercontent.com/stautonico/pokemon-home-pokedex/main/sprites/avalugg-hisui.png", 2)</f>
        <v>0</v>
      </c>
      <c r="M221" s="48">
        <f>IMAGE("https://raw.githubusercontent.com/stautonico/pokemon-home-pokedex/main/sprites/decidueye-hisui.png", 2)</f>
        <v>0</v>
      </c>
      <c r="N221" s="48"/>
    </row>
    <row r="222" spans="2:14" ht="72" customHeight="1">
      <c r="B222" s="48">
        <f>IMAGE("https://raw.githubusercontent.com/stautonico/pokemon-home-pokedex/main/sprites/stunfisk-galar.png", 2)</f>
        <v>0</v>
      </c>
      <c r="C222" s="48"/>
      <c r="D222" s="48"/>
      <c r="E222" s="48"/>
      <c r="F222" s="48"/>
      <c r="G222" s="48"/>
      <c r="I222" s="48"/>
      <c r="J222" s="48"/>
      <c r="K222" s="48"/>
      <c r="L222" s="48"/>
      <c r="M222" s="48"/>
      <c r="N222" s="48"/>
    </row>
    <row r="223" spans="2:14" ht="72" customHeight="1">
      <c r="B223" s="48"/>
      <c r="C223" s="48"/>
      <c r="D223" s="48"/>
      <c r="E223" s="48"/>
      <c r="F223" s="48"/>
      <c r="G223" s="48"/>
      <c r="I223" s="48"/>
      <c r="J223" s="48"/>
      <c r="K223" s="48"/>
      <c r="L223" s="48"/>
      <c r="M223" s="48"/>
      <c r="N223" s="48"/>
    </row>
  </sheetData>
  <mergeCells count="56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  <mergeCell ref="I210:N210"/>
    <mergeCell ref="B218:G218"/>
    <mergeCell ref="I218:N218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COUNTIF(INDIRECT("Checklist!$A908"), "TRUE") = 1</formula>
    </cfRule>
    <cfRule type="expression" dxfId="4" priority="1845">
      <formula>COUNTIF(INDIRECT("Checklist!$A908"), "FALSE") = 1</formula>
    </cfRule>
  </conditionalFormatting>
  <conditionalFormatting sqref="B125">
    <cfRule type="expression" dxfId="3" priority="1856">
      <formula>COUNTIF(INDIRECT("Checklist!$A914"), "TRUE") = 1</formula>
    </cfRule>
    <cfRule type="expression" dxfId="4" priority="1857">
      <formula>COUNTIF(INDIRECT("Checklist!$A914"), "FALSE") = 1</formula>
    </cfRule>
  </conditionalFormatting>
  <conditionalFormatting sqref="B126">
    <cfRule type="expression" dxfId="3" priority="1868">
      <formula>COUNTIF(INDIRECT("Checklist!$A920"), "TRUE") = 1</formula>
    </cfRule>
    <cfRule type="expression" dxfId="4" priority="1869">
      <formula>COUNTIF(INDIRECT("Checklist!$A920"), "FALSE") = 1</formula>
    </cfRule>
  </conditionalFormatting>
  <conditionalFormatting sqref="B127">
    <cfRule type="expression" dxfId="3" priority="1880">
      <formula>COUNTIF(INDIRECT("Checklist!$A926"), "TRUE") = 1</formula>
    </cfRule>
    <cfRule type="expression" dxfId="4" priority="1881">
      <formula>COUNTIF(INDIRECT("Checklist!$A926"),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COUNTIF(INDIRECT("Checklist!$A962"), "TRUE") = 1</formula>
    </cfRule>
    <cfRule type="expression" dxfId="4" priority="1955">
      <formula>COUNTIF(INDIRECT("Checklist!$A962"), "FALSE") = 1</formula>
    </cfRule>
  </conditionalFormatting>
  <conditionalFormatting sqref="B132">
    <cfRule type="expression" dxfId="3" priority="1966">
      <formula>COUNTIF(INDIRECT("Checklist!$A968"), "TRUE") = 1</formula>
    </cfRule>
    <cfRule type="expression" dxfId="4" priority="1967">
      <formula>COUNTIF(INDIRECT("Checklist!$A968"), "FALSE") = 1</formula>
    </cfRule>
  </conditionalFormatting>
  <conditionalFormatting sqref="B133">
    <cfRule type="expression" dxfId="3" priority="1978">
      <formula>COUNTIF(INDIRECT("Checklist!$A974"), "TRUE") = 1</formula>
    </cfRule>
    <cfRule type="expression" dxfId="4" priority="1979">
      <formula>COUNTIF(INDIRECT("Checklist!$A974"), "FALSE") = 1</formula>
    </cfRule>
  </conditionalFormatting>
  <conditionalFormatting sqref="B134">
    <cfRule type="expression" dxfId="3" priority="1990">
      <formula>COUNTIF(INDIRECT("Checklist!$A980"), "TRUE") = 1</formula>
    </cfRule>
    <cfRule type="expression" dxfId="4" priority="1991">
      <formula>COUNTIF(INDIRECT("Checklist!$A980"), "FALSE") = 1</formula>
    </cfRule>
  </conditionalFormatting>
  <conditionalFormatting sqref="B135">
    <cfRule type="expression" dxfId="3" priority="2002">
      <formula>COUNTIF(INDIRECT("Checklist!$A986"), "TRUE") = 1</formula>
    </cfRule>
    <cfRule type="expression" dxfId="4" priority="2003">
      <formula>COUNTIF(INDIRECT("Checklist!$A986"),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COUNTIF(INDIRECT("Checklist!$A1012"), "TRUE") = 1</formula>
    </cfRule>
    <cfRule type="expression" dxfId="4" priority="2077">
      <formula>COUNTIF(INDIRECT("Checklist!$A1012"),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COUNTIF(INDIRECT("Checklist!$A1018"), "TRUE") = 1</formula>
    </cfRule>
    <cfRule type="expression" dxfId="4" priority="2089">
      <formula>COUNTIF(INDIRECT("Checklist!$A1018"), "FALSE") = 1</formula>
    </cfRule>
  </conditionalFormatting>
  <conditionalFormatting sqref="B141">
    <cfRule type="expression" dxfId="3" priority="2100">
      <formula>COUNTIF(INDIRECT("Checklist!$A1024"), "TRUE") = 1</formula>
    </cfRule>
    <cfRule type="expression" dxfId="4" priority="2101">
      <formula>COUNTIF(INDIRECT("Checklist!$A1024"), "FALSE") = 1</formula>
    </cfRule>
  </conditionalFormatting>
  <conditionalFormatting sqref="B142">
    <cfRule type="expression" dxfId="3" priority="2112">
      <formula>COUNTIF(INDIRECT("Checklist!$A1030"), "TRUE") = 1</formula>
    </cfRule>
    <cfRule type="expression" dxfId="4" priority="2113">
      <formula>COUNTIF(INDIRECT("Checklist!$A1030"), "FALSE") = 1</formula>
    </cfRule>
  </conditionalFormatting>
  <conditionalFormatting sqref="B143">
    <cfRule type="expression" dxfId="3" priority="2124">
      <formula>COUNTIF(INDIRECT("Checklist!$A1036"), "TRUE") = 1</formula>
    </cfRule>
    <cfRule type="expression" dxfId="4" priority="2125">
      <formula>COUNTIF(INDIRECT("Checklist!$A1036"),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COUNTIF(INDIRECT("Checklist!$A1072"), "TRUE") = 1</formula>
    </cfRule>
    <cfRule type="expression" dxfId="4" priority="2199">
      <formula>COUNTIF(INDIRECT("Checklist!$A1072"), "FALSE") = 1</formula>
    </cfRule>
  </conditionalFormatting>
  <conditionalFormatting sqref="B148">
    <cfRule type="expression" dxfId="3" priority="2210">
      <formula>COUNTIF(INDIRECT("Checklist!$A1078"), "TRUE") = 1</formula>
    </cfRule>
    <cfRule type="expression" dxfId="4" priority="2211">
      <formula>COUNTIF(INDIRECT("Checklist!$A1078"), "FALSE") = 1</formula>
    </cfRule>
  </conditionalFormatting>
  <conditionalFormatting sqref="B149">
    <cfRule type="expression" dxfId="3" priority="2222">
      <formula>COUNTIF(INDIRECT("Checklist!$A1084"), "TRUE") = 1</formula>
    </cfRule>
    <cfRule type="expression" dxfId="4" priority="2223">
      <formula>COUNTIF(INDIRECT("Checklist!$A1084"),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COUNTIF(INDIRECT("Checklist!$A1090"), "TRUE") = 1</formula>
    </cfRule>
    <cfRule type="expression" dxfId="4" priority="2235">
      <formula>COUNTIF(INDIRECT("Checklist!$A1090"), "FALSE") = 1</formula>
    </cfRule>
  </conditionalFormatting>
  <conditionalFormatting sqref="B151">
    <cfRule type="expression" dxfId="3" priority="2246">
      <formula>COUNTIF(INDIRECT("Checklist!$A1096"), "TRUE") = 1</formula>
    </cfRule>
    <cfRule type="expression" dxfId="4" priority="2247">
      <formula>COUNTIF(INDIRECT("Checklist!$A1096"),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COUNTIF(INDIRECT("Checklist!$A1016"), "TRUE") = 1</formula>
    </cfRule>
    <cfRule type="expression" dxfId="4" priority="2321">
      <formula>COUNTIF(INDIRECT("Checklist!$A1016"), "FALSE") = 1</formula>
    </cfRule>
  </conditionalFormatting>
  <conditionalFormatting sqref="B156">
    <cfRule type="expression" dxfId="3" priority="2332">
      <formula>COUNTIF(INDIRECT("Checklist!$A1120"), "TRUE") = 1</formula>
    </cfRule>
    <cfRule type="expression" dxfId="4" priority="2333">
      <formula>COUNTIF(INDIRECT("Checklist!$A1120"), "FALSE") = 1</formula>
    </cfRule>
  </conditionalFormatting>
  <conditionalFormatting sqref="B157">
    <cfRule type="expression" dxfId="3" priority="2344">
      <formula>COUNTIF(INDIRECT("Checklist!$None"), "TRUE") = 1</formula>
    </cfRule>
    <cfRule type="expression" dxfId="4" priority="2345">
      <formula>COUNTIF(INDIRECT("Checklist!$None"), "FALSE") = 1</formula>
    </cfRule>
  </conditionalFormatting>
  <conditionalFormatting sqref="B158">
    <cfRule type="expression" dxfId="3" priority="2356">
      <formula>COUNTIF(INDIRECT("Checklist!$None"), "TRUE") = 1</formula>
    </cfRule>
    <cfRule type="expression" dxfId="4" priority="2357">
      <formula>COUNTIF(INDIRECT("Checklist!$None"), "FALSE") = 1</formula>
    </cfRule>
  </conditionalFormatting>
  <conditionalFormatting sqref="B159">
    <cfRule type="expression" dxfId="3" priority="2368">
      <formula>COUNTIF(INDIRECT("Checklist!$None"), "TRUE") = 1</formula>
    </cfRule>
    <cfRule type="expression" dxfId="4" priority="2369">
      <formula>COUNTIF(INDIRECT("Checklist!$None"),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COUNTIF(INDIRECT("Checklist!$A387"), "TRUE") = 1</formula>
    </cfRule>
    <cfRule type="expression" dxfId="4" priority="2443">
      <formula>COUNTIF(INDIRECT("Checklist!$A387"), "FALSE") = 1</formula>
    </cfRule>
  </conditionalFormatting>
  <conditionalFormatting sqref="B164">
    <cfRule type="expression" dxfId="3" priority="2454">
      <formula>COUNTIF(INDIRECT("Checklist!$A413"), "TRUE") = 1</formula>
    </cfRule>
    <cfRule type="expression" dxfId="4" priority="2455">
      <formula>COUNTIF(INDIRECT("Checklist!$A413"), "FALSE") = 1</formula>
    </cfRule>
  </conditionalFormatting>
  <conditionalFormatting sqref="B165">
    <cfRule type="expression" dxfId="3" priority="2466">
      <formula>COUNTIF(INDIRECT("Checklist!$A414"), "TRUE") = 1</formula>
    </cfRule>
    <cfRule type="expression" dxfId="4" priority="2467">
      <formula>COUNTIF(INDIRECT("Checklist!$A414"), "FALSE") = 1</formula>
    </cfRule>
  </conditionalFormatting>
  <conditionalFormatting sqref="B166">
    <cfRule type="expression" dxfId="3" priority="2478">
      <formula>COUNTIF(INDIRECT("Checklist!$A480"), "TRUE") = 1</formula>
    </cfRule>
    <cfRule type="expression" dxfId="4" priority="2479">
      <formula>COUNTIF(INDIRECT("Checklist!$A480"), "FALSE") = 1</formula>
    </cfRule>
  </conditionalFormatting>
  <conditionalFormatting sqref="B167">
    <cfRule type="expression" dxfId="3" priority="2490">
      <formula>COUNTIF(INDIRECT("Checklist!$A493"), "TRUE") = 1</formula>
    </cfRule>
    <cfRule type="expression" dxfId="4" priority="2491">
      <formula>COUNTIF(INDIRECT("Checklist!$A493"),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COUNTIF(INDIRECT("Checklist!$A711"), "TRUE") = 1</formula>
    </cfRule>
    <cfRule type="expression" dxfId="4" priority="2565">
      <formula>COUNTIF(INDIRECT("Checklist!$A711"), "FALSE") = 1</formula>
    </cfRule>
  </conditionalFormatting>
  <conditionalFormatting sqref="B172">
    <cfRule type="expression" dxfId="3" priority="2576">
      <formula>COUNTIF(INDIRECT("Checklist!$A712"), "TRUE") = 1</formula>
    </cfRule>
    <cfRule type="expression" dxfId="4" priority="2577">
      <formula>COUNTIF(INDIRECT("Checklist!$A712"), "FALSE") = 1</formula>
    </cfRule>
  </conditionalFormatting>
  <conditionalFormatting sqref="B173">
    <cfRule type="expression" dxfId="3" priority="2588">
      <formula>COUNTIF(INDIRECT("Checklist!$A677"), "TRUE") = 1</formula>
    </cfRule>
    <cfRule type="expression" dxfId="4" priority="2589">
      <formula>COUNTIF(INDIRECT("Checklist!$A677"), "FALSE") = 1</formula>
    </cfRule>
  </conditionalFormatting>
  <conditionalFormatting sqref="B174">
    <cfRule type="expression" dxfId="3" priority="2600">
      <formula>COUNTIF(INDIRECT("Checklist!$A1186"), "TRUE") = 1</formula>
    </cfRule>
    <cfRule type="expression" dxfId="4" priority="2601">
      <formula>COUNTIF(INDIRECT("Checklist!$A1186"),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COUNTIF(INDIRECT("Checklist!$A667"), "TRUE") = 1</formula>
    </cfRule>
    <cfRule type="expression" dxfId="4" priority="2687">
      <formula>COUNTIF(INDIRECT("Checklist!$A667"), "FALSE") = 1</formula>
    </cfRule>
  </conditionalFormatting>
  <conditionalFormatting sqref="B180">
    <cfRule type="expression" dxfId="3" priority="2698">
      <formula>COUNTIF(INDIRECT("Checklist!$A1213"), "TRUE") = 1</formula>
    </cfRule>
    <cfRule type="expression" dxfId="4" priority="2699">
      <formula>COUNTIF(INDIRECT("Checklist!$A1213"), "FALSE") = 1</formula>
    </cfRule>
  </conditionalFormatting>
  <conditionalFormatting sqref="B181">
    <cfRule type="expression" dxfId="3" priority="2710">
      <formula>COUNTIF(INDIRECT("Checklist!$A1219"), "TRUE") = 1</formula>
    </cfRule>
    <cfRule type="expression" dxfId="4" priority="2711">
      <formula>COUNTIF(INDIRECT("Checklist!$A1219"), "FALSE") = 1</formula>
    </cfRule>
  </conditionalFormatting>
  <conditionalFormatting sqref="B182">
    <cfRule type="expression" dxfId="3" priority="2722">
      <formula>COUNTIF(INDIRECT("Checklist!$A1225"), "TRUE") = 1</formula>
    </cfRule>
    <cfRule type="expression" dxfId="4" priority="2723">
      <formula>COUNTIF(INDIRECT("Checklist!$A1225"), "FALSE") = 1</formula>
    </cfRule>
  </conditionalFormatting>
  <conditionalFormatting sqref="B183">
    <cfRule type="expression" dxfId="3" priority="2734">
      <formula>COUNTIF(INDIRECT("Checklist!$None"), "TRUE") = 1</formula>
    </cfRule>
    <cfRule type="expression" dxfId="4" priority="2735">
      <formula>COUNTIF(INDIRECT("Checklist!$None"),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COUNTIF(INDIRECT("Checklist!$A850"), "TRUE") = 1</formula>
    </cfRule>
    <cfRule type="expression" dxfId="4" priority="2809">
      <formula>COUNTIF(INDIRECT("Checklist!$A850"), "FALSE") = 1</formula>
    </cfRule>
  </conditionalFormatting>
  <conditionalFormatting sqref="B188">
    <cfRule type="expression" dxfId="3" priority="2820">
      <formula>COUNTIF(INDIRECT("Checklist!$A855"), "TRUE") = 1</formula>
    </cfRule>
    <cfRule type="expression" dxfId="4" priority="2821">
      <formula>COUNTIF(INDIRECT("Checklist!$A855"), "FALSE") = 1</formula>
    </cfRule>
  </conditionalFormatting>
  <conditionalFormatting sqref="B189">
    <cfRule type="expression" dxfId="3" priority="2832">
      <formula>COUNTIF(INDIRECT("Checklist!$A893"), "TRUE") = 1</formula>
    </cfRule>
    <cfRule type="expression" dxfId="4" priority="2833">
      <formula>COUNTIF(INDIRECT("Checklist!$A893"),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COUNTIF(INDIRECT("Checklist!$A894"), "TRUE") = 1</formula>
    </cfRule>
    <cfRule type="expression" dxfId="4" priority="2845">
      <formula>COUNTIF(INDIRECT("Checklist!$A894"), "FALSE") = 1</formula>
    </cfRule>
  </conditionalFormatting>
  <conditionalFormatting sqref="B191">
    <cfRule type="expression" dxfId="3" priority="2856">
      <formula>COUNTIF(INDIRECT("Checklist!$A906"), "TRUE") = 1</formula>
    </cfRule>
    <cfRule type="expression" dxfId="4" priority="2857">
      <formula>COUNTIF(INDIRECT("Checklist!$A906"),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COUNTIF(INDIRECT("Checklist!$A1273"), "TRUE") = 1</formula>
    </cfRule>
    <cfRule type="expression" dxfId="4" priority="2931">
      <formula>COUNTIF(INDIRECT("Checklist!$A1273"), "FALSE") = 1</formula>
    </cfRule>
  </conditionalFormatting>
  <conditionalFormatting sqref="B196">
    <cfRule type="expression" dxfId="3" priority="2942">
      <formula>COUNTIF(INDIRECT("Checklist!$A1279"), "TRUE") = 1</formula>
    </cfRule>
    <cfRule type="expression" dxfId="4" priority="2943">
      <formula>COUNTIF(INDIRECT("Checklist!$A1279"), "FALSE") = 1</formula>
    </cfRule>
  </conditionalFormatting>
  <conditionalFormatting sqref="B197">
    <cfRule type="expression" dxfId="3" priority="2954">
      <formula>COUNTIF(INDIRECT("Checklist!$A1285"), "TRUE") = 1</formula>
    </cfRule>
    <cfRule type="expression" dxfId="4" priority="2955">
      <formula>COUNTIF(INDIRECT("Checklist!$A1285"), "FALSE") = 1</formula>
    </cfRule>
  </conditionalFormatting>
  <conditionalFormatting sqref="B198">
    <cfRule type="expression" dxfId="3" priority="2966">
      <formula>COUNTIF(INDIRECT("Checklist!$A1291"), "TRUE") = 1</formula>
    </cfRule>
    <cfRule type="expression" dxfId="4" priority="2967">
      <formula>COUNTIF(INDIRECT("Checklist!$A1291"), "FALSE") = 1</formula>
    </cfRule>
  </conditionalFormatting>
  <conditionalFormatting sqref="B199">
    <cfRule type="expression" dxfId="3" priority="2978">
      <formula>COUNTIF(INDIRECT("Checklist!$A1297"), "TRUE") = 1</formula>
    </cfRule>
    <cfRule type="expression" dxfId="4" priority="2979">
      <formula>COUNTIF(INDIRECT("Checklist!$A1297"),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COUNTIF(INDIRECT("Checklist!$A1308"), "TRUE") = 1</formula>
    </cfRule>
    <cfRule type="expression" dxfId="4" priority="3053">
      <formula>COUNTIF(INDIRECT("Checklist!$A1308"), "FALSE") = 1</formula>
    </cfRule>
  </conditionalFormatting>
  <conditionalFormatting sqref="B204">
    <cfRule type="expression" dxfId="3" priority="3064">
      <formula>COUNTIF(INDIRECT("Checklist!$A1314"), "TRUE") = 1</formula>
    </cfRule>
    <cfRule type="expression" dxfId="4" priority="3065">
      <formula>COUNTIF(INDIRECT("Checklist!$A1314"), "FALSE") = 1</formula>
    </cfRule>
  </conditionalFormatting>
  <conditionalFormatting sqref="B205">
    <cfRule type="expression" dxfId="3" priority="3076">
      <formula>COUNTIF(INDIRECT("Checklist!$A1320"), "TRUE") = 1</formula>
    </cfRule>
    <cfRule type="expression" dxfId="4" priority="3077">
      <formula>COUNTIF(INDIRECT("Checklist!$A1320"), "FALSE") = 1</formula>
    </cfRule>
  </conditionalFormatting>
  <conditionalFormatting sqref="B206">
    <cfRule type="expression" dxfId="3" priority="3088">
      <formula>COUNTIF(INDIRECT("Checklist!$A1326"), "TRUE") = 1</formula>
    </cfRule>
    <cfRule type="expression" dxfId="4" priority="3089">
      <formula>COUNTIF(INDIRECT("Checklist!$A1326"), "FALSE") = 1</formula>
    </cfRule>
  </conditionalFormatting>
  <conditionalFormatting sqref="B207">
    <cfRule type="expression" dxfId="3" priority="3100">
      <formula>COUNTIF(INDIRECT("Checklist!$A1332"), "TRUE") = 1</formula>
    </cfRule>
    <cfRule type="expression" dxfId="4" priority="3101">
      <formula>COUNTIF(INDIRECT("Checklist!$A1332"),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COUNTIF(INDIRECT("Checklist!$A926"), "TRUE") = 1</formula>
    </cfRule>
    <cfRule type="expression" dxfId="4" priority="3175">
      <formula>COUNTIF(INDIRECT("Checklist!$A926"), "FALSE") = 1</formula>
    </cfRule>
  </conditionalFormatting>
  <conditionalFormatting sqref="B212">
    <cfRule type="expression" dxfId="3" priority="3186">
      <formula>COUNTIF(INDIRECT("Checklist!$A1350"), "TRUE") = 1</formula>
    </cfRule>
    <cfRule type="expression" dxfId="4" priority="3187">
      <formula>COUNTIF(INDIRECT("Checklist!$A1350"), "FALSE") = 1</formula>
    </cfRule>
  </conditionalFormatting>
  <conditionalFormatting sqref="B213">
    <cfRule type="expression" dxfId="3" priority="3198">
      <formula>COUNTIF(INDIRECT("Checklist!$A1355"), "TRUE") = 1</formula>
    </cfRule>
    <cfRule type="expression" dxfId="4" priority="3199">
      <formula>COUNTIF(INDIRECT("Checklist!$A1355"),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18:G218">
    <cfRule type="notContainsBlanks" dxfId="7" priority="3295">
      <formula>LEN(TRIM(B218))&gt;0</formula>
    </cfRule>
  </conditionalFormatting>
  <conditionalFormatting sqref="B219">
    <cfRule type="expression" dxfId="3" priority="3296">
      <formula>COUNTIF(INDIRECT("Checklist!$A1376"), "TRUE") = 1</formula>
    </cfRule>
    <cfRule type="expression" dxfId="4" priority="3297">
      <formula>COUNTIF(INDIRECT("Checklist!$A1376"),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20">
    <cfRule type="expression" dxfId="3" priority="3308">
      <formula>COUNTIF(INDIRECT("Checklist!$A1382"), "TRUE") = 1</formula>
    </cfRule>
    <cfRule type="expression" dxfId="4" priority="3309">
      <formula>COUNTIF(INDIRECT("Checklist!$A1382"), "FALSE") = 1</formula>
    </cfRule>
  </conditionalFormatting>
  <conditionalFormatting sqref="B221">
    <cfRule type="expression" dxfId="3" priority="3320">
      <formula>COUNTIF(INDIRECT("Checklist!$A1388"), "TRUE") = 1</formula>
    </cfRule>
    <cfRule type="expression" dxfId="4" priority="3321">
      <formula>COUNTIF(INDIRECT("Checklist!$A1388"), "FALSE") = 1</formula>
    </cfRule>
  </conditionalFormatting>
  <conditionalFormatting sqref="B222">
    <cfRule type="expression" dxfId="3" priority="3332">
      <formula>COUNTIF(INDIRECT("Checklist!$A1394"), "TRUE") = 1</formula>
    </cfRule>
    <cfRule type="expression" dxfId="4" priority="3333">
      <formula>COUNTIF(INDIRECT("Checklist!$A1394"), "FALSE") = 1</formula>
    </cfRule>
  </conditionalFormatting>
  <conditionalFormatting sqref="B223">
    <cfRule type="expression" dxfId="3" priority="3344">
      <formula>COUNTIF(INDIRECT("Checklist!$None"), "TRUE") = 1</formula>
    </cfRule>
    <cfRule type="expression" dxfId="4" priority="3345">
      <formula>COUNTIF(INDIRECT("Checklist!$None"),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COUNTIF(INDIRECT("Checklist!$A909"), "TRUE") = 1</formula>
    </cfRule>
    <cfRule type="expression" dxfId="4" priority="1847">
      <formula>COUNTIF(INDIRECT("Checklist!$A909"), "FALSE") = 1</formula>
    </cfRule>
  </conditionalFormatting>
  <conditionalFormatting sqref="C125">
    <cfRule type="expression" dxfId="3" priority="1858">
      <formula>COUNTIF(INDIRECT("Checklist!$A915"), "TRUE") = 1</formula>
    </cfRule>
    <cfRule type="expression" dxfId="4" priority="1859">
      <formula>COUNTIF(INDIRECT("Checklist!$A915"), "FALSE") = 1</formula>
    </cfRule>
  </conditionalFormatting>
  <conditionalFormatting sqref="C126">
    <cfRule type="expression" dxfId="3" priority="1870">
      <formula>COUNTIF(INDIRECT("Checklist!$A921"), "TRUE") = 1</formula>
    </cfRule>
    <cfRule type="expression" dxfId="4" priority="1871">
      <formula>COUNTIF(INDIRECT("Checklist!$A921"), "FALSE") = 1</formula>
    </cfRule>
  </conditionalFormatting>
  <conditionalFormatting sqref="C127">
    <cfRule type="expression" dxfId="3" priority="1882">
      <formula>COUNTIF(INDIRECT("Checklist!$A927"), "TRUE") = 1</formula>
    </cfRule>
    <cfRule type="expression" dxfId="4" priority="1883">
      <formula>COUNTIF(INDIRECT("Checklist!$A927"),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COUNTIF(INDIRECT("Checklist!$A963"), "TRUE") = 1</formula>
    </cfRule>
    <cfRule type="expression" dxfId="4" priority="1957">
      <formula>COUNTIF(INDIRECT("Checklist!$A963"), "FALSE") = 1</formula>
    </cfRule>
  </conditionalFormatting>
  <conditionalFormatting sqref="C132">
    <cfRule type="expression" dxfId="3" priority="1968">
      <formula>COUNTIF(INDIRECT("Checklist!$A969"), "TRUE") = 1</formula>
    </cfRule>
    <cfRule type="expression" dxfId="4" priority="1969">
      <formula>COUNTIF(INDIRECT("Checklist!$A969"), "FALSE") = 1</formula>
    </cfRule>
  </conditionalFormatting>
  <conditionalFormatting sqref="C133">
    <cfRule type="expression" dxfId="3" priority="1980">
      <formula>COUNTIF(INDIRECT("Checklist!$A975"), "TRUE") = 1</formula>
    </cfRule>
    <cfRule type="expression" dxfId="4" priority="1981">
      <formula>COUNTIF(INDIRECT("Checklist!$A975"), "FALSE") = 1</formula>
    </cfRule>
  </conditionalFormatting>
  <conditionalFormatting sqref="C134">
    <cfRule type="expression" dxfId="3" priority="1992">
      <formula>COUNTIF(INDIRECT("Checklist!$A981"), "TRUE") = 1</formula>
    </cfRule>
    <cfRule type="expression" dxfId="4" priority="1993">
      <formula>COUNTIF(INDIRECT("Checklist!$A981"), "FALSE") = 1</formula>
    </cfRule>
  </conditionalFormatting>
  <conditionalFormatting sqref="C135">
    <cfRule type="expression" dxfId="3" priority="2004">
      <formula>COUNTIF(INDIRECT("Checklist!$A987"), "TRUE") = 1</formula>
    </cfRule>
    <cfRule type="expression" dxfId="4" priority="2005">
      <formula>COUNTIF(INDIRECT("Checklist!$A987"), "FALSE") = 1</formula>
    </cfRule>
  </conditionalFormatting>
  <conditionalFormatting sqref="C139">
    <cfRule type="expression" dxfId="3" priority="2078">
      <formula>COUNTIF(INDIRECT("Checklist!$A1013"), "TRUE") = 1</formula>
    </cfRule>
    <cfRule type="expression" dxfId="4" priority="2079">
      <formula>COUNTIF(INDIRECT("Checklist!$A1013"),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COUNTIF(INDIRECT("Checklist!$A1019"), "TRUE") = 1</formula>
    </cfRule>
    <cfRule type="expression" dxfId="4" priority="2091">
      <formula>COUNTIF(INDIRECT("Checklist!$A1019"), "FALSE") = 1</formula>
    </cfRule>
  </conditionalFormatting>
  <conditionalFormatting sqref="C141">
    <cfRule type="expression" dxfId="3" priority="2102">
      <formula>COUNTIF(INDIRECT("Checklist!$A1025"), "TRUE") = 1</formula>
    </cfRule>
    <cfRule type="expression" dxfId="4" priority="2103">
      <formula>COUNTIF(INDIRECT("Checklist!$A1025"), "FALSE") = 1</formula>
    </cfRule>
  </conditionalFormatting>
  <conditionalFormatting sqref="C142">
    <cfRule type="expression" dxfId="3" priority="2114">
      <formula>COUNTIF(INDIRECT("Checklist!$A1031"), "TRUE") = 1</formula>
    </cfRule>
    <cfRule type="expression" dxfId="4" priority="2115">
      <formula>COUNTIF(INDIRECT("Checklist!$A1031"), "FALSE") = 1</formula>
    </cfRule>
  </conditionalFormatting>
  <conditionalFormatting sqref="C143">
    <cfRule type="expression" dxfId="3" priority="2126">
      <formula>COUNTIF(INDIRECT("Checklist!$A1037"), "TRUE") = 1</formula>
    </cfRule>
    <cfRule type="expression" dxfId="4" priority="2127">
      <formula>COUNTIF(INDIRECT("Checklist!$A1037"), "FALSE") = 1</formula>
    </cfRule>
  </conditionalFormatting>
  <conditionalFormatting sqref="C147">
    <cfRule type="expression" dxfId="3" priority="2200">
      <formula>COUNTIF(INDIRECT("Checklist!$A1073"), "TRUE") = 1</formula>
    </cfRule>
    <cfRule type="expression" dxfId="4" priority="2201">
      <formula>COUNTIF(INDIRECT("Checklist!$A1073"), "FALSE") = 1</formula>
    </cfRule>
  </conditionalFormatting>
  <conditionalFormatting sqref="C148">
    <cfRule type="expression" dxfId="3" priority="2212">
      <formula>COUNTIF(INDIRECT("Checklist!$A1079"), "TRUE") = 1</formula>
    </cfRule>
    <cfRule type="expression" dxfId="4" priority="2213">
      <formula>COUNTIF(INDIRECT("Checklist!$A1079"), "FALSE") = 1</formula>
    </cfRule>
  </conditionalFormatting>
  <conditionalFormatting sqref="C149">
    <cfRule type="expression" dxfId="3" priority="2224">
      <formula>COUNTIF(INDIRECT("Checklist!$A1085"), "TRUE") = 1</formula>
    </cfRule>
    <cfRule type="expression" dxfId="4" priority="2225">
      <formula>COUNTIF(INDIRECT("Checklist!$A1085"),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COUNTIF(INDIRECT("Checklist!$A1091"), "TRUE") = 1</formula>
    </cfRule>
    <cfRule type="expression" dxfId="4" priority="2237">
      <formula>COUNTIF(INDIRECT("Checklist!$A1091"), "FALSE") = 1</formula>
    </cfRule>
  </conditionalFormatting>
  <conditionalFormatting sqref="C151">
    <cfRule type="expression" dxfId="3" priority="2248">
      <formula>COUNTIF(INDIRECT("Checklist!$A1097"), "TRUE") = 1</formula>
    </cfRule>
    <cfRule type="expression" dxfId="4" priority="2249">
      <formula>COUNTIF(INDIRECT("Checklist!$A1097"), "FALSE") = 1</formula>
    </cfRule>
  </conditionalFormatting>
  <conditionalFormatting sqref="C155">
    <cfRule type="expression" dxfId="3" priority="2322">
      <formula>COUNTIF(INDIRECT("Checklist!$A1115"), "TRUE") = 1</formula>
    </cfRule>
    <cfRule type="expression" dxfId="4" priority="2323">
      <formula>COUNTIF(INDIRECT("Checklist!$A1115"), "FALSE") = 1</formula>
    </cfRule>
  </conditionalFormatting>
  <conditionalFormatting sqref="C156">
    <cfRule type="expression" dxfId="3" priority="2334">
      <formula>COUNTIF(INDIRECT("Checklist!$A1121"), "TRUE") = 1</formula>
    </cfRule>
    <cfRule type="expression" dxfId="4" priority="2335">
      <formula>COUNTIF(INDIRECT("Checklist!$A1121"), "FALSE") = 1</formula>
    </cfRule>
  </conditionalFormatting>
  <conditionalFormatting sqref="C157">
    <cfRule type="expression" dxfId="3" priority="2346">
      <formula>COUNTIF(INDIRECT("Checklist!$None"), "TRUE") = 1</formula>
    </cfRule>
    <cfRule type="expression" dxfId="4" priority="2347">
      <formula>COUNTIF(INDIRECT("Checklist!$None"), "FALSE") = 1</formula>
    </cfRule>
  </conditionalFormatting>
  <conditionalFormatting sqref="C158">
    <cfRule type="expression" dxfId="3" priority="2358">
      <formula>COUNTIF(INDIRECT("Checklist!$None"), "TRUE") = 1</formula>
    </cfRule>
    <cfRule type="expression" dxfId="4" priority="2359">
      <formula>COUNTIF(INDIRECT("Checklist!$None"), "FALSE") = 1</formula>
    </cfRule>
  </conditionalFormatting>
  <conditionalFormatting sqref="C159">
    <cfRule type="expression" dxfId="3" priority="2370">
      <formula>COUNTIF(INDIRECT("Checklist!$None"), "TRUE") = 1</formula>
    </cfRule>
    <cfRule type="expression" dxfId="4" priority="2371">
      <formula>COUNTIF(INDIRECT("Checklist!$None"), "FALSE") = 1</formula>
    </cfRule>
  </conditionalFormatting>
  <conditionalFormatting sqref="C163">
    <cfRule type="expression" dxfId="3" priority="2444">
      <formula>COUNTIF(INDIRECT("Checklist!$A1150"), "TRUE") = 1</formula>
    </cfRule>
    <cfRule type="expression" dxfId="4" priority="2445">
      <formula>COUNTIF(INDIRECT("Checklist!$A1150"), "FALSE") = 1</formula>
    </cfRule>
  </conditionalFormatting>
  <conditionalFormatting sqref="C164">
    <cfRule type="expression" dxfId="3" priority="2456">
      <formula>COUNTIF(INDIRECT("Checklist!$A1153"), "TRUE") = 1</formula>
    </cfRule>
    <cfRule type="expression" dxfId="4" priority="2457">
      <formula>COUNTIF(INDIRECT("Checklist!$A1153"), "FALSE") = 1</formula>
    </cfRule>
  </conditionalFormatting>
  <conditionalFormatting sqref="C165">
    <cfRule type="expression" dxfId="3" priority="2468">
      <formula>COUNTIF(INDIRECT("Checklist!$A1155"), "TRUE") = 1</formula>
    </cfRule>
    <cfRule type="expression" dxfId="4" priority="2469">
      <formula>COUNTIF(INDIRECT("Checklist!$A1155"), "FALSE") = 1</formula>
    </cfRule>
  </conditionalFormatting>
  <conditionalFormatting sqref="C166">
    <cfRule type="expression" dxfId="3" priority="2480">
      <formula>COUNTIF(INDIRECT("Checklist!$A1159"), "TRUE") = 1</formula>
    </cfRule>
    <cfRule type="expression" dxfId="4" priority="2481">
      <formula>COUNTIF(INDIRECT("Checklist!$A1159"), "FALSE") = 1</formula>
    </cfRule>
  </conditionalFormatting>
  <conditionalFormatting sqref="C167">
    <cfRule type="expression" dxfId="3" priority="2492">
      <formula>COUNTIF(INDIRECT("Checklist!$A1164"), "TRUE") = 1</formula>
    </cfRule>
    <cfRule type="expression" dxfId="4" priority="2493">
      <formula>COUNTIF(INDIRECT("Checklist!$A1164"), "FALSE") = 1</formula>
    </cfRule>
  </conditionalFormatting>
  <conditionalFormatting sqref="C171">
    <cfRule type="expression" dxfId="3" priority="2566">
      <formula>COUNTIF(INDIRECT("Checklist!$A1176"), "TRUE") = 1</formula>
    </cfRule>
    <cfRule type="expression" dxfId="4" priority="2567">
      <formula>COUNTIF(INDIRECT("Checklist!$A1176"), "FALSE") = 1</formula>
    </cfRule>
  </conditionalFormatting>
  <conditionalFormatting sqref="C172">
    <cfRule type="expression" dxfId="3" priority="2578">
      <formula>COUNTIF(INDIRECT("Checklist!$A1179"), "TRUE") = 1</formula>
    </cfRule>
    <cfRule type="expression" dxfId="4" priority="2579">
      <formula>COUNTIF(INDIRECT("Checklist!$A1179"), "FALSE") = 1</formula>
    </cfRule>
  </conditionalFormatting>
  <conditionalFormatting sqref="C173">
    <cfRule type="expression" dxfId="3" priority="2590">
      <formula>COUNTIF(INDIRECT("Checklist!$A1182"), "TRUE") = 1</formula>
    </cfRule>
    <cfRule type="expression" dxfId="4" priority="2591">
      <formula>COUNTIF(INDIRECT("Checklist!$A1182"), "FALSE") = 1</formula>
    </cfRule>
  </conditionalFormatting>
  <conditionalFormatting sqref="C174">
    <cfRule type="expression" dxfId="3" priority="2602">
      <formula>COUNTIF(INDIRECT("Checklist!$A1187"), "TRUE") = 1</formula>
    </cfRule>
    <cfRule type="expression" dxfId="4" priority="2603">
      <formula>COUNTIF(INDIRECT("Checklist!$A1187"),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COUNTIF(INDIRECT("Checklist!$A1208"), "TRUE") = 1</formula>
    </cfRule>
    <cfRule type="expression" dxfId="4" priority="2689">
      <formula>COUNTIF(INDIRECT("Checklist!$A1208"), "FALSE") = 1</formula>
    </cfRule>
  </conditionalFormatting>
  <conditionalFormatting sqref="C180">
    <cfRule type="expression" dxfId="3" priority="2700">
      <formula>COUNTIF(INDIRECT("Checklist!$A1214"), "TRUE") = 1</formula>
    </cfRule>
    <cfRule type="expression" dxfId="4" priority="2701">
      <formula>COUNTIF(INDIRECT("Checklist!$A1214"), "FALSE") = 1</formula>
    </cfRule>
  </conditionalFormatting>
  <conditionalFormatting sqref="C181">
    <cfRule type="expression" dxfId="3" priority="2712">
      <formula>COUNTIF(INDIRECT("Checklist!$A1220"), "TRUE") = 1</formula>
    </cfRule>
    <cfRule type="expression" dxfId="4" priority="2713">
      <formula>COUNTIF(INDIRECT("Checklist!$A1220"), "FALSE") = 1</formula>
    </cfRule>
  </conditionalFormatting>
  <conditionalFormatting sqref="C182">
    <cfRule type="expression" dxfId="3" priority="2724">
      <formula>COUNTIF(INDIRECT("Checklist!$A1226"), "TRUE") = 1</formula>
    </cfRule>
    <cfRule type="expression" dxfId="4" priority="2725">
      <formula>COUNTIF(INDIRECT("Checklist!$A1226"), "FALSE") = 1</formula>
    </cfRule>
  </conditionalFormatting>
  <conditionalFormatting sqref="C183">
    <cfRule type="expression" dxfId="3" priority="2736">
      <formula>COUNTIF(INDIRECT("Checklist!$None"), "TRUE") = 1</formula>
    </cfRule>
    <cfRule type="expression" dxfId="4" priority="2737">
      <formula>COUNTIF(INDIRECT("Checklist!$None"), "FALSE") = 1</formula>
    </cfRule>
  </conditionalFormatting>
  <conditionalFormatting sqref="C187">
    <cfRule type="expression" dxfId="3" priority="2810">
      <formula>COUNTIF(INDIRECT("Checklist!$A1240"), "TRUE") = 1</formula>
    </cfRule>
    <cfRule type="expression" dxfId="4" priority="2811">
      <formula>COUNTIF(INDIRECT("Checklist!$A1240"), "FALSE") = 1</formula>
    </cfRule>
  </conditionalFormatting>
  <conditionalFormatting sqref="C188">
    <cfRule type="expression" dxfId="3" priority="2822">
      <formula>COUNTIF(INDIRECT("Checklist!$A1241"), "TRUE") = 1</formula>
    </cfRule>
    <cfRule type="expression" dxfId="4" priority="2823">
      <formula>COUNTIF(INDIRECT("Checklist!$A1241"), "FALSE") = 1</formula>
    </cfRule>
  </conditionalFormatting>
  <conditionalFormatting sqref="C189">
    <cfRule type="expression" dxfId="3" priority="2834">
      <formula>COUNTIF(INDIRECT("Checklist!$A1243"), "TRUE") = 1</formula>
    </cfRule>
    <cfRule type="expression" dxfId="4" priority="2835">
      <formula>COUNTIF(INDIRECT("Checklist!$A1243"),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COUNTIF(INDIRECT("Checklist!$A1244"), "TRUE") = 1</formula>
    </cfRule>
    <cfRule type="expression" dxfId="4" priority="2847">
      <formula>COUNTIF(INDIRECT("Checklist!$A1244"), "FALSE") = 1</formula>
    </cfRule>
  </conditionalFormatting>
  <conditionalFormatting sqref="C191">
    <cfRule type="expression" dxfId="3" priority="2858">
      <formula>COUNTIF(INDIRECT("Checklist!$A1245"), "TRUE") = 1</formula>
    </cfRule>
    <cfRule type="expression" dxfId="4" priority="2859">
      <formula>COUNTIF(INDIRECT("Checklist!$A1245"), "FALSE") = 1</formula>
    </cfRule>
  </conditionalFormatting>
  <conditionalFormatting sqref="C195">
    <cfRule type="expression" dxfId="3" priority="2932">
      <formula>COUNTIF(INDIRECT("Checklist!$A1274"), "TRUE") = 1</formula>
    </cfRule>
    <cfRule type="expression" dxfId="4" priority="2933">
      <formula>COUNTIF(INDIRECT("Checklist!$A1274"), "FALSE") = 1</formula>
    </cfRule>
  </conditionalFormatting>
  <conditionalFormatting sqref="C196">
    <cfRule type="expression" dxfId="3" priority="2944">
      <formula>COUNTIF(INDIRECT("Checklist!$A1280"), "TRUE") = 1</formula>
    </cfRule>
    <cfRule type="expression" dxfId="4" priority="2945">
      <formula>COUNTIF(INDIRECT("Checklist!$A1280"), "FALSE") = 1</formula>
    </cfRule>
  </conditionalFormatting>
  <conditionalFormatting sqref="C197">
    <cfRule type="expression" dxfId="3" priority="2956">
      <formula>COUNTIF(INDIRECT("Checklist!$A1286"), "TRUE") = 1</formula>
    </cfRule>
    <cfRule type="expression" dxfId="4" priority="2957">
      <formula>COUNTIF(INDIRECT("Checklist!$A1286"), "FALSE") = 1</formula>
    </cfRule>
  </conditionalFormatting>
  <conditionalFormatting sqref="C198">
    <cfRule type="expression" dxfId="3" priority="2968">
      <formula>COUNTIF(INDIRECT("Checklist!$A1292"), "TRUE") = 1</formula>
    </cfRule>
    <cfRule type="expression" dxfId="4" priority="2969">
      <formula>COUNTIF(INDIRECT("Checklist!$A1292"), "FALSE") = 1</formula>
    </cfRule>
  </conditionalFormatting>
  <conditionalFormatting sqref="C199">
    <cfRule type="expression" dxfId="3" priority="2980">
      <formula>COUNTIF(INDIRECT("Checklist!$A1298"), "TRUE") = 1</formula>
    </cfRule>
    <cfRule type="expression" dxfId="4" priority="2981">
      <formula>COUNTIF(INDIRECT("Checklist!$A1298"),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COUNTIF(INDIRECT("Checklist!$A1309"), "TRUE") = 1</formula>
    </cfRule>
    <cfRule type="expression" dxfId="4" priority="3055">
      <formula>COUNTIF(INDIRECT("Checklist!$A1309"), "FALSE") = 1</formula>
    </cfRule>
  </conditionalFormatting>
  <conditionalFormatting sqref="C204">
    <cfRule type="expression" dxfId="3" priority="3066">
      <formula>COUNTIF(INDIRECT("Checklist!$A1315"), "TRUE") = 1</formula>
    </cfRule>
    <cfRule type="expression" dxfId="4" priority="3067">
      <formula>COUNTIF(INDIRECT("Checklist!$A1315"), "FALSE") = 1</formula>
    </cfRule>
  </conditionalFormatting>
  <conditionalFormatting sqref="C205">
    <cfRule type="expression" dxfId="3" priority="3078">
      <formula>COUNTIF(INDIRECT("Checklist!$A1321"), "TRUE") = 1</formula>
    </cfRule>
    <cfRule type="expression" dxfId="4" priority="3079">
      <formula>COUNTIF(INDIRECT("Checklist!$A1321"), "FALSE") = 1</formula>
    </cfRule>
  </conditionalFormatting>
  <conditionalFormatting sqref="C206">
    <cfRule type="expression" dxfId="3" priority="3090">
      <formula>COUNTIF(INDIRECT("Checklist!$A1327"), "TRUE") = 1</formula>
    </cfRule>
    <cfRule type="expression" dxfId="4" priority="3091">
      <formula>COUNTIF(INDIRECT("Checklist!$A1327"), "FALSE") = 1</formula>
    </cfRule>
  </conditionalFormatting>
  <conditionalFormatting sqref="C207">
    <cfRule type="expression" dxfId="3" priority="3102">
      <formula>COUNTIF(INDIRECT("Checklist!$A1333"), "TRUE") = 1</formula>
    </cfRule>
    <cfRule type="expression" dxfId="4" priority="3103">
      <formula>COUNTIF(INDIRECT("Checklist!$A1333"),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COUNTIF(INDIRECT("Checklist!$A1346"), "TRUE") = 1</formula>
    </cfRule>
    <cfRule type="expression" dxfId="4" priority="3177">
      <formula>COUNTIF(INDIRECT("Checklist!$A1346"), "FALSE") = 1</formula>
    </cfRule>
  </conditionalFormatting>
  <conditionalFormatting sqref="C212">
    <cfRule type="expression" dxfId="3" priority="3188">
      <formula>COUNTIF(INDIRECT("Checklist!$A1351"), "TRUE") = 1</formula>
    </cfRule>
    <cfRule type="expression" dxfId="4" priority="3189">
      <formula>COUNTIF(INDIRECT("Checklist!$A1351"), "FALSE") = 1</formula>
    </cfRule>
  </conditionalFormatting>
  <conditionalFormatting sqref="C213">
    <cfRule type="expression" dxfId="3" priority="3200">
      <formula>COUNTIF(INDIRECT("Checklist!$A1356"), "TRUE") = 1</formula>
    </cfRule>
    <cfRule type="expression" dxfId="4" priority="3201">
      <formula>COUNTIF(INDIRECT("Checklist!$A1356"),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19">
    <cfRule type="expression" dxfId="3" priority="3298">
      <formula>COUNTIF(INDIRECT("Checklist!$A1377"), "TRUE") = 1</formula>
    </cfRule>
    <cfRule type="expression" dxfId="4" priority="3299">
      <formula>COUNTIF(INDIRECT("Checklist!$A1377"),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20">
    <cfRule type="expression" dxfId="3" priority="3310">
      <formula>COUNTIF(INDIRECT("Checklist!$A1383"), "TRUE") = 1</formula>
    </cfRule>
    <cfRule type="expression" dxfId="4" priority="3311">
      <formula>COUNTIF(INDIRECT("Checklist!$A1383"), "FALSE") = 1</formula>
    </cfRule>
  </conditionalFormatting>
  <conditionalFormatting sqref="C221">
    <cfRule type="expression" dxfId="3" priority="3322">
      <formula>COUNTIF(INDIRECT("Checklist!$A1389"), "TRUE") = 1</formula>
    </cfRule>
    <cfRule type="expression" dxfId="4" priority="3323">
      <formula>COUNTIF(INDIRECT("Checklist!$A1389"), "FALSE") = 1</formula>
    </cfRule>
  </conditionalFormatting>
  <conditionalFormatting sqref="C222">
    <cfRule type="expression" dxfId="3" priority="3334">
      <formula>COUNTIF(INDIRECT("Checklist!$None"), "TRUE") = 1</formula>
    </cfRule>
    <cfRule type="expression" dxfId="4" priority="3335">
      <formula>COUNTIF(INDIRECT("Checklist!$None"), "FALSE") = 1</formula>
    </cfRule>
  </conditionalFormatting>
  <conditionalFormatting sqref="C223">
    <cfRule type="expression" dxfId="3" priority="3346">
      <formula>COUNTIF(INDIRECT("Checklist!$None"), "TRUE") = 1</formula>
    </cfRule>
    <cfRule type="expression" dxfId="4" priority="3347">
      <formula>COUNTIF(INDIRECT("Checklist!$None"),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COUNTIF(INDIRECT("Checklist!$A910"), "TRUE") = 1</formula>
    </cfRule>
    <cfRule type="expression" dxfId="4" priority="1849">
      <formula>COUNTIF(INDIRECT("Checklist!$A910"), "FALSE") = 1</formula>
    </cfRule>
  </conditionalFormatting>
  <conditionalFormatting sqref="D125">
    <cfRule type="expression" dxfId="3" priority="1860">
      <formula>COUNTIF(INDIRECT("Checklist!$A916"), "TRUE") = 1</formula>
    </cfRule>
    <cfRule type="expression" dxfId="4" priority="1861">
      <formula>COUNTIF(INDIRECT("Checklist!$A916"), "FALSE") = 1</formula>
    </cfRule>
  </conditionalFormatting>
  <conditionalFormatting sqref="D126">
    <cfRule type="expression" dxfId="3" priority="1872">
      <formula>COUNTIF(INDIRECT("Checklist!$A922"), "TRUE") = 1</formula>
    </cfRule>
    <cfRule type="expression" dxfId="4" priority="1873">
      <formula>COUNTIF(INDIRECT("Checklist!$A922"), "FALSE") = 1</formula>
    </cfRule>
  </conditionalFormatting>
  <conditionalFormatting sqref="D127">
    <cfRule type="expression" dxfId="3" priority="1884">
      <formula>COUNTIF(INDIRECT("Checklist!$A928"), "TRUE") = 1</formula>
    </cfRule>
    <cfRule type="expression" dxfId="4" priority="1885">
      <formula>COUNTIF(INDIRECT("Checklist!$A928"),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COUNTIF(INDIRECT("Checklist!$A964"), "TRUE") = 1</formula>
    </cfRule>
    <cfRule type="expression" dxfId="4" priority="1959">
      <formula>COUNTIF(INDIRECT("Checklist!$A964"), "FALSE") = 1</formula>
    </cfRule>
  </conditionalFormatting>
  <conditionalFormatting sqref="D132">
    <cfRule type="expression" dxfId="3" priority="1970">
      <formula>COUNTIF(INDIRECT("Checklist!$A970"), "TRUE") = 1</formula>
    </cfRule>
    <cfRule type="expression" dxfId="4" priority="1971">
      <formula>COUNTIF(INDIRECT("Checklist!$A970"), "FALSE") = 1</formula>
    </cfRule>
  </conditionalFormatting>
  <conditionalFormatting sqref="D133">
    <cfRule type="expression" dxfId="3" priority="1982">
      <formula>COUNTIF(INDIRECT("Checklist!$A976"), "TRUE") = 1</formula>
    </cfRule>
    <cfRule type="expression" dxfId="4" priority="1983">
      <formula>COUNTIF(INDIRECT("Checklist!$A976"), "FALSE") = 1</formula>
    </cfRule>
  </conditionalFormatting>
  <conditionalFormatting sqref="D134">
    <cfRule type="expression" dxfId="3" priority="1994">
      <formula>COUNTIF(INDIRECT("Checklist!$A982"), "TRUE") = 1</formula>
    </cfRule>
    <cfRule type="expression" dxfId="4" priority="1995">
      <formula>COUNTIF(INDIRECT("Checklist!$A982"), "FALSE") = 1</formula>
    </cfRule>
  </conditionalFormatting>
  <conditionalFormatting sqref="D135">
    <cfRule type="expression" dxfId="3" priority="2006">
      <formula>COUNTIF(INDIRECT("Checklist!$A988"), "TRUE") = 1</formula>
    </cfRule>
    <cfRule type="expression" dxfId="4" priority="2007">
      <formula>COUNTIF(INDIRECT("Checklist!$A988"), "FALSE") = 1</formula>
    </cfRule>
  </conditionalFormatting>
  <conditionalFormatting sqref="D139">
    <cfRule type="expression" dxfId="3" priority="2080">
      <formula>COUNTIF(INDIRECT("Checklist!$A1014"), "TRUE") = 1</formula>
    </cfRule>
    <cfRule type="expression" dxfId="4" priority="2081">
      <formula>COUNTIF(INDIRECT("Checklist!$A1014"),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COUNTIF(INDIRECT("Checklist!$A1020"), "TRUE") = 1</formula>
    </cfRule>
    <cfRule type="expression" dxfId="4" priority="2093">
      <formula>COUNTIF(INDIRECT("Checklist!$A1020"), "FALSE") = 1</formula>
    </cfRule>
  </conditionalFormatting>
  <conditionalFormatting sqref="D141">
    <cfRule type="expression" dxfId="3" priority="2104">
      <formula>COUNTIF(INDIRECT("Checklist!$A1026"), "TRUE") = 1</formula>
    </cfRule>
    <cfRule type="expression" dxfId="4" priority="2105">
      <formula>COUNTIF(INDIRECT("Checklist!$A1026"), "FALSE") = 1</formula>
    </cfRule>
  </conditionalFormatting>
  <conditionalFormatting sqref="D142">
    <cfRule type="expression" dxfId="3" priority="2116">
      <formula>COUNTIF(INDIRECT("Checklist!$A1032"), "TRUE") = 1</formula>
    </cfRule>
    <cfRule type="expression" dxfId="4" priority="2117">
      <formula>COUNTIF(INDIRECT("Checklist!$A1032"), "FALSE") = 1</formula>
    </cfRule>
  </conditionalFormatting>
  <conditionalFormatting sqref="D143">
    <cfRule type="expression" dxfId="3" priority="2128">
      <formula>COUNTIF(INDIRECT("Checklist!$A1038"), "TRUE") = 1</formula>
    </cfRule>
    <cfRule type="expression" dxfId="4" priority="2129">
      <formula>COUNTIF(INDIRECT("Checklist!$A1038"), "FALSE") = 1</formula>
    </cfRule>
  </conditionalFormatting>
  <conditionalFormatting sqref="D147">
    <cfRule type="expression" dxfId="3" priority="2202">
      <formula>COUNTIF(INDIRECT("Checklist!$A1074"), "TRUE") = 1</formula>
    </cfRule>
    <cfRule type="expression" dxfId="4" priority="2203">
      <formula>COUNTIF(INDIRECT("Checklist!$A1074"), "FALSE") = 1</formula>
    </cfRule>
  </conditionalFormatting>
  <conditionalFormatting sqref="D148">
    <cfRule type="expression" dxfId="3" priority="2214">
      <formula>COUNTIF(INDIRECT("Checklist!$A1080"), "TRUE") = 1</formula>
    </cfRule>
    <cfRule type="expression" dxfId="4" priority="2215">
      <formula>COUNTIF(INDIRECT("Checklist!$A1080"), "FALSE") = 1</formula>
    </cfRule>
  </conditionalFormatting>
  <conditionalFormatting sqref="D149">
    <cfRule type="expression" dxfId="3" priority="2226">
      <formula>COUNTIF(INDIRECT("Checklist!$A1086"), "TRUE") = 1</formula>
    </cfRule>
    <cfRule type="expression" dxfId="4" priority="2227">
      <formula>COUNTIF(INDIRECT("Checklist!$A1086"),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COUNTIF(INDIRECT("Checklist!$A1092"), "TRUE") = 1</formula>
    </cfRule>
    <cfRule type="expression" dxfId="4" priority="2239">
      <formula>COUNTIF(INDIRECT("Checklist!$A1092"), "FALSE") = 1</formula>
    </cfRule>
  </conditionalFormatting>
  <conditionalFormatting sqref="D151">
    <cfRule type="expression" dxfId="3" priority="2250">
      <formula>COUNTIF(INDIRECT("Checklist!$A1098"), "TRUE") = 1</formula>
    </cfRule>
    <cfRule type="expression" dxfId="4" priority="2251">
      <formula>COUNTIF(INDIRECT("Checklist!$A1098"), "FALSE") = 1</formula>
    </cfRule>
  </conditionalFormatting>
  <conditionalFormatting sqref="D155">
    <cfRule type="expression" dxfId="3" priority="2324">
      <formula>COUNTIF(INDIRECT("Checklist!$A1116"), "TRUE") = 1</formula>
    </cfRule>
    <cfRule type="expression" dxfId="4" priority="2325">
      <formula>COUNTIF(INDIRECT("Checklist!$A1116"), "FALSE") = 1</formula>
    </cfRule>
  </conditionalFormatting>
  <conditionalFormatting sqref="D156">
    <cfRule type="expression" dxfId="3" priority="2336">
      <formula>COUNTIF(INDIRECT("Checklist!$A1122"), "TRUE") = 1</formula>
    </cfRule>
    <cfRule type="expression" dxfId="4" priority="2337">
      <formula>COUNTIF(INDIRECT("Checklist!$A1122"),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COUNTIF(INDIRECT("Checklist!$None"), "TRUE") = 1</formula>
    </cfRule>
    <cfRule type="expression" dxfId="4" priority="2361">
      <formula>COUNTIF(INDIRECT("Checklist!$None"),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COUNTIF(INDIRECT("Checklist!$A1151"), "TRUE") = 1</formula>
    </cfRule>
    <cfRule type="expression" dxfId="4" priority="2447">
      <formula>COUNTIF(INDIRECT("Checklist!$A1151"), "FALSE") = 1</formula>
    </cfRule>
  </conditionalFormatting>
  <conditionalFormatting sqref="D164">
    <cfRule type="expression" dxfId="3" priority="2458">
      <formula>COUNTIF(INDIRECT("Checklist!$A1154"), "TRUE") = 1</formula>
    </cfRule>
    <cfRule type="expression" dxfId="4" priority="2459">
      <formula>COUNTIF(INDIRECT("Checklist!$A1154"), "FALSE") = 1</formula>
    </cfRule>
  </conditionalFormatting>
  <conditionalFormatting sqref="D165">
    <cfRule type="expression" dxfId="3" priority="2470">
      <formula>COUNTIF(INDIRECT("Checklist!$A1156"), "TRUE") = 1</formula>
    </cfRule>
    <cfRule type="expression" dxfId="4" priority="2471">
      <formula>COUNTIF(INDIRECT("Checklist!$A1156"), "FALSE") = 1</formula>
    </cfRule>
  </conditionalFormatting>
  <conditionalFormatting sqref="D166">
    <cfRule type="expression" dxfId="3" priority="2482">
      <formula>COUNTIF(INDIRECT("Checklist!$A1160"), "TRUE") = 1</formula>
    </cfRule>
    <cfRule type="expression" dxfId="4" priority="2483">
      <formula>COUNTIF(INDIRECT("Checklist!$A1160"), "FALSE") = 1</formula>
    </cfRule>
  </conditionalFormatting>
  <conditionalFormatting sqref="D167">
    <cfRule type="expression" dxfId="3" priority="2494">
      <formula>COUNTIF(INDIRECT("Checklist!$None"), "TRUE") = 1</formula>
    </cfRule>
    <cfRule type="expression" dxfId="4" priority="2495">
      <formula>COUNTIF(INDIRECT("Checklist!$None"), "FALSE") = 1</formula>
    </cfRule>
  </conditionalFormatting>
  <conditionalFormatting sqref="D171">
    <cfRule type="expression" dxfId="3" priority="2568">
      <formula>COUNTIF(INDIRECT("Checklist!$A1177"), "TRUE") = 1</formula>
    </cfRule>
    <cfRule type="expression" dxfId="4" priority="2569">
      <formula>COUNTIF(INDIRECT("Checklist!$A1177"), "FALSE") = 1</formula>
    </cfRule>
  </conditionalFormatting>
  <conditionalFormatting sqref="D172">
    <cfRule type="expression" dxfId="3" priority="2580">
      <formula>COUNTIF(INDIRECT("Checklist!$A1180"), "TRUE") = 1</formula>
    </cfRule>
    <cfRule type="expression" dxfId="4" priority="2581">
      <formula>COUNTIF(INDIRECT("Checklist!$A1180"), "FALSE") = 1</formula>
    </cfRule>
  </conditionalFormatting>
  <conditionalFormatting sqref="D173">
    <cfRule type="expression" dxfId="3" priority="2592">
      <formula>COUNTIF(INDIRECT("Checklist!$A1183"), "TRUE") = 1</formula>
    </cfRule>
    <cfRule type="expression" dxfId="4" priority="2593">
      <formula>COUNTIF(INDIRECT("Checklist!$A1183"), "FALSE") = 1</formula>
    </cfRule>
  </conditionalFormatting>
  <conditionalFormatting sqref="D174">
    <cfRule type="expression" dxfId="3" priority="2604">
      <formula>COUNTIF(INDIRECT("Checklist!$A1188"), "TRUE") = 1</formula>
    </cfRule>
    <cfRule type="expression" dxfId="4" priority="2605">
      <formula>COUNTIF(INDIRECT("Checklist!$A1188"),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COUNTIF(INDIRECT("Checklist!$A1209"), "TRUE") = 1</formula>
    </cfRule>
    <cfRule type="expression" dxfId="4" priority="2691">
      <formula>COUNTIF(INDIRECT("Checklist!$A1209"), "FALSE") = 1</formula>
    </cfRule>
  </conditionalFormatting>
  <conditionalFormatting sqref="D180">
    <cfRule type="expression" dxfId="3" priority="2702">
      <formula>COUNTIF(INDIRECT("Checklist!$A1215"), "TRUE") = 1</formula>
    </cfRule>
    <cfRule type="expression" dxfId="4" priority="2703">
      <formula>COUNTIF(INDIRECT("Checklist!$A1215"), "FALSE") = 1</formula>
    </cfRule>
  </conditionalFormatting>
  <conditionalFormatting sqref="D181">
    <cfRule type="expression" dxfId="3" priority="2714">
      <formula>COUNTIF(INDIRECT("Checklist!$A1221"), "TRUE") = 1</formula>
    </cfRule>
    <cfRule type="expression" dxfId="4" priority="2715">
      <formula>COUNTIF(INDIRECT("Checklist!$A1221"), "FALSE") = 1</formula>
    </cfRule>
  </conditionalFormatting>
  <conditionalFormatting sqref="D182">
    <cfRule type="expression" dxfId="3" priority="2726">
      <formula>COUNTIF(INDIRECT("Checklist!$None"), "TRUE") = 1</formula>
    </cfRule>
    <cfRule type="expression" dxfId="4" priority="2727">
      <formula>COUNTIF(INDIRECT("Checklist!$None"), "FALSE") = 1</formula>
    </cfRule>
  </conditionalFormatting>
  <conditionalFormatting sqref="D183">
    <cfRule type="expression" dxfId="3" priority="2738">
      <formula>COUNTIF(INDIRECT("Checklist!$None"), "TRUE") = 1</formula>
    </cfRule>
    <cfRule type="expression" dxfId="4" priority="2739">
      <formula>COUNTIF(INDIRECT("Checklist!$None"), "FALSE") = 1</formula>
    </cfRule>
  </conditionalFormatting>
  <conditionalFormatting sqref="D187">
    <cfRule type="expression" dxfId="3" priority="2812">
      <formula>COUNTIF(INDIRECT("Checklist!$None"), "TRUE") = 1</formula>
    </cfRule>
    <cfRule type="expression" dxfId="4" priority="2813">
      <formula>COUNTIF(INDIRECT("Checklist!$None"), "FALSE") = 1</formula>
    </cfRule>
  </conditionalFormatting>
  <conditionalFormatting sqref="D188">
    <cfRule type="expression" dxfId="3" priority="2824">
      <formula>COUNTIF(INDIRECT("Checklist!$A856"), "TRUE") = 1</formula>
    </cfRule>
    <cfRule type="expression" dxfId="4" priority="2825">
      <formula>COUNTIF(INDIRECT("Checklist!$A856"),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COUNTIF(INDIRECT("Checklist!$A1275"), "TRUE") = 1</formula>
    </cfRule>
    <cfRule type="expression" dxfId="4" priority="2935">
      <formula>COUNTIF(INDIRECT("Checklist!$A1275"), "FALSE") = 1</formula>
    </cfRule>
  </conditionalFormatting>
  <conditionalFormatting sqref="D196">
    <cfRule type="expression" dxfId="3" priority="2946">
      <formula>COUNTIF(INDIRECT("Checklist!$A1281"), "TRUE") = 1</formula>
    </cfRule>
    <cfRule type="expression" dxfId="4" priority="2947">
      <formula>COUNTIF(INDIRECT("Checklist!$A1281"), "FALSE") = 1</formula>
    </cfRule>
  </conditionalFormatting>
  <conditionalFormatting sqref="D197">
    <cfRule type="expression" dxfId="3" priority="2958">
      <formula>COUNTIF(INDIRECT("Checklist!$A1287"), "TRUE") = 1</formula>
    </cfRule>
    <cfRule type="expression" dxfId="4" priority="2959">
      <formula>COUNTIF(INDIRECT("Checklist!$A1287"), "FALSE") = 1</formula>
    </cfRule>
  </conditionalFormatting>
  <conditionalFormatting sqref="D198">
    <cfRule type="expression" dxfId="3" priority="2970">
      <formula>COUNTIF(INDIRECT("Checklist!$A1293"), "TRUE") = 1</formula>
    </cfRule>
    <cfRule type="expression" dxfId="4" priority="2971">
      <formula>COUNTIF(INDIRECT("Checklist!$A1293"), "FALSE") = 1</formula>
    </cfRule>
  </conditionalFormatting>
  <conditionalFormatting sqref="D199">
    <cfRule type="expression" dxfId="3" priority="2982">
      <formula>COUNTIF(INDIRECT("Checklist!$A1299"), "TRUE") = 1</formula>
    </cfRule>
    <cfRule type="expression" dxfId="4" priority="2983">
      <formula>COUNTIF(INDIRECT("Checklist!$A1299"),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COUNTIF(INDIRECT("Checklist!$A1310"), "TRUE") = 1</formula>
    </cfRule>
    <cfRule type="expression" dxfId="4" priority="3057">
      <formula>COUNTIF(INDIRECT("Checklist!$A1310"), "FALSE") = 1</formula>
    </cfRule>
  </conditionalFormatting>
  <conditionalFormatting sqref="D204">
    <cfRule type="expression" dxfId="3" priority="3068">
      <formula>COUNTIF(INDIRECT("Checklist!$A1316"), "TRUE") = 1</formula>
    </cfRule>
    <cfRule type="expression" dxfId="4" priority="3069">
      <formula>COUNTIF(INDIRECT("Checklist!$A1316"), "FALSE") = 1</formula>
    </cfRule>
  </conditionalFormatting>
  <conditionalFormatting sqref="D205">
    <cfRule type="expression" dxfId="3" priority="3080">
      <formula>COUNTIF(INDIRECT("Checklist!$A1322"), "TRUE") = 1</formula>
    </cfRule>
    <cfRule type="expression" dxfId="4" priority="3081">
      <formula>COUNTIF(INDIRECT("Checklist!$A1322"), "FALSE") = 1</formula>
    </cfRule>
  </conditionalFormatting>
  <conditionalFormatting sqref="D206">
    <cfRule type="expression" dxfId="3" priority="3092">
      <formula>COUNTIF(INDIRECT("Checklist!$A1328"), "TRUE") = 1</formula>
    </cfRule>
    <cfRule type="expression" dxfId="4" priority="3093">
      <formula>COUNTIF(INDIRECT("Checklist!$A1328"), "FALSE") = 1</formula>
    </cfRule>
  </conditionalFormatting>
  <conditionalFormatting sqref="D207">
    <cfRule type="expression" dxfId="3" priority="3104">
      <formula>COUNTIF(INDIRECT("Checklist!$A1334"), "TRUE") = 1</formula>
    </cfRule>
    <cfRule type="expression" dxfId="4" priority="3105">
      <formula>COUNTIF(INDIRECT("Checklist!$A1334"),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COUNTIF(INDIRECT("Checklist!$A932"), "TRUE") = 1</formula>
    </cfRule>
    <cfRule type="expression" dxfId="4" priority="3179">
      <formula>COUNTIF(INDIRECT("Checklist!$A932"), "FALSE") = 1</formula>
    </cfRule>
  </conditionalFormatting>
  <conditionalFormatting sqref="D212">
    <cfRule type="expression" dxfId="3" priority="3190">
      <formula>COUNTIF(INDIRECT("Checklist!$A1352"), "TRUE") = 1</formula>
    </cfRule>
    <cfRule type="expression" dxfId="4" priority="3191">
      <formula>COUNTIF(INDIRECT("Checklist!$A1352"), "FALSE") = 1</formula>
    </cfRule>
  </conditionalFormatting>
  <conditionalFormatting sqref="D213">
    <cfRule type="expression" dxfId="3" priority="3202">
      <formula>COUNTIF(INDIRECT("Checklist!$A1357"), "TRUE") = 1</formula>
    </cfRule>
    <cfRule type="expression" dxfId="4" priority="3203">
      <formula>COUNTIF(INDIRECT("Checklist!$A1357"),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19">
    <cfRule type="expression" dxfId="3" priority="3300">
      <formula>COUNTIF(INDIRECT("Checklist!$A1378"), "TRUE") = 1</formula>
    </cfRule>
    <cfRule type="expression" dxfId="4" priority="3301">
      <formula>COUNTIF(INDIRECT("Checklist!$A1378"),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20">
    <cfRule type="expression" dxfId="3" priority="3312">
      <formula>COUNTIF(INDIRECT("Checklist!$A1384"), "TRUE") = 1</formula>
    </cfRule>
    <cfRule type="expression" dxfId="4" priority="3313">
      <formula>COUNTIF(INDIRECT("Checklist!$A1384"), "FALSE") = 1</formula>
    </cfRule>
  </conditionalFormatting>
  <conditionalFormatting sqref="D221">
    <cfRule type="expression" dxfId="3" priority="3324">
      <formula>COUNTIF(INDIRECT("Checklist!$A1390"), "TRUE") = 1</formula>
    </cfRule>
    <cfRule type="expression" dxfId="4" priority="3325">
      <formula>COUNTIF(INDIRECT("Checklist!$A1390"), "FALSE") = 1</formula>
    </cfRule>
  </conditionalFormatting>
  <conditionalFormatting sqref="D222">
    <cfRule type="expression" dxfId="3" priority="3336">
      <formula>COUNTIF(INDIRECT("Checklist!$None"), "TRUE") = 1</formula>
    </cfRule>
    <cfRule type="expression" dxfId="4" priority="3337">
      <formula>COUNTIF(INDIRECT("Checklist!$None"), "FALSE") = 1</formula>
    </cfRule>
  </conditionalFormatting>
  <conditionalFormatting sqref="D223">
    <cfRule type="expression" dxfId="3" priority="3348">
      <formula>COUNTIF(INDIRECT("Checklist!$None"), "TRUE") = 1</formula>
    </cfRule>
    <cfRule type="expression" dxfId="4" priority="3349">
      <formula>COUNTIF(INDIRECT("Checklist!$None"),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COUNTIF(INDIRECT("Checklist!$A911"), "TRUE") = 1</formula>
    </cfRule>
    <cfRule type="expression" dxfId="4" priority="1851">
      <formula>COUNTIF(INDIRECT("Checklist!$A911"), "FALSE") = 1</formula>
    </cfRule>
  </conditionalFormatting>
  <conditionalFormatting sqref="E125">
    <cfRule type="expression" dxfId="3" priority="1862">
      <formula>COUNTIF(INDIRECT("Checklist!$A917"), "TRUE") = 1</formula>
    </cfRule>
    <cfRule type="expression" dxfId="4" priority="1863">
      <formula>COUNTIF(INDIRECT("Checklist!$A917"), "FALSE") = 1</formula>
    </cfRule>
  </conditionalFormatting>
  <conditionalFormatting sqref="E126">
    <cfRule type="expression" dxfId="3" priority="1874">
      <formula>COUNTIF(INDIRECT("Checklist!$A923"), "TRUE") = 1</formula>
    </cfRule>
    <cfRule type="expression" dxfId="4" priority="1875">
      <formula>COUNTIF(INDIRECT("Checklist!$A923"), "FALSE") = 1</formula>
    </cfRule>
  </conditionalFormatting>
  <conditionalFormatting sqref="E127">
    <cfRule type="expression" dxfId="3" priority="1886">
      <formula>COUNTIF(INDIRECT("Checklist!$A929"), "TRUE") = 1</formula>
    </cfRule>
    <cfRule type="expression" dxfId="4" priority="1887">
      <formula>COUNTIF(INDIRECT("Checklist!$A929"),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COUNTIF(INDIRECT("Checklist!$A965"), "TRUE") = 1</formula>
    </cfRule>
    <cfRule type="expression" dxfId="4" priority="1961">
      <formula>COUNTIF(INDIRECT("Checklist!$A965"), "FALSE") = 1</formula>
    </cfRule>
  </conditionalFormatting>
  <conditionalFormatting sqref="E132">
    <cfRule type="expression" dxfId="3" priority="1972">
      <formula>COUNTIF(INDIRECT("Checklist!$A971"), "TRUE") = 1</formula>
    </cfRule>
    <cfRule type="expression" dxfId="4" priority="1973">
      <formula>COUNTIF(INDIRECT("Checklist!$A971"), "FALSE") = 1</formula>
    </cfRule>
  </conditionalFormatting>
  <conditionalFormatting sqref="E133">
    <cfRule type="expression" dxfId="3" priority="1984">
      <formula>COUNTIF(INDIRECT("Checklist!$A977"), "TRUE") = 1</formula>
    </cfRule>
    <cfRule type="expression" dxfId="4" priority="1985">
      <formula>COUNTIF(INDIRECT("Checklist!$A977"), "FALSE") = 1</formula>
    </cfRule>
  </conditionalFormatting>
  <conditionalFormatting sqref="E134">
    <cfRule type="expression" dxfId="3" priority="1996">
      <formula>COUNTIF(INDIRECT("Checklist!$A983"), "TRUE") = 1</formula>
    </cfRule>
    <cfRule type="expression" dxfId="4" priority="1997">
      <formula>COUNTIF(INDIRECT("Checklist!$A983"), "FALSE") = 1</formula>
    </cfRule>
  </conditionalFormatting>
  <conditionalFormatting sqref="E135">
    <cfRule type="expression" dxfId="3" priority="2008">
      <formula>COUNTIF(INDIRECT("Checklist!$A989"), "TRUE") = 1</formula>
    </cfRule>
    <cfRule type="expression" dxfId="4" priority="2009">
      <formula>COUNTIF(INDIRECT("Checklist!$A989"), "FALSE") = 1</formula>
    </cfRule>
  </conditionalFormatting>
  <conditionalFormatting sqref="E139">
    <cfRule type="expression" dxfId="3" priority="2082">
      <formula>COUNTIF(INDIRECT("Checklist!$A1015"), "TRUE") = 1</formula>
    </cfRule>
    <cfRule type="expression" dxfId="4" priority="2083">
      <formula>COUNTIF(INDIRECT("Checklist!$A1015"),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COUNTIF(INDIRECT("Checklist!$A1021"), "TRUE") = 1</formula>
    </cfRule>
    <cfRule type="expression" dxfId="4" priority="2095">
      <formula>COUNTIF(INDIRECT("Checklist!$A1021"), "FALSE") = 1</formula>
    </cfRule>
  </conditionalFormatting>
  <conditionalFormatting sqref="E141">
    <cfRule type="expression" dxfId="3" priority="2106">
      <formula>COUNTIF(INDIRECT("Checklist!$A1027"), "TRUE") = 1</formula>
    </cfRule>
    <cfRule type="expression" dxfId="4" priority="2107">
      <formula>COUNTIF(INDIRECT("Checklist!$A1027"), "FALSE") = 1</formula>
    </cfRule>
  </conditionalFormatting>
  <conditionalFormatting sqref="E142">
    <cfRule type="expression" dxfId="3" priority="2118">
      <formula>COUNTIF(INDIRECT("Checklist!$A1033"), "TRUE") = 1</formula>
    </cfRule>
    <cfRule type="expression" dxfId="4" priority="2119">
      <formula>COUNTIF(INDIRECT("Checklist!$A1033"), "FALSE") = 1</formula>
    </cfRule>
  </conditionalFormatting>
  <conditionalFormatting sqref="E143">
    <cfRule type="expression" dxfId="3" priority="2130">
      <formula>COUNTIF(INDIRECT("Checklist!$A1039"), "TRUE") = 1</formula>
    </cfRule>
    <cfRule type="expression" dxfId="4" priority="2131">
      <formula>COUNTIF(INDIRECT("Checklist!$A1039"), "FALSE") = 1</formula>
    </cfRule>
  </conditionalFormatting>
  <conditionalFormatting sqref="E147">
    <cfRule type="expression" dxfId="3" priority="2204">
      <formula>COUNTIF(INDIRECT("Checklist!$A1075"), "TRUE") = 1</formula>
    </cfRule>
    <cfRule type="expression" dxfId="4" priority="2205">
      <formula>COUNTIF(INDIRECT("Checklist!$A1075"), "FALSE") = 1</formula>
    </cfRule>
  </conditionalFormatting>
  <conditionalFormatting sqref="E148">
    <cfRule type="expression" dxfId="3" priority="2216">
      <formula>COUNTIF(INDIRECT("Checklist!$A1081"), "TRUE") = 1</formula>
    </cfRule>
    <cfRule type="expression" dxfId="4" priority="2217">
      <formula>COUNTIF(INDIRECT("Checklist!$A1081"), "FALSE") = 1</formula>
    </cfRule>
  </conditionalFormatting>
  <conditionalFormatting sqref="E149">
    <cfRule type="expression" dxfId="3" priority="2228">
      <formula>COUNTIF(INDIRECT("Checklist!$A1087"), "TRUE") = 1</formula>
    </cfRule>
    <cfRule type="expression" dxfId="4" priority="2229">
      <formula>COUNTIF(INDIRECT("Checklist!$A1087"),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COUNTIF(INDIRECT("Checklist!$A1093"), "TRUE") = 1</formula>
    </cfRule>
    <cfRule type="expression" dxfId="4" priority="2241">
      <formula>COUNTIF(INDIRECT("Checklist!$A1093"), "FALSE") = 1</formula>
    </cfRule>
  </conditionalFormatting>
  <conditionalFormatting sqref="E151">
    <cfRule type="expression" dxfId="3" priority="2252">
      <formula>COUNTIF(INDIRECT("Checklist!$A1099"), "TRUE") = 1</formula>
    </cfRule>
    <cfRule type="expression" dxfId="4" priority="2253">
      <formula>COUNTIF(INDIRECT("Checklist!$A1099"), "FALSE") = 1</formula>
    </cfRule>
  </conditionalFormatting>
  <conditionalFormatting sqref="E155">
    <cfRule type="expression" dxfId="3" priority="2326">
      <formula>COUNTIF(INDIRECT("Checklist!$A1117"), "TRUE") = 1</formula>
    </cfRule>
    <cfRule type="expression" dxfId="4" priority="2327">
      <formula>COUNTIF(INDIRECT("Checklist!$A1117"), "FALSE") = 1</formula>
    </cfRule>
  </conditionalFormatting>
  <conditionalFormatting sqref="E156">
    <cfRule type="expression" dxfId="3" priority="2338">
      <formula>COUNTIF(INDIRECT("Checklist!$None"), "TRUE") = 1</formula>
    </cfRule>
    <cfRule type="expression" dxfId="4" priority="2339">
      <formula>COUNTIF(INDIRECT("Checklist!$None"),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COUNTIF(INDIRECT("Checklist!$None"), "TRUE") = 1</formula>
    </cfRule>
    <cfRule type="expression" dxfId="4" priority="2363">
      <formula>COUNTIF(INDIRECT("Checklist!$None"),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COUNTIF(INDIRECT("Checklist!$A1152"), "TRUE") = 1</formula>
    </cfRule>
    <cfRule type="expression" dxfId="4" priority="2449">
      <formula>COUNTIF(INDIRECT("Checklist!$A1152"), "FALSE") = 1</formula>
    </cfRule>
  </conditionalFormatting>
  <conditionalFormatting sqref="E164">
    <cfRule type="expression" dxfId="3" priority="2460">
      <formula>COUNTIF(INDIRECT("Checklist!$A423"), "TRUE") = 1</formula>
    </cfRule>
    <cfRule type="expression" dxfId="4" priority="2461">
      <formula>COUNTIF(INDIRECT("Checklist!$A423"), "FALSE") = 1</formula>
    </cfRule>
  </conditionalFormatting>
  <conditionalFormatting sqref="E165">
    <cfRule type="expression" dxfId="3" priority="2472">
      <formula>COUNTIF(INDIRECT("Checklist!$A1157"), "TRUE") = 1</formula>
    </cfRule>
    <cfRule type="expression" dxfId="4" priority="2473">
      <formula>COUNTIF(INDIRECT("Checklist!$A1157"), "FALSE") = 1</formula>
    </cfRule>
  </conditionalFormatting>
  <conditionalFormatting sqref="E166">
    <cfRule type="expression" dxfId="3" priority="2484">
      <formula>COUNTIF(INDIRECT("Checklist!$A1161"), "TRUE") = 1</formula>
    </cfRule>
    <cfRule type="expression" dxfId="4" priority="2485">
      <formula>COUNTIF(INDIRECT("Checklist!$A1161"), "FALSE") = 1</formula>
    </cfRule>
  </conditionalFormatting>
  <conditionalFormatting sqref="E167">
    <cfRule type="expression" dxfId="3" priority="2496">
      <formula>COUNTIF(INDIRECT("Checklist!$None"), "TRUE") = 1</formula>
    </cfRule>
    <cfRule type="expression" dxfId="4" priority="2497">
      <formula>COUNTIF(INDIRECT("Checklist!$None"), "FALSE") = 1</formula>
    </cfRule>
  </conditionalFormatting>
  <conditionalFormatting sqref="E171">
    <cfRule type="expression" dxfId="3" priority="2570">
      <formula>COUNTIF(INDIRECT("Checklist!$A1178"), "TRUE") = 1</formula>
    </cfRule>
    <cfRule type="expression" dxfId="4" priority="2571">
      <formula>COUNTIF(INDIRECT("Checklist!$A1178"), "FALSE") = 1</formula>
    </cfRule>
  </conditionalFormatting>
  <conditionalFormatting sqref="E172">
    <cfRule type="expression" dxfId="3" priority="2582">
      <formula>COUNTIF(INDIRECT("Checklist!$A1181"), "TRUE") = 1</formula>
    </cfRule>
    <cfRule type="expression" dxfId="4" priority="2583">
      <formula>COUNTIF(INDIRECT("Checklist!$A1181"), "FALSE") = 1</formula>
    </cfRule>
  </conditionalFormatting>
  <conditionalFormatting sqref="E173">
    <cfRule type="expression" dxfId="3" priority="2594">
      <formula>COUNTIF(INDIRECT("Checklist!$A1184"), "TRUE") = 1</formula>
    </cfRule>
    <cfRule type="expression" dxfId="4" priority="2595">
      <formula>COUNTIF(INDIRECT("Checklist!$A1184"), "FALSE") = 1</formula>
    </cfRule>
  </conditionalFormatting>
  <conditionalFormatting sqref="E174">
    <cfRule type="expression" dxfId="3" priority="2606">
      <formula>COUNTIF(INDIRECT("Checklist!$A1189"), "TRUE") = 1</formula>
    </cfRule>
    <cfRule type="expression" dxfId="4" priority="2607">
      <formula>COUNTIF(INDIRECT("Checklist!$A1189"),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COUNTIF(INDIRECT("Checklist!$A1210"), "TRUE") = 1</formula>
    </cfRule>
    <cfRule type="expression" dxfId="4" priority="2693">
      <formula>COUNTIF(INDIRECT("Checklist!$A1210"), "FALSE") = 1</formula>
    </cfRule>
  </conditionalFormatting>
  <conditionalFormatting sqref="E180">
    <cfRule type="expression" dxfId="3" priority="2704">
      <formula>COUNTIF(INDIRECT("Checklist!$A1216"), "TRUE") = 1</formula>
    </cfRule>
    <cfRule type="expression" dxfId="4" priority="2705">
      <formula>COUNTIF(INDIRECT("Checklist!$A1216"), "FALSE") = 1</formula>
    </cfRule>
  </conditionalFormatting>
  <conditionalFormatting sqref="E181">
    <cfRule type="expression" dxfId="3" priority="2716">
      <formula>COUNTIF(INDIRECT("Checklist!$A1222"), "TRUE") = 1</formula>
    </cfRule>
    <cfRule type="expression" dxfId="4" priority="2717">
      <formula>COUNTIF(INDIRECT("Checklist!$A1222"), "FALSE") = 1</formula>
    </cfRule>
  </conditionalFormatting>
  <conditionalFormatting sqref="E182">
    <cfRule type="expression" dxfId="3" priority="2728">
      <formula>COUNTIF(INDIRECT("Checklist!$None"), "TRUE") = 1</formula>
    </cfRule>
    <cfRule type="expression" dxfId="4" priority="2729">
      <formula>COUNTIF(INDIRECT("Checklist!$None"), "FALSE") = 1</formula>
    </cfRule>
  </conditionalFormatting>
  <conditionalFormatting sqref="E183">
    <cfRule type="expression" dxfId="3" priority="2740">
      <formula>COUNTIF(INDIRECT("Checklist!$None"), "TRUE") = 1</formula>
    </cfRule>
    <cfRule type="expression" dxfId="4" priority="2741">
      <formula>COUNTIF(INDIRECT("Checklist!$None"), "FALSE") = 1</formula>
    </cfRule>
  </conditionalFormatting>
  <conditionalFormatting sqref="E187">
    <cfRule type="expression" dxfId="3" priority="2814">
      <formula>COUNTIF(INDIRECT("Checklist!$None"), "TRUE") = 1</formula>
    </cfRule>
    <cfRule type="expression" dxfId="4" priority="2815">
      <formula>COUNTIF(INDIRECT("Checklist!$None"), "FALSE") = 1</formula>
    </cfRule>
  </conditionalFormatting>
  <conditionalFormatting sqref="E188">
    <cfRule type="expression" dxfId="3" priority="2826">
      <formula>COUNTIF(INDIRECT("Checklist!$A1242"), "TRUE") = 1</formula>
    </cfRule>
    <cfRule type="expression" dxfId="4" priority="2827">
      <formula>COUNTIF(INDIRECT("Checklist!$A1242"),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COUNTIF(INDIRECT("Checklist!$A1276"), "TRUE") = 1</formula>
    </cfRule>
    <cfRule type="expression" dxfId="4" priority="2937">
      <formula>COUNTIF(INDIRECT("Checklist!$A1276"), "FALSE") = 1</formula>
    </cfRule>
  </conditionalFormatting>
  <conditionalFormatting sqref="E196">
    <cfRule type="expression" dxfId="3" priority="2948">
      <formula>COUNTIF(INDIRECT("Checklist!$A1282"), "TRUE") = 1</formula>
    </cfRule>
    <cfRule type="expression" dxfId="4" priority="2949">
      <formula>COUNTIF(INDIRECT("Checklist!$A1282"), "FALSE") = 1</formula>
    </cfRule>
  </conditionalFormatting>
  <conditionalFormatting sqref="E197">
    <cfRule type="expression" dxfId="3" priority="2960">
      <formula>COUNTIF(INDIRECT("Checklist!$A1288"), "TRUE") = 1</formula>
    </cfRule>
    <cfRule type="expression" dxfId="4" priority="2961">
      <formula>COUNTIF(INDIRECT("Checklist!$A1288"), "FALSE") = 1</formula>
    </cfRule>
  </conditionalFormatting>
  <conditionalFormatting sqref="E198">
    <cfRule type="expression" dxfId="3" priority="2972">
      <formula>COUNTIF(INDIRECT("Checklist!$A1294"), "TRUE") = 1</formula>
    </cfRule>
    <cfRule type="expression" dxfId="4" priority="2973">
      <formula>COUNTIF(INDIRECT("Checklist!$A1294"), "FALSE") = 1</formula>
    </cfRule>
  </conditionalFormatting>
  <conditionalFormatting sqref="E199">
    <cfRule type="expression" dxfId="3" priority="2984">
      <formula>COUNTIF(INDIRECT("Checklist!$A1300"), "TRUE") = 1</formula>
    </cfRule>
    <cfRule type="expression" dxfId="4" priority="2985">
      <formula>COUNTIF(INDIRECT("Checklist!$A1300"),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COUNTIF(INDIRECT("Checklist!$A1311"), "TRUE") = 1</formula>
    </cfRule>
    <cfRule type="expression" dxfId="4" priority="3059">
      <formula>COUNTIF(INDIRECT("Checklist!$A1311"), "FALSE") = 1</formula>
    </cfRule>
  </conditionalFormatting>
  <conditionalFormatting sqref="E204">
    <cfRule type="expression" dxfId="3" priority="3070">
      <formula>COUNTIF(INDIRECT("Checklist!$A1317"), "TRUE") = 1</formula>
    </cfRule>
    <cfRule type="expression" dxfId="4" priority="3071">
      <formula>COUNTIF(INDIRECT("Checklist!$A1317"), "FALSE") = 1</formula>
    </cfRule>
  </conditionalFormatting>
  <conditionalFormatting sqref="E205">
    <cfRule type="expression" dxfId="3" priority="3082">
      <formula>COUNTIF(INDIRECT("Checklist!$A1323"), "TRUE") = 1</formula>
    </cfRule>
    <cfRule type="expression" dxfId="4" priority="3083">
      <formula>COUNTIF(INDIRECT("Checklist!$A1323"), "FALSE") = 1</formula>
    </cfRule>
  </conditionalFormatting>
  <conditionalFormatting sqref="E206">
    <cfRule type="expression" dxfId="3" priority="3094">
      <formula>COUNTIF(INDIRECT("Checklist!$A1329"), "TRUE") = 1</formula>
    </cfRule>
    <cfRule type="expression" dxfId="4" priority="3095">
      <formula>COUNTIF(INDIRECT("Checklist!$A1329"), "FALSE") = 1</formula>
    </cfRule>
  </conditionalFormatting>
  <conditionalFormatting sqref="E207">
    <cfRule type="expression" dxfId="3" priority="3106">
      <formula>COUNTIF(INDIRECT("Checklist!$A1335"), "TRUE") = 1</formula>
    </cfRule>
    <cfRule type="expression" dxfId="4" priority="3107">
      <formula>COUNTIF(INDIRECT("Checklist!$A1335"),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COUNTIF(INDIRECT("Checklist!$A1347"), "TRUE") = 1</formula>
    </cfRule>
    <cfRule type="expression" dxfId="4" priority="3181">
      <formula>COUNTIF(INDIRECT("Checklist!$A1347"), "FALSE") = 1</formula>
    </cfRule>
  </conditionalFormatting>
  <conditionalFormatting sqref="E212">
    <cfRule type="expression" dxfId="3" priority="3192">
      <formula>COUNTIF(INDIRECT("Checklist!$A983"), "TRUE") = 1</formula>
    </cfRule>
    <cfRule type="expression" dxfId="4" priority="3193">
      <formula>COUNTIF(INDIRECT("Checklist!$A983"), "FALSE") = 1</formula>
    </cfRule>
  </conditionalFormatting>
  <conditionalFormatting sqref="E213">
    <cfRule type="expression" dxfId="3" priority="3204">
      <formula>COUNTIF(INDIRECT("Checklist!$None"), "TRUE") = 1</formula>
    </cfRule>
    <cfRule type="expression" dxfId="4" priority="3205">
      <formula>COUNTIF(INDIRECT("Checklist!$None"),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19">
    <cfRule type="expression" dxfId="3" priority="3302">
      <formula>COUNTIF(INDIRECT("Checklist!$A1379"), "TRUE") = 1</formula>
    </cfRule>
    <cfRule type="expression" dxfId="4" priority="3303">
      <formula>COUNTIF(INDIRECT("Checklist!$A1379"),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20">
    <cfRule type="expression" dxfId="3" priority="3314">
      <formula>COUNTIF(INDIRECT("Checklist!$A1385"), "TRUE") = 1</formula>
    </cfRule>
    <cfRule type="expression" dxfId="4" priority="3315">
      <formula>COUNTIF(INDIRECT("Checklist!$A1385"), "FALSE") = 1</formula>
    </cfRule>
  </conditionalFormatting>
  <conditionalFormatting sqref="E221">
    <cfRule type="expression" dxfId="3" priority="3326">
      <formula>COUNTIF(INDIRECT("Checklist!$A1391"), "TRUE") = 1</formula>
    </cfRule>
    <cfRule type="expression" dxfId="4" priority="3327">
      <formula>COUNTIF(INDIRECT("Checklist!$A1391"), "FALSE") = 1</formula>
    </cfRule>
  </conditionalFormatting>
  <conditionalFormatting sqref="E222">
    <cfRule type="expression" dxfId="3" priority="3338">
      <formula>COUNTIF(INDIRECT("Checklist!$None"), "TRUE") = 1</formula>
    </cfRule>
    <cfRule type="expression" dxfId="4" priority="3339">
      <formula>COUNTIF(INDIRECT("Checklist!$None"), "FALSE") = 1</formula>
    </cfRule>
  </conditionalFormatting>
  <conditionalFormatting sqref="E223">
    <cfRule type="expression" dxfId="3" priority="3350">
      <formula>COUNTIF(INDIRECT("Checklist!$None"), "TRUE") = 1</formula>
    </cfRule>
    <cfRule type="expression" dxfId="4" priority="3351">
      <formula>COUNTIF(INDIRECT("Checklist!$None"),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COUNTIF(INDIRECT("Checklist!$A912"), "TRUE") = 1</formula>
    </cfRule>
    <cfRule type="expression" dxfId="4" priority="1853">
      <formula>COUNTIF(INDIRECT("Checklist!$A912"), "FALSE") = 1</formula>
    </cfRule>
  </conditionalFormatting>
  <conditionalFormatting sqref="F125">
    <cfRule type="expression" dxfId="3" priority="1864">
      <formula>COUNTIF(INDIRECT("Checklist!$A918"), "TRUE") = 1</formula>
    </cfRule>
    <cfRule type="expression" dxfId="4" priority="1865">
      <formula>COUNTIF(INDIRECT("Checklist!$A918"), "FALSE") = 1</formula>
    </cfRule>
  </conditionalFormatting>
  <conditionalFormatting sqref="F126">
    <cfRule type="expression" dxfId="3" priority="1876">
      <formula>COUNTIF(INDIRECT("Checklist!$A924"), "TRUE") = 1</formula>
    </cfRule>
    <cfRule type="expression" dxfId="4" priority="1877">
      <formula>COUNTIF(INDIRECT("Checklist!$A924"), "FALSE") = 1</formula>
    </cfRule>
  </conditionalFormatting>
  <conditionalFormatting sqref="F127">
    <cfRule type="expression" dxfId="3" priority="1888">
      <formula>COUNTIF(INDIRECT("Checklist!$A930"), "TRUE") = 1</formula>
    </cfRule>
    <cfRule type="expression" dxfId="4" priority="1889">
      <formula>COUNTIF(INDIRECT("Checklist!$A930"),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COUNTIF(INDIRECT("Checklist!$A966"), "TRUE") = 1</formula>
    </cfRule>
    <cfRule type="expression" dxfId="4" priority="1963">
      <formula>COUNTIF(INDIRECT("Checklist!$A966"), "FALSE") = 1</formula>
    </cfRule>
  </conditionalFormatting>
  <conditionalFormatting sqref="F132">
    <cfRule type="expression" dxfId="3" priority="1974">
      <formula>COUNTIF(INDIRECT("Checklist!$A972"), "TRUE") = 1</formula>
    </cfRule>
    <cfRule type="expression" dxfId="4" priority="1975">
      <formula>COUNTIF(INDIRECT("Checklist!$A972"), "FALSE") = 1</formula>
    </cfRule>
  </conditionalFormatting>
  <conditionalFormatting sqref="F133">
    <cfRule type="expression" dxfId="3" priority="1986">
      <formula>COUNTIF(INDIRECT("Checklist!$A978"), "TRUE") = 1</formula>
    </cfRule>
    <cfRule type="expression" dxfId="4" priority="1987">
      <formula>COUNTIF(INDIRECT("Checklist!$A978"), "FALSE") = 1</formula>
    </cfRule>
  </conditionalFormatting>
  <conditionalFormatting sqref="F134">
    <cfRule type="expression" dxfId="3" priority="1998">
      <formula>COUNTIF(INDIRECT("Checklist!$A984"), "TRUE") = 1</formula>
    </cfRule>
    <cfRule type="expression" dxfId="4" priority="1999">
      <formula>COUNTIF(INDIRECT("Checklist!$A984"), "FALSE") = 1</formula>
    </cfRule>
  </conditionalFormatting>
  <conditionalFormatting sqref="F135">
    <cfRule type="expression" dxfId="3" priority="2010">
      <formula>COUNTIF(INDIRECT("Checklist!$A990"), "TRUE") = 1</formula>
    </cfRule>
    <cfRule type="expression" dxfId="4" priority="2011">
      <formula>COUNTIF(INDIRECT("Checklist!$A990"), "FALSE") = 1</formula>
    </cfRule>
  </conditionalFormatting>
  <conditionalFormatting sqref="F139">
    <cfRule type="expression" dxfId="3" priority="2084">
      <formula>COUNTIF(INDIRECT("Checklist!$A1016"), "TRUE") = 1</formula>
    </cfRule>
    <cfRule type="expression" dxfId="4" priority="2085">
      <formula>COUNTIF(INDIRECT("Checklist!$A1016"),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COUNTIF(INDIRECT("Checklist!$A1022"), "TRUE") = 1</formula>
    </cfRule>
    <cfRule type="expression" dxfId="4" priority="2097">
      <formula>COUNTIF(INDIRECT("Checklist!$A1022"), "FALSE") = 1</formula>
    </cfRule>
  </conditionalFormatting>
  <conditionalFormatting sqref="F141">
    <cfRule type="expression" dxfId="3" priority="2108">
      <formula>COUNTIF(INDIRECT("Checklist!$A1028"), "TRUE") = 1</formula>
    </cfRule>
    <cfRule type="expression" dxfId="4" priority="2109">
      <formula>COUNTIF(INDIRECT("Checklist!$A1028"), "FALSE") = 1</formula>
    </cfRule>
  </conditionalFormatting>
  <conditionalFormatting sqref="F142">
    <cfRule type="expression" dxfId="3" priority="2120">
      <formula>COUNTIF(INDIRECT("Checklist!$A1034"), "TRUE") = 1</formula>
    </cfRule>
    <cfRule type="expression" dxfId="4" priority="2121">
      <formula>COUNTIF(INDIRECT("Checklist!$A1034"), "FALSE") = 1</formula>
    </cfRule>
  </conditionalFormatting>
  <conditionalFormatting sqref="F143">
    <cfRule type="expression" dxfId="3" priority="2132">
      <formula>COUNTIF(INDIRECT("Checklist!$A1040"), "TRUE") = 1</formula>
    </cfRule>
    <cfRule type="expression" dxfId="4" priority="2133">
      <formula>COUNTIF(INDIRECT("Checklist!$A1040"), "FALSE") = 1</formula>
    </cfRule>
  </conditionalFormatting>
  <conditionalFormatting sqref="F147">
    <cfRule type="expression" dxfId="3" priority="2206">
      <formula>COUNTIF(INDIRECT("Checklist!$A1076"), "TRUE") = 1</formula>
    </cfRule>
    <cfRule type="expression" dxfId="4" priority="2207">
      <formula>COUNTIF(INDIRECT("Checklist!$A1076"), "FALSE") = 1</formula>
    </cfRule>
  </conditionalFormatting>
  <conditionalFormatting sqref="F148">
    <cfRule type="expression" dxfId="3" priority="2218">
      <formula>COUNTIF(INDIRECT("Checklist!$A1082"), "TRUE") = 1</formula>
    </cfRule>
    <cfRule type="expression" dxfId="4" priority="2219">
      <formula>COUNTIF(INDIRECT("Checklist!$A1082"), "FALSE") = 1</formula>
    </cfRule>
  </conditionalFormatting>
  <conditionalFormatting sqref="F149">
    <cfRule type="expression" dxfId="3" priority="2230">
      <formula>COUNTIF(INDIRECT("Checklist!$A1088"), "TRUE") = 1</formula>
    </cfRule>
    <cfRule type="expression" dxfId="4" priority="2231">
      <formula>COUNTIF(INDIRECT("Checklist!$A1088"),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COUNTIF(INDIRECT("Checklist!$A1094"), "TRUE") = 1</formula>
    </cfRule>
    <cfRule type="expression" dxfId="4" priority="2243">
      <formula>COUNTIF(INDIRECT("Checklist!$A1094"), "FALSE") = 1</formula>
    </cfRule>
  </conditionalFormatting>
  <conditionalFormatting sqref="F151">
    <cfRule type="expression" dxfId="3" priority="2254">
      <formula>COUNTIF(INDIRECT("Checklist!$A1100"), "TRUE") = 1</formula>
    </cfRule>
    <cfRule type="expression" dxfId="4" priority="2255">
      <formula>COUNTIF(INDIRECT("Checklist!$A1100"), "FALSE") = 1</formula>
    </cfRule>
  </conditionalFormatting>
  <conditionalFormatting sqref="F155">
    <cfRule type="expression" dxfId="3" priority="2328">
      <formula>COUNTIF(INDIRECT("Checklist!$A1118"), "TRUE") = 1</formula>
    </cfRule>
    <cfRule type="expression" dxfId="4" priority="2329">
      <formula>COUNTIF(INDIRECT("Checklist!$A1118"),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COUNTIF(INDIRECT("Checklist!$None"), "TRUE") = 1</formula>
    </cfRule>
    <cfRule type="expression" dxfId="4" priority="2365">
      <formula>COUNTIF(INDIRECT("Checklist!$None"),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COUNTIF(INDIRECT("Checklist!$None"), "TRUE") = 1</formula>
    </cfRule>
    <cfRule type="expression" dxfId="4" priority="2451">
      <formula>COUNTIF(INDIRECT("Checklist!$None"), "FALSE") = 1</formula>
    </cfRule>
  </conditionalFormatting>
  <conditionalFormatting sqref="F164">
    <cfRule type="expression" dxfId="3" priority="2462">
      <formula>COUNTIF(INDIRECT("Checklist!$A424"), "TRUE") = 1</formula>
    </cfRule>
    <cfRule type="expression" dxfId="4" priority="2463">
      <formula>COUNTIF(INDIRECT("Checklist!$A424"), "FALSE") = 1</formula>
    </cfRule>
  </conditionalFormatting>
  <conditionalFormatting sqref="F165">
    <cfRule type="expression" dxfId="3" priority="2474">
      <formula>COUNTIF(INDIRECT("Checklist!$A1158"), "TRUE") = 1</formula>
    </cfRule>
    <cfRule type="expression" dxfId="4" priority="2475">
      <formula>COUNTIF(INDIRECT("Checklist!$A1158"), "FALSE") = 1</formula>
    </cfRule>
  </conditionalFormatting>
  <conditionalFormatting sqref="F166">
    <cfRule type="expression" dxfId="3" priority="2486">
      <formula>COUNTIF(INDIRECT("Checklist!$A1162"), "TRUE") = 1</formula>
    </cfRule>
    <cfRule type="expression" dxfId="4" priority="2487">
      <formula>COUNTIF(INDIRECT("Checklist!$A1162"), "FALSE") = 1</formula>
    </cfRule>
  </conditionalFormatting>
  <conditionalFormatting sqref="F167">
    <cfRule type="expression" dxfId="3" priority="2498">
      <formula>COUNTIF(INDIRECT("Checklist!$None"), "TRUE") = 1</formula>
    </cfRule>
    <cfRule type="expression" dxfId="4" priority="2499">
      <formula>COUNTIF(INDIRECT("Checklist!$None"),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COUNTIF(INDIRECT("Checklist!$None"), "TRUE") = 1</formula>
    </cfRule>
    <cfRule type="expression" dxfId="4" priority="2585">
      <formula>COUNTIF(INDIRECT("Checklist!$None"), "FALSE") = 1</formula>
    </cfRule>
  </conditionalFormatting>
  <conditionalFormatting sqref="F173">
    <cfRule type="expression" dxfId="3" priority="2596">
      <formula>COUNTIF(INDIRECT("Checklist!$A1185"), "TRUE") = 1</formula>
    </cfRule>
    <cfRule type="expression" dxfId="4" priority="2597">
      <formula>COUNTIF(INDIRECT("Checklist!$A1185"), "FALSE") = 1</formula>
    </cfRule>
  </conditionalFormatting>
  <conditionalFormatting sqref="F174">
    <cfRule type="expression" dxfId="3" priority="2608">
      <formula>COUNTIF(INDIRECT("Checklist!$A1190"), "TRUE") = 1</formula>
    </cfRule>
    <cfRule type="expression" dxfId="4" priority="2609">
      <formula>COUNTIF(INDIRECT("Checklist!$A1190"),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COUNTIF(INDIRECT("Checklist!$A1211"), "TRUE") = 1</formula>
    </cfRule>
    <cfRule type="expression" dxfId="4" priority="2695">
      <formula>COUNTIF(INDIRECT("Checklist!$A1211"), "FALSE") = 1</formula>
    </cfRule>
  </conditionalFormatting>
  <conditionalFormatting sqref="F180">
    <cfRule type="expression" dxfId="3" priority="2706">
      <formula>COUNTIF(INDIRECT("Checklist!$A1217"), "TRUE") = 1</formula>
    </cfRule>
    <cfRule type="expression" dxfId="4" priority="2707">
      <formula>COUNTIF(INDIRECT("Checklist!$A1217"), "FALSE") = 1</formula>
    </cfRule>
  </conditionalFormatting>
  <conditionalFormatting sqref="F181">
    <cfRule type="expression" dxfId="3" priority="2718">
      <formula>COUNTIF(INDIRECT("Checklist!$A1223"), "TRUE") = 1</formula>
    </cfRule>
    <cfRule type="expression" dxfId="4" priority="2719">
      <formula>COUNTIF(INDIRECT("Checklist!$A1223"), "FALSE") = 1</formula>
    </cfRule>
  </conditionalFormatting>
  <conditionalFormatting sqref="F182">
    <cfRule type="expression" dxfId="3" priority="2730">
      <formula>COUNTIF(INDIRECT("Checklist!$None"), "TRUE") = 1</formula>
    </cfRule>
    <cfRule type="expression" dxfId="4" priority="2731">
      <formula>COUNTIF(INDIRECT("Checklist!$None"),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COUNTIF(INDIRECT("Checklist!$None"), "TRUE") = 1</formula>
    </cfRule>
    <cfRule type="expression" dxfId="4" priority="2817">
      <formula>COUNTIF(INDIRECT("Checklist!$None"),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COUNTIF(INDIRECT("Checklist!$A1277"), "TRUE") = 1</formula>
    </cfRule>
    <cfRule type="expression" dxfId="4" priority="2939">
      <formula>COUNTIF(INDIRECT("Checklist!$A1277"), "FALSE") = 1</formula>
    </cfRule>
  </conditionalFormatting>
  <conditionalFormatting sqref="F196">
    <cfRule type="expression" dxfId="3" priority="2950">
      <formula>COUNTIF(INDIRECT("Checklist!$A1283"), "TRUE") = 1</formula>
    </cfRule>
    <cfRule type="expression" dxfId="4" priority="2951">
      <formula>COUNTIF(INDIRECT("Checklist!$A1283"), "FALSE") = 1</formula>
    </cfRule>
  </conditionalFormatting>
  <conditionalFormatting sqref="F197">
    <cfRule type="expression" dxfId="3" priority="2962">
      <formula>COUNTIF(INDIRECT("Checklist!$A1289"), "TRUE") = 1</formula>
    </cfRule>
    <cfRule type="expression" dxfId="4" priority="2963">
      <formula>COUNTIF(INDIRECT("Checklist!$A1289"), "FALSE") = 1</formula>
    </cfRule>
  </conditionalFormatting>
  <conditionalFormatting sqref="F198">
    <cfRule type="expression" dxfId="3" priority="2974">
      <formula>COUNTIF(INDIRECT("Checklist!$A1295"), "TRUE") = 1</formula>
    </cfRule>
    <cfRule type="expression" dxfId="4" priority="2975">
      <formula>COUNTIF(INDIRECT("Checklist!$A1295"),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COUNTIF(INDIRECT("Checklist!$A1312"), "TRUE") = 1</formula>
    </cfRule>
    <cfRule type="expression" dxfId="4" priority="3061">
      <formula>COUNTIF(INDIRECT("Checklist!$A1312"), "FALSE") = 1</formula>
    </cfRule>
  </conditionalFormatting>
  <conditionalFormatting sqref="F204">
    <cfRule type="expression" dxfId="3" priority="3072">
      <formula>COUNTIF(INDIRECT("Checklist!$A1318"), "TRUE") = 1</formula>
    </cfRule>
    <cfRule type="expression" dxfId="4" priority="3073">
      <formula>COUNTIF(INDIRECT("Checklist!$A1318"), "FALSE") = 1</formula>
    </cfRule>
  </conditionalFormatting>
  <conditionalFormatting sqref="F205">
    <cfRule type="expression" dxfId="3" priority="3084">
      <formula>COUNTIF(INDIRECT("Checklist!$A1324"), "TRUE") = 1</formula>
    </cfRule>
    <cfRule type="expression" dxfId="4" priority="3085">
      <formula>COUNTIF(INDIRECT("Checklist!$A1324"), "FALSE") = 1</formula>
    </cfRule>
  </conditionalFormatting>
  <conditionalFormatting sqref="F206">
    <cfRule type="expression" dxfId="3" priority="3096">
      <formula>COUNTIF(INDIRECT("Checklist!$A1330"), "TRUE") = 1</formula>
    </cfRule>
    <cfRule type="expression" dxfId="4" priority="3097">
      <formula>COUNTIF(INDIRECT("Checklist!$A1330"), "FALSE") = 1</formula>
    </cfRule>
  </conditionalFormatting>
  <conditionalFormatting sqref="F207">
    <cfRule type="expression" dxfId="3" priority="3108">
      <formula>COUNTIF(INDIRECT("Checklist!$A1336"), "TRUE") = 1</formula>
    </cfRule>
    <cfRule type="expression" dxfId="4" priority="3109">
      <formula>COUNTIF(INDIRECT("Checklist!$A1336"),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COUNTIF(INDIRECT("Checklist!$A1348"), "TRUE") = 1</formula>
    </cfRule>
    <cfRule type="expression" dxfId="4" priority="3183">
      <formula>COUNTIF(INDIRECT("Checklist!$A1348"), "FALSE") = 1</formula>
    </cfRule>
  </conditionalFormatting>
  <conditionalFormatting sqref="F212">
    <cfRule type="expression" dxfId="3" priority="3194">
      <formula>COUNTIF(INDIRECT("Checklist!$A1353"), "TRUE") = 1</formula>
    </cfRule>
    <cfRule type="expression" dxfId="4" priority="3195">
      <formula>COUNTIF(INDIRECT("Checklist!$A1353"), "FALSE") = 1</formula>
    </cfRule>
  </conditionalFormatting>
  <conditionalFormatting sqref="F213">
    <cfRule type="expression" dxfId="3" priority="3206">
      <formula>COUNTIF(INDIRECT("Checklist!$None"), "TRUE") = 1</formula>
    </cfRule>
    <cfRule type="expression" dxfId="4" priority="3207">
      <formula>COUNTIF(INDIRECT("Checklist!$None"),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19">
    <cfRule type="expression" dxfId="3" priority="3304">
      <formula>COUNTIF(INDIRECT("Checklist!$A1380"), "TRUE") = 1</formula>
    </cfRule>
    <cfRule type="expression" dxfId="4" priority="3305">
      <formula>COUNTIF(INDIRECT("Checklist!$A1380"),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20">
    <cfRule type="expression" dxfId="3" priority="3316">
      <formula>COUNTIF(INDIRECT("Checklist!$A1386"), "TRUE") = 1</formula>
    </cfRule>
    <cfRule type="expression" dxfId="4" priority="3317">
      <formula>COUNTIF(INDIRECT("Checklist!$A1386"), "FALSE") = 1</formula>
    </cfRule>
  </conditionalFormatting>
  <conditionalFormatting sqref="F221">
    <cfRule type="expression" dxfId="3" priority="3328">
      <formula>COUNTIF(INDIRECT("Checklist!$A1392"), "TRUE") = 1</formula>
    </cfRule>
    <cfRule type="expression" dxfId="4" priority="3329">
      <formula>COUNTIF(INDIRECT("Checklist!$A1392"), "FALSE") = 1</formula>
    </cfRule>
  </conditionalFormatting>
  <conditionalFormatting sqref="F222">
    <cfRule type="expression" dxfId="3" priority="3340">
      <formula>COUNTIF(INDIRECT("Checklist!$None"), "TRUE") = 1</formula>
    </cfRule>
    <cfRule type="expression" dxfId="4" priority="3341">
      <formula>COUNTIF(INDIRECT("Checklist!$None"), "FALSE") = 1</formula>
    </cfRule>
  </conditionalFormatting>
  <conditionalFormatting sqref="F223">
    <cfRule type="expression" dxfId="3" priority="3352">
      <formula>COUNTIF(INDIRECT("Checklist!$None"), "TRUE") = 1</formula>
    </cfRule>
    <cfRule type="expression" dxfId="4" priority="3353">
      <formula>COUNTIF(INDIRECT("Checklist!$None"),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COUNTIF(INDIRECT("Checklist!$A907"), "TRUE") = 1</formula>
    </cfRule>
    <cfRule type="expression" dxfId="4" priority="1843">
      <formula>COUNTIF(INDIRECT("Checklist!$A907"), "FALSE") = 1</formula>
    </cfRule>
  </conditionalFormatting>
  <conditionalFormatting sqref="G124">
    <cfRule type="expression" dxfId="3" priority="1854">
      <formula>COUNTIF(INDIRECT("Checklist!$A913"), "TRUE") = 1</formula>
    </cfRule>
    <cfRule type="expression" dxfId="4" priority="1855">
      <formula>COUNTIF(INDIRECT("Checklist!$A913"), "FALSE") = 1</formula>
    </cfRule>
  </conditionalFormatting>
  <conditionalFormatting sqref="G125">
    <cfRule type="expression" dxfId="3" priority="1866">
      <formula>COUNTIF(INDIRECT("Checklist!$A919"), "TRUE") = 1</formula>
    </cfRule>
    <cfRule type="expression" dxfId="4" priority="1867">
      <formula>COUNTIF(INDIRECT("Checklist!$A919"), "FALSE") = 1</formula>
    </cfRule>
  </conditionalFormatting>
  <conditionalFormatting sqref="G126">
    <cfRule type="expression" dxfId="3" priority="1878">
      <formula>COUNTIF(INDIRECT("Checklist!$A925"), "TRUE") = 1</formula>
    </cfRule>
    <cfRule type="expression" dxfId="4" priority="1879">
      <formula>COUNTIF(INDIRECT("Checklist!$A925"), "FALSE") = 1</formula>
    </cfRule>
  </conditionalFormatting>
  <conditionalFormatting sqref="G127">
    <cfRule type="expression" dxfId="3" priority="1890">
      <formula>COUNTIF(INDIRECT("Checklist!$A931"), "TRUE") = 1</formula>
    </cfRule>
    <cfRule type="expression" dxfId="4" priority="1891">
      <formula>COUNTIF(INDIRECT("Checklist!$A931"),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COUNTIF(INDIRECT("Checklist!$A967"), "TRUE") = 1</formula>
    </cfRule>
    <cfRule type="expression" dxfId="4" priority="1965">
      <formula>COUNTIF(INDIRECT("Checklist!$A967"), "FALSE") = 1</formula>
    </cfRule>
  </conditionalFormatting>
  <conditionalFormatting sqref="G132">
    <cfRule type="expression" dxfId="3" priority="1976">
      <formula>COUNTIF(INDIRECT("Checklist!$A973"), "TRUE") = 1</formula>
    </cfRule>
    <cfRule type="expression" dxfId="4" priority="1977">
      <formula>COUNTIF(INDIRECT("Checklist!$A973"), "FALSE") = 1</formula>
    </cfRule>
  </conditionalFormatting>
  <conditionalFormatting sqref="G133">
    <cfRule type="expression" dxfId="3" priority="1988">
      <formula>COUNTIF(INDIRECT("Checklist!$A1350"), "TRUE") = 1</formula>
    </cfRule>
    <cfRule type="expression" dxfId="4" priority="1989">
      <formula>COUNTIF(INDIRECT("Checklist!$A1350"), "FALSE") = 1</formula>
    </cfRule>
  </conditionalFormatting>
  <conditionalFormatting sqref="G134">
    <cfRule type="expression" dxfId="3" priority="2000">
      <formula>COUNTIF(INDIRECT("Checklist!$A985"), "TRUE") = 1</formula>
    </cfRule>
    <cfRule type="expression" dxfId="4" priority="2001">
      <formula>COUNTIF(INDIRECT("Checklist!$A985"), "FALSE") = 1</formula>
    </cfRule>
  </conditionalFormatting>
  <conditionalFormatting sqref="G135">
    <cfRule type="expression" dxfId="3" priority="2012">
      <formula>COUNTIF(INDIRECT("Checklist!$A991"), "TRUE") = 1</formula>
    </cfRule>
    <cfRule type="expression" dxfId="4" priority="2013">
      <formula>COUNTIF(INDIRECT("Checklist!$A991"), "FALSE") = 1</formula>
    </cfRule>
  </conditionalFormatting>
  <conditionalFormatting sqref="G139">
    <cfRule type="expression" dxfId="3" priority="2086">
      <formula>COUNTIF(INDIRECT("Checklist!$A1017"), "TRUE") = 1</formula>
    </cfRule>
    <cfRule type="expression" dxfId="4" priority="2087">
      <formula>COUNTIF(INDIRECT("Checklist!$A1017"),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COUNTIF(INDIRECT("Checklist!$A1023"), "TRUE") = 1</formula>
    </cfRule>
    <cfRule type="expression" dxfId="4" priority="2099">
      <formula>COUNTIF(INDIRECT("Checklist!$A1023"), "FALSE") = 1</formula>
    </cfRule>
  </conditionalFormatting>
  <conditionalFormatting sqref="G141">
    <cfRule type="expression" dxfId="3" priority="2110">
      <formula>COUNTIF(INDIRECT("Checklist!$A1029"), "TRUE") = 1</formula>
    </cfRule>
    <cfRule type="expression" dxfId="4" priority="2111">
      <formula>COUNTIF(INDIRECT("Checklist!$A1029"), "FALSE") = 1</formula>
    </cfRule>
  </conditionalFormatting>
  <conditionalFormatting sqref="G142">
    <cfRule type="expression" dxfId="3" priority="2122">
      <formula>COUNTIF(INDIRECT("Checklist!$A1035"), "TRUE") = 1</formula>
    </cfRule>
    <cfRule type="expression" dxfId="4" priority="2123">
      <formula>COUNTIF(INDIRECT("Checklist!$A1035"), "FALSE") = 1</formula>
    </cfRule>
  </conditionalFormatting>
  <conditionalFormatting sqref="G143">
    <cfRule type="expression" dxfId="3" priority="2134">
      <formula>COUNTIF(INDIRECT("Checklist!$A1041"), "TRUE") = 1</formula>
    </cfRule>
    <cfRule type="expression" dxfId="4" priority="2135">
      <formula>COUNTIF(INDIRECT("Checklist!$A1041"), "FALSE") = 1</formula>
    </cfRule>
  </conditionalFormatting>
  <conditionalFormatting sqref="G147">
    <cfRule type="expression" dxfId="3" priority="2208">
      <formula>COUNTIF(INDIRECT("Checklist!$A1077"), "TRUE") = 1</formula>
    </cfRule>
    <cfRule type="expression" dxfId="4" priority="2209">
      <formula>COUNTIF(INDIRECT("Checklist!$A1077"), "FALSE") = 1</formula>
    </cfRule>
  </conditionalFormatting>
  <conditionalFormatting sqref="G148">
    <cfRule type="expression" dxfId="3" priority="2220">
      <formula>COUNTIF(INDIRECT("Checklist!$A1083"), "TRUE") = 1</formula>
    </cfRule>
    <cfRule type="expression" dxfId="4" priority="2221">
      <formula>COUNTIF(INDIRECT("Checklist!$A1083"), "FALSE") = 1</formula>
    </cfRule>
  </conditionalFormatting>
  <conditionalFormatting sqref="G149">
    <cfRule type="expression" dxfId="3" priority="2232">
      <formula>COUNTIF(INDIRECT("Checklist!$A1089"), "TRUE") = 1</formula>
    </cfRule>
    <cfRule type="expression" dxfId="4" priority="2233">
      <formula>COUNTIF(INDIRECT("Checklist!$A1089"),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COUNTIF(INDIRECT("Checklist!$A1095"), "TRUE") = 1</formula>
    </cfRule>
    <cfRule type="expression" dxfId="4" priority="2245">
      <formula>COUNTIF(INDIRECT("Checklist!$A1095"), "FALSE") = 1</formula>
    </cfRule>
  </conditionalFormatting>
  <conditionalFormatting sqref="G151">
    <cfRule type="expression" dxfId="3" priority="2256">
      <formula>COUNTIF(INDIRECT("Checklist!$A1101"), "TRUE") = 1</formula>
    </cfRule>
    <cfRule type="expression" dxfId="4" priority="2257">
      <formula>COUNTIF(INDIRECT("Checklist!$A1101"), "FALSE") = 1</formula>
    </cfRule>
  </conditionalFormatting>
  <conditionalFormatting sqref="G155">
    <cfRule type="expression" dxfId="3" priority="2330">
      <formula>COUNTIF(INDIRECT("Checklist!$A1119"), "TRUE") = 1</formula>
    </cfRule>
    <cfRule type="expression" dxfId="4" priority="2331">
      <formula>COUNTIF(INDIRECT("Checklist!$A1119"),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COUNTIF(INDIRECT("Checklist!$None"), "TRUE") = 1</formula>
    </cfRule>
    <cfRule type="expression" dxfId="4" priority="2367">
      <formula>COUNTIF(INDIRECT("Checklist!$None"),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COUNTIF(INDIRECT("Checklist!$A1163"), "TRUE") = 1</formula>
    </cfRule>
    <cfRule type="expression" dxfId="4" priority="2489">
      <formula>COUNTIF(INDIRECT("Checklist!$A1163"), "FALSE") = 1</formula>
    </cfRule>
  </conditionalFormatting>
  <conditionalFormatting sqref="G167">
    <cfRule type="expression" dxfId="3" priority="2500">
      <formula>COUNTIF(INDIRECT("Checklist!$None"), "TRUE") = 1</formula>
    </cfRule>
    <cfRule type="expression" dxfId="4" priority="2501">
      <formula>COUNTIF(INDIRECT("Checklist!$None"),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COUNTIF(INDIRECT("Checklist!$None"), "TRUE") = 1</formula>
    </cfRule>
    <cfRule type="expression" dxfId="4" priority="2599">
      <formula>COUNTIF(INDIRECT("Checklist!$None"),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COUNTIF(INDIRECT("Checklist!$A1212"), "TRUE") = 1</formula>
    </cfRule>
    <cfRule type="expression" dxfId="4" priority="2697">
      <formula>COUNTIF(INDIRECT("Checklist!$A1212"), "FALSE") = 1</formula>
    </cfRule>
  </conditionalFormatting>
  <conditionalFormatting sqref="G180">
    <cfRule type="expression" dxfId="3" priority="2708">
      <formula>COUNTIF(INDIRECT("Checklist!$A1218"), "TRUE") = 1</formula>
    </cfRule>
    <cfRule type="expression" dxfId="4" priority="2709">
      <formula>COUNTIF(INDIRECT("Checklist!$A1218"), "FALSE") = 1</formula>
    </cfRule>
  </conditionalFormatting>
  <conditionalFormatting sqref="G181">
    <cfRule type="expression" dxfId="3" priority="2720">
      <formula>COUNTIF(INDIRECT("Checklist!$A1224"), "TRUE") = 1</formula>
    </cfRule>
    <cfRule type="expression" dxfId="4" priority="2721">
      <formula>COUNTIF(INDIRECT("Checklist!$A1224"), "FALSE") = 1</formula>
    </cfRule>
  </conditionalFormatting>
  <conditionalFormatting sqref="G182">
    <cfRule type="expression" dxfId="3" priority="2732">
      <formula>COUNTIF(INDIRECT("Checklist!$None"), "TRUE") = 1</formula>
    </cfRule>
    <cfRule type="expression" dxfId="4" priority="2733">
      <formula>COUNTIF(INDIRECT("Checklist!$None"),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COUNTIF(INDIRECT("Checklist!$None"), "TRUE") = 1</formula>
    </cfRule>
    <cfRule type="expression" dxfId="4" priority="2819">
      <formula>COUNTIF(INDIRECT("Checklist!$None"),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COUNTIF(INDIRECT("Checklist!$A1278"), "TRUE") = 1</formula>
    </cfRule>
    <cfRule type="expression" dxfId="4" priority="2941">
      <formula>COUNTIF(INDIRECT("Checklist!$A1278"), "FALSE") = 1</formula>
    </cfRule>
  </conditionalFormatting>
  <conditionalFormatting sqref="G196">
    <cfRule type="expression" dxfId="3" priority="2952">
      <formula>COUNTIF(INDIRECT("Checklist!$A1284"), "TRUE") = 1</formula>
    </cfRule>
    <cfRule type="expression" dxfId="4" priority="2953">
      <formula>COUNTIF(INDIRECT("Checklist!$A1284"), "FALSE") = 1</formula>
    </cfRule>
  </conditionalFormatting>
  <conditionalFormatting sqref="G197">
    <cfRule type="expression" dxfId="3" priority="2964">
      <formula>COUNTIF(INDIRECT("Checklist!$A1290"), "TRUE") = 1</formula>
    </cfRule>
    <cfRule type="expression" dxfId="4" priority="2965">
      <formula>COUNTIF(INDIRECT("Checklist!$A1290"), "FALSE") = 1</formula>
    </cfRule>
  </conditionalFormatting>
  <conditionalFormatting sqref="G198">
    <cfRule type="expression" dxfId="3" priority="2976">
      <formula>COUNTIF(INDIRECT("Checklist!$A1296"), "TRUE") = 1</formula>
    </cfRule>
    <cfRule type="expression" dxfId="4" priority="2977">
      <formula>COUNTIF(INDIRECT("Checklist!$A1296"),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COUNTIF(INDIRECT("Checklist!$A1313"), "TRUE") = 1</formula>
    </cfRule>
    <cfRule type="expression" dxfId="4" priority="3063">
      <formula>COUNTIF(INDIRECT("Checklist!$A1313"), "FALSE") = 1</formula>
    </cfRule>
  </conditionalFormatting>
  <conditionalFormatting sqref="G204">
    <cfRule type="expression" dxfId="3" priority="3074">
      <formula>COUNTIF(INDIRECT("Checklist!$A1319"), "TRUE") = 1</formula>
    </cfRule>
    <cfRule type="expression" dxfId="4" priority="3075">
      <formula>COUNTIF(INDIRECT("Checklist!$A1319"), "FALSE") = 1</formula>
    </cfRule>
  </conditionalFormatting>
  <conditionalFormatting sqref="G205">
    <cfRule type="expression" dxfId="3" priority="3086">
      <formula>COUNTIF(INDIRECT("Checklist!$A1325"), "TRUE") = 1</formula>
    </cfRule>
    <cfRule type="expression" dxfId="4" priority="3087">
      <formula>COUNTIF(INDIRECT("Checklist!$A1325"), "FALSE") = 1</formula>
    </cfRule>
  </conditionalFormatting>
  <conditionalFormatting sqref="G206">
    <cfRule type="expression" dxfId="3" priority="3098">
      <formula>COUNTIF(INDIRECT("Checklist!$A1331"), "TRUE") = 1</formula>
    </cfRule>
    <cfRule type="expression" dxfId="4" priority="3099">
      <formula>COUNTIF(INDIRECT("Checklist!$A1331"), "FALSE") = 1</formula>
    </cfRule>
  </conditionalFormatting>
  <conditionalFormatting sqref="G207">
    <cfRule type="expression" dxfId="3" priority="3110">
      <formula>COUNTIF(INDIRECT("Checklist!$A1337"), "TRUE") = 1</formula>
    </cfRule>
    <cfRule type="expression" dxfId="4" priority="3111">
      <formula>COUNTIF(INDIRECT("Checklist!$A1337"),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COUNTIF(INDIRECT("Checklist!$A1349"), "TRUE") = 1</formula>
    </cfRule>
    <cfRule type="expression" dxfId="4" priority="3185">
      <formula>COUNTIF(INDIRECT("Checklist!$A1349"), "FALSE") = 1</formula>
    </cfRule>
  </conditionalFormatting>
  <conditionalFormatting sqref="G212">
    <cfRule type="expression" dxfId="3" priority="3196">
      <formula>COUNTIF(INDIRECT("Checklist!$A1354"), "TRUE") = 1</formula>
    </cfRule>
    <cfRule type="expression" dxfId="4" priority="3197">
      <formula>COUNTIF(INDIRECT("Checklist!$A1354"),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19">
    <cfRule type="expression" dxfId="3" priority="3306">
      <formula>COUNTIF(INDIRECT("Checklist!$A1381"), "TRUE") = 1</formula>
    </cfRule>
    <cfRule type="expression" dxfId="4" priority="3307">
      <formula>COUNTIF(INDIRECT("Checklist!$A1381"),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20">
    <cfRule type="expression" dxfId="3" priority="3318">
      <formula>COUNTIF(INDIRECT("Checklist!$A1387"), "TRUE") = 1</formula>
    </cfRule>
    <cfRule type="expression" dxfId="4" priority="3319">
      <formula>COUNTIF(INDIRECT("Checklist!$A1387"), "FALSE") = 1</formula>
    </cfRule>
  </conditionalFormatting>
  <conditionalFormatting sqref="G221">
    <cfRule type="expression" dxfId="3" priority="3330">
      <formula>COUNTIF(INDIRECT("Checklist!$A1393"), "TRUE") = 1</formula>
    </cfRule>
    <cfRule type="expression" dxfId="4" priority="3331">
      <formula>COUNTIF(INDIRECT("Checklist!$A1393"), "FALSE") = 1</formula>
    </cfRule>
  </conditionalFormatting>
  <conditionalFormatting sqref="G222">
    <cfRule type="expression" dxfId="3" priority="3342">
      <formula>COUNTIF(INDIRECT("Checklist!$None"), "TRUE") = 1</formula>
    </cfRule>
    <cfRule type="expression" dxfId="4" priority="3343">
      <formula>COUNTIF(INDIRECT("Checklist!$None"), "FALSE") = 1</formula>
    </cfRule>
  </conditionalFormatting>
  <conditionalFormatting sqref="G223">
    <cfRule type="expression" dxfId="3" priority="3354">
      <formula>COUNTIF(INDIRECT("Checklist!$None"), "TRUE") = 1</formula>
    </cfRule>
    <cfRule type="expression" dxfId="4" priority="3355">
      <formula>COUNTIF(INDIRECT("Checklist!$None"),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COUNTIF(INDIRECT("Checklist!$A932"), "TRUE") = 1</formula>
    </cfRule>
    <cfRule type="expression" dxfId="4" priority="1894">
      <formula>COUNTIF(INDIRECT("Checklist!$A932"), "FALSE") = 1</formula>
    </cfRule>
  </conditionalFormatting>
  <conditionalFormatting sqref="I124">
    <cfRule type="expression" dxfId="3" priority="1905">
      <formula>COUNTIF(INDIRECT("Checklist!$A938"), "TRUE") = 1</formula>
    </cfRule>
    <cfRule type="expression" dxfId="4" priority="1906">
      <formula>COUNTIF(INDIRECT("Checklist!$A938"), "FALSE") = 1</formula>
    </cfRule>
  </conditionalFormatting>
  <conditionalFormatting sqref="I125">
    <cfRule type="expression" dxfId="3" priority="1917">
      <formula>COUNTIF(INDIRECT("Checklist!$A944"), "TRUE") = 1</formula>
    </cfRule>
    <cfRule type="expression" dxfId="4" priority="1918">
      <formula>COUNTIF(INDIRECT("Checklist!$A944"), "FALSE") = 1</formula>
    </cfRule>
  </conditionalFormatting>
  <conditionalFormatting sqref="I126">
    <cfRule type="expression" dxfId="3" priority="1929">
      <formula>COUNTIF(INDIRECT("Checklist!$A950"), "TRUE") = 1</formula>
    </cfRule>
    <cfRule type="expression" dxfId="4" priority="1930">
      <formula>COUNTIF(INDIRECT("Checklist!$A950"), "FALSE") = 1</formula>
    </cfRule>
  </conditionalFormatting>
  <conditionalFormatting sqref="I127">
    <cfRule type="expression" dxfId="3" priority="1941">
      <formula>COUNTIF(INDIRECT("Checklist!$A956"), "TRUE") = 1</formula>
    </cfRule>
    <cfRule type="expression" dxfId="4" priority="1942">
      <formula>COUNTIF(INDIRECT("Checklist!$A956"),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COUNTIF(INDIRECT("Checklist!$A992"), "TRUE") = 1</formula>
    </cfRule>
    <cfRule type="expression" dxfId="4" priority="2016">
      <formula>COUNTIF(INDIRECT("Checklist!$A992"), "FALSE") = 1</formula>
    </cfRule>
  </conditionalFormatting>
  <conditionalFormatting sqref="I132">
    <cfRule type="expression" dxfId="3" priority="2027">
      <formula>COUNTIF(INDIRECT("Checklist!$A998"), "TRUE") = 1</formula>
    </cfRule>
    <cfRule type="expression" dxfId="4" priority="2028">
      <formula>COUNTIF(INDIRECT("Checklist!$A998"), "FALSE") = 1</formula>
    </cfRule>
  </conditionalFormatting>
  <conditionalFormatting sqref="I133">
    <cfRule type="expression" dxfId="3" priority="2039">
      <formula>COUNTIF(INDIRECT("Checklist!$A1004"), "TRUE") = 1</formula>
    </cfRule>
    <cfRule type="expression" dxfId="4" priority="2040">
      <formula>COUNTIF(INDIRECT("Checklist!$A1004"), "FALSE") = 1</formula>
    </cfRule>
  </conditionalFormatting>
  <conditionalFormatting sqref="I134">
    <cfRule type="expression" dxfId="3" priority="2051">
      <formula>COUNTIF(INDIRECT("Checklist!$A1010"), "TRUE") = 1</formula>
    </cfRule>
    <cfRule type="expression" dxfId="4" priority="2052">
      <formula>COUNTIF(INDIRECT("Checklist!$A1010"), "FALSE") = 1</formula>
    </cfRule>
  </conditionalFormatting>
  <conditionalFormatting sqref="I135">
    <cfRule type="expression" dxfId="3" priority="2063">
      <formula>COUNTIF(INDIRECT("Checklist!$None"), "TRUE") = 1</formula>
    </cfRule>
    <cfRule type="expression" dxfId="4" priority="2064">
      <formula>COUNTIF(INDIRECT("Checklist!$None"),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COUNTIF(INDIRECT("Checklist!$A1042"), "TRUE") = 1</formula>
    </cfRule>
    <cfRule type="expression" dxfId="4" priority="2138">
      <formula>COUNTIF(INDIRECT("Checklist!$A1042"),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COUNTIF(INDIRECT("Checklist!$A1048"), "TRUE") = 1</formula>
    </cfRule>
    <cfRule type="expression" dxfId="4" priority="2150">
      <formula>COUNTIF(INDIRECT("Checklist!$A1048"), "FALSE") = 1</formula>
    </cfRule>
  </conditionalFormatting>
  <conditionalFormatting sqref="I141">
    <cfRule type="expression" dxfId="3" priority="2161">
      <formula>COUNTIF(INDIRECT("Checklist!$A1054"), "TRUE") = 1</formula>
    </cfRule>
    <cfRule type="expression" dxfId="4" priority="2162">
      <formula>COUNTIF(INDIRECT("Checklist!$A1054"), "FALSE") = 1</formula>
    </cfRule>
  </conditionalFormatting>
  <conditionalFormatting sqref="I142">
    <cfRule type="expression" dxfId="3" priority="2173">
      <formula>COUNTIF(INDIRECT("Checklist!$A1060"), "TRUE") = 1</formula>
    </cfRule>
    <cfRule type="expression" dxfId="4" priority="2174">
      <formula>COUNTIF(INDIRECT("Checklist!$A1060"), "FALSE") = 1</formula>
    </cfRule>
  </conditionalFormatting>
  <conditionalFormatting sqref="I143">
    <cfRule type="expression" dxfId="3" priority="2185">
      <formula>COUNTIF(INDIRECT("Checklist!$A1066"), "TRUE") = 1</formula>
    </cfRule>
    <cfRule type="expression" dxfId="4" priority="2186">
      <formula>COUNTIF(INDIRECT("Checklist!$A1066"),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COUNTIF(INDIRECT("Checklist!$A1102"), "TRUE") = 1</formula>
    </cfRule>
    <cfRule type="expression" dxfId="4" priority="2260">
      <formula>COUNTIF(INDIRECT("Checklist!$A1102"), "FALSE") = 1</formula>
    </cfRule>
  </conditionalFormatting>
  <conditionalFormatting sqref="I148">
    <cfRule type="expression" dxfId="3" priority="2271">
      <formula>COUNTIF(INDIRECT("Checklist!$A1108"), "TRUE") = 1</formula>
    </cfRule>
    <cfRule type="expression" dxfId="4" priority="2272">
      <formula>COUNTIF(INDIRECT("Checklist!$A1108"), "FALSE") = 1</formula>
    </cfRule>
  </conditionalFormatting>
  <conditionalFormatting sqref="I149">
    <cfRule type="expression" dxfId="3" priority="2283">
      <formula>COUNTIF(INDIRECT("Checklist!$A1114"), "TRUE") = 1</formula>
    </cfRule>
    <cfRule type="expression" dxfId="4" priority="2284">
      <formula>COUNTIF(INDIRECT("Checklist!$A1114"),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COUNTIF(INDIRECT("Checklist!$None"), "TRUE") = 1</formula>
    </cfRule>
    <cfRule type="expression" dxfId="4" priority="2296">
      <formula>COUNTIF(INDIRECT("Checklist!$None"), "FALSE") = 1</formula>
    </cfRule>
  </conditionalFormatting>
  <conditionalFormatting sqref="I151">
    <cfRule type="expression" dxfId="3" priority="2307">
      <formula>COUNTIF(INDIRECT("Checklist!$None"), "TRUE") = 1</formula>
    </cfRule>
    <cfRule type="expression" dxfId="4" priority="2308">
      <formula>COUNTIF(INDIRECT("Checklist!$None"),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COUNTIF(INDIRECT("Checklist!$A202"), "TRUE") = 1</formula>
    </cfRule>
    <cfRule type="expression" dxfId="4" priority="2382">
      <formula>COUNTIF(INDIRECT("Checklist!$A202"), "FALSE") = 1</formula>
    </cfRule>
  </conditionalFormatting>
  <conditionalFormatting sqref="I156">
    <cfRule type="expression" dxfId="3" priority="2393">
      <formula>COUNTIF(INDIRECT("Checklist!$A1128"), "TRUE") = 1</formula>
    </cfRule>
    <cfRule type="expression" dxfId="4" priority="2394">
      <formula>COUNTIF(INDIRECT("Checklist!$A1128"), "FALSE") = 1</formula>
    </cfRule>
  </conditionalFormatting>
  <conditionalFormatting sqref="I157">
    <cfRule type="expression" dxfId="3" priority="2405">
      <formula>COUNTIF(INDIRECT("Checklist!$A1134"), "TRUE") = 1</formula>
    </cfRule>
    <cfRule type="expression" dxfId="4" priority="2406">
      <formula>COUNTIF(INDIRECT("Checklist!$A1134"), "FALSE") = 1</formula>
    </cfRule>
  </conditionalFormatting>
  <conditionalFormatting sqref="I158">
    <cfRule type="expression" dxfId="3" priority="2417">
      <formula>COUNTIF(INDIRECT("Checklist!$A1140"), "TRUE") = 1</formula>
    </cfRule>
    <cfRule type="expression" dxfId="4" priority="2418">
      <formula>COUNTIF(INDIRECT("Checklist!$A1140"), "FALSE") = 1</formula>
    </cfRule>
  </conditionalFormatting>
  <conditionalFormatting sqref="I159">
    <cfRule type="expression" dxfId="3" priority="2429">
      <formula>COUNTIF(INDIRECT("Checklist!$A1146"), "TRUE") = 1</formula>
    </cfRule>
    <cfRule type="expression" dxfId="4" priority="2430">
      <formula>COUNTIF(INDIRECT("Checklist!$A1146"),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COUNTIF(INDIRECT("Checklist!$A586"), "TRUE") = 1</formula>
    </cfRule>
    <cfRule type="expression" dxfId="4" priority="2504">
      <formula>COUNTIF(INDIRECT("Checklist!$A586"), "FALSE") = 1</formula>
    </cfRule>
  </conditionalFormatting>
  <conditionalFormatting sqref="I164">
    <cfRule type="expression" dxfId="3" priority="2515">
      <formula>COUNTIF(INDIRECT("Checklist!$A587"), "TRUE") = 1</formula>
    </cfRule>
    <cfRule type="expression" dxfId="4" priority="2516">
      <formula>COUNTIF(INDIRECT("Checklist!$A587"), "FALSE") = 1</formula>
    </cfRule>
  </conditionalFormatting>
  <conditionalFormatting sqref="I165">
    <cfRule type="expression" dxfId="3" priority="2527">
      <formula>COUNTIF(INDIRECT("Checklist!$A551"), "TRUE") = 1</formula>
    </cfRule>
    <cfRule type="expression" dxfId="4" priority="2528">
      <formula>COUNTIF(INDIRECT("Checklist!$A551"), "FALSE") = 1</formula>
    </cfRule>
  </conditionalFormatting>
  <conditionalFormatting sqref="I166">
    <cfRule type="expression" dxfId="3" priority="2539">
      <formula>COUNTIF(INDIRECT("Checklist!$A642"), "TRUE") = 1</formula>
    </cfRule>
    <cfRule type="expression" dxfId="4" priority="2540">
      <formula>COUNTIF(INDIRECT("Checklist!$A642"), "FALSE") = 1</formula>
    </cfRule>
  </conditionalFormatting>
  <conditionalFormatting sqref="I167">
    <cfRule type="expression" dxfId="3" priority="2551">
      <formula>COUNTIF(INDIRECT("Checklist!$A648"), "TRUE") = 1</formula>
    </cfRule>
    <cfRule type="expression" dxfId="4" priority="2552">
      <formula>COUNTIF(INDIRECT("Checklist!$A648"),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COUNTIF(INDIRECT("Checklist!$A670"), "TRUE") = 1</formula>
    </cfRule>
    <cfRule type="expression" dxfId="4" priority="2626">
      <formula>COUNTIF(INDIRECT("Checklist!$A670"), "FALSE") = 1</formula>
    </cfRule>
  </conditionalFormatting>
  <conditionalFormatting sqref="I172">
    <cfRule type="expression" dxfId="3" priority="2637">
      <formula>COUNTIF(INDIRECT("Checklist!$A671"), "TRUE") = 1</formula>
    </cfRule>
    <cfRule type="expression" dxfId="4" priority="2638">
      <formula>COUNTIF(INDIRECT("Checklist!$A671"), "FALSE") = 1</formula>
    </cfRule>
  </conditionalFormatting>
  <conditionalFormatting sqref="I173">
    <cfRule type="expression" dxfId="3" priority="2649">
      <formula>COUNTIF(INDIRECT("Checklist!$A672"), "TRUE") = 1</formula>
    </cfRule>
    <cfRule type="expression" dxfId="4" priority="2650">
      <formula>COUNTIF(INDIRECT("Checklist!$A672"), "FALSE") = 1</formula>
    </cfRule>
  </conditionalFormatting>
  <conditionalFormatting sqref="I174">
    <cfRule type="expression" dxfId="3" priority="2661">
      <formula>COUNTIF(INDIRECT("Checklist!$A721"), "TRUE") = 1</formula>
    </cfRule>
    <cfRule type="expression" dxfId="4" priority="2662">
      <formula>COUNTIF(INDIRECT("Checklist!$A721"), "FALSE") = 1</formula>
    </cfRule>
  </conditionalFormatting>
  <conditionalFormatting sqref="I175">
    <cfRule type="expression" dxfId="3" priority="2673">
      <formula>COUNTIF(INDIRECT("Checklist!$A659"), "TRUE") = 1</formula>
    </cfRule>
    <cfRule type="expression" dxfId="4" priority="2674">
      <formula>COUNTIF(INDIRECT("Checklist!$A659"),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COUNTIF(INDIRECT("Checklist!$A742"), "TRUE") = 1</formula>
    </cfRule>
    <cfRule type="expression" dxfId="4" priority="2748">
      <formula>COUNTIF(INDIRECT("Checklist!$A742"), "FALSE") = 1</formula>
    </cfRule>
  </conditionalFormatting>
  <conditionalFormatting sqref="I180">
    <cfRule type="expression" dxfId="3" priority="2759">
      <formula>COUNTIF(INDIRECT("Checklist!$A745"), "TRUE") = 1</formula>
    </cfRule>
    <cfRule type="expression" dxfId="4" priority="2760">
      <formula>COUNTIF(INDIRECT("Checklist!$A745"), "FALSE") = 1</formula>
    </cfRule>
  </conditionalFormatting>
  <conditionalFormatting sqref="I181">
    <cfRule type="expression" dxfId="3" priority="2771">
      <formula>COUNTIF(INDIRECT("Checklist!$A775"), "TRUE") = 1</formula>
    </cfRule>
    <cfRule type="expression" dxfId="4" priority="2772">
      <formula>COUNTIF(INDIRECT("Checklist!$A775"), "FALSE") = 1</formula>
    </cfRule>
  </conditionalFormatting>
  <conditionalFormatting sqref="I182">
    <cfRule type="expression" dxfId="3" priority="2783">
      <formula>COUNTIF(INDIRECT("Checklist!$A1238"), "TRUE") = 1</formula>
    </cfRule>
    <cfRule type="expression" dxfId="4" priority="2784">
      <formula>COUNTIF(INDIRECT("Checklist!$A1238"), "FALSE") = 1</formula>
    </cfRule>
  </conditionalFormatting>
  <conditionalFormatting sqref="I183">
    <cfRule type="expression" dxfId="3" priority="2795">
      <formula>COUNTIF(INDIRECT("Checklist!$None"), "TRUE") = 1</formula>
    </cfRule>
    <cfRule type="expression" dxfId="4" priority="2796">
      <formula>COUNTIF(INDIRECT("Checklist!$None"),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COUNTIF(INDIRECT("Checklist!$A870"), "TRUE") = 1</formula>
    </cfRule>
    <cfRule type="expression" dxfId="4" priority="2870">
      <formula>COUNTIF(INDIRECT("Checklist!$A870"), "FALSE") = 1</formula>
    </cfRule>
  </conditionalFormatting>
  <conditionalFormatting sqref="I188">
    <cfRule type="expression" dxfId="3" priority="2881">
      <formula>COUNTIF(INDIRECT("Checklist!$A1251"), "TRUE") = 1</formula>
    </cfRule>
    <cfRule type="expression" dxfId="4" priority="2882">
      <formula>COUNTIF(INDIRECT("Checklist!$A1251"), "FALSE") = 1</formula>
    </cfRule>
  </conditionalFormatting>
  <conditionalFormatting sqref="I189">
    <cfRule type="expression" dxfId="3" priority="2893">
      <formula>COUNTIF(INDIRECT("Checklist!$A1257"), "TRUE") = 1</formula>
    </cfRule>
    <cfRule type="expression" dxfId="4" priority="2894">
      <formula>COUNTIF(INDIRECT("Checklist!$A1257"),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COUNTIF(INDIRECT("Checklist!$A1263"), "TRUE") = 1</formula>
    </cfRule>
    <cfRule type="expression" dxfId="4" priority="2906">
      <formula>COUNTIF(INDIRECT("Checklist!$A1263"), "FALSE") = 1</formula>
    </cfRule>
  </conditionalFormatting>
  <conditionalFormatting sqref="I191">
    <cfRule type="expression" dxfId="3" priority="2917">
      <formula>COUNTIF(INDIRECT("Checklist!$A1269"), "TRUE") = 1</formula>
    </cfRule>
    <cfRule type="expression" dxfId="4" priority="2918">
      <formula>COUNTIF(INDIRECT("Checklist!$A1269"),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COUNTIF(INDIRECT("Checklist!$A1301"), "TRUE") = 1</formula>
    </cfRule>
    <cfRule type="expression" dxfId="4" priority="2992">
      <formula>COUNTIF(INDIRECT("Checklist!$A1301"), "FALSE") = 1</formula>
    </cfRule>
  </conditionalFormatting>
  <conditionalFormatting sqref="I196">
    <cfRule type="expression" dxfId="3" priority="3003">
      <formula>COUNTIF(INDIRECT("Checklist!$A1307"), "TRUE") = 1</formula>
    </cfRule>
    <cfRule type="expression" dxfId="4" priority="3004">
      <formula>COUNTIF(INDIRECT("Checklist!$A1307"),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COUNTIF(INDIRECT("Checklist!$A1338"), "TRUE") = 1</formula>
    </cfRule>
    <cfRule type="expression" dxfId="4" priority="3114">
      <formula>COUNTIF(INDIRECT("Checklist!$A1338"), "FALSE") = 1</formula>
    </cfRule>
  </conditionalFormatting>
  <conditionalFormatting sqref="I204">
    <cfRule type="expression" dxfId="3" priority="3125">
      <formula>COUNTIF(INDIRECT("Checklist!$A1344"), "TRUE") = 1</formula>
    </cfRule>
    <cfRule type="expression" dxfId="4" priority="3126">
      <formula>COUNTIF(INDIRECT("Checklist!$A1344"), "FALSE") = 1</formula>
    </cfRule>
  </conditionalFormatting>
  <conditionalFormatting sqref="I205">
    <cfRule type="expression" dxfId="3" priority="3137">
      <formula>COUNTIF(INDIRECT("Checklist!$None"), "TRUE") = 1</formula>
    </cfRule>
    <cfRule type="expression" dxfId="4" priority="3138">
      <formula>COUNTIF(INDIRECT("Checklist!$None"), "FALSE") = 1</formula>
    </cfRule>
  </conditionalFormatting>
  <conditionalFormatting sqref="I206">
    <cfRule type="expression" dxfId="3" priority="3149">
      <formula>COUNTIF(INDIRECT("Checklist!$None"), "TRUE") = 1</formula>
    </cfRule>
    <cfRule type="expression" dxfId="4" priority="3150">
      <formula>COUNTIF(INDIRECT("Checklist!$None"),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10:N210">
    <cfRule type="notContainsBlanks" dxfId="7" priority="3234">
      <formula>LEN(TRIM(I210))&gt;0</formula>
    </cfRule>
  </conditionalFormatting>
  <conditionalFormatting sqref="I211">
    <cfRule type="expression" dxfId="3" priority="3235">
      <formula>COUNTIF(INDIRECT("Checklist!$A1358"), "TRUE") = 1</formula>
    </cfRule>
    <cfRule type="expression" dxfId="4" priority="3236">
      <formula>COUNTIF(INDIRECT("Checklist!$A1358"), "FALSE") = 1</formula>
    </cfRule>
  </conditionalFormatting>
  <conditionalFormatting sqref="I212">
    <cfRule type="expression" dxfId="3" priority="3247">
      <formula>COUNTIF(INDIRECT("Checklist!$A1364"), "TRUE") = 1</formula>
    </cfRule>
    <cfRule type="expression" dxfId="4" priority="3248">
      <formula>COUNTIF(INDIRECT("Checklist!$A1364"), "FALSE") = 1</formula>
    </cfRule>
  </conditionalFormatting>
  <conditionalFormatting sqref="I213">
    <cfRule type="expression" dxfId="3" priority="3259">
      <formula>COUNTIF(INDIRECT("Checklist!$A1370"), "TRUE") = 1</formula>
    </cfRule>
    <cfRule type="expression" dxfId="4" priority="3260">
      <formula>COUNTIF(INDIRECT("Checklist!$A1370"), "FALSE") = 1</formula>
    </cfRule>
  </conditionalFormatting>
  <conditionalFormatting sqref="I214">
    <cfRule type="expression" dxfId="3" priority="3271">
      <formula>COUNTIF(INDIRECT("Checklist!$None"), "TRUE") = 1</formula>
    </cfRule>
    <cfRule type="expression" dxfId="4" priority="3272">
      <formula>COUNTIF(INDIRECT("Checklist!$None"), "FALSE") = 1</formula>
    </cfRule>
  </conditionalFormatting>
  <conditionalFormatting sqref="I215">
    <cfRule type="expression" dxfId="3" priority="3283">
      <formula>COUNTIF(INDIRECT("Checklist!$None"), "TRUE") = 1</formula>
    </cfRule>
    <cfRule type="expression" dxfId="4" priority="3284">
      <formula>COUNTIF(INDIRECT("Checklist!$None"), "FALSE") = 1</formula>
    </cfRule>
  </conditionalFormatting>
  <conditionalFormatting sqref="I218:N218">
    <cfRule type="notContainsBlanks" dxfId="7" priority="3356">
      <formula>LEN(TRIM(I218))&gt;0</formula>
    </cfRule>
  </conditionalFormatting>
  <conditionalFormatting sqref="I219">
    <cfRule type="expression" dxfId="3" priority="3357">
      <formula>COUNTIF(INDIRECT("Checklist!$A1395"), "TRUE") = 1</formula>
    </cfRule>
    <cfRule type="expression" dxfId="4" priority="3358">
      <formula>COUNTIF(INDIRECT("Checklist!$A1395"),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20">
    <cfRule type="expression" dxfId="3" priority="3369">
      <formula>COUNTIF(INDIRECT("Checklist!$A1401"), "TRUE") = 1</formula>
    </cfRule>
    <cfRule type="expression" dxfId="4" priority="3370">
      <formula>COUNTIF(INDIRECT("Checklist!$A1401"), "FALSE") = 1</formula>
    </cfRule>
  </conditionalFormatting>
  <conditionalFormatting sqref="I221">
    <cfRule type="expression" dxfId="3" priority="3381">
      <formula>COUNTIF(INDIRECT("Checklist!$A1407"), "TRUE") = 1</formula>
    </cfRule>
    <cfRule type="expression" dxfId="4" priority="3382">
      <formula>COUNTIF(INDIRECT("Checklist!$A1407"), "FALSE") = 1</formula>
    </cfRule>
  </conditionalFormatting>
  <conditionalFormatting sqref="I222">
    <cfRule type="expression" dxfId="3" priority="3393">
      <formula>COUNTIF(INDIRECT("Checklist!$None"), "TRUE") = 1</formula>
    </cfRule>
    <cfRule type="expression" dxfId="4" priority="3394">
      <formula>COUNTIF(INDIRECT("Checklist!$None"), "FALSE") = 1</formula>
    </cfRule>
  </conditionalFormatting>
  <conditionalFormatting sqref="I223">
    <cfRule type="expression" dxfId="3" priority="3405">
      <formula>COUNTIF(INDIRECT("Checklist!$None"), "TRUE") = 1</formula>
    </cfRule>
    <cfRule type="expression" dxfId="4" priority="3406">
      <formula>COUNTIF(INDIRECT("Checklist!$None"),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COUNTIF(INDIRECT("Checklist!$A933"), "TRUE") = 1</formula>
    </cfRule>
    <cfRule type="expression" dxfId="4" priority="1896">
      <formula>COUNTIF(INDIRECT("Checklist!$A933"), "FALSE") = 1</formula>
    </cfRule>
  </conditionalFormatting>
  <conditionalFormatting sqref="J124">
    <cfRule type="expression" dxfId="3" priority="1907">
      <formula>COUNTIF(INDIRECT("Checklist!$A939"), "TRUE") = 1</formula>
    </cfRule>
    <cfRule type="expression" dxfId="4" priority="1908">
      <formula>COUNTIF(INDIRECT("Checklist!$A939"), "FALSE") = 1</formula>
    </cfRule>
  </conditionalFormatting>
  <conditionalFormatting sqref="J125">
    <cfRule type="expression" dxfId="3" priority="1919">
      <formula>COUNTIF(INDIRECT("Checklist!$A945"), "TRUE") = 1</formula>
    </cfRule>
    <cfRule type="expression" dxfId="4" priority="1920">
      <formula>COUNTIF(INDIRECT("Checklist!$A945"), "FALSE") = 1</formula>
    </cfRule>
  </conditionalFormatting>
  <conditionalFormatting sqref="J126">
    <cfRule type="expression" dxfId="3" priority="1931">
      <formula>COUNTIF(INDIRECT("Checklist!$A951"), "TRUE") = 1</formula>
    </cfRule>
    <cfRule type="expression" dxfId="4" priority="1932">
      <formula>COUNTIF(INDIRECT("Checklist!$A951"), "FALSE") = 1</formula>
    </cfRule>
  </conditionalFormatting>
  <conditionalFormatting sqref="J127">
    <cfRule type="expression" dxfId="3" priority="1943">
      <formula>COUNTIF(INDIRECT("Checklist!$A957"), "TRUE") = 1</formula>
    </cfRule>
    <cfRule type="expression" dxfId="4" priority="1944">
      <formula>COUNTIF(INDIRECT("Checklist!$A957"),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COUNTIF(INDIRECT("Checklist!$A993"), "TRUE") = 1</formula>
    </cfRule>
    <cfRule type="expression" dxfId="4" priority="2018">
      <formula>COUNTIF(INDIRECT("Checklist!$A993"), "FALSE") = 1</formula>
    </cfRule>
  </conditionalFormatting>
  <conditionalFormatting sqref="J132">
    <cfRule type="expression" dxfId="3" priority="2029">
      <formula>COUNTIF(INDIRECT("Checklist!$A999"), "TRUE") = 1</formula>
    </cfRule>
    <cfRule type="expression" dxfId="4" priority="2030">
      <formula>COUNTIF(INDIRECT("Checklist!$A999"), "FALSE") = 1</formula>
    </cfRule>
  </conditionalFormatting>
  <conditionalFormatting sqref="J133">
    <cfRule type="expression" dxfId="3" priority="2041">
      <formula>COUNTIF(INDIRECT("Checklist!$A1005"), "TRUE") = 1</formula>
    </cfRule>
    <cfRule type="expression" dxfId="4" priority="2042">
      <formula>COUNTIF(INDIRECT("Checklist!$A1005"), "FALSE") = 1</formula>
    </cfRule>
  </conditionalFormatting>
  <conditionalFormatting sqref="J134">
    <cfRule type="expression" dxfId="3" priority="2053">
      <formula>COUNTIF(INDIRECT("Checklist!$A1011"), "TRUE") = 1</formula>
    </cfRule>
    <cfRule type="expression" dxfId="4" priority="2054">
      <formula>COUNTIF(INDIRECT("Checklist!$A1011"), "FALSE") = 1</formula>
    </cfRule>
  </conditionalFormatting>
  <conditionalFormatting sqref="J135">
    <cfRule type="expression" dxfId="3" priority="2065">
      <formula>COUNTIF(INDIRECT("Checklist!$None"), "TRUE") = 1</formula>
    </cfRule>
    <cfRule type="expression" dxfId="4" priority="2066">
      <formula>COUNTIF(INDIRECT("Checklist!$None"), "FALSE") = 1</formula>
    </cfRule>
  </conditionalFormatting>
  <conditionalFormatting sqref="J139">
    <cfRule type="expression" dxfId="3" priority="2139">
      <formula>COUNTIF(INDIRECT("Checklist!$A1043"), "TRUE") = 1</formula>
    </cfRule>
    <cfRule type="expression" dxfId="4" priority="2140">
      <formula>COUNTIF(INDIRECT("Checklist!$A1043"),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COUNTIF(INDIRECT("Checklist!$A1049"), "TRUE") = 1</formula>
    </cfRule>
    <cfRule type="expression" dxfId="4" priority="2152">
      <formula>COUNTIF(INDIRECT("Checklist!$A1049"), "FALSE") = 1</formula>
    </cfRule>
  </conditionalFormatting>
  <conditionalFormatting sqref="J141">
    <cfRule type="expression" dxfId="3" priority="2163">
      <formula>COUNTIF(INDIRECT("Checklist!$A1055"), "TRUE") = 1</formula>
    </cfRule>
    <cfRule type="expression" dxfId="4" priority="2164">
      <formula>COUNTIF(INDIRECT("Checklist!$A1055"), "FALSE") = 1</formula>
    </cfRule>
  </conditionalFormatting>
  <conditionalFormatting sqref="J142">
    <cfRule type="expression" dxfId="3" priority="2175">
      <formula>COUNTIF(INDIRECT("Checklist!$A1061"), "TRUE") = 1</formula>
    </cfRule>
    <cfRule type="expression" dxfId="4" priority="2176">
      <formula>COUNTIF(INDIRECT("Checklist!$A1061"), "FALSE") = 1</formula>
    </cfRule>
  </conditionalFormatting>
  <conditionalFormatting sqref="J143">
    <cfRule type="expression" dxfId="3" priority="2187">
      <formula>COUNTIF(INDIRECT("Checklist!$A1067"), "TRUE") = 1</formula>
    </cfRule>
    <cfRule type="expression" dxfId="4" priority="2188">
      <formula>COUNTIF(INDIRECT("Checklist!$A1067"), "FALSE") = 1</formula>
    </cfRule>
  </conditionalFormatting>
  <conditionalFormatting sqref="J147">
    <cfRule type="expression" dxfId="3" priority="2261">
      <formula>COUNTIF(INDIRECT("Checklist!$A1103"), "TRUE") = 1</formula>
    </cfRule>
    <cfRule type="expression" dxfId="4" priority="2262">
      <formula>COUNTIF(INDIRECT("Checklist!$A1103"), "FALSE") = 1</formula>
    </cfRule>
  </conditionalFormatting>
  <conditionalFormatting sqref="J148">
    <cfRule type="expression" dxfId="3" priority="2273">
      <formula>COUNTIF(INDIRECT("Checklist!$A1109"), "TRUE") = 1</formula>
    </cfRule>
    <cfRule type="expression" dxfId="4" priority="2274">
      <formula>COUNTIF(INDIRECT("Checklist!$A1109"), "FALSE") = 1</formula>
    </cfRule>
  </conditionalFormatting>
  <conditionalFormatting sqref="J149">
    <cfRule type="expression" dxfId="3" priority="2285">
      <formula>COUNTIF(INDIRECT("Checklist!$None"), "TRUE") = 1</formula>
    </cfRule>
    <cfRule type="expression" dxfId="4" priority="2286">
      <formula>COUNTIF(INDIRECT("Checklist!$None"),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COUNTIF(INDIRECT("Checklist!$None"), "TRUE") = 1</formula>
    </cfRule>
    <cfRule type="expression" dxfId="4" priority="2298">
      <formula>COUNTIF(INDIRECT("Checklist!$None"), "FALSE") = 1</formula>
    </cfRule>
  </conditionalFormatting>
  <conditionalFormatting sqref="J151">
    <cfRule type="expression" dxfId="3" priority="2309">
      <formula>COUNTIF(INDIRECT("Checklist!$None"), "TRUE") = 1</formula>
    </cfRule>
    <cfRule type="expression" dxfId="4" priority="2310">
      <formula>COUNTIF(INDIRECT("Checklist!$None"), "FALSE") = 1</formula>
    </cfRule>
  </conditionalFormatting>
  <conditionalFormatting sqref="J155">
    <cfRule type="expression" dxfId="3" priority="2383">
      <formula>COUNTIF(INDIRECT("Checklist!$A1123"), "TRUE") = 1</formula>
    </cfRule>
    <cfRule type="expression" dxfId="4" priority="2384">
      <formula>COUNTIF(INDIRECT("Checklist!$A1123"), "FALSE") = 1</formula>
    </cfRule>
  </conditionalFormatting>
  <conditionalFormatting sqref="J156">
    <cfRule type="expression" dxfId="3" priority="2395">
      <formula>COUNTIF(INDIRECT("Checklist!$A1129"), "TRUE") = 1</formula>
    </cfRule>
    <cfRule type="expression" dxfId="4" priority="2396">
      <formula>COUNTIF(INDIRECT("Checklist!$A1129"), "FALSE") = 1</formula>
    </cfRule>
  </conditionalFormatting>
  <conditionalFormatting sqref="J157">
    <cfRule type="expression" dxfId="3" priority="2407">
      <formula>COUNTIF(INDIRECT("Checklist!$A1135"), "TRUE") = 1</formula>
    </cfRule>
    <cfRule type="expression" dxfId="4" priority="2408">
      <formula>COUNTIF(INDIRECT("Checklist!$A1135"), "FALSE") = 1</formula>
    </cfRule>
  </conditionalFormatting>
  <conditionalFormatting sqref="J158">
    <cfRule type="expression" dxfId="3" priority="2419">
      <formula>COUNTIF(INDIRECT("Checklist!$A1141"), "TRUE") = 1</formula>
    </cfRule>
    <cfRule type="expression" dxfId="4" priority="2420">
      <formula>COUNTIF(INDIRECT("Checklist!$A1141"), "FALSE") = 1</formula>
    </cfRule>
  </conditionalFormatting>
  <conditionalFormatting sqref="J159">
    <cfRule type="expression" dxfId="3" priority="2431">
      <formula>COUNTIF(INDIRECT("Checklist!$A1147"), "TRUE") = 1</formula>
    </cfRule>
    <cfRule type="expression" dxfId="4" priority="2432">
      <formula>COUNTIF(INDIRECT("Checklist!$A1147"), "FALSE") = 1</formula>
    </cfRule>
  </conditionalFormatting>
  <conditionalFormatting sqref="J163">
    <cfRule type="expression" dxfId="3" priority="2505">
      <formula>COUNTIF(INDIRECT("Checklist!$A1165"), "TRUE") = 1</formula>
    </cfRule>
    <cfRule type="expression" dxfId="4" priority="2506">
      <formula>COUNTIF(INDIRECT("Checklist!$A1165"), "FALSE") = 1</formula>
    </cfRule>
  </conditionalFormatting>
  <conditionalFormatting sqref="J164">
    <cfRule type="expression" dxfId="3" priority="2517">
      <formula>COUNTIF(INDIRECT("Checklist!$A1168"), "TRUE") = 1</formula>
    </cfRule>
    <cfRule type="expression" dxfId="4" priority="2518">
      <formula>COUNTIF(INDIRECT("Checklist!$A1168"), "FALSE") = 1</formula>
    </cfRule>
  </conditionalFormatting>
  <conditionalFormatting sqref="J165">
    <cfRule type="expression" dxfId="3" priority="2529">
      <formula>COUNTIF(INDIRECT("Checklist!$A1171"), "TRUE") = 1</formula>
    </cfRule>
    <cfRule type="expression" dxfId="4" priority="2530">
      <formula>COUNTIF(INDIRECT("Checklist!$A1171"), "FALSE") = 1</formula>
    </cfRule>
  </conditionalFormatting>
  <conditionalFormatting sqref="J166">
    <cfRule type="expression" dxfId="3" priority="2541">
      <formula>COUNTIF(INDIRECT("Checklist!$A1172"), "TRUE") = 1</formula>
    </cfRule>
    <cfRule type="expression" dxfId="4" priority="2542">
      <formula>COUNTIF(INDIRECT("Checklist!$A1172"), "FALSE") = 1</formula>
    </cfRule>
  </conditionalFormatting>
  <conditionalFormatting sqref="J167">
    <cfRule type="expression" dxfId="3" priority="2553">
      <formula>COUNTIF(INDIRECT("Checklist!$A1175"), "TRUE") = 1</formula>
    </cfRule>
    <cfRule type="expression" dxfId="4" priority="2554">
      <formula>COUNTIF(INDIRECT("Checklist!$A1175"), "FALSE") = 1</formula>
    </cfRule>
  </conditionalFormatting>
  <conditionalFormatting sqref="J171">
    <cfRule type="expression" dxfId="3" priority="2627">
      <formula>COUNTIF(INDIRECT("Checklist!$A1191"), "TRUE") = 1</formula>
    </cfRule>
    <cfRule type="expression" dxfId="4" priority="2628">
      <formula>COUNTIF(INDIRECT("Checklist!$A1191"), "FALSE") = 1</formula>
    </cfRule>
  </conditionalFormatting>
  <conditionalFormatting sqref="J172">
    <cfRule type="expression" dxfId="3" priority="2639">
      <formula>COUNTIF(INDIRECT("Checklist!$A1195"), "TRUE") = 1</formula>
    </cfRule>
    <cfRule type="expression" dxfId="4" priority="2640">
      <formula>COUNTIF(INDIRECT("Checklist!$A1195"), "FALSE") = 1</formula>
    </cfRule>
  </conditionalFormatting>
  <conditionalFormatting sqref="J173">
    <cfRule type="expression" dxfId="3" priority="2651">
      <formula>COUNTIF(INDIRECT("Checklist!$A1199"), "TRUE") = 1</formula>
    </cfRule>
    <cfRule type="expression" dxfId="4" priority="2652">
      <formula>COUNTIF(INDIRECT("Checklist!$A1199"), "FALSE") = 1</formula>
    </cfRule>
  </conditionalFormatting>
  <conditionalFormatting sqref="J174">
    <cfRule type="expression" dxfId="3" priority="2663">
      <formula>COUNTIF(INDIRECT("Checklist!$A1203"), "TRUE") = 1</formula>
    </cfRule>
    <cfRule type="expression" dxfId="4" priority="2664">
      <formula>COUNTIF(INDIRECT("Checklist!$A1203"), "FALSE") = 1</formula>
    </cfRule>
  </conditionalFormatting>
  <conditionalFormatting sqref="J175">
    <cfRule type="expression" dxfId="3" priority="2675">
      <formula>COUNTIF(INDIRECT("Checklist!$A1204"), "TRUE") = 1</formula>
    </cfRule>
    <cfRule type="expression" dxfId="4" priority="2676">
      <formula>COUNTIF(INDIRECT("Checklist!$A1204"), "FALSE") = 1</formula>
    </cfRule>
  </conditionalFormatting>
  <conditionalFormatting sqref="J179">
    <cfRule type="expression" dxfId="3" priority="2749">
      <formula>COUNTIF(INDIRECT("Checklist!$A1227"), "TRUE") = 1</formula>
    </cfRule>
    <cfRule type="expression" dxfId="4" priority="2750">
      <formula>COUNTIF(INDIRECT("Checklist!$A1227"), "FALSE") = 1</formula>
    </cfRule>
  </conditionalFormatting>
  <conditionalFormatting sqref="J180">
    <cfRule type="expression" dxfId="3" priority="2761">
      <formula>COUNTIF(INDIRECT("Checklist!$A1230"), "TRUE") = 1</formula>
    </cfRule>
    <cfRule type="expression" dxfId="4" priority="2762">
      <formula>COUNTIF(INDIRECT("Checklist!$A1230"), "FALSE") = 1</formula>
    </cfRule>
  </conditionalFormatting>
  <conditionalFormatting sqref="J181">
    <cfRule type="expression" dxfId="3" priority="2773">
      <formula>COUNTIF(INDIRECT("Checklist!$A1233"), "TRUE") = 1</formula>
    </cfRule>
    <cfRule type="expression" dxfId="4" priority="2774">
      <formula>COUNTIF(INDIRECT("Checklist!$A1233"), "FALSE") = 1</formula>
    </cfRule>
  </conditionalFormatting>
  <conditionalFormatting sqref="J182">
    <cfRule type="expression" dxfId="3" priority="2785">
      <formula>COUNTIF(INDIRECT("Checklist!$A802"), "TRUE") = 1</formula>
    </cfRule>
    <cfRule type="expression" dxfId="4" priority="2786">
      <formula>COUNTIF(INDIRECT("Checklist!$A802"), "FALSE") = 1</formula>
    </cfRule>
  </conditionalFormatting>
  <conditionalFormatting sqref="J183">
    <cfRule type="expression" dxfId="3" priority="2797">
      <formula>COUNTIF(INDIRECT("Checklist!$None"), "TRUE") = 1</formula>
    </cfRule>
    <cfRule type="expression" dxfId="4" priority="2798">
      <formula>COUNTIF(INDIRECT("Checklist!$None"), "FALSE") = 1</formula>
    </cfRule>
  </conditionalFormatting>
  <conditionalFormatting sqref="J187">
    <cfRule type="expression" dxfId="3" priority="2871">
      <formula>COUNTIF(INDIRECT("Checklist!$A1246"), "TRUE") = 1</formula>
    </cfRule>
    <cfRule type="expression" dxfId="4" priority="2872">
      <formula>COUNTIF(INDIRECT("Checklist!$A1246"), "FALSE") = 1</formula>
    </cfRule>
  </conditionalFormatting>
  <conditionalFormatting sqref="J188">
    <cfRule type="expression" dxfId="3" priority="2883">
      <formula>COUNTIF(INDIRECT("Checklist!$A1252"), "TRUE") = 1</formula>
    </cfRule>
    <cfRule type="expression" dxfId="4" priority="2884">
      <formula>COUNTIF(INDIRECT("Checklist!$A1252"), "FALSE") = 1</formula>
    </cfRule>
  </conditionalFormatting>
  <conditionalFormatting sqref="J189">
    <cfRule type="expression" dxfId="3" priority="2895">
      <formula>COUNTIF(INDIRECT("Checklist!$A1258"), "TRUE") = 1</formula>
    </cfRule>
    <cfRule type="expression" dxfId="4" priority="2896">
      <formula>COUNTIF(INDIRECT("Checklist!$A1258"),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COUNTIF(INDIRECT("Checklist!$A1264"), "TRUE") = 1</formula>
    </cfRule>
    <cfRule type="expression" dxfId="4" priority="2908">
      <formula>COUNTIF(INDIRECT("Checklist!$A1264"), "FALSE") = 1</formula>
    </cfRule>
  </conditionalFormatting>
  <conditionalFormatting sqref="J191">
    <cfRule type="expression" dxfId="3" priority="2919">
      <formula>COUNTIF(INDIRECT("Checklist!$A1270"), "TRUE") = 1</formula>
    </cfRule>
    <cfRule type="expression" dxfId="4" priority="2920">
      <formula>COUNTIF(INDIRECT("Checklist!$A1270"), "FALSE") = 1</formula>
    </cfRule>
  </conditionalFormatting>
  <conditionalFormatting sqref="J195">
    <cfRule type="expression" dxfId="3" priority="2993">
      <formula>COUNTIF(INDIRECT("Checklist!$A1302"), "TRUE") = 1</formula>
    </cfRule>
    <cfRule type="expression" dxfId="4" priority="2994">
      <formula>COUNTIF(INDIRECT("Checklist!$A1302"),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COUNTIF(INDIRECT("Checklist!$A1339"), "TRUE") = 1</formula>
    </cfRule>
    <cfRule type="expression" dxfId="4" priority="3116">
      <formula>COUNTIF(INDIRECT("Checklist!$A1339"), "FALSE") = 1</formula>
    </cfRule>
  </conditionalFormatting>
  <conditionalFormatting sqref="J204">
    <cfRule type="expression" dxfId="3" priority="3127">
      <formula>COUNTIF(INDIRECT("Checklist!$A1345"), "TRUE") = 1</formula>
    </cfRule>
    <cfRule type="expression" dxfId="4" priority="3128">
      <formula>COUNTIF(INDIRECT("Checklist!$A1345"), "FALSE") = 1</formula>
    </cfRule>
  </conditionalFormatting>
  <conditionalFormatting sqref="J205">
    <cfRule type="expression" dxfId="3" priority="3139">
      <formula>COUNTIF(INDIRECT("Checklist!$None"), "TRUE") = 1</formula>
    </cfRule>
    <cfRule type="expression" dxfId="4" priority="3140">
      <formula>COUNTIF(INDIRECT("Checklist!$None"),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11">
    <cfRule type="expression" dxfId="3" priority="3237">
      <formula>COUNTIF(INDIRECT("Checklist!$A1359"), "TRUE") = 1</formula>
    </cfRule>
    <cfRule type="expression" dxfId="4" priority="3238">
      <formula>COUNTIF(INDIRECT("Checklist!$A1359"), "FALSE") = 1</formula>
    </cfRule>
  </conditionalFormatting>
  <conditionalFormatting sqref="J212">
    <cfRule type="expression" dxfId="3" priority="3249">
      <formula>COUNTIF(INDIRECT("Checklist!$A1365"), "TRUE") = 1</formula>
    </cfRule>
    <cfRule type="expression" dxfId="4" priority="3250">
      <formula>COUNTIF(INDIRECT("Checklist!$A1365"), "FALSE") = 1</formula>
    </cfRule>
  </conditionalFormatting>
  <conditionalFormatting sqref="J213">
    <cfRule type="expression" dxfId="3" priority="3261">
      <formula>COUNTIF(INDIRECT("Checklist!$A1371"), "TRUE") = 1</formula>
    </cfRule>
    <cfRule type="expression" dxfId="4" priority="3262">
      <formula>COUNTIF(INDIRECT("Checklist!$A1371"), "FALSE") = 1</formula>
    </cfRule>
  </conditionalFormatting>
  <conditionalFormatting sqref="J214">
    <cfRule type="expression" dxfId="3" priority="3273">
      <formula>COUNTIF(INDIRECT("Checklist!$None"), "TRUE") = 1</formula>
    </cfRule>
    <cfRule type="expression" dxfId="4" priority="3274">
      <formula>COUNTIF(INDIRECT("Checklist!$None"), "FALSE") = 1</formula>
    </cfRule>
  </conditionalFormatting>
  <conditionalFormatting sqref="J215">
    <cfRule type="expression" dxfId="3" priority="3285">
      <formula>COUNTIF(INDIRECT("Checklist!$None"), "TRUE") = 1</formula>
    </cfRule>
    <cfRule type="expression" dxfId="4" priority="3286">
      <formula>COUNTIF(INDIRECT("Checklist!$None"), "FALSE") = 1</formula>
    </cfRule>
  </conditionalFormatting>
  <conditionalFormatting sqref="J219">
    <cfRule type="expression" dxfId="3" priority="3359">
      <formula>COUNTIF(INDIRECT("Checklist!$A1396"), "TRUE") = 1</formula>
    </cfRule>
    <cfRule type="expression" dxfId="4" priority="3360">
      <formula>COUNTIF(INDIRECT("Checklist!$A1396"),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20">
    <cfRule type="expression" dxfId="3" priority="3371">
      <formula>COUNTIF(INDIRECT("Checklist!$A1402"), "TRUE") = 1</formula>
    </cfRule>
    <cfRule type="expression" dxfId="4" priority="3372">
      <formula>COUNTIF(INDIRECT("Checklist!$A1402"), "FALSE") = 1</formula>
    </cfRule>
  </conditionalFormatting>
  <conditionalFormatting sqref="J221">
    <cfRule type="expression" dxfId="3" priority="3383">
      <formula>COUNTIF(INDIRECT("Checklist!$A1408"), "TRUE") = 1</formula>
    </cfRule>
    <cfRule type="expression" dxfId="4" priority="3384">
      <formula>COUNTIF(INDIRECT("Checklist!$A1408"), "FALSE") = 1</formula>
    </cfRule>
  </conditionalFormatting>
  <conditionalFormatting sqref="J222">
    <cfRule type="expression" dxfId="3" priority="3395">
      <formula>COUNTIF(INDIRECT("Checklist!$None"), "TRUE") = 1</formula>
    </cfRule>
    <cfRule type="expression" dxfId="4" priority="3396">
      <formula>COUNTIF(INDIRECT("Checklist!$None"), "FALSE") = 1</formula>
    </cfRule>
  </conditionalFormatting>
  <conditionalFormatting sqref="J223">
    <cfRule type="expression" dxfId="3" priority="3407">
      <formula>COUNTIF(INDIRECT("Checklist!$None"), "TRUE") = 1</formula>
    </cfRule>
    <cfRule type="expression" dxfId="4" priority="3408">
      <formula>COUNTIF(INDIRECT("Checklist!$None"),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COUNTIF(INDIRECT("Checklist!$A934"), "TRUE") = 1</formula>
    </cfRule>
    <cfRule type="expression" dxfId="4" priority="1898">
      <formula>COUNTIF(INDIRECT("Checklist!$A934"), "FALSE") = 1</formula>
    </cfRule>
  </conditionalFormatting>
  <conditionalFormatting sqref="K124">
    <cfRule type="expression" dxfId="3" priority="1909">
      <formula>COUNTIF(INDIRECT("Checklist!$A940"), "TRUE") = 1</formula>
    </cfRule>
    <cfRule type="expression" dxfId="4" priority="1910">
      <formula>COUNTIF(INDIRECT("Checklist!$A940"), "FALSE") = 1</formula>
    </cfRule>
  </conditionalFormatting>
  <conditionalFormatting sqref="K125">
    <cfRule type="expression" dxfId="3" priority="1921">
      <formula>COUNTIF(INDIRECT("Checklist!$A946"), "TRUE") = 1</formula>
    </cfRule>
    <cfRule type="expression" dxfId="4" priority="1922">
      <formula>COUNTIF(INDIRECT("Checklist!$A946"), "FALSE") = 1</formula>
    </cfRule>
  </conditionalFormatting>
  <conditionalFormatting sqref="K126">
    <cfRule type="expression" dxfId="3" priority="1933">
      <formula>COUNTIF(INDIRECT("Checklist!$A952"), "TRUE") = 1</formula>
    </cfRule>
    <cfRule type="expression" dxfId="4" priority="1934">
      <formula>COUNTIF(INDIRECT("Checklist!$A952"), "FALSE") = 1</formula>
    </cfRule>
  </conditionalFormatting>
  <conditionalFormatting sqref="K127">
    <cfRule type="expression" dxfId="3" priority="1945">
      <formula>COUNTIF(INDIRECT("Checklist!$A958"), "TRUE") = 1</formula>
    </cfRule>
    <cfRule type="expression" dxfId="4" priority="1946">
      <formula>COUNTIF(INDIRECT("Checklist!$A958"),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COUNTIF(INDIRECT("Checklist!$A994"), "TRUE") = 1</formula>
    </cfRule>
    <cfRule type="expression" dxfId="4" priority="2020">
      <formula>COUNTIF(INDIRECT("Checklist!$A994"), "FALSE") = 1</formula>
    </cfRule>
  </conditionalFormatting>
  <conditionalFormatting sqref="K132">
    <cfRule type="expression" dxfId="3" priority="2031">
      <formula>COUNTIF(INDIRECT("Checklist!$A1000"), "TRUE") = 1</formula>
    </cfRule>
    <cfRule type="expression" dxfId="4" priority="2032">
      <formula>COUNTIF(INDIRECT("Checklist!$A1000"), "FALSE") = 1</formula>
    </cfRule>
  </conditionalFormatting>
  <conditionalFormatting sqref="K133">
    <cfRule type="expression" dxfId="3" priority="2043">
      <formula>COUNTIF(INDIRECT("Checklist!$A1006"), "TRUE") = 1</formula>
    </cfRule>
    <cfRule type="expression" dxfId="4" priority="2044">
      <formula>COUNTIF(INDIRECT("Checklist!$A1006"), "FALSE") = 1</formula>
    </cfRule>
  </conditionalFormatting>
  <conditionalFormatting sqref="K134">
    <cfRule type="expression" dxfId="3" priority="2055">
      <formula>COUNTIF(INDIRECT("Checklist!$None"), "TRUE") = 1</formula>
    </cfRule>
    <cfRule type="expression" dxfId="4" priority="2056">
      <formula>COUNTIF(INDIRECT("Checklist!$None"), "FALSE") = 1</formula>
    </cfRule>
  </conditionalFormatting>
  <conditionalFormatting sqref="K135">
    <cfRule type="expression" dxfId="3" priority="2067">
      <formula>COUNTIF(INDIRECT("Checklist!$None"), "TRUE") = 1</formula>
    </cfRule>
    <cfRule type="expression" dxfId="4" priority="2068">
      <formula>COUNTIF(INDIRECT("Checklist!$None"), "FALSE") = 1</formula>
    </cfRule>
  </conditionalFormatting>
  <conditionalFormatting sqref="K139">
    <cfRule type="expression" dxfId="3" priority="2141">
      <formula>COUNTIF(INDIRECT("Checklist!$A1044"), "TRUE") = 1</formula>
    </cfRule>
    <cfRule type="expression" dxfId="4" priority="2142">
      <formula>COUNTIF(INDIRECT("Checklist!$A1044"),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COUNTIF(INDIRECT("Checklist!$A1050"), "TRUE") = 1</formula>
    </cfRule>
    <cfRule type="expression" dxfId="4" priority="2154">
      <formula>COUNTIF(INDIRECT("Checklist!$A1050"), "FALSE") = 1</formula>
    </cfRule>
  </conditionalFormatting>
  <conditionalFormatting sqref="K141">
    <cfRule type="expression" dxfId="3" priority="2165">
      <formula>COUNTIF(INDIRECT("Checklist!$A1056"), "TRUE") = 1</formula>
    </cfRule>
    <cfRule type="expression" dxfId="4" priority="2166">
      <formula>COUNTIF(INDIRECT("Checklist!$A1056"), "FALSE") = 1</formula>
    </cfRule>
  </conditionalFormatting>
  <conditionalFormatting sqref="K142">
    <cfRule type="expression" dxfId="3" priority="2177">
      <formula>COUNTIF(INDIRECT("Checklist!$A1062"), "TRUE") = 1</formula>
    </cfRule>
    <cfRule type="expression" dxfId="4" priority="2178">
      <formula>COUNTIF(INDIRECT("Checklist!$A1062"), "FALSE") = 1</formula>
    </cfRule>
  </conditionalFormatting>
  <conditionalFormatting sqref="K143">
    <cfRule type="expression" dxfId="3" priority="2189">
      <formula>COUNTIF(INDIRECT("Checklist!$A1068"), "TRUE") = 1</formula>
    </cfRule>
    <cfRule type="expression" dxfId="4" priority="2190">
      <formula>COUNTIF(INDIRECT("Checklist!$A1068"), "FALSE") = 1</formula>
    </cfRule>
  </conditionalFormatting>
  <conditionalFormatting sqref="K147">
    <cfRule type="expression" dxfId="3" priority="2263">
      <formula>COUNTIF(INDIRECT("Checklist!$A1104"), "TRUE") = 1</formula>
    </cfRule>
    <cfRule type="expression" dxfId="4" priority="2264">
      <formula>COUNTIF(INDIRECT("Checklist!$A1104"), "FALSE") = 1</formula>
    </cfRule>
  </conditionalFormatting>
  <conditionalFormatting sqref="K148">
    <cfRule type="expression" dxfId="3" priority="2275">
      <formula>COUNTIF(INDIRECT("Checklist!$A1110"), "TRUE") = 1</formula>
    </cfRule>
    <cfRule type="expression" dxfId="4" priority="2276">
      <formula>COUNTIF(INDIRECT("Checklist!$A1110"), "FALSE") = 1</formula>
    </cfRule>
  </conditionalFormatting>
  <conditionalFormatting sqref="K149">
    <cfRule type="expression" dxfId="3" priority="2287">
      <formula>COUNTIF(INDIRECT("Checklist!$None"), "TRUE") = 1</formula>
    </cfRule>
    <cfRule type="expression" dxfId="4" priority="2288">
      <formula>COUNTIF(INDIRECT("Checklist!$None"),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COUNTIF(INDIRECT("Checklist!$None"), "TRUE") = 1</formula>
    </cfRule>
    <cfRule type="expression" dxfId="4" priority="2300">
      <formula>COUNTIF(INDIRECT("Checklist!$None"),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COUNTIF(INDIRECT("Checklist!$A1124"), "TRUE") = 1</formula>
    </cfRule>
    <cfRule type="expression" dxfId="4" priority="2386">
      <formula>COUNTIF(INDIRECT("Checklist!$A1124"), "FALSE") = 1</formula>
    </cfRule>
  </conditionalFormatting>
  <conditionalFormatting sqref="K156">
    <cfRule type="expression" dxfId="3" priority="2397">
      <formula>COUNTIF(INDIRECT("Checklist!$A1130"), "TRUE") = 1</formula>
    </cfRule>
    <cfRule type="expression" dxfId="4" priority="2398">
      <formula>COUNTIF(INDIRECT("Checklist!$A1130"), "FALSE") = 1</formula>
    </cfRule>
  </conditionalFormatting>
  <conditionalFormatting sqref="K157">
    <cfRule type="expression" dxfId="3" priority="2409">
      <formula>COUNTIF(INDIRECT("Checklist!$A1136"), "TRUE") = 1</formula>
    </cfRule>
    <cfRule type="expression" dxfId="4" priority="2410">
      <formula>COUNTIF(INDIRECT("Checklist!$A1136"), "FALSE") = 1</formula>
    </cfRule>
  </conditionalFormatting>
  <conditionalFormatting sqref="K158">
    <cfRule type="expression" dxfId="3" priority="2421">
      <formula>COUNTIF(INDIRECT("Checklist!$A1142"), "TRUE") = 1</formula>
    </cfRule>
    <cfRule type="expression" dxfId="4" priority="2422">
      <formula>COUNTIF(INDIRECT("Checklist!$A1142"), "FALSE") = 1</formula>
    </cfRule>
  </conditionalFormatting>
  <conditionalFormatting sqref="K159">
    <cfRule type="expression" dxfId="3" priority="2433">
      <formula>COUNTIF(INDIRECT("Checklist!$A1148"), "TRUE") = 1</formula>
    </cfRule>
    <cfRule type="expression" dxfId="4" priority="2434">
      <formula>COUNTIF(INDIRECT("Checklist!$A1148"), "FALSE") = 1</formula>
    </cfRule>
  </conditionalFormatting>
  <conditionalFormatting sqref="K163">
    <cfRule type="expression" dxfId="3" priority="2507">
      <formula>COUNTIF(INDIRECT("Checklist!$A1166"), "TRUE") = 1</formula>
    </cfRule>
    <cfRule type="expression" dxfId="4" priority="2508">
      <formula>COUNTIF(INDIRECT("Checklist!$A1166"), "FALSE") = 1</formula>
    </cfRule>
  </conditionalFormatting>
  <conditionalFormatting sqref="K164">
    <cfRule type="expression" dxfId="3" priority="2519">
      <formula>COUNTIF(INDIRECT("Checklist!$A1169"), "TRUE") = 1</formula>
    </cfRule>
    <cfRule type="expression" dxfId="4" priority="2520">
      <formula>COUNTIF(INDIRECT("Checklist!$A1169"), "FALSE") = 1</formula>
    </cfRule>
  </conditionalFormatting>
  <conditionalFormatting sqref="K165">
    <cfRule type="expression" dxfId="3" priority="2531">
      <formula>COUNTIF(INDIRECT("Checklist!$None"), "TRUE") = 1</formula>
    </cfRule>
    <cfRule type="expression" dxfId="4" priority="2532">
      <formula>COUNTIF(INDIRECT("Checklist!$None"), "FALSE") = 1</formula>
    </cfRule>
  </conditionalFormatting>
  <conditionalFormatting sqref="K166">
    <cfRule type="expression" dxfId="3" priority="2543">
      <formula>COUNTIF(INDIRECT("Checklist!$A643"), "TRUE") = 1</formula>
    </cfRule>
    <cfRule type="expression" dxfId="4" priority="2544">
      <formula>COUNTIF(INDIRECT("Checklist!$A643"),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COUNTIF(INDIRECT("Checklist!$A1192"), "TRUE") = 1</formula>
    </cfRule>
    <cfRule type="expression" dxfId="4" priority="2630">
      <formula>COUNTIF(INDIRECT("Checklist!$A1192"), "FALSE") = 1</formula>
    </cfRule>
  </conditionalFormatting>
  <conditionalFormatting sqref="K172">
    <cfRule type="expression" dxfId="3" priority="2641">
      <formula>COUNTIF(INDIRECT("Checklist!$A1196"), "TRUE") = 1</formula>
    </cfRule>
    <cfRule type="expression" dxfId="4" priority="2642">
      <formula>COUNTIF(INDIRECT("Checklist!$A1196"), "FALSE") = 1</formula>
    </cfRule>
  </conditionalFormatting>
  <conditionalFormatting sqref="K173">
    <cfRule type="expression" dxfId="3" priority="2653">
      <formula>COUNTIF(INDIRECT("Checklist!$A1200"), "TRUE") = 1</formula>
    </cfRule>
    <cfRule type="expression" dxfId="4" priority="2654">
      <formula>COUNTIF(INDIRECT("Checklist!$A1200"),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COUNTIF(INDIRECT("Checklist!$A719"), "TRUE") = 1</formula>
    </cfRule>
    <cfRule type="expression" dxfId="4" priority="2678">
      <formula>COUNTIF(INDIRECT("Checklist!$A719"), "FALSE") = 1</formula>
    </cfRule>
  </conditionalFormatting>
  <conditionalFormatting sqref="K179">
    <cfRule type="expression" dxfId="3" priority="2751">
      <formula>COUNTIF(INDIRECT("Checklist!$A1228"), "TRUE") = 1</formula>
    </cfRule>
    <cfRule type="expression" dxfId="4" priority="2752">
      <formula>COUNTIF(INDIRECT("Checklist!$A1228"), "FALSE") = 1</formula>
    </cfRule>
  </conditionalFormatting>
  <conditionalFormatting sqref="K180">
    <cfRule type="expression" dxfId="3" priority="2763">
      <formula>COUNTIF(INDIRECT("Checklist!$A746"), "TRUE") = 1</formula>
    </cfRule>
    <cfRule type="expression" dxfId="4" priority="2764">
      <formula>COUNTIF(INDIRECT("Checklist!$A746"), "FALSE") = 1</formula>
    </cfRule>
  </conditionalFormatting>
  <conditionalFormatting sqref="K181">
    <cfRule type="expression" dxfId="3" priority="2775">
      <formula>COUNTIF(INDIRECT("Checklist!$A1234"), "TRUE") = 1</formula>
    </cfRule>
    <cfRule type="expression" dxfId="4" priority="2776">
      <formula>COUNTIF(INDIRECT("Checklist!$A1234"), "FALSE") = 1</formula>
    </cfRule>
  </conditionalFormatting>
  <conditionalFormatting sqref="K182">
    <cfRule type="expression" dxfId="3" priority="2787">
      <formula>COUNTIF(INDIRECT("Checklist!$A1239"), "TRUE") = 1</formula>
    </cfRule>
    <cfRule type="expression" dxfId="4" priority="2788">
      <formula>COUNTIF(INDIRECT("Checklist!$A1239"), "FALSE") = 1</formula>
    </cfRule>
  </conditionalFormatting>
  <conditionalFormatting sqref="K183">
    <cfRule type="expression" dxfId="3" priority="2799">
      <formula>COUNTIF(INDIRECT("Checklist!$None"), "TRUE") = 1</formula>
    </cfRule>
    <cfRule type="expression" dxfId="4" priority="2800">
      <formula>COUNTIF(INDIRECT("Checklist!$None"), "FALSE") = 1</formula>
    </cfRule>
  </conditionalFormatting>
  <conditionalFormatting sqref="K187">
    <cfRule type="expression" dxfId="3" priority="2873">
      <formula>COUNTIF(INDIRECT("Checklist!$A1247"), "TRUE") = 1</formula>
    </cfRule>
    <cfRule type="expression" dxfId="4" priority="2874">
      <formula>COUNTIF(INDIRECT("Checklist!$A1247"), "FALSE") = 1</formula>
    </cfRule>
  </conditionalFormatting>
  <conditionalFormatting sqref="K188">
    <cfRule type="expression" dxfId="3" priority="2885">
      <formula>COUNTIF(INDIRECT("Checklist!$A1253"), "TRUE") = 1</formula>
    </cfRule>
    <cfRule type="expression" dxfId="4" priority="2886">
      <formula>COUNTIF(INDIRECT("Checklist!$A1253"), "FALSE") = 1</formula>
    </cfRule>
  </conditionalFormatting>
  <conditionalFormatting sqref="K189">
    <cfRule type="expression" dxfId="3" priority="2897">
      <formula>COUNTIF(INDIRECT("Checklist!$A1259"), "TRUE") = 1</formula>
    </cfRule>
    <cfRule type="expression" dxfId="4" priority="2898">
      <formula>COUNTIF(INDIRECT("Checklist!$A1259"),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COUNTIF(INDIRECT("Checklist!$A1265"), "TRUE") = 1</formula>
    </cfRule>
    <cfRule type="expression" dxfId="4" priority="2910">
      <formula>COUNTIF(INDIRECT("Checklist!$A1265"), "FALSE") = 1</formula>
    </cfRule>
  </conditionalFormatting>
  <conditionalFormatting sqref="K191">
    <cfRule type="expression" dxfId="3" priority="2921">
      <formula>COUNTIF(INDIRECT("Checklist!$A1271"), "TRUE") = 1</formula>
    </cfRule>
    <cfRule type="expression" dxfId="4" priority="2922">
      <formula>COUNTIF(INDIRECT("Checklist!$A1271"), "FALSE") = 1</formula>
    </cfRule>
  </conditionalFormatting>
  <conditionalFormatting sqref="K195">
    <cfRule type="expression" dxfId="3" priority="2995">
      <formula>COUNTIF(INDIRECT("Checklist!$A1303"), "TRUE") = 1</formula>
    </cfRule>
    <cfRule type="expression" dxfId="4" priority="2996">
      <formula>COUNTIF(INDIRECT("Checklist!$A1303"),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COUNTIF(INDIRECT("Checklist!$A1340"), "TRUE") = 1</formula>
    </cfRule>
    <cfRule type="expression" dxfId="4" priority="3118">
      <formula>COUNTIF(INDIRECT("Checklist!$A1340"), "FALSE") = 1</formula>
    </cfRule>
  </conditionalFormatting>
  <conditionalFormatting sqref="K204">
    <cfRule type="expression" dxfId="3" priority="3129">
      <formula>COUNTIF(INDIRECT("Checklist!$None"), "TRUE") = 1</formula>
    </cfRule>
    <cfRule type="expression" dxfId="4" priority="3130">
      <formula>COUNTIF(INDIRECT("Checklist!$None"), "FALSE") = 1</formula>
    </cfRule>
  </conditionalFormatting>
  <conditionalFormatting sqref="K205">
    <cfRule type="expression" dxfId="3" priority="3141">
      <formula>COUNTIF(INDIRECT("Checklist!$None"), "TRUE") = 1</formula>
    </cfRule>
    <cfRule type="expression" dxfId="4" priority="3142">
      <formula>COUNTIF(INDIRECT("Checklist!$None"),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11">
    <cfRule type="expression" dxfId="3" priority="3239">
      <formula>COUNTIF(INDIRECT("Checklist!$A1360"), "TRUE") = 1</formula>
    </cfRule>
    <cfRule type="expression" dxfId="4" priority="3240">
      <formula>COUNTIF(INDIRECT("Checklist!$A1360"), "FALSE") = 1</formula>
    </cfRule>
  </conditionalFormatting>
  <conditionalFormatting sqref="K212">
    <cfRule type="expression" dxfId="3" priority="3251">
      <formula>COUNTIF(INDIRECT("Checklist!$A1366"), "TRUE") = 1</formula>
    </cfRule>
    <cfRule type="expression" dxfId="4" priority="3252">
      <formula>COUNTIF(INDIRECT("Checklist!$A1366"), "FALSE") = 1</formula>
    </cfRule>
  </conditionalFormatting>
  <conditionalFormatting sqref="K213">
    <cfRule type="expression" dxfId="3" priority="3263">
      <formula>COUNTIF(INDIRECT("Checklist!$A1372"), "TRUE") = 1</formula>
    </cfRule>
    <cfRule type="expression" dxfId="4" priority="3264">
      <formula>COUNTIF(INDIRECT("Checklist!$A1372"), "FALSE") = 1</formula>
    </cfRule>
  </conditionalFormatting>
  <conditionalFormatting sqref="K214">
    <cfRule type="expression" dxfId="3" priority="3275">
      <formula>COUNTIF(INDIRECT("Checklist!$None"), "TRUE") = 1</formula>
    </cfRule>
    <cfRule type="expression" dxfId="4" priority="3276">
      <formula>COUNTIF(INDIRECT("Checklist!$None"), "FALSE") = 1</formula>
    </cfRule>
  </conditionalFormatting>
  <conditionalFormatting sqref="K215">
    <cfRule type="expression" dxfId="3" priority="3287">
      <formula>COUNTIF(INDIRECT("Checklist!$None"), "TRUE") = 1</formula>
    </cfRule>
    <cfRule type="expression" dxfId="4" priority="3288">
      <formula>COUNTIF(INDIRECT("Checklist!$None"), "FALSE") = 1</formula>
    </cfRule>
  </conditionalFormatting>
  <conditionalFormatting sqref="K219">
    <cfRule type="expression" dxfId="3" priority="3361">
      <formula>COUNTIF(INDIRECT("Checklist!$A1397"), "TRUE") = 1</formula>
    </cfRule>
    <cfRule type="expression" dxfId="4" priority="3362">
      <formula>COUNTIF(INDIRECT("Checklist!$A1397"),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20">
    <cfRule type="expression" dxfId="3" priority="3373">
      <formula>COUNTIF(INDIRECT("Checklist!$A1403"), "TRUE") = 1</formula>
    </cfRule>
    <cfRule type="expression" dxfId="4" priority="3374">
      <formula>COUNTIF(INDIRECT("Checklist!$A1403"), "FALSE") = 1</formula>
    </cfRule>
  </conditionalFormatting>
  <conditionalFormatting sqref="K221">
    <cfRule type="expression" dxfId="3" priority="3385">
      <formula>COUNTIF(INDIRECT("Checklist!$A1409"), "TRUE") = 1</formula>
    </cfRule>
    <cfRule type="expression" dxfId="4" priority="3386">
      <formula>COUNTIF(INDIRECT("Checklist!$A1409"), "FALSE") = 1</formula>
    </cfRule>
  </conditionalFormatting>
  <conditionalFormatting sqref="K222">
    <cfRule type="expression" dxfId="3" priority="3397">
      <formula>COUNTIF(INDIRECT("Checklist!$None"), "TRUE") = 1</formula>
    </cfRule>
    <cfRule type="expression" dxfId="4" priority="3398">
      <formula>COUNTIF(INDIRECT("Checklist!$None"), "FALSE") = 1</formula>
    </cfRule>
  </conditionalFormatting>
  <conditionalFormatting sqref="K223">
    <cfRule type="expression" dxfId="3" priority="3409">
      <formula>COUNTIF(INDIRECT("Checklist!$None"), "TRUE") = 1</formula>
    </cfRule>
    <cfRule type="expression" dxfId="4" priority="3410">
      <formula>COUNTIF(INDIRECT("Checklist!$None"),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COUNTIF(INDIRECT("Checklist!$A935"), "TRUE") = 1</formula>
    </cfRule>
    <cfRule type="expression" dxfId="4" priority="1900">
      <formula>COUNTIF(INDIRECT("Checklist!$A935"), "FALSE") = 1</formula>
    </cfRule>
  </conditionalFormatting>
  <conditionalFormatting sqref="L124">
    <cfRule type="expression" dxfId="3" priority="1911">
      <formula>COUNTIF(INDIRECT("Checklist!$A941"), "TRUE") = 1</formula>
    </cfRule>
    <cfRule type="expression" dxfId="4" priority="1912">
      <formula>COUNTIF(INDIRECT("Checklist!$A941"), "FALSE") = 1</formula>
    </cfRule>
  </conditionalFormatting>
  <conditionalFormatting sqref="L125">
    <cfRule type="expression" dxfId="3" priority="1923">
      <formula>COUNTIF(INDIRECT("Checklist!$A947"), "TRUE") = 1</formula>
    </cfRule>
    <cfRule type="expression" dxfId="4" priority="1924">
      <formula>COUNTIF(INDIRECT("Checklist!$A947"), "FALSE") = 1</formula>
    </cfRule>
  </conditionalFormatting>
  <conditionalFormatting sqref="L126">
    <cfRule type="expression" dxfId="3" priority="1935">
      <formula>COUNTIF(INDIRECT("Checklist!$A953"), "TRUE") = 1</formula>
    </cfRule>
    <cfRule type="expression" dxfId="4" priority="1936">
      <formula>COUNTIF(INDIRECT("Checklist!$A953"), "FALSE") = 1</formula>
    </cfRule>
  </conditionalFormatting>
  <conditionalFormatting sqref="L127">
    <cfRule type="expression" dxfId="3" priority="1947">
      <formula>COUNTIF(INDIRECT("Checklist!$A959"), "TRUE") = 1</formula>
    </cfRule>
    <cfRule type="expression" dxfId="4" priority="1948">
      <formula>COUNTIF(INDIRECT("Checklist!$A959"),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COUNTIF(INDIRECT("Checklist!$A995"), "TRUE") = 1</formula>
    </cfRule>
    <cfRule type="expression" dxfId="4" priority="2022">
      <formula>COUNTIF(INDIRECT("Checklist!$A995"), "FALSE") = 1</formula>
    </cfRule>
  </conditionalFormatting>
  <conditionalFormatting sqref="L132">
    <cfRule type="expression" dxfId="3" priority="2033">
      <formula>COUNTIF(INDIRECT("Checklist!$A1001"), "TRUE") = 1</formula>
    </cfRule>
    <cfRule type="expression" dxfId="4" priority="2034">
      <formula>COUNTIF(INDIRECT("Checklist!$A1001"), "FALSE") = 1</formula>
    </cfRule>
  </conditionalFormatting>
  <conditionalFormatting sqref="L133">
    <cfRule type="expression" dxfId="3" priority="2045">
      <formula>COUNTIF(INDIRECT("Checklist!$A1007"), "TRUE") = 1</formula>
    </cfRule>
    <cfRule type="expression" dxfId="4" priority="2046">
      <formula>COUNTIF(INDIRECT("Checklist!$A1007"), "FALSE") = 1</formula>
    </cfRule>
  </conditionalFormatting>
  <conditionalFormatting sqref="L134">
    <cfRule type="expression" dxfId="3" priority="2057">
      <formula>COUNTIF(INDIRECT("Checklist!$None"), "TRUE") = 1</formula>
    </cfRule>
    <cfRule type="expression" dxfId="4" priority="2058">
      <formula>COUNTIF(INDIRECT("Checklist!$None"), "FALSE") = 1</formula>
    </cfRule>
  </conditionalFormatting>
  <conditionalFormatting sqref="L135">
    <cfRule type="expression" dxfId="3" priority="2069">
      <formula>COUNTIF(INDIRECT("Checklist!$None"), "TRUE") = 1</formula>
    </cfRule>
    <cfRule type="expression" dxfId="4" priority="2070">
      <formula>COUNTIF(INDIRECT("Checklist!$None"), "FALSE") = 1</formula>
    </cfRule>
  </conditionalFormatting>
  <conditionalFormatting sqref="L139">
    <cfRule type="expression" dxfId="3" priority="2143">
      <formula>COUNTIF(INDIRECT("Checklist!$A1045"), "TRUE") = 1</formula>
    </cfRule>
    <cfRule type="expression" dxfId="4" priority="2144">
      <formula>COUNTIF(INDIRECT("Checklist!$A1045"),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COUNTIF(INDIRECT("Checklist!$A1051"), "TRUE") = 1</formula>
    </cfRule>
    <cfRule type="expression" dxfId="4" priority="2156">
      <formula>COUNTIF(INDIRECT("Checklist!$A1051"), "FALSE") = 1</formula>
    </cfRule>
  </conditionalFormatting>
  <conditionalFormatting sqref="L141">
    <cfRule type="expression" dxfId="3" priority="2167">
      <formula>COUNTIF(INDIRECT("Checklist!$A1057"), "TRUE") = 1</formula>
    </cfRule>
    <cfRule type="expression" dxfId="4" priority="2168">
      <formula>COUNTIF(INDIRECT("Checklist!$A1057"), "FALSE") = 1</formula>
    </cfRule>
  </conditionalFormatting>
  <conditionalFormatting sqref="L142">
    <cfRule type="expression" dxfId="3" priority="2179">
      <formula>COUNTIF(INDIRECT("Checklist!$A1063"), "TRUE") = 1</formula>
    </cfRule>
    <cfRule type="expression" dxfId="4" priority="2180">
      <formula>COUNTIF(INDIRECT("Checklist!$A1063"), "FALSE") = 1</formula>
    </cfRule>
  </conditionalFormatting>
  <conditionalFormatting sqref="L143">
    <cfRule type="expression" dxfId="3" priority="2191">
      <formula>COUNTIF(INDIRECT("Checklist!$A1069"), "TRUE") = 1</formula>
    </cfRule>
    <cfRule type="expression" dxfId="4" priority="2192">
      <formula>COUNTIF(INDIRECT("Checklist!$A1069"), "FALSE") = 1</formula>
    </cfRule>
  </conditionalFormatting>
  <conditionalFormatting sqref="L147">
    <cfRule type="expression" dxfId="3" priority="2265">
      <formula>COUNTIF(INDIRECT("Checklist!$A1105"), "TRUE") = 1</formula>
    </cfRule>
    <cfRule type="expression" dxfId="4" priority="2266">
      <formula>COUNTIF(INDIRECT("Checklist!$A1105"), "FALSE") = 1</formula>
    </cfRule>
  </conditionalFormatting>
  <conditionalFormatting sqref="L148">
    <cfRule type="expression" dxfId="3" priority="2277">
      <formula>COUNTIF(INDIRECT("Checklist!$A1111"), "TRUE") = 1</formula>
    </cfRule>
    <cfRule type="expression" dxfId="4" priority="2278">
      <formula>COUNTIF(INDIRECT("Checklist!$A1111"), "FALSE") = 1</formula>
    </cfRule>
  </conditionalFormatting>
  <conditionalFormatting sqref="L149">
    <cfRule type="expression" dxfId="3" priority="2289">
      <formula>COUNTIF(INDIRECT("Checklist!$None"), "TRUE") = 1</formula>
    </cfRule>
    <cfRule type="expression" dxfId="4" priority="2290">
      <formula>COUNTIF(INDIRECT("Checklist!$None"),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COUNTIF(INDIRECT("Checklist!$None"), "TRUE") = 1</formula>
    </cfRule>
    <cfRule type="expression" dxfId="4" priority="2302">
      <formula>COUNTIF(INDIRECT("Checklist!$None"),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COUNTIF(INDIRECT("Checklist!$A1125"), "TRUE") = 1</formula>
    </cfRule>
    <cfRule type="expression" dxfId="4" priority="2388">
      <formula>COUNTIF(INDIRECT("Checklist!$A1125"), "FALSE") = 1</formula>
    </cfRule>
  </conditionalFormatting>
  <conditionalFormatting sqref="L156">
    <cfRule type="expression" dxfId="3" priority="2399">
      <formula>COUNTIF(INDIRECT("Checklist!$A1131"), "TRUE") = 1</formula>
    </cfRule>
    <cfRule type="expression" dxfId="4" priority="2400">
      <formula>COUNTIF(INDIRECT("Checklist!$A1131"), "FALSE") = 1</formula>
    </cfRule>
  </conditionalFormatting>
  <conditionalFormatting sqref="L157">
    <cfRule type="expression" dxfId="3" priority="2411">
      <formula>COUNTIF(INDIRECT("Checklist!$A1137"), "TRUE") = 1</formula>
    </cfRule>
    <cfRule type="expression" dxfId="4" priority="2412">
      <formula>COUNTIF(INDIRECT("Checklist!$A1137"), "FALSE") = 1</formula>
    </cfRule>
  </conditionalFormatting>
  <conditionalFormatting sqref="L158">
    <cfRule type="expression" dxfId="3" priority="2423">
      <formula>COUNTIF(INDIRECT("Checklist!$A1143"), "TRUE") = 1</formula>
    </cfRule>
    <cfRule type="expression" dxfId="4" priority="2424">
      <formula>COUNTIF(INDIRECT("Checklist!$A1143"), "FALSE") = 1</formula>
    </cfRule>
  </conditionalFormatting>
  <conditionalFormatting sqref="L159">
    <cfRule type="expression" dxfId="3" priority="2435">
      <formula>COUNTIF(INDIRECT("Checklist!$A1149"), "TRUE") = 1</formula>
    </cfRule>
    <cfRule type="expression" dxfId="4" priority="2436">
      <formula>COUNTIF(INDIRECT("Checklist!$A1149"), "FALSE") = 1</formula>
    </cfRule>
  </conditionalFormatting>
  <conditionalFormatting sqref="L163">
    <cfRule type="expression" dxfId="3" priority="2509">
      <formula>COUNTIF(INDIRECT("Checklist!$A1167"), "TRUE") = 1</formula>
    </cfRule>
    <cfRule type="expression" dxfId="4" priority="2510">
      <formula>COUNTIF(INDIRECT("Checklist!$A1167"), "FALSE") = 1</formula>
    </cfRule>
  </conditionalFormatting>
  <conditionalFormatting sqref="L164">
    <cfRule type="expression" dxfId="3" priority="2521">
      <formula>COUNTIF(INDIRECT("Checklist!$A1170"), "TRUE") = 1</formula>
    </cfRule>
    <cfRule type="expression" dxfId="4" priority="2522">
      <formula>COUNTIF(INDIRECT("Checklist!$A1170"), "FALSE") = 1</formula>
    </cfRule>
  </conditionalFormatting>
  <conditionalFormatting sqref="L165">
    <cfRule type="expression" dxfId="3" priority="2533">
      <formula>COUNTIF(INDIRECT("Checklist!$None"), "TRUE") = 1</formula>
    </cfRule>
    <cfRule type="expression" dxfId="4" priority="2534">
      <formula>COUNTIF(INDIRECT("Checklist!$None"), "FALSE") = 1</formula>
    </cfRule>
  </conditionalFormatting>
  <conditionalFormatting sqref="L166">
    <cfRule type="expression" dxfId="3" priority="2545">
      <formula>COUNTIF(INDIRECT("Checklist!$A1173"), "TRUE") = 1</formula>
    </cfRule>
    <cfRule type="expression" dxfId="4" priority="2546">
      <formula>COUNTIF(INDIRECT("Checklist!$A1173"),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COUNTIF(INDIRECT("Checklist!$A1193"), "TRUE") = 1</formula>
    </cfRule>
    <cfRule type="expression" dxfId="4" priority="2632">
      <formula>COUNTIF(INDIRECT("Checklist!$A1193"), "FALSE") = 1</formula>
    </cfRule>
  </conditionalFormatting>
  <conditionalFormatting sqref="L172">
    <cfRule type="expression" dxfId="3" priority="2643">
      <formula>COUNTIF(INDIRECT("Checklist!$A1197"), "TRUE") = 1</formula>
    </cfRule>
    <cfRule type="expression" dxfId="4" priority="2644">
      <formula>COUNTIF(INDIRECT("Checklist!$A1197"), "FALSE") = 1</formula>
    </cfRule>
  </conditionalFormatting>
  <conditionalFormatting sqref="L173">
    <cfRule type="expression" dxfId="3" priority="2655">
      <formula>COUNTIF(INDIRECT("Checklist!$A1201"), "TRUE") = 1</formula>
    </cfRule>
    <cfRule type="expression" dxfId="4" priority="2656">
      <formula>COUNTIF(INDIRECT("Checklist!$A1201"),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COUNTIF(INDIRECT("Checklist!$A1205"), "TRUE") = 1</formula>
    </cfRule>
    <cfRule type="expression" dxfId="4" priority="2680">
      <formula>COUNTIF(INDIRECT("Checklist!$A1205"), "FALSE") = 1</formula>
    </cfRule>
  </conditionalFormatting>
  <conditionalFormatting sqref="L179">
    <cfRule type="expression" dxfId="3" priority="2753">
      <formula>COUNTIF(INDIRECT("Checklist!$A1229"), "TRUE") = 1</formula>
    </cfRule>
    <cfRule type="expression" dxfId="4" priority="2754">
      <formula>COUNTIF(INDIRECT("Checklist!$A1229"), "FALSE") = 1</formula>
    </cfRule>
  </conditionalFormatting>
  <conditionalFormatting sqref="L180">
    <cfRule type="expression" dxfId="3" priority="2765">
      <formula>COUNTIF(INDIRECT("Checklist!$A1231"), "TRUE") = 1</formula>
    </cfRule>
    <cfRule type="expression" dxfId="4" priority="2766">
      <formula>COUNTIF(INDIRECT("Checklist!$A1231"), "FALSE") = 1</formula>
    </cfRule>
  </conditionalFormatting>
  <conditionalFormatting sqref="L181">
    <cfRule type="expression" dxfId="3" priority="2777">
      <formula>COUNTIF(INDIRECT("Checklist!$A1235"), "TRUE") = 1</formula>
    </cfRule>
    <cfRule type="expression" dxfId="4" priority="2778">
      <formula>COUNTIF(INDIRECT("Checklist!$A1235"), "FALSE") = 1</formula>
    </cfRule>
  </conditionalFormatting>
  <conditionalFormatting sqref="L182">
    <cfRule type="expression" dxfId="3" priority="2789">
      <formula>COUNTIF(INDIRECT("Checklist!$None"), "TRUE") = 1</formula>
    </cfRule>
    <cfRule type="expression" dxfId="4" priority="2790">
      <formula>COUNTIF(INDIRECT("Checklist!$None"), "FALSE") = 1</formula>
    </cfRule>
  </conditionalFormatting>
  <conditionalFormatting sqref="L183">
    <cfRule type="expression" dxfId="3" priority="2801">
      <formula>COUNTIF(INDIRECT("Checklist!$None"), "TRUE") = 1</formula>
    </cfRule>
    <cfRule type="expression" dxfId="4" priority="2802">
      <formula>COUNTIF(INDIRECT("Checklist!$None"), "FALSE") = 1</formula>
    </cfRule>
  </conditionalFormatting>
  <conditionalFormatting sqref="L187">
    <cfRule type="expression" dxfId="3" priority="2875">
      <formula>COUNTIF(INDIRECT("Checklist!$A1248"), "TRUE") = 1</formula>
    </cfRule>
    <cfRule type="expression" dxfId="4" priority="2876">
      <formula>COUNTIF(INDIRECT("Checklist!$A1248"), "FALSE") = 1</formula>
    </cfRule>
  </conditionalFormatting>
  <conditionalFormatting sqref="L188">
    <cfRule type="expression" dxfId="3" priority="2887">
      <formula>COUNTIF(INDIRECT("Checklist!$A1254"), "TRUE") = 1</formula>
    </cfRule>
    <cfRule type="expression" dxfId="4" priority="2888">
      <formula>COUNTIF(INDIRECT("Checklist!$A1254"), "FALSE") = 1</formula>
    </cfRule>
  </conditionalFormatting>
  <conditionalFormatting sqref="L189">
    <cfRule type="expression" dxfId="3" priority="2899">
      <formula>COUNTIF(INDIRECT("Checklist!$A1260"), "TRUE") = 1</formula>
    </cfRule>
    <cfRule type="expression" dxfId="4" priority="2900">
      <formula>COUNTIF(INDIRECT("Checklist!$A1260"),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COUNTIF(INDIRECT("Checklist!$A1266"), "TRUE") = 1</formula>
    </cfRule>
    <cfRule type="expression" dxfId="4" priority="2912">
      <formula>COUNTIF(INDIRECT("Checklist!$A1266"), "FALSE") = 1</formula>
    </cfRule>
  </conditionalFormatting>
  <conditionalFormatting sqref="L191">
    <cfRule type="expression" dxfId="3" priority="2923">
      <formula>COUNTIF(INDIRECT("Checklist!$A1272"), "TRUE") = 1</formula>
    </cfRule>
    <cfRule type="expression" dxfId="4" priority="2924">
      <formula>COUNTIF(INDIRECT("Checklist!$A1272"), "FALSE") = 1</formula>
    </cfRule>
  </conditionalFormatting>
  <conditionalFormatting sqref="L195">
    <cfRule type="expression" dxfId="3" priority="2997">
      <formula>COUNTIF(INDIRECT("Checklist!$A1304"), "TRUE") = 1</formula>
    </cfRule>
    <cfRule type="expression" dxfId="4" priority="2998">
      <formula>COUNTIF(INDIRECT("Checklist!$A1304"),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COUNTIF(INDIRECT("Checklist!$A1341"), "TRUE") = 1</formula>
    </cfRule>
    <cfRule type="expression" dxfId="4" priority="3120">
      <formula>COUNTIF(INDIRECT("Checklist!$A1341"), "FALSE") = 1</formula>
    </cfRule>
  </conditionalFormatting>
  <conditionalFormatting sqref="L204">
    <cfRule type="expression" dxfId="3" priority="3131">
      <formula>COUNTIF(INDIRECT("Checklist!$None"), "TRUE") = 1</formula>
    </cfRule>
    <cfRule type="expression" dxfId="4" priority="3132">
      <formula>COUNTIF(INDIRECT("Checklist!$None"), "FALSE") = 1</formula>
    </cfRule>
  </conditionalFormatting>
  <conditionalFormatting sqref="L205">
    <cfRule type="expression" dxfId="3" priority="3143">
      <formula>COUNTIF(INDIRECT("Checklist!$None"), "TRUE") = 1</formula>
    </cfRule>
    <cfRule type="expression" dxfId="4" priority="3144">
      <formula>COUNTIF(INDIRECT("Checklist!$None"),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11">
    <cfRule type="expression" dxfId="3" priority="3241">
      <formula>COUNTIF(INDIRECT("Checklist!$A1361"), "TRUE") = 1</formula>
    </cfRule>
    <cfRule type="expression" dxfId="4" priority="3242">
      <formula>COUNTIF(INDIRECT("Checklist!$A1361"), "FALSE") = 1</formula>
    </cfRule>
  </conditionalFormatting>
  <conditionalFormatting sqref="L212">
    <cfRule type="expression" dxfId="3" priority="3253">
      <formula>COUNTIF(INDIRECT("Checklist!$A1367"), "TRUE") = 1</formula>
    </cfRule>
    <cfRule type="expression" dxfId="4" priority="3254">
      <formula>COUNTIF(INDIRECT("Checklist!$A1367"), "FALSE") = 1</formula>
    </cfRule>
  </conditionalFormatting>
  <conditionalFormatting sqref="L213">
    <cfRule type="expression" dxfId="3" priority="3265">
      <formula>COUNTIF(INDIRECT("Checklist!$A1373"), "TRUE") = 1</formula>
    </cfRule>
    <cfRule type="expression" dxfId="4" priority="3266">
      <formula>COUNTIF(INDIRECT("Checklist!$A1373"), "FALSE") = 1</formula>
    </cfRule>
  </conditionalFormatting>
  <conditionalFormatting sqref="L214">
    <cfRule type="expression" dxfId="3" priority="3277">
      <formula>COUNTIF(INDIRECT("Checklist!$None"), "TRUE") = 1</formula>
    </cfRule>
    <cfRule type="expression" dxfId="4" priority="3278">
      <formula>COUNTIF(INDIRECT("Checklist!$None"), "FALSE") = 1</formula>
    </cfRule>
  </conditionalFormatting>
  <conditionalFormatting sqref="L215">
    <cfRule type="expression" dxfId="3" priority="3289">
      <formula>COUNTIF(INDIRECT("Checklist!$None"), "TRUE") = 1</formula>
    </cfRule>
    <cfRule type="expression" dxfId="4" priority="3290">
      <formula>COUNTIF(INDIRECT("Checklist!$None"), "FALSE") = 1</formula>
    </cfRule>
  </conditionalFormatting>
  <conditionalFormatting sqref="L219">
    <cfRule type="expression" dxfId="3" priority="3363">
      <formula>COUNTIF(INDIRECT("Checklist!$A1398"), "TRUE") = 1</formula>
    </cfRule>
    <cfRule type="expression" dxfId="4" priority="3364">
      <formula>COUNTIF(INDIRECT("Checklist!$A1398"),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20">
    <cfRule type="expression" dxfId="3" priority="3375">
      <formula>COUNTIF(INDIRECT("Checklist!$A1404"), "TRUE") = 1</formula>
    </cfRule>
    <cfRule type="expression" dxfId="4" priority="3376">
      <formula>COUNTIF(INDIRECT("Checklist!$A1404"), "FALSE") = 1</formula>
    </cfRule>
  </conditionalFormatting>
  <conditionalFormatting sqref="L221">
    <cfRule type="expression" dxfId="3" priority="3387">
      <formula>COUNTIF(INDIRECT("Checklist!$A1410"), "TRUE") = 1</formula>
    </cfRule>
    <cfRule type="expression" dxfId="4" priority="3388">
      <formula>COUNTIF(INDIRECT("Checklist!$A1410"), "FALSE") = 1</formula>
    </cfRule>
  </conditionalFormatting>
  <conditionalFormatting sqref="L222">
    <cfRule type="expression" dxfId="3" priority="3399">
      <formula>COUNTIF(INDIRECT("Checklist!$None"), "TRUE") = 1</formula>
    </cfRule>
    <cfRule type="expression" dxfId="4" priority="3400">
      <formula>COUNTIF(INDIRECT("Checklist!$None"), "FALSE") = 1</formula>
    </cfRule>
  </conditionalFormatting>
  <conditionalFormatting sqref="L223">
    <cfRule type="expression" dxfId="3" priority="3411">
      <formula>COUNTIF(INDIRECT("Checklist!$None"), "TRUE") = 1</formula>
    </cfRule>
    <cfRule type="expression" dxfId="4" priority="3412">
      <formula>COUNTIF(INDIRECT("Checklist!$None"),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COUNTIF(INDIRECT("Checklist!$A936"), "TRUE") = 1</formula>
    </cfRule>
    <cfRule type="expression" dxfId="4" priority="1902">
      <formula>COUNTIF(INDIRECT("Checklist!$A936"), "FALSE") = 1</formula>
    </cfRule>
  </conditionalFormatting>
  <conditionalFormatting sqref="M124">
    <cfRule type="expression" dxfId="3" priority="1913">
      <formula>COUNTIF(INDIRECT("Checklist!$A942"), "TRUE") = 1</formula>
    </cfRule>
    <cfRule type="expression" dxfId="4" priority="1914">
      <formula>COUNTIF(INDIRECT("Checklist!$A942"), "FALSE") = 1</formula>
    </cfRule>
  </conditionalFormatting>
  <conditionalFormatting sqref="M125">
    <cfRule type="expression" dxfId="3" priority="1925">
      <formula>COUNTIF(INDIRECT("Checklist!$A948"), "TRUE") = 1</formula>
    </cfRule>
    <cfRule type="expression" dxfId="4" priority="1926">
      <formula>COUNTIF(INDIRECT("Checklist!$A948"), "FALSE") = 1</formula>
    </cfRule>
  </conditionalFormatting>
  <conditionalFormatting sqref="M126">
    <cfRule type="expression" dxfId="3" priority="1937">
      <formula>COUNTIF(INDIRECT("Checklist!$A954"), "TRUE") = 1</formula>
    </cfRule>
    <cfRule type="expression" dxfId="4" priority="1938">
      <formula>COUNTIF(INDIRECT("Checklist!$A954"), "FALSE") = 1</formula>
    </cfRule>
  </conditionalFormatting>
  <conditionalFormatting sqref="M127">
    <cfRule type="expression" dxfId="3" priority="1949">
      <formula>COUNTIF(INDIRECT("Checklist!$A960"), "TRUE") = 1</formula>
    </cfRule>
    <cfRule type="expression" dxfId="4" priority="1950">
      <formula>COUNTIF(INDIRECT("Checklist!$A960"),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COUNTIF(INDIRECT("Checklist!$A996"), "TRUE") = 1</formula>
    </cfRule>
    <cfRule type="expression" dxfId="4" priority="2024">
      <formula>COUNTIF(INDIRECT("Checklist!$A996"), "FALSE") = 1</formula>
    </cfRule>
  </conditionalFormatting>
  <conditionalFormatting sqref="M132">
    <cfRule type="expression" dxfId="3" priority="2035">
      <formula>COUNTIF(INDIRECT("Checklist!$A1002"), "TRUE") = 1</formula>
    </cfRule>
    <cfRule type="expression" dxfId="4" priority="2036">
      <formula>COUNTIF(INDIRECT("Checklist!$A1002"), "FALSE") = 1</formula>
    </cfRule>
  </conditionalFormatting>
  <conditionalFormatting sqref="M133">
    <cfRule type="expression" dxfId="3" priority="2047">
      <formula>COUNTIF(INDIRECT("Checklist!$A1008"), "TRUE") = 1</formula>
    </cfRule>
    <cfRule type="expression" dxfId="4" priority="2048">
      <formula>COUNTIF(INDIRECT("Checklist!$A1008"), "FALSE") = 1</formula>
    </cfRule>
  </conditionalFormatting>
  <conditionalFormatting sqref="M134">
    <cfRule type="expression" dxfId="3" priority="2059">
      <formula>COUNTIF(INDIRECT("Checklist!$None"), "TRUE") = 1</formula>
    </cfRule>
    <cfRule type="expression" dxfId="4" priority="2060">
      <formula>COUNTIF(INDIRECT("Checklist!$None"), "FALSE") = 1</formula>
    </cfRule>
  </conditionalFormatting>
  <conditionalFormatting sqref="M135">
    <cfRule type="expression" dxfId="3" priority="2071">
      <formula>COUNTIF(INDIRECT("Checklist!$None"), "TRUE") = 1</formula>
    </cfRule>
    <cfRule type="expression" dxfId="4" priority="2072">
      <formula>COUNTIF(INDIRECT("Checklist!$None"), "FALSE") = 1</formula>
    </cfRule>
  </conditionalFormatting>
  <conditionalFormatting sqref="M139">
    <cfRule type="expression" dxfId="3" priority="2145">
      <formula>COUNTIF(INDIRECT("Checklist!$A1046"), "TRUE") = 1</formula>
    </cfRule>
    <cfRule type="expression" dxfId="4" priority="2146">
      <formula>COUNTIF(INDIRECT("Checklist!$A1046"),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COUNTIF(INDIRECT("Checklist!$A1052"), "TRUE") = 1</formula>
    </cfRule>
    <cfRule type="expression" dxfId="4" priority="2158">
      <formula>COUNTIF(INDIRECT("Checklist!$A1052"), "FALSE") = 1</formula>
    </cfRule>
  </conditionalFormatting>
  <conditionalFormatting sqref="M141">
    <cfRule type="expression" dxfId="3" priority="2169">
      <formula>COUNTIF(INDIRECT("Checklist!$A1058"), "TRUE") = 1</formula>
    </cfRule>
    <cfRule type="expression" dxfId="4" priority="2170">
      <formula>COUNTIF(INDIRECT("Checklist!$A1058"), "FALSE") = 1</formula>
    </cfRule>
  </conditionalFormatting>
  <conditionalFormatting sqref="M142">
    <cfRule type="expression" dxfId="3" priority="2181">
      <formula>COUNTIF(INDIRECT("Checklist!$A1064"), "TRUE") = 1</formula>
    </cfRule>
    <cfRule type="expression" dxfId="4" priority="2182">
      <formula>COUNTIF(INDIRECT("Checklist!$A1064"), "FALSE") = 1</formula>
    </cfRule>
  </conditionalFormatting>
  <conditionalFormatting sqref="M143">
    <cfRule type="expression" dxfId="3" priority="2193">
      <formula>COUNTIF(INDIRECT("Checklist!$A1070"), "TRUE") = 1</formula>
    </cfRule>
    <cfRule type="expression" dxfId="4" priority="2194">
      <formula>COUNTIF(INDIRECT("Checklist!$A1070"), "FALSE") = 1</formula>
    </cfRule>
  </conditionalFormatting>
  <conditionalFormatting sqref="M147">
    <cfRule type="expression" dxfId="3" priority="2267">
      <formula>COUNTIF(INDIRECT("Checklist!$A1106"), "TRUE") = 1</formula>
    </cfRule>
    <cfRule type="expression" dxfId="4" priority="2268">
      <formula>COUNTIF(INDIRECT("Checklist!$A1106"), "FALSE") = 1</formula>
    </cfRule>
  </conditionalFormatting>
  <conditionalFormatting sqref="M148">
    <cfRule type="expression" dxfId="3" priority="2279">
      <formula>COUNTIF(INDIRECT("Checklist!$A1112"), "TRUE") = 1</formula>
    </cfRule>
    <cfRule type="expression" dxfId="4" priority="2280">
      <formula>COUNTIF(INDIRECT("Checklist!$A1112"), "FALSE") = 1</formula>
    </cfRule>
  </conditionalFormatting>
  <conditionalFormatting sqref="M149">
    <cfRule type="expression" dxfId="3" priority="2291">
      <formula>COUNTIF(INDIRECT("Checklist!$None"), "TRUE") = 1</formula>
    </cfRule>
    <cfRule type="expression" dxfId="4" priority="2292">
      <formula>COUNTIF(INDIRECT("Checklist!$None"),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COUNTIF(INDIRECT("Checklist!$None"), "TRUE") = 1</formula>
    </cfRule>
    <cfRule type="expression" dxfId="4" priority="2304">
      <formula>COUNTIF(INDIRECT("Checklist!$None"),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COUNTIF(INDIRECT("Checklist!$A1126"), "TRUE") = 1</formula>
    </cfRule>
    <cfRule type="expression" dxfId="4" priority="2390">
      <formula>COUNTIF(INDIRECT("Checklist!$A1126"), "FALSE") = 1</formula>
    </cfRule>
  </conditionalFormatting>
  <conditionalFormatting sqref="M156">
    <cfRule type="expression" dxfId="3" priority="2401">
      <formula>COUNTIF(INDIRECT("Checklist!$A1132"), "TRUE") = 1</formula>
    </cfRule>
    <cfRule type="expression" dxfId="4" priority="2402">
      <formula>COUNTIF(INDIRECT("Checklist!$A1132"), "FALSE") = 1</formula>
    </cfRule>
  </conditionalFormatting>
  <conditionalFormatting sqref="M157">
    <cfRule type="expression" dxfId="3" priority="2413">
      <formula>COUNTIF(INDIRECT("Checklist!$A1138"), "TRUE") = 1</formula>
    </cfRule>
    <cfRule type="expression" dxfId="4" priority="2414">
      <formula>COUNTIF(INDIRECT("Checklist!$A1138"), "FALSE") = 1</formula>
    </cfRule>
  </conditionalFormatting>
  <conditionalFormatting sqref="M158">
    <cfRule type="expression" dxfId="3" priority="2425">
      <formula>COUNTIF(INDIRECT("Checklist!$A1144"), "TRUE") = 1</formula>
    </cfRule>
    <cfRule type="expression" dxfId="4" priority="2426">
      <formula>COUNTIF(INDIRECT("Checklist!$A1144"),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COUNTIF(INDIRECT("Checklist!$None"), "TRUE") = 1</formula>
    </cfRule>
    <cfRule type="expression" dxfId="4" priority="2512">
      <formula>COUNTIF(INDIRECT("Checklist!$None"), "FALSE") = 1</formula>
    </cfRule>
  </conditionalFormatting>
  <conditionalFormatting sqref="M164">
    <cfRule type="expression" dxfId="3" priority="2523">
      <formula>COUNTIF(INDIRECT("Checklist!$None"), "TRUE") = 1</formula>
    </cfRule>
    <cfRule type="expression" dxfId="4" priority="2524">
      <formula>COUNTIF(INDIRECT("Checklist!$None"), "FALSE") = 1</formula>
    </cfRule>
  </conditionalFormatting>
  <conditionalFormatting sqref="M165">
    <cfRule type="expression" dxfId="3" priority="2535">
      <formula>COUNTIF(INDIRECT("Checklist!$None"), "TRUE") = 1</formula>
    </cfRule>
    <cfRule type="expression" dxfId="4" priority="2536">
      <formula>COUNTIF(INDIRECT("Checklist!$None"), "FALSE") = 1</formula>
    </cfRule>
  </conditionalFormatting>
  <conditionalFormatting sqref="M166">
    <cfRule type="expression" dxfId="3" priority="2547">
      <formula>COUNTIF(INDIRECT("Checklist!$A646"), "TRUE") = 1</formula>
    </cfRule>
    <cfRule type="expression" dxfId="4" priority="2548">
      <formula>COUNTIF(INDIRECT("Checklist!$A646"),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COUNTIF(INDIRECT("Checklist!$A1194"), "TRUE") = 1</formula>
    </cfRule>
    <cfRule type="expression" dxfId="4" priority="2634">
      <formula>COUNTIF(INDIRECT("Checklist!$A1194"), "FALSE") = 1</formula>
    </cfRule>
  </conditionalFormatting>
  <conditionalFormatting sqref="M172">
    <cfRule type="expression" dxfId="3" priority="2645">
      <formula>COUNTIF(INDIRECT("Checklist!$A1198"), "TRUE") = 1</formula>
    </cfRule>
    <cfRule type="expression" dxfId="4" priority="2646">
      <formula>COUNTIF(INDIRECT("Checklist!$A1198"), "FALSE") = 1</formula>
    </cfRule>
  </conditionalFormatting>
  <conditionalFormatting sqref="M173">
    <cfRule type="expression" dxfId="3" priority="2657">
      <formula>COUNTIF(INDIRECT("Checklist!$A1202"), "TRUE") = 1</formula>
    </cfRule>
    <cfRule type="expression" dxfId="4" priority="2658">
      <formula>COUNTIF(INDIRECT("Checklist!$A1202"),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COUNTIF(INDIRECT("Checklist!$A1206"), "TRUE") = 1</formula>
    </cfRule>
    <cfRule type="expression" dxfId="4" priority="2682">
      <formula>COUNTIF(INDIRECT("Checklist!$A1206"), "FALSE") = 1</formula>
    </cfRule>
  </conditionalFormatting>
  <conditionalFormatting sqref="M179">
    <cfRule type="expression" dxfId="3" priority="2755">
      <formula>COUNTIF(INDIRECT("Checklist!$None"), "TRUE") = 1</formula>
    </cfRule>
    <cfRule type="expression" dxfId="4" priority="2756">
      <formula>COUNTIF(INDIRECT("Checklist!$None"), "FALSE") = 1</formula>
    </cfRule>
  </conditionalFormatting>
  <conditionalFormatting sqref="M180">
    <cfRule type="expression" dxfId="3" priority="2767">
      <formula>COUNTIF(INDIRECT("Checklist!$A1232"), "TRUE") = 1</formula>
    </cfRule>
    <cfRule type="expression" dxfId="4" priority="2768">
      <formula>COUNTIF(INDIRECT("Checklist!$A1232"), "FALSE") = 1</formula>
    </cfRule>
  </conditionalFormatting>
  <conditionalFormatting sqref="M181">
    <cfRule type="expression" dxfId="3" priority="2779">
      <formula>COUNTIF(INDIRECT("Checklist!$A1236"), "TRUE") = 1</formula>
    </cfRule>
    <cfRule type="expression" dxfId="4" priority="2780">
      <formula>COUNTIF(INDIRECT("Checklist!$A1236"), "FALSE") = 1</formula>
    </cfRule>
  </conditionalFormatting>
  <conditionalFormatting sqref="M182">
    <cfRule type="expression" dxfId="3" priority="2791">
      <formula>COUNTIF(INDIRECT("Checklist!$None"), "TRUE") = 1</formula>
    </cfRule>
    <cfRule type="expression" dxfId="4" priority="2792">
      <formula>COUNTIF(INDIRECT("Checklist!$None"),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COUNTIF(INDIRECT("Checklist!$A1249"), "TRUE") = 1</formula>
    </cfRule>
    <cfRule type="expression" dxfId="4" priority="2878">
      <formula>COUNTIF(INDIRECT("Checklist!$A1249"), "FALSE") = 1</formula>
    </cfRule>
  </conditionalFormatting>
  <conditionalFormatting sqref="M188">
    <cfRule type="expression" dxfId="3" priority="2889">
      <formula>COUNTIF(INDIRECT("Checklist!$A1255"), "TRUE") = 1</formula>
    </cfRule>
    <cfRule type="expression" dxfId="4" priority="2890">
      <formula>COUNTIF(INDIRECT("Checklist!$A1255"), "FALSE") = 1</formula>
    </cfRule>
  </conditionalFormatting>
  <conditionalFormatting sqref="M189">
    <cfRule type="expression" dxfId="3" priority="2901">
      <formula>COUNTIF(INDIRECT("Checklist!$A1261"), "TRUE") = 1</formula>
    </cfRule>
    <cfRule type="expression" dxfId="4" priority="2902">
      <formula>COUNTIF(INDIRECT("Checklist!$A1261"),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COUNTIF(INDIRECT("Checklist!$A1267"), "TRUE") = 1</formula>
    </cfRule>
    <cfRule type="expression" dxfId="4" priority="2914">
      <formula>COUNTIF(INDIRECT("Checklist!$A1267"),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COUNTIF(INDIRECT("Checklist!$A1305"), "TRUE") = 1</formula>
    </cfRule>
    <cfRule type="expression" dxfId="4" priority="3000">
      <formula>COUNTIF(INDIRECT("Checklist!$A1305"),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COUNTIF(INDIRECT("Checklist!$A1342"), "TRUE") = 1</formula>
    </cfRule>
    <cfRule type="expression" dxfId="4" priority="3122">
      <formula>COUNTIF(INDIRECT("Checklist!$A1342"), "FALSE") = 1</formula>
    </cfRule>
  </conditionalFormatting>
  <conditionalFormatting sqref="M204">
    <cfRule type="expression" dxfId="3" priority="3133">
      <formula>COUNTIF(INDIRECT("Checklist!$None"), "TRUE") = 1</formula>
    </cfRule>
    <cfRule type="expression" dxfId="4" priority="3134">
      <formula>COUNTIF(INDIRECT("Checklist!$None"), "FALSE") = 1</formula>
    </cfRule>
  </conditionalFormatting>
  <conditionalFormatting sqref="M205">
    <cfRule type="expression" dxfId="3" priority="3145">
      <formula>COUNTIF(INDIRECT("Checklist!$None"), "TRUE") = 1</formula>
    </cfRule>
    <cfRule type="expression" dxfId="4" priority="3146">
      <formula>COUNTIF(INDIRECT("Checklist!$None"),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11">
    <cfRule type="expression" dxfId="3" priority="3243">
      <formula>COUNTIF(INDIRECT("Checklist!$A1362"), "TRUE") = 1</formula>
    </cfRule>
    <cfRule type="expression" dxfId="4" priority="3244">
      <formula>COUNTIF(INDIRECT("Checklist!$A1362"), "FALSE") = 1</formula>
    </cfRule>
  </conditionalFormatting>
  <conditionalFormatting sqref="M212">
    <cfRule type="expression" dxfId="3" priority="3255">
      <formula>COUNTIF(INDIRECT("Checklist!$A1368"), "TRUE") = 1</formula>
    </cfRule>
    <cfRule type="expression" dxfId="4" priority="3256">
      <formula>COUNTIF(INDIRECT("Checklist!$A1368"), "FALSE") = 1</formula>
    </cfRule>
  </conditionalFormatting>
  <conditionalFormatting sqref="M213">
    <cfRule type="expression" dxfId="3" priority="3267">
      <formula>COUNTIF(INDIRECT("Checklist!$A1374"), "TRUE") = 1</formula>
    </cfRule>
    <cfRule type="expression" dxfId="4" priority="3268">
      <formula>COUNTIF(INDIRECT("Checklist!$A1374"), "FALSE") = 1</formula>
    </cfRule>
  </conditionalFormatting>
  <conditionalFormatting sqref="M214">
    <cfRule type="expression" dxfId="3" priority="3279">
      <formula>COUNTIF(INDIRECT("Checklist!$None"), "TRUE") = 1</formula>
    </cfRule>
    <cfRule type="expression" dxfId="4" priority="3280">
      <formula>COUNTIF(INDIRECT("Checklist!$None"), "FALSE") = 1</formula>
    </cfRule>
  </conditionalFormatting>
  <conditionalFormatting sqref="M215">
    <cfRule type="expression" dxfId="3" priority="3291">
      <formula>COUNTIF(INDIRECT("Checklist!$None"), "TRUE") = 1</formula>
    </cfRule>
    <cfRule type="expression" dxfId="4" priority="3292">
      <formula>COUNTIF(INDIRECT("Checklist!$None"), "FALSE") = 1</formula>
    </cfRule>
  </conditionalFormatting>
  <conditionalFormatting sqref="M219">
    <cfRule type="expression" dxfId="3" priority="3365">
      <formula>COUNTIF(INDIRECT("Checklist!$A1399"), "TRUE") = 1</formula>
    </cfRule>
    <cfRule type="expression" dxfId="4" priority="3366">
      <formula>COUNTIF(INDIRECT("Checklist!$A1399"),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20">
    <cfRule type="expression" dxfId="3" priority="3377">
      <formula>COUNTIF(INDIRECT("Checklist!$A1405"), "TRUE") = 1</formula>
    </cfRule>
    <cfRule type="expression" dxfId="4" priority="3378">
      <formula>COUNTIF(INDIRECT("Checklist!$A1405"), "FALSE") = 1</formula>
    </cfRule>
  </conditionalFormatting>
  <conditionalFormatting sqref="M221">
    <cfRule type="expression" dxfId="3" priority="3389">
      <formula>COUNTIF(INDIRECT("Checklist!$A1411"), "TRUE") = 1</formula>
    </cfRule>
    <cfRule type="expression" dxfId="4" priority="3390">
      <formula>COUNTIF(INDIRECT("Checklist!$A1411"), "FALSE") = 1</formula>
    </cfRule>
  </conditionalFormatting>
  <conditionalFormatting sqref="M222">
    <cfRule type="expression" dxfId="3" priority="3401">
      <formula>COUNTIF(INDIRECT("Checklist!$None"), "TRUE") = 1</formula>
    </cfRule>
    <cfRule type="expression" dxfId="4" priority="3402">
      <formula>COUNTIF(INDIRECT("Checklist!$None"), "FALSE") = 1</formula>
    </cfRule>
  </conditionalFormatting>
  <conditionalFormatting sqref="M223">
    <cfRule type="expression" dxfId="3" priority="3413">
      <formula>COUNTIF(INDIRECT("Checklist!$None"), "TRUE") = 1</formula>
    </cfRule>
    <cfRule type="expression" dxfId="4" priority="3414">
      <formula>COUNTIF(INDIRECT("Checklist!$None"),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COUNTIF(INDIRECT("Checklist!$A937"), "TRUE") = 1</formula>
    </cfRule>
    <cfRule type="expression" dxfId="4" priority="1904">
      <formula>COUNTIF(INDIRECT("Checklist!$A937"), "FALSE") = 1</formula>
    </cfRule>
  </conditionalFormatting>
  <conditionalFormatting sqref="N124">
    <cfRule type="expression" dxfId="3" priority="1915">
      <formula>COUNTIF(INDIRECT("Checklist!$A943"), "TRUE") = 1</formula>
    </cfRule>
    <cfRule type="expression" dxfId="4" priority="1916">
      <formula>COUNTIF(INDIRECT("Checklist!$A943"), "FALSE") = 1</formula>
    </cfRule>
  </conditionalFormatting>
  <conditionalFormatting sqref="N125">
    <cfRule type="expression" dxfId="3" priority="1927">
      <formula>COUNTIF(INDIRECT("Checklist!$A949"), "TRUE") = 1</formula>
    </cfRule>
    <cfRule type="expression" dxfId="4" priority="1928">
      <formula>COUNTIF(INDIRECT("Checklist!$A949"), "FALSE") = 1</formula>
    </cfRule>
  </conditionalFormatting>
  <conditionalFormatting sqref="N126">
    <cfRule type="expression" dxfId="3" priority="1939">
      <formula>COUNTIF(INDIRECT("Checklist!$A955"), "TRUE") = 1</formula>
    </cfRule>
    <cfRule type="expression" dxfId="4" priority="1940">
      <formula>COUNTIF(INDIRECT("Checklist!$A955"), "FALSE") = 1</formula>
    </cfRule>
  </conditionalFormatting>
  <conditionalFormatting sqref="N127">
    <cfRule type="expression" dxfId="3" priority="1951">
      <formula>COUNTIF(INDIRECT("Checklist!$A961"), "TRUE") = 1</formula>
    </cfRule>
    <cfRule type="expression" dxfId="4" priority="1952">
      <formula>COUNTIF(INDIRECT("Checklist!$A961"),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COUNTIF(INDIRECT("Checklist!$A997"), "TRUE") = 1</formula>
    </cfRule>
    <cfRule type="expression" dxfId="4" priority="2026">
      <formula>COUNTIF(INDIRECT("Checklist!$A997"), "FALSE") = 1</formula>
    </cfRule>
  </conditionalFormatting>
  <conditionalFormatting sqref="N132">
    <cfRule type="expression" dxfId="3" priority="2037">
      <formula>COUNTIF(INDIRECT("Checklist!$A1003"), "TRUE") = 1</formula>
    </cfRule>
    <cfRule type="expression" dxfId="4" priority="2038">
      <formula>COUNTIF(INDIRECT("Checklist!$A1003"), "FALSE") = 1</formula>
    </cfRule>
  </conditionalFormatting>
  <conditionalFormatting sqref="N133">
    <cfRule type="expression" dxfId="3" priority="2049">
      <formula>COUNTIF(INDIRECT("Checklist!$A1009"), "TRUE") = 1</formula>
    </cfRule>
    <cfRule type="expression" dxfId="4" priority="2050">
      <formula>COUNTIF(INDIRECT("Checklist!$A1009"), "FALSE") = 1</formula>
    </cfRule>
  </conditionalFormatting>
  <conditionalFormatting sqref="N134">
    <cfRule type="expression" dxfId="3" priority="2061">
      <formula>COUNTIF(INDIRECT("Checklist!$None"), "TRUE") = 1</formula>
    </cfRule>
    <cfRule type="expression" dxfId="4" priority="2062">
      <formula>COUNTIF(INDIRECT("Checklist!$None"), "FALSE") = 1</formula>
    </cfRule>
  </conditionalFormatting>
  <conditionalFormatting sqref="N135">
    <cfRule type="expression" dxfId="3" priority="2073">
      <formula>COUNTIF(INDIRECT("Checklist!$None"), "TRUE") = 1</formula>
    </cfRule>
    <cfRule type="expression" dxfId="4" priority="2074">
      <formula>COUNTIF(INDIRECT("Checklist!$None"), "FALSE") = 1</formula>
    </cfRule>
  </conditionalFormatting>
  <conditionalFormatting sqref="N139">
    <cfRule type="expression" dxfId="3" priority="2147">
      <formula>COUNTIF(INDIRECT("Checklist!$A1047"), "TRUE") = 1</formula>
    </cfRule>
    <cfRule type="expression" dxfId="4" priority="2148">
      <formula>COUNTIF(INDIRECT("Checklist!$A1047"),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COUNTIF(INDIRECT("Checklist!$A1053"), "TRUE") = 1</formula>
    </cfRule>
    <cfRule type="expression" dxfId="4" priority="2160">
      <formula>COUNTIF(INDIRECT("Checklist!$A1053"), "FALSE") = 1</formula>
    </cfRule>
  </conditionalFormatting>
  <conditionalFormatting sqref="N141">
    <cfRule type="expression" dxfId="3" priority="2171">
      <formula>COUNTIF(INDIRECT("Checklist!$A1059"), "TRUE") = 1</formula>
    </cfRule>
    <cfRule type="expression" dxfId="4" priority="2172">
      <formula>COUNTIF(INDIRECT("Checklist!$A1059"), "FALSE") = 1</formula>
    </cfRule>
  </conditionalFormatting>
  <conditionalFormatting sqref="N142">
    <cfRule type="expression" dxfId="3" priority="2183">
      <formula>COUNTIF(INDIRECT("Checklist!$A1065"), "TRUE") = 1</formula>
    </cfRule>
    <cfRule type="expression" dxfId="4" priority="2184">
      <formula>COUNTIF(INDIRECT("Checklist!$A1065"), "FALSE") = 1</formula>
    </cfRule>
  </conditionalFormatting>
  <conditionalFormatting sqref="N143">
    <cfRule type="expression" dxfId="3" priority="2195">
      <formula>COUNTIF(INDIRECT("Checklist!$A1071"), "TRUE") = 1</formula>
    </cfRule>
    <cfRule type="expression" dxfId="4" priority="2196">
      <formula>COUNTIF(INDIRECT("Checklist!$A1071"), "FALSE") = 1</formula>
    </cfRule>
  </conditionalFormatting>
  <conditionalFormatting sqref="N147">
    <cfRule type="expression" dxfId="3" priority="2269">
      <formula>COUNTIF(INDIRECT("Checklist!$A1107"), "TRUE") = 1</formula>
    </cfRule>
    <cfRule type="expression" dxfId="4" priority="2270">
      <formula>COUNTIF(INDIRECT("Checklist!$A1107"), "FALSE") = 1</formula>
    </cfRule>
  </conditionalFormatting>
  <conditionalFormatting sqref="N148">
    <cfRule type="expression" dxfId="3" priority="2281">
      <formula>COUNTIF(INDIRECT("Checklist!$A1113"), "TRUE") = 1</formula>
    </cfRule>
    <cfRule type="expression" dxfId="4" priority="2282">
      <formula>COUNTIF(INDIRECT("Checklist!$A1113"),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COUNTIF(INDIRECT("Checklist!$None"), "TRUE") = 1</formula>
    </cfRule>
    <cfRule type="expression" dxfId="4" priority="2306">
      <formula>COUNTIF(INDIRECT("Checklist!$None"),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COUNTIF(INDIRECT("Checklist!$A1127"), "TRUE") = 1</formula>
    </cfRule>
    <cfRule type="expression" dxfId="4" priority="2392">
      <formula>COUNTIF(INDIRECT("Checklist!$A1127"), "FALSE") = 1</formula>
    </cfRule>
  </conditionalFormatting>
  <conditionalFormatting sqref="N156">
    <cfRule type="expression" dxfId="3" priority="2403">
      <formula>COUNTIF(INDIRECT("Checklist!$A1133"), "TRUE") = 1</formula>
    </cfRule>
    <cfRule type="expression" dxfId="4" priority="2404">
      <formula>COUNTIF(INDIRECT("Checklist!$A1133"), "FALSE") = 1</formula>
    </cfRule>
  </conditionalFormatting>
  <conditionalFormatting sqref="N157">
    <cfRule type="expression" dxfId="3" priority="2415">
      <formula>COUNTIF(INDIRECT("Checklist!$A1139"), "TRUE") = 1</formula>
    </cfRule>
    <cfRule type="expression" dxfId="4" priority="2416">
      <formula>COUNTIF(INDIRECT("Checklist!$A1139"), "FALSE") = 1</formula>
    </cfRule>
  </conditionalFormatting>
  <conditionalFormatting sqref="N158">
    <cfRule type="expression" dxfId="3" priority="2427">
      <formula>COUNTIF(INDIRECT("Checklist!$A1145"), "TRUE") = 1</formula>
    </cfRule>
    <cfRule type="expression" dxfId="4" priority="2428">
      <formula>COUNTIF(INDIRECT("Checklist!$A1145"),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COUNTIF(INDIRECT("Checklist!$None"), "TRUE") = 1</formula>
    </cfRule>
    <cfRule type="expression" dxfId="4" priority="2514">
      <formula>COUNTIF(INDIRECT("Checklist!$None"), "FALSE") = 1</formula>
    </cfRule>
  </conditionalFormatting>
  <conditionalFormatting sqref="N164">
    <cfRule type="expression" dxfId="3" priority="2525">
      <formula>COUNTIF(INDIRECT("Checklist!$None"), "TRUE") = 1</formula>
    </cfRule>
    <cfRule type="expression" dxfId="4" priority="2526">
      <formula>COUNTIF(INDIRECT("Checklist!$None"), "FALSE") = 1</formula>
    </cfRule>
  </conditionalFormatting>
  <conditionalFormatting sqref="N165">
    <cfRule type="expression" dxfId="3" priority="2537">
      <formula>COUNTIF(INDIRECT("Checklist!$None"), "TRUE") = 1</formula>
    </cfRule>
    <cfRule type="expression" dxfId="4" priority="2538">
      <formula>COUNTIF(INDIRECT("Checklist!$None"), "FALSE") = 1</formula>
    </cfRule>
  </conditionalFormatting>
  <conditionalFormatting sqref="N166">
    <cfRule type="expression" dxfId="3" priority="2549">
      <formula>COUNTIF(INDIRECT("Checklist!$A1174"), "TRUE") = 1</formula>
    </cfRule>
    <cfRule type="expression" dxfId="4" priority="2550">
      <formula>COUNTIF(INDIRECT("Checklist!$A1174"),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COUNTIF(INDIRECT("Checklist!$A1207"), "TRUE") = 1</formula>
    </cfRule>
    <cfRule type="expression" dxfId="4" priority="2684">
      <formula>COUNTIF(INDIRECT("Checklist!$A1207"), "FALSE") = 1</formula>
    </cfRule>
  </conditionalFormatting>
  <conditionalFormatting sqref="N179">
    <cfRule type="expression" dxfId="3" priority="2757">
      <formula>COUNTIF(INDIRECT("Checklist!$None"), "TRUE") = 1</formula>
    </cfRule>
    <cfRule type="expression" dxfId="4" priority="2758">
      <formula>COUNTIF(INDIRECT("Checklist!$None"), "FALSE") = 1</formula>
    </cfRule>
  </conditionalFormatting>
  <conditionalFormatting sqref="N180">
    <cfRule type="expression" dxfId="3" priority="2769">
      <formula>COUNTIF(INDIRECT("Checklist!$None"), "TRUE") = 1</formula>
    </cfRule>
    <cfRule type="expression" dxfId="4" priority="2770">
      <formula>COUNTIF(INDIRECT("Checklist!$None"), "FALSE") = 1</formula>
    </cfRule>
  </conditionalFormatting>
  <conditionalFormatting sqref="N181">
    <cfRule type="expression" dxfId="3" priority="2781">
      <formula>COUNTIF(INDIRECT("Checklist!$A1237"), "TRUE") = 1</formula>
    </cfRule>
    <cfRule type="expression" dxfId="4" priority="2782">
      <formula>COUNTIF(INDIRECT("Checklist!$A1237"), "FALSE") = 1</formula>
    </cfRule>
  </conditionalFormatting>
  <conditionalFormatting sqref="N182">
    <cfRule type="expression" dxfId="3" priority="2793">
      <formula>COUNTIF(INDIRECT("Checklist!$None"), "TRUE") = 1</formula>
    </cfRule>
    <cfRule type="expression" dxfId="4" priority="2794">
      <formula>COUNTIF(INDIRECT("Checklist!$None"),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COUNTIF(INDIRECT("Checklist!$A1250"), "TRUE") = 1</formula>
    </cfRule>
    <cfRule type="expression" dxfId="4" priority="2880">
      <formula>COUNTIF(INDIRECT("Checklist!$A1250"), "FALSE") = 1</formula>
    </cfRule>
  </conditionalFormatting>
  <conditionalFormatting sqref="N188">
    <cfRule type="expression" dxfId="3" priority="2891">
      <formula>COUNTIF(INDIRECT("Checklist!$A1256"), "TRUE") = 1</formula>
    </cfRule>
    <cfRule type="expression" dxfId="4" priority="2892">
      <formula>COUNTIF(INDIRECT("Checklist!$A1256"), "FALSE") = 1</formula>
    </cfRule>
  </conditionalFormatting>
  <conditionalFormatting sqref="N189">
    <cfRule type="expression" dxfId="3" priority="2903">
      <formula>COUNTIF(INDIRECT("Checklist!$A1262"), "TRUE") = 1</formula>
    </cfRule>
    <cfRule type="expression" dxfId="4" priority="2904">
      <formula>COUNTIF(INDIRECT("Checklist!$A1262"),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COUNTIF(INDIRECT("Checklist!$A1268"), "TRUE") = 1</formula>
    </cfRule>
    <cfRule type="expression" dxfId="4" priority="2916">
      <formula>COUNTIF(INDIRECT("Checklist!$A1268"),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COUNTIF(INDIRECT("Checklist!$A1306"), "TRUE") = 1</formula>
    </cfRule>
    <cfRule type="expression" dxfId="4" priority="3002">
      <formula>COUNTIF(INDIRECT("Checklist!$A1306"),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COUNTIF(INDIRECT("Checklist!$A1343"), "TRUE") = 1</formula>
    </cfRule>
    <cfRule type="expression" dxfId="4" priority="3124">
      <formula>COUNTIF(INDIRECT("Checklist!$A1343"), "FALSE") = 1</formula>
    </cfRule>
  </conditionalFormatting>
  <conditionalFormatting sqref="N204">
    <cfRule type="expression" dxfId="3" priority="3135">
      <formula>COUNTIF(INDIRECT("Checklist!$None"), "TRUE") = 1</formula>
    </cfRule>
    <cfRule type="expression" dxfId="4" priority="3136">
      <formula>COUNTIF(INDIRECT("Checklist!$None"), "FALSE") = 1</formula>
    </cfRule>
  </conditionalFormatting>
  <conditionalFormatting sqref="N205">
    <cfRule type="expression" dxfId="3" priority="3147">
      <formula>COUNTIF(INDIRECT("Checklist!$None"), "TRUE") = 1</formula>
    </cfRule>
    <cfRule type="expression" dxfId="4" priority="3148">
      <formula>COUNTIF(INDIRECT("Checklist!$None"),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11">
    <cfRule type="expression" dxfId="3" priority="3245">
      <formula>COUNTIF(INDIRECT("Checklist!$A1363"), "TRUE") = 1</formula>
    </cfRule>
    <cfRule type="expression" dxfId="4" priority="3246">
      <formula>COUNTIF(INDIRECT("Checklist!$A1363"), "FALSE") = 1</formula>
    </cfRule>
  </conditionalFormatting>
  <conditionalFormatting sqref="N212">
    <cfRule type="expression" dxfId="3" priority="3257">
      <formula>COUNTIF(INDIRECT("Checklist!$A1369"), "TRUE") = 1</formula>
    </cfRule>
    <cfRule type="expression" dxfId="4" priority="3258">
      <formula>COUNTIF(INDIRECT("Checklist!$A1369"), "FALSE") = 1</formula>
    </cfRule>
  </conditionalFormatting>
  <conditionalFormatting sqref="N213">
    <cfRule type="expression" dxfId="3" priority="3269">
      <formula>COUNTIF(INDIRECT("Checklist!$A1375"), "TRUE") = 1</formula>
    </cfRule>
    <cfRule type="expression" dxfId="4" priority="3270">
      <formula>COUNTIF(INDIRECT("Checklist!$A1375"), "FALSE") = 1</formula>
    </cfRule>
  </conditionalFormatting>
  <conditionalFormatting sqref="N214">
    <cfRule type="expression" dxfId="3" priority="3281">
      <formula>COUNTIF(INDIRECT("Checklist!$None"), "TRUE") = 1</formula>
    </cfRule>
    <cfRule type="expression" dxfId="4" priority="3282">
      <formula>COUNTIF(INDIRECT("Checklist!$None"), "FALSE") = 1</formula>
    </cfRule>
  </conditionalFormatting>
  <conditionalFormatting sqref="N215">
    <cfRule type="expression" dxfId="3" priority="3293">
      <formula>COUNTIF(INDIRECT("Checklist!$None"), "TRUE") = 1</formula>
    </cfRule>
    <cfRule type="expression" dxfId="4" priority="3294">
      <formula>COUNTIF(INDIRECT("Checklist!$None"), "FALSE") = 1</formula>
    </cfRule>
  </conditionalFormatting>
  <conditionalFormatting sqref="N219">
    <cfRule type="expression" dxfId="3" priority="3367">
      <formula>COUNTIF(INDIRECT("Checklist!$A1400"), "TRUE") = 1</formula>
    </cfRule>
    <cfRule type="expression" dxfId="4" priority="3368">
      <formula>COUNTIF(INDIRECT("Checklist!$A1400"),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20">
    <cfRule type="expression" dxfId="3" priority="3379">
      <formula>COUNTIF(INDIRECT("Checklist!$A1406"), "TRUE") = 1</formula>
    </cfRule>
    <cfRule type="expression" dxfId="4" priority="3380">
      <formula>COUNTIF(INDIRECT("Checklist!$A1406"), "FALSE") = 1</formula>
    </cfRule>
  </conditionalFormatting>
  <conditionalFormatting sqref="N221">
    <cfRule type="expression" dxfId="3" priority="3391">
      <formula>COUNTIF(INDIRECT("Checklist!$None"), "TRUE") = 1</formula>
    </cfRule>
    <cfRule type="expression" dxfId="4" priority="3392">
      <formula>COUNTIF(INDIRECT("Checklist!$None"), "FALSE") = 1</formula>
    </cfRule>
  </conditionalFormatting>
  <conditionalFormatting sqref="N222">
    <cfRule type="expression" dxfId="3" priority="3403">
      <formula>COUNTIF(INDIRECT("Checklist!$None"), "TRUE") = 1</formula>
    </cfRule>
    <cfRule type="expression" dxfId="4" priority="3404">
      <formula>COUNTIF(INDIRECT("Checklist!$None"), "FALSE") = 1</formula>
    </cfRule>
  </conditionalFormatting>
  <conditionalFormatting sqref="N223">
    <cfRule type="expression" dxfId="3" priority="3415">
      <formula>COUNTIF(INDIRECT("Checklist!$None"), "TRUE") = 1</formula>
    </cfRule>
    <cfRule type="expression" dxfId="4" priority="3416">
      <formula>COUNTIF(INDIRECT("Checklist!$None"),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2023-03-15T05:38:13Z</dcterms:created>
  <dcterms:modified xsi:type="dcterms:W3CDTF">2023-03-15T05:38:13Z</dcterms:modified>
</cp:coreProperties>
</file>