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ecklist" sheetId="1" r:id="rId1"/>
    <sheet name="Boxes" sheetId="2" r:id="rId2"/>
  </sheets>
  <calcPr calcId="124519" fullCalcOnLoad="1"/>
</workbook>
</file>

<file path=xl/sharedStrings.xml><?xml version="1.0" encoding="utf-8"?>
<sst xmlns="http://schemas.openxmlformats.org/spreadsheetml/2006/main" count="4603" uniqueCount="1386">
  <si>
    <t>Caught</t>
  </si>
  <si>
    <t>ID</t>
  </si>
  <si>
    <t>Name</t>
  </si>
  <si>
    <t>Sprite</t>
  </si>
  <si>
    <t>Preferred Game</t>
  </si>
  <si>
    <t>Backup Game</t>
  </si>
  <si>
    <t>Notes</t>
  </si>
  <si>
    <t>Species</t>
  </si>
  <si>
    <t>Total</t>
  </si>
  <si>
    <t>Pokemon Let's Go! Pikachu/Eevee</t>
  </si>
  <si>
    <t>Pokemon Let's Go! Pikachu</t>
  </si>
  <si>
    <t>Pokemon Let's Go! Eevee</t>
  </si>
  <si>
    <t>Pokemon Sword/Shield DLC 1</t>
  </si>
  <si>
    <t>Pokemon Sword/Shield</t>
  </si>
  <si>
    <t>Pokemon Sword</t>
  </si>
  <si>
    <t>Pokemon Shield</t>
  </si>
  <si>
    <t>Pokemon X/Y</t>
  </si>
  <si>
    <t>Pokemon Ultra Sun/Ultra Moon</t>
  </si>
  <si>
    <t>Pokemon Crystal</t>
  </si>
  <si>
    <t>Pokemon Ultra Sun</t>
  </si>
  <si>
    <t>Pokemon Ultra Moon</t>
  </si>
  <si>
    <t>Pokemon Omega Ruby/Alpha Sapphire</t>
  </si>
  <si>
    <t>Pokemon Omega Ruby</t>
  </si>
  <si>
    <t>Pokemon Alpha Sapphire</t>
  </si>
  <si>
    <t>Event Distribution</t>
  </si>
  <si>
    <t>Pokemon GO</t>
  </si>
  <si>
    <t>FALSE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</si>
  <si>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</si>
  <si>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</si>
  <si>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</si>
  <si>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</si>
  <si>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</si>
  <si>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</si>
  <si>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</si>
  <si>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</si>
  <si>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</si>
  <si>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</si>
  <si>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</si>
  <si>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</si>
  <si>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</si>
  <si>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</si>
  <si>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</si>
  <si>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</si>
  <si>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</si>
  <si>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</si>
  <si>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</si>
  <si>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</si>
  <si>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</si>
  <si>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</si>
  <si>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</si>
  <si>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</si>
  <si>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</si>
  <si>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</si>
  <si>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</si>
  <si>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</si>
  <si>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Nidoran-F</t>
  </si>
  <si>
    <t>Nidorina</t>
  </si>
  <si>
    <t>Nidoqueen</t>
  </si>
  <si>
    <t>Nidoran-M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</si>
  <si>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</si>
  <si>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</si>
  <si>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</si>
  <si>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</si>
  <si>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</si>
  <si>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</si>
  <si>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</si>
  <si>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</si>
  <si>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</si>
  <si>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</si>
  <si>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</si>
  <si>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</si>
  <si>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</si>
  <si>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</si>
  <si>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</si>
  <si>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</si>
  <si>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</si>
  <si>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</si>
  <si>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</si>
  <si>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</si>
  <si>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</si>
  <si>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</si>
  <si>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</si>
  <si>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</si>
  <si>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</si>
  <si>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</si>
  <si>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</si>
  <si>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</si>
  <si>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</si>
  <si>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</si>
  <si>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</si>
  <si>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</si>
  <si>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</si>
  <si>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</si>
  <si>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</si>
  <si>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</si>
  <si>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</si>
  <si>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</si>
  <si>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</si>
  <si>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</si>
  <si>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</si>
  <si>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</si>
  <si>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</si>
  <si>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</si>
  <si>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</si>
  <si>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</si>
  <si>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</si>
  <si>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</si>
  <si>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</si>
  <si>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</si>
  <si>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</si>
  <si>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</si>
  <si>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</si>
  <si>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</si>
  <si>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</si>
  <si>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</si>
  <si>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</si>
  <si>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</si>
  <si>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</si>
  <si>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</si>
  <si>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</si>
  <si>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</si>
  <si>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</si>
  <si>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</si>
  <si>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</si>
  <si>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</si>
  <si>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</si>
  <si>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</si>
  <si>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</si>
  <si>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</si>
  <si>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</si>
  <si>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</si>
  <si>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</si>
  <si>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</si>
  <si>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</si>
  <si>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</si>
  <si>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</si>
  <si>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</si>
  <si>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</si>
  <si>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</si>
  <si>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</si>
  <si>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</si>
  <si>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</si>
  <si>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</si>
  <si>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</si>
  <si>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</si>
  <si>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</si>
  <si>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</si>
  <si>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</si>
  <si>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</si>
  <si>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</si>
  <si>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</si>
  <si>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</si>
  <si>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</si>
  <si>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</si>
  <si>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</si>
  <si>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</si>
  <si>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</si>
  <si>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</si>
  <si>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</si>
  <si>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</si>
  <si>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</si>
  <si>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</si>
  <si>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</si>
  <si>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</si>
  <si>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</si>
  <si>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</si>
  <si>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</si>
  <si>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</si>
  <si>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</si>
  <si>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</si>
  <si>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</si>
  <si>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</si>
  <si>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</si>
  <si>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</si>
  <si>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</si>
  <si>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</si>
  <si>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</si>
  <si>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</si>
  <si>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</si>
  <si>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</si>
  <si>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</si>
  <si>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</si>
  <si>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</si>
  <si>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</si>
  <si>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</si>
  <si>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</si>
  <si>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</si>
  <si>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</si>
  <si>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</si>
  <si>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</si>
  <si>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</si>
  <si>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</si>
  <si>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</si>
  <si>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</si>
  <si>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</si>
  <si>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</si>
  <si>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</si>
  <si>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</si>
  <si>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</si>
  <si>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</si>
  <si>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</si>
  <si>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</si>
  <si>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</si>
  <si>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</si>
  <si>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</si>
  <si>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</si>
  <si>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</si>
  <si>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</si>
  <si>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</si>
  <si>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</si>
  <si>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</si>
  <si>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</si>
  <si>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</si>
  <si>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</si>
  <si>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</si>
  <si>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</si>
  <si>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</si>
  <si>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</si>
  <si>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</si>
  <si>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</si>
  <si>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</si>
  <si>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</si>
  <si>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</si>
  <si>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</si>
  <si>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</si>
  <si>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</si>
  <si>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</si>
  <si>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</si>
  <si>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</si>
  <si>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</si>
  <si>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</si>
  <si>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</si>
  <si>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</si>
  <si>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</si>
  <si>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</si>
  <si>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</si>
  <si>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</si>
  <si>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</si>
  <si>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</si>
  <si>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</si>
  <si>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</si>
  <si>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</si>
  <si>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</si>
  <si>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</si>
  <si>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</si>
  <si>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</si>
  <si>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</si>
  <si>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</si>
  <si>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</si>
  <si>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</si>
  <si>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</si>
  <si>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</si>
  <si>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</si>
  <si>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</si>
  <si>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</si>
  <si>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</si>
  <si>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</si>
  <si>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</si>
  <si>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</si>
  <si>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</si>
  <si>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</si>
  <si>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</si>
  <si>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</si>
  <si>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</si>
  <si>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</si>
  <si>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</si>
  <si>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</si>
  <si>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</si>
  <si>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</si>
  <si>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</si>
  <si>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</si>
  <si>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</si>
  <si>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</si>
  <si>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</si>
  <si>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</si>
  <si>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</si>
  <si>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</si>
  <si>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</si>
  <si>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</si>
  <si>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</si>
  <si>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</si>
  <si>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</si>
  <si>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</si>
  <si>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</si>
  <si>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</si>
  <si>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</si>
  <si>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</si>
  <si>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</si>
  <si>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</si>
  <si>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</si>
  <si>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</si>
  <si>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</si>
  <si>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</si>
  <si>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</si>
  <si>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</si>
  <si>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</si>
  <si>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</si>
  <si>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</si>
  <si>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</si>
  <si>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</si>
  <si>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</si>
  <si>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</si>
  <si>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</si>
  <si>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</si>
  <si>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</si>
  <si>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</si>
  <si>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</si>
  <si>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</si>
  <si>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</si>
  <si>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</si>
  <si>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</si>
  <si>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</si>
  <si>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</si>
  <si>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</si>
  <si>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</si>
  <si>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</si>
  <si>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</si>
  <si>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</si>
  <si>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</si>
  <si>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</si>
  <si>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</si>
  <si>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</si>
  <si>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</si>
  <si>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</si>
  <si>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</si>
  <si>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</si>
  <si>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</si>
  <si>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</si>
  <si>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</si>
  <si>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</si>
  <si>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</si>
  <si>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</si>
  <si>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</si>
  <si>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</si>
  <si>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</si>
  <si>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</si>
  <si>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</si>
  <si>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</si>
  <si>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</si>
  <si>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</si>
  <si>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</si>
  <si>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</si>
  <si>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</si>
  <si>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</si>
  <si>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</si>
  <si>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</si>
  <si>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</si>
  <si>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</si>
  <si>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</si>
  <si>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</si>
  <si>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</si>
  <si>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</si>
  <si>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</si>
  <si>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</si>
  <si>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</si>
  <si>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</si>
  <si>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</si>
  <si>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</si>
  <si>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</si>
  <si>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</si>
  <si>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</si>
  <si>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</si>
  <si>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</si>
  <si>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</si>
  <si>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</si>
  <si>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</si>
  <si>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</si>
  <si>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</si>
  <si>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</si>
  <si>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</si>
  <si>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</si>
  <si>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</si>
  <si>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Pokemon X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</si>
  <si>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</si>
  <si>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</si>
  <si>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</si>
  <si>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</si>
  <si>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</si>
  <si>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</si>
  <si>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</si>
  <si>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</si>
  <si>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</si>
  <si>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</si>
  <si>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</si>
  <si>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</si>
  <si>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</si>
  <si>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</si>
  <si>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</si>
  <si>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</si>
  <si>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</si>
  <si>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</si>
  <si>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</si>
  <si>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</si>
  <si>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</si>
  <si>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</si>
  <si>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</si>
  <si>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</si>
  <si>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</si>
  <si>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</si>
  <si>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</si>
  <si>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</si>
  <si>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</si>
  <si>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</si>
  <si>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</si>
  <si>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</si>
  <si>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</si>
  <si>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</si>
  <si>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</si>
  <si>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</si>
  <si>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</si>
  <si>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</si>
  <si>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</si>
  <si>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</si>
  <si>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Deoxys-Normal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</si>
  <si>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</si>
  <si>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</si>
  <si>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</si>
  <si>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</si>
  <si>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</si>
  <si>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</si>
  <si>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</si>
  <si>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</si>
  <si>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</si>
  <si>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</si>
  <si>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</si>
  <si>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</si>
  <si>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</si>
  <si>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</si>
  <si>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</si>
  <si>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</si>
  <si>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</si>
  <si>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</si>
  <si>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</si>
  <si>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</si>
  <si>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</si>
  <si>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</si>
  <si>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</si>
  <si>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</si>
  <si>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</si>
  <si>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</si>
  <si>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Wormadam-Plant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</si>
  <si>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</si>
  <si>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</si>
  <si>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</si>
  <si>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</si>
  <si>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</si>
  <si>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</si>
  <si>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</si>
  <si>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</si>
  <si>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</si>
  <si>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</si>
  <si>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</si>
  <si>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</si>
  <si>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</si>
  <si>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</si>
  <si>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</si>
  <si>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</si>
  <si>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</si>
  <si>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</si>
  <si>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</si>
  <si>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</si>
  <si>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</si>
  <si>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</si>
  <si>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</si>
  <si>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</si>
  <si>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</si>
  <si>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Mimejr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</si>
  <si>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</si>
  <si>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</si>
  <si>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</si>
  <si>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</si>
  <si>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</si>
  <si>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</si>
  <si>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</si>
  <si>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</si>
  <si>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</si>
  <si>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</si>
  <si>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</si>
  <si>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</si>
  <si>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</si>
  <si>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</si>
  <si>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</si>
  <si>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</si>
  <si>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</si>
  <si>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</si>
  <si>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</si>
  <si>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</si>
  <si>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</si>
  <si>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</si>
  <si>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</si>
  <si>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</si>
  <si>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</si>
  <si>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</si>
  <si>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</si>
  <si>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</si>
  <si>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</si>
  <si>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</si>
  <si>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</si>
  <si>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</si>
  <si>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</si>
  <si>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</si>
  <si>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</si>
  <si>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</si>
  <si>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</si>
  <si>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</si>
  <si>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</si>
  <si>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</si>
  <si>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</si>
  <si>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</si>
  <si>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</si>
  <si>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</si>
  <si>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</si>
  <si>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</si>
  <si>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</si>
  <si>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Giratina-Altered</t>
  </si>
  <si>
    <t>Cresselia</t>
  </si>
  <si>
    <t>Phione</t>
  </si>
  <si>
    <t>Manaphy</t>
  </si>
  <si>
    <t>Darkrai</t>
  </si>
  <si>
    <t>Shaymin-Land</t>
  </si>
  <si>
    <t>Arceus</t>
  </si>
  <si>
    <t>Victini</t>
  </si>
  <si>
    <t>Snivy</t>
  </si>
  <si>
    <t>Pokemon Sun/Moon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</si>
  <si>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</si>
  <si>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</si>
  <si>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</si>
  <si>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</si>
  <si>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</si>
  <si>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</si>
  <si>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</si>
  <si>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</si>
  <si>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</si>
  <si>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</si>
  <si>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</si>
  <si>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</si>
  <si>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</si>
  <si>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</si>
  <si>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</si>
  <si>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</si>
  <si>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</si>
  <si>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</si>
  <si>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</si>
  <si>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</si>
  <si>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</si>
  <si>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</si>
  <si>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</si>
  <si>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</si>
  <si>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</si>
  <si>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</si>
  <si>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</si>
  <si>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</si>
  <si>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</si>
  <si>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</si>
  <si>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</si>
  <si>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</si>
  <si>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</si>
  <si>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</si>
  <si>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</si>
  <si>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</si>
  <si>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</si>
  <si>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</si>
  <si>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</si>
  <si>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</si>
  <si>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</si>
  <si>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</si>
  <si>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</si>
  <si>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</si>
  <si>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</si>
  <si>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</si>
  <si>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</si>
  <si>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</si>
  <si>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</si>
  <si>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</si>
  <si>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</si>
  <si>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</si>
  <si>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</si>
  <si>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Pokemon Moon/Ultra Moon</t>
  </si>
  <si>
    <t>Lilligant</t>
  </si>
  <si>
    <t>Basculin-Red-Striped</t>
  </si>
  <si>
    <t>Sandile</t>
  </si>
  <si>
    <t>Krokorok</t>
  </si>
  <si>
    <t>Krookodile</t>
  </si>
  <si>
    <t>Darumaka</t>
  </si>
  <si>
    <t>Darmanitan-Standard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</si>
  <si>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</si>
  <si>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</si>
  <si>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</si>
  <si>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</si>
  <si>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</si>
  <si>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</si>
  <si>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</si>
  <si>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</si>
  <si>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</si>
  <si>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</si>
  <si>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</si>
  <si>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</si>
  <si>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</si>
  <si>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</si>
  <si>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</si>
  <si>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</si>
  <si>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</si>
  <si>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</si>
  <si>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</si>
  <si>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</si>
  <si>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</si>
  <si>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</si>
  <si>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</si>
  <si>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</si>
  <si>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</si>
  <si>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</si>
  <si>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</si>
  <si>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</si>
  <si>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</si>
  <si>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</si>
  <si>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</si>
  <si>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</si>
  <si>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</si>
  <si>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</si>
  <si>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</si>
  <si>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</si>
  <si>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</si>
  <si>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</si>
  <si>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</si>
  <si>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</si>
  <si>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</si>
  <si>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</si>
  <si>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</si>
  <si>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</si>
  <si>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</si>
  <si>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</si>
  <si>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</si>
  <si>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</si>
  <si>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</si>
  <si>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</si>
  <si>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</si>
  <si>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</si>
  <si>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</si>
  <si>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</si>
  <si>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</si>
  <si>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</si>
  <si>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</si>
  <si>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</si>
  <si>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</si>
  <si>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</si>
  <si>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</si>
  <si>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</si>
  <si>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</si>
  <si>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</si>
  <si>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</si>
  <si>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</si>
  <si>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</si>
  <si>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</si>
  <si>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</si>
  <si>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</si>
  <si>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</si>
  <si>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</si>
  <si>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</si>
  <si>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</si>
  <si>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</si>
  <si>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</si>
  <si>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</si>
  <si>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</si>
  <si>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</si>
  <si>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</si>
  <si>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</si>
  <si>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</si>
  <si>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</si>
  <si>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</si>
  <si>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</si>
  <si>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Tornadus-Incarnate</t>
  </si>
  <si>
    <t>Thundurus-Incarnate</t>
  </si>
  <si>
    <t>Reshiram</t>
  </si>
  <si>
    <t>Zekrom</t>
  </si>
  <si>
    <t>Landorus-Incarnate</t>
  </si>
  <si>
    <t>Kyurem</t>
  </si>
  <si>
    <t>Keldeo-Ordinary</t>
  </si>
  <si>
    <t>Meloetta-Aria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</si>
  <si>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</si>
  <si>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</si>
  <si>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</si>
  <si>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</si>
  <si>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</si>
  <si>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</si>
  <si>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</si>
  <si>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</si>
  <si>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</si>
  <si>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</si>
  <si>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</si>
  <si>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</si>
  <si>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</si>
  <si>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</si>
  <si>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</si>
  <si>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</si>
  <si>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</si>
  <si>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</si>
  <si>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</si>
  <si>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</si>
  <si>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Flabebe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</si>
  <si>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</si>
  <si>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</si>
  <si>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</si>
  <si>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</si>
  <si>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</si>
  <si>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</si>
  <si>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</si>
  <si>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</si>
  <si>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Meowstic-Male</t>
  </si>
  <si>
    <t>Honedge</t>
  </si>
  <si>
    <t>Doublade</t>
  </si>
  <si>
    <t>Aegislash-Shield</t>
  </si>
  <si>
    <t>Spritzee</t>
  </si>
  <si>
    <t>Pokemon Y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</si>
  <si>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</si>
  <si>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</si>
  <si>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</si>
  <si>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</si>
  <si>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</si>
  <si>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</si>
  <si>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</si>
  <si>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</si>
  <si>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</si>
  <si>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</si>
  <si>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</si>
  <si>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</si>
  <si>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</si>
  <si>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</si>
  <si>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</si>
  <si>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</si>
  <si>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</si>
  <si>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</si>
  <si>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</si>
  <si>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</si>
  <si>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</si>
  <si>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</si>
  <si>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</si>
  <si>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</si>
  <si>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</si>
  <si>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</si>
  <si>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</si>
  <si>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Pumpkaboo-Average</t>
  </si>
  <si>
    <t>Gourgeist-Average</t>
  </si>
  <si>
    <t>Bergmite</t>
  </si>
  <si>
    <t>Avalugg</t>
  </si>
  <si>
    <t>Noibat</t>
  </si>
  <si>
    <t>Noivern</t>
  </si>
  <si>
    <t>Xerneas</t>
  </si>
  <si>
    <t>Yveltal</t>
  </si>
  <si>
    <t>Zygarde-50</t>
  </si>
  <si>
    <t>Diancie</t>
  </si>
  <si>
    <t>Hoopa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</si>
  <si>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</si>
  <si>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</si>
  <si>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</si>
  <si>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</si>
  <si>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</si>
  <si>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</si>
  <si>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</si>
  <si>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</si>
  <si>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</si>
  <si>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</si>
  <si>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</si>
  <si>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</si>
  <si>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</si>
  <si>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</si>
  <si>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</si>
  <si>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</si>
  <si>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</si>
  <si>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</si>
  <si>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</si>
  <si>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</si>
  <si>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Oricorio-Pom-Pom</t>
  </si>
  <si>
    <t>Cutiefly</t>
  </si>
  <si>
    <t>Ribombee</t>
  </si>
  <si>
    <t>Rockruff</t>
  </si>
  <si>
    <t>Lycanroc-Midday</t>
  </si>
  <si>
    <t>Wishiwashi-Solo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</si>
  <si>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</si>
  <si>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</si>
  <si>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</si>
  <si>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</si>
  <si>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</si>
  <si>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</si>
  <si>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</si>
  <si>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</si>
  <si>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</si>
  <si>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</si>
  <si>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</si>
  <si>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</si>
  <si>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</si>
  <si>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</si>
  <si>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</si>
  <si>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</si>
  <si>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</si>
  <si>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</si>
  <si>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</si>
  <si>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</si>
  <si>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</si>
  <si>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</si>
  <si>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</si>
  <si>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</si>
  <si>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</si>
  <si>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Type-Null</t>
  </si>
  <si>
    <t>Silvally</t>
  </si>
  <si>
    <t>Minior-Red</t>
  </si>
  <si>
    <t>Unknown</t>
  </si>
  <si>
    <t>Komala</t>
  </si>
  <si>
    <t>Turtonator</t>
  </si>
  <si>
    <t>Togedemaru</t>
  </si>
  <si>
    <t>Mimikyu-Disguised</t>
  </si>
  <si>
    <t>Bruxish</t>
  </si>
  <si>
    <t>Drampa</t>
  </si>
  <si>
    <t>Dhelmise</t>
  </si>
  <si>
    <t>Jangmo-O</t>
  </si>
  <si>
    <t>Hakamo-O</t>
  </si>
  <si>
    <t>Kommo-O</t>
  </si>
  <si>
    <t>Tapu-Koko</t>
  </si>
  <si>
    <t>Tapu-Lele</t>
  </si>
  <si>
    <t>Tapu-Bulu</t>
  </si>
  <si>
    <t>Tapu-Fini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</si>
  <si>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</si>
  <si>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</si>
  <si>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</si>
  <si>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</si>
  <si>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</si>
  <si>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</si>
  <si>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</si>
  <si>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</si>
  <si>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</si>
  <si>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</si>
  <si>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</si>
  <si>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</si>
  <si>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</si>
  <si>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</si>
  <si>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</si>
  <si>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</si>
  <si>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</si>
  <si>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</si>
  <si>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</si>
  <si>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Meltan</t>
  </si>
  <si>
    <t>Melmetal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</si>
  <si>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</si>
  <si>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</si>
  <si>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</si>
  <si>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</si>
  <si>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</si>
  <si>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</si>
  <si>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</si>
  <si>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</si>
  <si>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</si>
  <si>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</si>
  <si>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</si>
  <si>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</si>
  <si>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</si>
  <si>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</si>
  <si>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</si>
  <si>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</si>
  <si>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</si>
  <si>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</si>
  <si>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</si>
  <si>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</si>
  <si>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</si>
  <si>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</si>
  <si>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</si>
  <si>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</si>
  <si>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</si>
  <si>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</si>
  <si>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</si>
  <si>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Rolycoly</t>
  </si>
  <si>
    <t>Carkol</t>
  </si>
  <si>
    <t>Coalossal</t>
  </si>
  <si>
    <t>Applin</t>
  </si>
  <si>
    <t>Flapple</t>
  </si>
  <si>
    <t>Appletun</t>
  </si>
  <si>
    <t>Silicobra</t>
  </si>
  <si>
    <t>Sandaconda</t>
  </si>
  <si>
    <t>Cramorant</t>
  </si>
  <si>
    <t>Arrokuda</t>
  </si>
  <si>
    <t>Barraskewda</t>
  </si>
  <si>
    <t>Toxel</t>
  </si>
  <si>
    <t>Toxtricity-Amped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</si>
  <si>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</si>
  <si>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</si>
  <si>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</si>
  <si>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</si>
  <si>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</si>
  <si>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</si>
  <si>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</si>
  <si>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</si>
  <si>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</si>
  <si>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</si>
  <si>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</si>
  <si>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</si>
  <si>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Obstagoon</t>
  </si>
  <si>
    <t>Perrserker</t>
  </si>
  <si>
    <t>Cursola</t>
  </si>
  <si>
    <t>Sirfetchd</t>
  </si>
  <si>
    <t>Mrrime</t>
  </si>
  <si>
    <t>Runerigus</t>
  </si>
  <si>
    <t>Milcery</t>
  </si>
  <si>
    <t>Alcremie</t>
  </si>
  <si>
    <t>Falinks</t>
  </si>
  <si>
    <t>Pincurchin</t>
  </si>
  <si>
    <t>Snom</t>
  </si>
  <si>
    <t>Frosmoth</t>
  </si>
  <si>
    <t>Stonjourner</t>
  </si>
  <si>
    <t>Eiscue-Ice</t>
  </si>
  <si>
    <t>Indeedee-Male</t>
  </si>
  <si>
    <t>Morpeko-Full-Belly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</si>
  <si>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</si>
  <si>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</si>
  <si>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</si>
  <si>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</si>
  <si>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</si>
  <si>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</si>
  <si>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</si>
  <si>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</si>
  <si>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Drakloak</t>
  </si>
  <si>
    <t>Dragapult</t>
  </si>
  <si>
    <t>Zacian</t>
  </si>
  <si>
    <t>Zamazenta</t>
  </si>
  <si>
    <t>Eternatus</t>
  </si>
  <si>
    <t>Kubfu</t>
  </si>
  <si>
    <t>Urshifu-Single-Strike</t>
  </si>
  <si>
    <t>Zarude</t>
  </si>
  <si>
    <t>Regieleki</t>
  </si>
  <si>
    <t>Regidrago</t>
  </si>
  <si>
    <t>Glastrier</t>
  </si>
  <si>
    <t>Spectrier</t>
  </si>
  <si>
    <t>Calyrex</t>
  </si>
  <si>
    <t>Wyrdeer</t>
  </si>
  <si>
    <t>Kleavor</t>
  </si>
  <si>
    <t>Ursaluna</t>
  </si>
  <si>
    <t>Basculegion-Male</t>
  </si>
  <si>
    <t>Sneasler</t>
  </si>
  <si>
    <t>Overqwil</t>
  </si>
  <si>
    <t>Enamorus-Incarnate</t>
  </si>
  <si>
    <t>Venusaur-F</t>
  </si>
  <si>
    <t>Butterfree-F</t>
  </si>
  <si>
    <t>Rattata-F</t>
  </si>
  <si>
    <t>Raticate-F</t>
  </si>
  <si>
    <t>Pikachu-F</t>
  </si>
  <si>
    <t>Raichu-F</t>
  </si>
  <si>
    <t>Zubat-F</t>
  </si>
  <si>
    <t>Golbat-F</t>
  </si>
  <si>
    <t>Gloom-F</t>
  </si>
  <si>
    <t>Vileplume-F</t>
  </si>
  <si>
    <t>Kadabra-F</t>
  </si>
  <si>
    <t>Alakazam-F</t>
  </si>
  <si>
    <t>Doduo-F</t>
  </si>
  <si>
    <t>Dodrio-F</t>
  </si>
  <si>
    <t>Hypno-F</t>
  </si>
  <si>
    <t>Rhyhorn-F</t>
  </si>
  <si>
    <t>Rhydon-F</t>
  </si>
  <si>
    <t>Goldeen-F</t>
  </si>
  <si>
    <t>Seaking-F</t>
  </si>
  <si>
    <t>Scyther-F</t>
  </si>
  <si>
    <t>Magikarp-F</t>
  </si>
  <si>
    <t>Gyarados-F</t>
  </si>
  <si>
    <t>Eevee-F</t>
  </si>
  <si>
    <t>Meganium-F</t>
  </si>
  <si>
    <t>Ledyba-F</t>
  </si>
  <si>
    <t>Ledian-F</t>
  </si>
  <si>
    <t>Xatu-F</t>
  </si>
  <si>
    <t>Sudowoodo-F</t>
  </si>
  <si>
    <t>Politoed-F</t>
  </si>
  <si>
    <t>Aipom-F</t>
  </si>
  <si>
    <t>Wooper-F</t>
  </si>
  <si>
    <t>Quagsire-F</t>
  </si>
  <si>
    <t>Murkrow-F</t>
  </si>
  <si>
    <t>Wobbuffet-F</t>
  </si>
  <si>
    <t>Girafarig-F</t>
  </si>
  <si>
    <t>Gligar-F</t>
  </si>
  <si>
    <t>Steelix-F</t>
  </si>
  <si>
    <t>Scizor-F</t>
  </si>
  <si>
    <t>Heracross-F</t>
  </si>
  <si>
    <t>Sneasel-F</t>
  </si>
  <si>
    <t>Sneasel-Hisui-F</t>
  </si>
  <si>
    <t>TODO: sneasel-hisui-f (image not found)</t>
  </si>
  <si>
    <t>Ursaring-F</t>
  </si>
  <si>
    <t>Piloswine-F</t>
  </si>
  <si>
    <t>Octillery-F</t>
  </si>
  <si>
    <t>Houndoom-F</t>
  </si>
  <si>
    <t>Donphan-F</t>
  </si>
  <si>
    <t>Torchic-F</t>
  </si>
  <si>
    <t>Combusken-F</t>
  </si>
  <si>
    <t>Blaziken-F</t>
  </si>
  <si>
    <t>Beautifly-F</t>
  </si>
  <si>
    <t>Dustox-F</t>
  </si>
  <si>
    <t>Ludicolo-F</t>
  </si>
  <si>
    <t>Nuzleaf-F</t>
  </si>
  <si>
    <t>Shiftry-F</t>
  </si>
  <si>
    <t>Meditite-F</t>
  </si>
  <si>
    <t>Medicham-F</t>
  </si>
  <si>
    <t>Roselia-F</t>
  </si>
  <si>
    <t>Gulpin-F</t>
  </si>
  <si>
    <t>Swalot-F</t>
  </si>
  <si>
    <t>Numel-F</t>
  </si>
  <si>
    <t>Camerupt-F</t>
  </si>
  <si>
    <t>Cacturne-F</t>
  </si>
  <si>
    <t>Milotic-F</t>
  </si>
  <si>
    <t>Relicanth-F</t>
  </si>
  <si>
    <t>Starly-F</t>
  </si>
  <si>
    <t>Staravia-F</t>
  </si>
  <si>
    <t>Staraptor-F</t>
  </si>
  <si>
    <t>Bidoof-F</t>
  </si>
  <si>
    <t>Bibarel-F</t>
  </si>
  <si>
    <t>Kricketot-F</t>
  </si>
  <si>
    <t>Kricketune-F</t>
  </si>
  <si>
    <t>Shinx-F</t>
  </si>
  <si>
    <t>Luxio-F</t>
  </si>
  <si>
    <t>Luxray-F</t>
  </si>
  <si>
    <t>Roserade-F</t>
  </si>
  <si>
    <t>Combee-F</t>
  </si>
  <si>
    <t>Pachirisu-F</t>
  </si>
  <si>
    <t>Buizel-F</t>
  </si>
  <si>
    <t>Floatzel-F</t>
  </si>
  <si>
    <t>Ambipom-F</t>
  </si>
  <si>
    <t>Gible-F</t>
  </si>
  <si>
    <t>Gabite-F</t>
  </si>
  <si>
    <t>Garchomp-F</t>
  </si>
  <si>
    <t>Hippopotas-F</t>
  </si>
  <si>
    <t>Hippowdon-F</t>
  </si>
  <si>
    <t>Croagunk-F</t>
  </si>
  <si>
    <t>Toxicroak-F</t>
  </si>
  <si>
    <t>Finneon-F</t>
  </si>
  <si>
    <t>Lumineon-F</t>
  </si>
  <si>
    <t>Snover-F</t>
  </si>
  <si>
    <t>Abomasnow-F</t>
  </si>
  <si>
    <t>Weavile-F</t>
  </si>
  <si>
    <t>Rhyperior-F</t>
  </si>
  <si>
    <t>Tangrowth-F</t>
  </si>
  <si>
    <t>Mamoswine-F</t>
  </si>
  <si>
    <t>Unfezant-F</t>
  </si>
  <si>
    <t>Frillish-F</t>
  </si>
  <si>
    <t>Jellicent-F</t>
  </si>
  <si>
    <t>Pyroar-F</t>
  </si>
  <si>
    <t>Meowstic-F</t>
  </si>
  <si>
    <t>Indeedee-F</t>
  </si>
  <si>
    <t>Basculegion-F</t>
  </si>
  <si>
    <t>Pikachu-Original</t>
  </si>
  <si>
    <t>TODO: pikachu-original (image not found)</t>
  </si>
  <si>
    <t>Pikachu-Hoenn</t>
  </si>
  <si>
    <t>TODO: pikachu-hoenn (image not found)</t>
  </si>
  <si>
    <t>Pikachu-Sinnoh</t>
  </si>
  <si>
    <t>TODO: pikachu-sinnoh (image not found)</t>
  </si>
  <si>
    <t>Pikachu-Unova</t>
  </si>
  <si>
    <t>TODO: pikachu-unova (image not found)</t>
  </si>
  <si>
    <t>Pikachu-Kalos</t>
  </si>
  <si>
    <t>TODO: pikachu-kalos (image not found)</t>
  </si>
  <si>
    <t>Pikachu-Alola</t>
  </si>
  <si>
    <t>TODO: pikachu-alola (image not found)</t>
  </si>
  <si>
    <t>Pikachu-Partner</t>
  </si>
  <si>
    <t>TODO: pikachu-partner (image not found)</t>
  </si>
  <si>
    <t>Pikachu-World</t>
  </si>
  <si>
    <t>TODO: pikachu-world (image not found)</t>
  </si>
  <si>
    <t>Unown-B</t>
  </si>
  <si>
    <t>Unown-C</t>
  </si>
  <si>
    <t>Unown-D</t>
  </si>
  <si>
    <t>Unown-E</t>
  </si>
  <si>
    <t>Unown-F</t>
  </si>
  <si>
    <t>Unown-G</t>
  </si>
  <si>
    <t>Unown-H</t>
  </si>
  <si>
    <t>Unown-I</t>
  </si>
  <si>
    <t>Unown-J</t>
  </si>
  <si>
    <t>Unown-K</t>
  </si>
  <si>
    <t>Unown-L</t>
  </si>
  <si>
    <t>Unown-M</t>
  </si>
  <si>
    <t>Unown-N</t>
  </si>
  <si>
    <t>Unown-O</t>
  </si>
  <si>
    <t>Unown-P</t>
  </si>
  <si>
    <t>Unown-Q</t>
  </si>
  <si>
    <t>Unown-R</t>
  </si>
  <si>
    <t>Unown-S</t>
  </si>
  <si>
    <t>Unown-T</t>
  </si>
  <si>
    <t>Unown-U</t>
  </si>
  <si>
    <t>Unown-V</t>
  </si>
  <si>
    <t>Unown-W</t>
  </si>
  <si>
    <t>Unown-X</t>
  </si>
  <si>
    <t>Unown-Y</t>
  </si>
  <si>
    <t>Unown-Z</t>
  </si>
  <si>
    <t>Unown-Exclamation</t>
  </si>
  <si>
    <t>Unown-Question</t>
  </si>
  <si>
    <t>Deoxys-Attack</t>
  </si>
  <si>
    <t>Deoxys-Defense</t>
  </si>
  <si>
    <t>Deoxys-Speed</t>
  </si>
  <si>
    <t>Burmy-Sandy</t>
  </si>
  <si>
    <t>Burmy-Trash</t>
  </si>
  <si>
    <t>Wormadam-Sandy</t>
  </si>
  <si>
    <t>Wormadam-Trash</t>
  </si>
  <si>
    <t>Shellos-East</t>
  </si>
  <si>
    <t>Gastrodon-East</t>
  </si>
  <si>
    <t>Rotom-Heat</t>
  </si>
  <si>
    <t>Rotom-Wash</t>
  </si>
  <si>
    <t>Rotom-Frost</t>
  </si>
  <si>
    <t>Rotom-Fan</t>
  </si>
  <si>
    <t>Rotom-Mow</t>
  </si>
  <si>
    <t>Shaymin-Sky</t>
  </si>
  <si>
    <t>Deerling-Summer</t>
  </si>
  <si>
    <t>Deerling-Autumn</t>
  </si>
  <si>
    <t>Deerling-Winter</t>
  </si>
  <si>
    <t>Sawsbuck-Summer</t>
  </si>
  <si>
    <t>Sawsbuck-Autumn</t>
  </si>
  <si>
    <t>Sawsbuck-Winter</t>
  </si>
  <si>
    <t>Basculin-Blue-Striped</t>
  </si>
  <si>
    <t>Tornadus-Therian</t>
  </si>
  <si>
    <t>Thundurus-Therian</t>
  </si>
  <si>
    <t>Landorus-Therian</t>
  </si>
  <si>
    <t>Keldeo-Resolute</t>
  </si>
  <si>
    <t>Pumpkaboo-Small</t>
  </si>
  <si>
    <t>Pumpkaboo-Large</t>
  </si>
  <si>
    <t>Pumpkaboo-Super</t>
  </si>
  <si>
    <t>Gourgeist-Small</t>
  </si>
  <si>
    <t>Gourgeist-Large</t>
  </si>
  <si>
    <t>Gourgeist-Super</t>
  </si>
  <si>
    <t>Furfrou-Heart</t>
  </si>
  <si>
    <t>Furfrou-Star</t>
  </si>
  <si>
    <t>Furfrou-Diamond</t>
  </si>
  <si>
    <t>Furfrou-Debutante</t>
  </si>
  <si>
    <t>Furfrou-Matron</t>
  </si>
  <si>
    <t>Furfrou-Dandy</t>
  </si>
  <si>
    <t>Furfrou-La-Reine</t>
  </si>
  <si>
    <t>Furfrou-Kabuki</t>
  </si>
  <si>
    <t>Furfrou-Pharaoh</t>
  </si>
  <si>
    <t>Flabebe-Yellow</t>
  </si>
  <si>
    <t>Flabebe-Orange</t>
  </si>
  <si>
    <t>Flabebe-Blue</t>
  </si>
  <si>
    <t>Flabebe-White</t>
  </si>
  <si>
    <t>Floette-Yellow</t>
  </si>
  <si>
    <t>Floette-Orange</t>
  </si>
  <si>
    <t>Floette-Blue</t>
  </si>
  <si>
    <t>Floette-White</t>
  </si>
  <si>
    <t>Florges-Yellow</t>
  </si>
  <si>
    <t>Florges-Orange</t>
  </si>
  <si>
    <t>Florges-Blue</t>
  </si>
  <si>
    <t>Florges-White</t>
  </si>
  <si>
    <t>Hoopa-Unbound</t>
  </si>
  <si>
    <t>Greninja-Battle-Bond</t>
  </si>
  <si>
    <t>Zygarde-10</t>
  </si>
  <si>
    <t>Zygarde-Power-Construct</t>
  </si>
  <si>
    <t>Zygarde-10-Power-Construct</t>
  </si>
  <si>
    <t>Vivillon-Polar</t>
  </si>
  <si>
    <t>Vivillon-Tundra</t>
  </si>
  <si>
    <t>Vivillon-Continental</t>
  </si>
  <si>
    <t>Vivillon-Garden</t>
  </si>
  <si>
    <t>Vivillon-Elegant</t>
  </si>
  <si>
    <t>Vivillon-Meadow</t>
  </si>
  <si>
    <t>Vivillon-Modern</t>
  </si>
  <si>
    <t>Vivillon-Marine</t>
  </si>
  <si>
    <t>Vivillon-Archipelago</t>
  </si>
  <si>
    <t>Vivillon-High-Plains</t>
  </si>
  <si>
    <t>Vivillon-Sandstorm</t>
  </si>
  <si>
    <t>Vivillon-River</t>
  </si>
  <si>
    <t>Vivillon-Monsoon</t>
  </si>
  <si>
    <t>Vivillon-Savanna</t>
  </si>
  <si>
    <t>Vivillon-Sun</t>
  </si>
  <si>
    <t>Vivillon-Ocean</t>
  </si>
  <si>
    <t>Vivillon-Jungle</t>
  </si>
  <si>
    <t>Vivillon-Fancy</t>
  </si>
  <si>
    <t>Vivillon-Pokeball</t>
  </si>
  <si>
    <t>Oricorio-Pau</t>
  </si>
  <si>
    <t>Oricorio-Sensu</t>
  </si>
  <si>
    <t>Rockruff-Own-Tempo</t>
  </si>
  <si>
    <t>Lycanroc-Midnight</t>
  </si>
  <si>
    <t>Lycanroc-Dusk</t>
  </si>
  <si>
    <t>Minior-Orange</t>
  </si>
  <si>
    <t>Minior-Yellow</t>
  </si>
  <si>
    <t>Minior-Green</t>
  </si>
  <si>
    <t>Minior-Blue</t>
  </si>
  <si>
    <t>Minior-Indigo</t>
  </si>
  <si>
    <t>Minior-Violet</t>
  </si>
  <si>
    <t>Magearna-Original</t>
  </si>
  <si>
    <t>Toxtricity-Low-Key</t>
  </si>
  <si>
    <t>Sinistea-Antique</t>
  </si>
  <si>
    <t>Polteageist-Antique</t>
  </si>
  <si>
    <t>Urshifu-Rapid-Strike</t>
  </si>
  <si>
    <t>Zarude-Dada</t>
  </si>
  <si>
    <t>Enamorus-Therian</t>
  </si>
  <si>
    <t>Alcremie-Vanilla-Cream-Berry</t>
  </si>
  <si>
    <t>Alcremie-Vanilla-Cream-Love</t>
  </si>
  <si>
    <t>Alcremie-Vanilla-Cream-Star</t>
  </si>
  <si>
    <t>Alcremie-Vanilla-Cream-Clover</t>
  </si>
  <si>
    <t>Alcremie-Vanilla-Cream-Flower</t>
  </si>
  <si>
    <t>Alcremie-Vanilla-Cream-Ribbon</t>
  </si>
  <si>
    <t>Alcremie-Ruby-Cream-Strawberry</t>
  </si>
  <si>
    <t>Alcremie-Ruby-Cream-Berry</t>
  </si>
  <si>
    <t>Alcremie-Ruby-Cream-Love</t>
  </si>
  <si>
    <t>Alcremie-Ruby-Cream-Star</t>
  </si>
  <si>
    <t>Alcremie-Ruby-Cream-Clover</t>
  </si>
  <si>
    <t>Alcremie-Ruby-Cream-Flower</t>
  </si>
  <si>
    <t>Alcremie-Ruby-Cream-Ribbon</t>
  </si>
  <si>
    <t>Alcremie-Matcha-Cream-Strawberry</t>
  </si>
  <si>
    <t>Alcremie-Matcha-Cream-Berry</t>
  </si>
  <si>
    <t>Alcremie-Matcha-Cream-Love</t>
  </si>
  <si>
    <t>Alcremie-Matcha-Cream-Star</t>
  </si>
  <si>
    <t>Alcremie-Matcha-Cream-Clover</t>
  </si>
  <si>
    <t>Alcremie-Matcha-Cream-Flower</t>
  </si>
  <si>
    <t>Alcremie-Matcha-Cream-Ribbon</t>
  </si>
  <si>
    <t>Alcremie-Mint-Cream-Strawberry</t>
  </si>
  <si>
    <t>Alcremie-Mint-Cream-Berry</t>
  </si>
  <si>
    <t>Alcremie-Mint-Cream-Love</t>
  </si>
  <si>
    <t>Alcremie-Mint-Cream-Star</t>
  </si>
  <si>
    <t>Alcremie-Mint-Cream-Clover</t>
  </si>
  <si>
    <t>Alcremie-Mint-Cream-Flower</t>
  </si>
  <si>
    <t>Alcremie-Mint-Cream-Ribbon</t>
  </si>
  <si>
    <t>Alcremie-Lemon-Cream-Strawberry</t>
  </si>
  <si>
    <t>Alcremie-Lemon-Cream-Berry</t>
  </si>
  <si>
    <t>Alcremie-Lemon-Cream-Love</t>
  </si>
  <si>
    <t>Alcremie-Lemon-Cream-Star</t>
  </si>
  <si>
    <t>Alcremie-Lemon-Cream-Clover</t>
  </si>
  <si>
    <t>Alcremie-Lemon-Cream-Flower</t>
  </si>
  <si>
    <t>Alcremie-Lemon-Cream-Ribbon</t>
  </si>
  <si>
    <t>Alcremie-Salted-Cream-Strawberry</t>
  </si>
  <si>
    <t>Alcremie-Salted-Cream-Berry</t>
  </si>
  <si>
    <t>Alcremie-Salted-Cream-Love</t>
  </si>
  <si>
    <t>Alcremie-Salted-Cream-Star</t>
  </si>
  <si>
    <t>Alcremie-Salted-Cream-Clover</t>
  </si>
  <si>
    <t>Alcremie-Salted-Cream-Flower</t>
  </si>
  <si>
    <t>Alcremie-Salted-Cream-Ribbon</t>
  </si>
  <si>
    <t>Alcremie-Ruby-Swirl-Strawberry</t>
  </si>
  <si>
    <t>Alcremie-Ruby-Swirl-Berry</t>
  </si>
  <si>
    <t>Alcremie-Ruby-Swirl-Love</t>
  </si>
  <si>
    <t>Alcremie-Ruby-Swirl-Star</t>
  </si>
  <si>
    <t>Alcremie-Ruby-Swirl-Clover</t>
  </si>
  <si>
    <t>Alcremie-Ruby-Swirl-Flower</t>
  </si>
  <si>
    <t>Alcremie-Ruby-Swirl-Ribbon</t>
  </si>
  <si>
    <t>Alcremie-Caramel-Swirl-Strawberry</t>
  </si>
  <si>
    <t>Alcremie-Caramel-Swirl-Berry</t>
  </si>
  <si>
    <t>Alcremie-Caramel-Swirl-Love</t>
  </si>
  <si>
    <t>Alcremie-Caramel-Swirl-Star</t>
  </si>
  <si>
    <t>Alcremie-Caramel-Swirl-Clover</t>
  </si>
  <si>
    <t>Alcremie-Caramel-Swirl-Flower</t>
  </si>
  <si>
    <t>Alcremie-Caramel-Swirl-Ribbon</t>
  </si>
  <si>
    <t>Alcremie-Rainbow-Swirl-Strawberry</t>
  </si>
  <si>
    <t>Alcremie-Rainbow-Swirl-Berry</t>
  </si>
  <si>
    <t>Alcremie-Rainbow-Swirl-Love</t>
  </si>
  <si>
    <t>Alcremie-Rainbow-Swirl-Star</t>
  </si>
  <si>
    <t>Alcremie-Rainbow-Swirl-Clover</t>
  </si>
  <si>
    <t>Alcremie-Rainbow-Swirl-Flower</t>
  </si>
  <si>
    <t>Alcremie-Rainbow-Swirl-Ribbon</t>
  </si>
  <si>
    <t>Gigantamax Venusaur</t>
  </si>
  <si>
    <t>Gigantamax Venusaur-F</t>
  </si>
  <si>
    <t>Gigantamax Charizard</t>
  </si>
  <si>
    <t>Gigantamax Blastoise</t>
  </si>
  <si>
    <t>Gigantamax Butterfree</t>
  </si>
  <si>
    <t>Gigantamax Butterfree-F</t>
  </si>
  <si>
    <t>Gigantamax Pikachu</t>
  </si>
  <si>
    <t>Gigantamax Pikachu-F</t>
  </si>
  <si>
    <t>Gigantamax Meowth</t>
  </si>
  <si>
    <t>Gigantamax Machamp</t>
  </si>
  <si>
    <t>Gigantamax Gengar</t>
  </si>
  <si>
    <t>Gigantamax Kingler</t>
  </si>
  <si>
    <t>Gigantamax Lapras</t>
  </si>
  <si>
    <t>Gigantamax Eevee</t>
  </si>
  <si>
    <t>Gigantamax Eevee-F</t>
  </si>
  <si>
    <t>Gigantamax Snorlax</t>
  </si>
  <si>
    <t>Gigantamax Garbodor</t>
  </si>
  <si>
    <t>Gigantamax Melmetal</t>
  </si>
  <si>
    <t>Gigantamax Rillaboom</t>
  </si>
  <si>
    <t>Gigantamax Cinderace</t>
  </si>
  <si>
    <t>Gigantamax Inteleon</t>
  </si>
  <si>
    <t>Gigantamax Corviknight</t>
  </si>
  <si>
    <t>Gigantamax Orbeetle</t>
  </si>
  <si>
    <t>Gigantamax Drednaw</t>
  </si>
  <si>
    <t>Gigantamax Coalossal</t>
  </si>
  <si>
    <t>Gigantamax Flapple</t>
  </si>
  <si>
    <t>Gigantamax Appletun</t>
  </si>
  <si>
    <t>Gigantamax Sandaconda</t>
  </si>
  <si>
    <t>Gigantamax Toxtricity-Amped</t>
  </si>
  <si>
    <t>Gigantamax Toxtricity-Low-Key</t>
  </si>
  <si>
    <t>Gigantamax Centiskorch</t>
  </si>
  <si>
    <t>Gigantamax Hatterene</t>
  </si>
  <si>
    <t>Gigantamax Grimmsnarl</t>
  </si>
  <si>
    <t>Gigantamax Alcremie</t>
  </si>
  <si>
    <t>Gigantamax Copperajah</t>
  </si>
  <si>
    <t>Gigantamax Duraludon</t>
  </si>
  <si>
    <t>Gigantamax Urshifu-Single-Strike</t>
  </si>
  <si>
    <t>Gigantamax Urshifu-Rapid-Strike</t>
  </si>
  <si>
    <t>Rattata-Alola</t>
  </si>
  <si>
    <t>Raticate-Alola</t>
  </si>
  <si>
    <t>Raichu-Alola</t>
  </si>
  <si>
    <t>Sandshrew-Alola</t>
  </si>
  <si>
    <t>Sandslash-Alola</t>
  </si>
  <si>
    <t>Vulpix-Alola</t>
  </si>
  <si>
    <t>Ninetales-Alola</t>
  </si>
  <si>
    <t>Diglett-Alola</t>
  </si>
  <si>
    <t>Dugtrio-Alola</t>
  </si>
  <si>
    <t>Meowth-Alola</t>
  </si>
  <si>
    <t>Persian-Alola</t>
  </si>
  <si>
    <t>Geodude-Alola</t>
  </si>
  <si>
    <t>Graveler-Alola</t>
  </si>
  <si>
    <t>Golem-Alola</t>
  </si>
  <si>
    <t>Grimer-Alola</t>
  </si>
  <si>
    <t>Muk-Alola</t>
  </si>
  <si>
    <t>Exeggutor-Alola</t>
  </si>
  <si>
    <t>Marowak-Alola</t>
  </si>
  <si>
    <t>Meowth-Galar</t>
  </si>
  <si>
    <t>Ponyta-Galar</t>
  </si>
  <si>
    <t>Rapidash-Galar</t>
  </si>
  <si>
    <t>Slowpoke-Galar</t>
  </si>
  <si>
    <t>Slowbro-Galar</t>
  </si>
  <si>
    <t>Farfetchd-Galar</t>
  </si>
  <si>
    <t>Weezing-Galar</t>
  </si>
  <si>
    <t>Mrmime-Galar</t>
  </si>
  <si>
    <t>Articuno-Galar</t>
  </si>
  <si>
    <t>Zapdos-Galar</t>
  </si>
  <si>
    <t>Moltres-Galar</t>
  </si>
  <si>
    <t>Slowking-Galar</t>
  </si>
  <si>
    <t>Corsola-Galar</t>
  </si>
  <si>
    <t>Zigzagoon-Galar</t>
  </si>
  <si>
    <t>Linoone-Galar</t>
  </si>
  <si>
    <t>Darumaka-Galar</t>
  </si>
  <si>
    <t>Darmanitan-Galar</t>
  </si>
  <si>
    <t>Yamask-Galar</t>
  </si>
  <si>
    <t>Stunfisk-Galar</t>
  </si>
  <si>
    <t>Growlithe-Hisui</t>
  </si>
  <si>
    <t>Arcanine-Hisui</t>
  </si>
  <si>
    <t>Voltorb-Hisui</t>
  </si>
  <si>
    <t>Electrode-Hisui</t>
  </si>
  <si>
    <t>Typhlosion-Hisui</t>
  </si>
  <si>
    <t>Qwilfish-Hisui</t>
  </si>
  <si>
    <t>Sneasel-Hisui</t>
  </si>
  <si>
    <t>Samurott-Hisui</t>
  </si>
  <si>
    <t>Lilligant-Hisui</t>
  </si>
  <si>
    <t>Basculin-White-Striped</t>
  </si>
  <si>
    <t>Zorua-Hisui</t>
  </si>
  <si>
    <t>Zoroark-Hisui</t>
  </si>
  <si>
    <t>Braviary-Hisui</t>
  </si>
  <si>
    <t>Sliggoo-Hisui</t>
  </si>
  <si>
    <t>Goodra-Hisui</t>
  </si>
  <si>
    <t>Avalugg-Hisui</t>
  </si>
  <si>
    <t>Decidueye-Hisui</t>
  </si>
  <si>
    <t>Species 1</t>
  </si>
  <si>
    <t>Species 2</t>
  </si>
  <si>
    <t>Species 3</t>
  </si>
  <si>
    <t>Species 4</t>
  </si>
  <si>
    <t>Species 5</t>
  </si>
  <si>
    <t>Species 6</t>
  </si>
  <si>
    <t>Species 7</t>
  </si>
  <si>
    <t>Species 8</t>
  </si>
  <si>
    <t>Species 9</t>
  </si>
  <si>
    <t>Species 10</t>
  </si>
  <si>
    <t>Species 11</t>
  </si>
  <si>
    <t>Species 12</t>
  </si>
  <si>
    <t>Species 13</t>
  </si>
  <si>
    <t>Species 14</t>
  </si>
  <si>
    <t>Species 15</t>
  </si>
  <si>
    <t>Species 16</t>
  </si>
  <si>
    <t>TODO: porygonz (image not found)</t>
  </si>
  <si>
    <t>Species 17</t>
  </si>
  <si>
    <t>Species 18</t>
  </si>
  <si>
    <t>Species 19</t>
  </si>
  <si>
    <t>Species 20</t>
  </si>
  <si>
    <t>Species 21</t>
  </si>
  <si>
    <t>Species 22</t>
  </si>
  <si>
    <t>Species 23</t>
  </si>
  <si>
    <t>Species 24</t>
  </si>
  <si>
    <t>Species 25</t>
  </si>
  <si>
    <t>Species 26</t>
  </si>
  <si>
    <t>Species 27</t>
  </si>
  <si>
    <t>Species 28</t>
  </si>
  <si>
    <t>Species 29</t>
  </si>
  <si>
    <t>Species 30</t>
  </si>
  <si>
    <t>Species 31</t>
  </si>
  <si>
    <t>Females (1)</t>
  </si>
  <si>
    <t>Females (2)</t>
  </si>
  <si>
    <t>Females (3)</t>
  </si>
  <si>
    <t>Females (4)</t>
  </si>
  <si>
    <t>Pikachu Forms</t>
  </si>
  <si>
    <t>UnownDex</t>
  </si>
  <si>
    <t>Gen 3 &amp; 4 Forms</t>
  </si>
  <si>
    <t>Gen 5 Forms</t>
  </si>
  <si>
    <t>Gen 6 Forms (1)</t>
  </si>
  <si>
    <t>Gen 6 Forms (2)</t>
  </si>
  <si>
    <t>Vivillon Forms</t>
  </si>
  <si>
    <t>Gen 7 Forms</t>
  </si>
  <si>
    <t>Gen 8 Forms</t>
  </si>
  <si>
    <t>Alcremie (1)</t>
  </si>
  <si>
    <t>Alcremie (2)</t>
  </si>
  <si>
    <t>Alcremie (3)</t>
  </si>
  <si>
    <t>Gigantamax 1</t>
  </si>
  <si>
    <t>Gigantamax 2</t>
  </si>
  <si>
    <t>Gen 9 Forms</t>
  </si>
  <si>
    <t>Alolan Forms</t>
  </si>
  <si>
    <t>Galarian Forms</t>
  </si>
  <si>
    <t>Hisuian Forms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</si>
</sst>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6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EEECE5"/>
        <bgColor indexed="64"/>
      </patternFill>
    </fill>
    <fill>
      <patternFill patternType="solid">
        <fgColor rgb="FF993689"/>
        <bgColor indexed="64"/>
      </patternFill>
    </fill>
    <fill>
      <patternFill patternType="solid">
        <fgColor rgb="FF7351A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C244"/>
        <bgColor indexed="64"/>
      </patternFill>
    </fill>
    <fill>
      <patternFill patternType="solid">
        <fgColor rgb="FFCC8A58"/>
        <bgColor indexed="64"/>
      </patternFill>
    </fill>
    <fill>
      <patternFill patternType="solid">
        <fgColor rgb="FF00A1E8"/>
        <bgColor indexed="64"/>
      </patternFill>
    </fill>
    <fill>
      <patternFill patternType="solid">
        <fgColor rgb="FFE50059"/>
        <bgColor indexed="64"/>
      </patternFill>
    </fill>
    <fill>
      <patternFill patternType="solid">
        <fgColor rgb="FF745563"/>
        <bgColor indexed="64"/>
      </patternFill>
    </fill>
    <fill>
      <patternFill patternType="solid">
        <fgColor rgb="FFB4CEC4"/>
        <bgColor indexed="64"/>
      </patternFill>
    </fill>
    <fill>
      <patternFill patternType="solid">
        <fgColor rgb="FF7C8DC6"/>
        <bgColor indexed="64"/>
      </patternFill>
    </fill>
    <fill>
      <patternFill patternType="solid">
        <fgColor rgb="FFFCE19F"/>
        <bgColor indexed="64"/>
      </patternFill>
    </fill>
    <fill>
      <patternFill patternType="solid">
        <fgColor rgb="FF6BBAE9"/>
        <bgColor indexed="64"/>
      </patternFill>
    </fill>
    <fill>
      <patternFill patternType="solid">
        <fgColor rgb="FF433659"/>
        <bgColor indexed="64"/>
      </patternFill>
    </fill>
    <fill>
      <patternFill patternType="solid">
        <fgColor rgb="FFB02E3E"/>
        <bgColor indexed="64"/>
      </patternFill>
    </fill>
    <fill>
      <patternFill patternType="solid">
        <fgColor rgb="FF1E3862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08275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8">
    <dxf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 style="thin">
          <color auto="1"/>
        </top>
        <bottom style="thin">
          <color auto="1"/>
        </bottom>
        <vertical/>
        <horizontal/>
      </border>
    </dxf>
    <dxf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293"/>
  <sheetViews>
    <sheetView tabSelected="1" workbookViewId="0"/>
  </sheetViews>
  <sheetFormatPr defaultRowHeight="15"/>
  <cols>
    <col min="4" max="4" width="13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ht="72" customHeight="1">
      <c r="A2" s="1" t="s">
        <v>26</v>
      </c>
      <c r="B2" s="1">
        <v>1</v>
      </c>
      <c r="C2" s="1" t="s">
        <v>27</v>
      </c>
      <c r="D2">
        <f>IMAGE("https://raw.githubusercontent.com/stautonico/pokemon-home-pokedex/main/sprites/bulbasaur.png", 2)</f>
        <v>0</v>
      </c>
      <c r="E2" s="2" t="s">
        <v>9</v>
      </c>
      <c r="F2" s="3" t="s">
        <v>12</v>
      </c>
      <c r="I2" s="1" t="s">
        <v>7</v>
      </c>
      <c r="J2" s="1">
        <f>concat(countif(A2:A906, "TRUE"), concat(" of ", COUNTA(A2:A906)))</f>
        <v>0</v>
      </c>
      <c r="K2" s="1">
        <f>concat(round(countif(A2:A906, "TRUE")/COUNTA(A2:A906)*100, 2), "%")</f>
        <v>0</v>
      </c>
    </row>
    <row r="3" spans="1:11" ht="72" customHeight="1">
      <c r="A3" s="1" t="s">
        <v>26</v>
      </c>
      <c r="B3" s="1">
        <v>2</v>
      </c>
      <c r="C3" s="1" t="s">
        <v>28</v>
      </c>
      <c r="D3">
        <f>IMAGE("https://raw.githubusercontent.com/stautonico/pokemon-home-pokedex/main/sprites/ivysaur.png", 2)</f>
        <v>0</v>
      </c>
      <c r="E3" s="2" t="s">
        <v>9</v>
      </c>
      <c r="F3" s="3" t="s">
        <v>12</v>
      </c>
      <c r="I3" s="1" t="s">
        <v>8</v>
      </c>
      <c r="J3" s="1">
        <f>concat(countif(A2:A1293, "TRUE"), concat(" of ", COUNTA(A2:A1293)))</f>
        <v>0</v>
      </c>
      <c r="K3" s="1">
        <f>concat(round(countif(A2:A1293, "TRUE")/COUNTA(A2:A1293)*100, 2), "%")</f>
        <v>0</v>
      </c>
    </row>
    <row r="4" spans="1:11" ht="72" customHeight="1">
      <c r="A4" s="1" t="s">
        <v>26</v>
      </c>
      <c r="B4" s="1">
        <v>3</v>
      </c>
      <c r="C4" s="1" t="s">
        <v>29</v>
      </c>
      <c r="D4">
        <f>IMAGE("https://raw.githubusercontent.com/stautonico/pokemon-home-pokedex/main/sprites/venusaur.png", 2)</f>
        <v>0</v>
      </c>
      <c r="E4" s="2" t="s">
        <v>9</v>
      </c>
      <c r="F4" s="3" t="s">
        <v>12</v>
      </c>
    </row>
    <row r="5" spans="1:11" ht="72" customHeight="1">
      <c r="A5" s="1" t="s">
        <v>26</v>
      </c>
      <c r="B5" s="1">
        <v>4</v>
      </c>
      <c r="C5" s="1" t="s">
        <v>30</v>
      </c>
      <c r="D5">
        <f>IMAGE("https://raw.githubusercontent.com/stautonico/pokemon-home-pokedex/main/sprites/charmander.png", 2)</f>
        <v>0</v>
      </c>
      <c r="E5" s="4" t="s">
        <v>13</v>
      </c>
      <c r="F5" s="5"/>
      <c r="I5" s="6" t="s">
        <v>9</v>
      </c>
      <c r="J5" s="6"/>
      <c r="K5" s="6"/>
    </row>
    <row r="6" spans="1:11" ht="72" customHeight="1">
      <c r="A6" s="1" t="s">
        <v>26</v>
      </c>
      <c r="B6" s="1">
        <v>5</v>
      </c>
      <c r="C6" s="1" t="s">
        <v>31</v>
      </c>
      <c r="D6">
        <f>IMAGE("https://raw.githubusercontent.com/stautonico/pokemon-home-pokedex/main/sprites/charmeleon.png", 2)</f>
        <v>0</v>
      </c>
      <c r="E6" s="4" t="s">
        <v>13</v>
      </c>
      <c r="F6" s="5"/>
      <c r="I6" s="7" t="s">
        <v>10</v>
      </c>
      <c r="J6" s="7"/>
      <c r="K6" s="7"/>
    </row>
    <row r="7" spans="1:11" ht="72" customHeight="1">
      <c r="A7" s="1" t="s">
        <v>26</v>
      </c>
      <c r="B7" s="1">
        <v>6</v>
      </c>
      <c r="C7" s="1" t="s">
        <v>32</v>
      </c>
      <c r="D7">
        <f>IMAGE("https://raw.githubusercontent.com/stautonico/pokemon-home-pokedex/main/sprites/charizard.png", 2)</f>
        <v>0</v>
      </c>
      <c r="E7" s="4" t="s">
        <v>13</v>
      </c>
      <c r="F7" s="5"/>
      <c r="I7" s="8" t="s">
        <v>11</v>
      </c>
      <c r="J7" s="8"/>
      <c r="K7" s="8"/>
    </row>
    <row r="8" spans="1:11" ht="72" customHeight="1">
      <c r="A8" s="1" t="s">
        <v>26</v>
      </c>
      <c r="B8" s="1">
        <v>7</v>
      </c>
      <c r="C8" s="1" t="s">
        <v>33</v>
      </c>
      <c r="D8">
        <f>IMAGE("https://raw.githubusercontent.com/stautonico/pokemon-home-pokedex/main/sprites/squirtle.png", 2)</f>
        <v>0</v>
      </c>
      <c r="E8" s="2" t="s">
        <v>9</v>
      </c>
      <c r="F8" s="3" t="s">
        <v>12</v>
      </c>
      <c r="I8" s="9" t="s">
        <v>12</v>
      </c>
      <c r="J8" s="9"/>
      <c r="K8" s="9"/>
    </row>
    <row r="9" spans="1:11" ht="72" customHeight="1">
      <c r="A9" s="1" t="s">
        <v>26</v>
      </c>
      <c r="B9" s="1">
        <v>8</v>
      </c>
      <c r="C9" s="1" t="s">
        <v>34</v>
      </c>
      <c r="D9">
        <f>IMAGE("https://raw.githubusercontent.com/stautonico/pokemon-home-pokedex/main/sprites/wartortle.png", 2)</f>
        <v>0</v>
      </c>
      <c r="E9" s="2" t="s">
        <v>9</v>
      </c>
      <c r="F9" s="3" t="s">
        <v>12</v>
      </c>
      <c r="I9" s="10" t="s">
        <v>13</v>
      </c>
      <c r="J9" s="10"/>
      <c r="K9" s="10"/>
    </row>
    <row r="10" spans="1:11" ht="72" customHeight="1">
      <c r="A10" s="1" t="s">
        <v>26</v>
      </c>
      <c r="B10" s="1">
        <v>9</v>
      </c>
      <c r="C10" s="1" t="s">
        <v>35</v>
      </c>
      <c r="D10">
        <f>IMAGE("https://raw.githubusercontent.com/stautonico/pokemon-home-pokedex/main/sprites/blastoise.png", 2)</f>
        <v>0</v>
      </c>
      <c r="E10" s="2" t="s">
        <v>9</v>
      </c>
      <c r="F10" s="3" t="s">
        <v>12</v>
      </c>
      <c r="I10" s="11" t="s">
        <v>14</v>
      </c>
      <c r="J10" s="11"/>
      <c r="K10" s="11"/>
    </row>
    <row r="11" spans="1:11" ht="72" customHeight="1">
      <c r="A11" s="1" t="s">
        <v>26</v>
      </c>
      <c r="B11" s="1">
        <v>10</v>
      </c>
      <c r="C11" s="1" t="s">
        <v>36</v>
      </c>
      <c r="D11">
        <f>IMAGE("https://raw.githubusercontent.com/stautonico/pokemon-home-pokedex/main/sprites/caterpie.png", 2)</f>
        <v>0</v>
      </c>
      <c r="E11" s="4" t="s">
        <v>13</v>
      </c>
      <c r="F11" s="5"/>
      <c r="I11" s="12" t="s">
        <v>15</v>
      </c>
      <c r="J11" s="12"/>
      <c r="K11" s="12"/>
    </row>
    <row r="12" spans="1:11" ht="72" customHeight="1">
      <c r="A12" s="1" t="s">
        <v>26</v>
      </c>
      <c r="B12" s="1">
        <v>11</v>
      </c>
      <c r="C12" s="1" t="s">
        <v>37</v>
      </c>
      <c r="D12">
        <f>IMAGE("https://raw.githubusercontent.com/stautonico/pokemon-home-pokedex/main/sprites/metapod.png", 2)</f>
        <v>0</v>
      </c>
      <c r="E12" s="4" t="s">
        <v>13</v>
      </c>
      <c r="F12" s="5"/>
      <c r="I12" s="13" t="s">
        <v>16</v>
      </c>
      <c r="J12" s="13"/>
      <c r="K12" s="13"/>
    </row>
    <row r="13" spans="1:11" ht="72" customHeight="1">
      <c r="A13" s="1" t="s">
        <v>26</v>
      </c>
      <c r="B13" s="1">
        <v>12</v>
      </c>
      <c r="C13" s="1" t="s">
        <v>38</v>
      </c>
      <c r="D13">
        <f>IMAGE("https://raw.githubusercontent.com/stautonico/pokemon-home-pokedex/main/sprites/butterfree.png", 2)</f>
        <v>0</v>
      </c>
      <c r="E13" s="4" t="s">
        <v>13</v>
      </c>
      <c r="F13" s="5"/>
      <c r="I13" s="14" t="s">
        <v>17</v>
      </c>
      <c r="J13" s="14"/>
      <c r="K13" s="14"/>
    </row>
    <row r="14" spans="1:11" ht="72" customHeight="1">
      <c r="A14" s="1" t="s">
        <v>26</v>
      </c>
      <c r="B14" s="1">
        <v>13</v>
      </c>
      <c r="C14" s="1" t="s">
        <v>39</v>
      </c>
      <c r="D14">
        <f>IMAGE("https://raw.githubusercontent.com/stautonico/pokemon-home-pokedex/main/sprites/weedle.png", 2)</f>
        <v>0</v>
      </c>
      <c r="E14" s="2" t="s">
        <v>9</v>
      </c>
      <c r="F14" s="5"/>
      <c r="I14" s="15" t="s">
        <v>18</v>
      </c>
      <c r="J14" s="15"/>
      <c r="K14" s="15"/>
    </row>
    <row r="15" spans="1:11" ht="72" customHeight="1">
      <c r="A15" s="1" t="s">
        <v>26</v>
      </c>
      <c r="B15" s="1">
        <v>14</v>
      </c>
      <c r="C15" s="1" t="s">
        <v>40</v>
      </c>
      <c r="D15">
        <f>IMAGE("https://raw.githubusercontent.com/stautonico/pokemon-home-pokedex/main/sprites/kakuna.png", 2)</f>
        <v>0</v>
      </c>
      <c r="E15" s="2" t="s">
        <v>9</v>
      </c>
      <c r="F15" s="5"/>
      <c r="I15" s="16" t="s">
        <v>19</v>
      </c>
      <c r="J15" s="16"/>
      <c r="K15" s="16"/>
    </row>
    <row r="16" spans="1:11" ht="72" customHeight="1">
      <c r="A16" s="1" t="s">
        <v>26</v>
      </c>
      <c r="B16" s="1">
        <v>15</v>
      </c>
      <c r="C16" s="1" t="s">
        <v>41</v>
      </c>
      <c r="D16">
        <f>IMAGE("https://raw.githubusercontent.com/stautonico/pokemon-home-pokedex/main/sprites/beedrill.png", 2)</f>
        <v>0</v>
      </c>
      <c r="E16" s="2" t="s">
        <v>9</v>
      </c>
      <c r="F16" s="5"/>
      <c r="I16" s="17" t="s">
        <v>20</v>
      </c>
      <c r="J16" s="17"/>
      <c r="K16" s="17"/>
    </row>
    <row r="17" spans="1:11" ht="72" customHeight="1">
      <c r="A17" s="1" t="s">
        <v>26</v>
      </c>
      <c r="B17" s="1">
        <v>16</v>
      </c>
      <c r="C17" s="1" t="s">
        <v>42</v>
      </c>
      <c r="D17">
        <f>IMAGE("https://raw.githubusercontent.com/stautonico/pokemon-home-pokedex/main/sprites/pidgey.png", 2)</f>
        <v>0</v>
      </c>
      <c r="E17" s="2" t="s">
        <v>9</v>
      </c>
      <c r="F17" s="5"/>
      <c r="I17" s="18" t="s">
        <v>21</v>
      </c>
      <c r="J17" s="18"/>
      <c r="K17" s="18"/>
    </row>
    <row r="18" spans="1:11" ht="72" customHeight="1">
      <c r="A18" s="1" t="s">
        <v>26</v>
      </c>
      <c r="B18" s="1">
        <v>17</v>
      </c>
      <c r="C18" s="1" t="s">
        <v>43</v>
      </c>
      <c r="D18">
        <f>IMAGE("https://raw.githubusercontent.com/stautonico/pokemon-home-pokedex/main/sprites/pidgeotto.png", 2)</f>
        <v>0</v>
      </c>
      <c r="E18" s="2" t="s">
        <v>9</v>
      </c>
      <c r="F18" s="5"/>
      <c r="I18" s="19" t="s">
        <v>22</v>
      </c>
      <c r="J18" s="19"/>
      <c r="K18" s="19"/>
    </row>
    <row r="19" spans="1:11" ht="72" customHeight="1">
      <c r="A19" s="1" t="s">
        <v>26</v>
      </c>
      <c r="B19" s="1">
        <v>18</v>
      </c>
      <c r="C19" s="1" t="s">
        <v>44</v>
      </c>
      <c r="D19">
        <f>IMAGE("https://raw.githubusercontent.com/stautonico/pokemon-home-pokedex/main/sprites/pidgeot.png", 2)</f>
        <v>0</v>
      </c>
      <c r="E19" s="2" t="s">
        <v>9</v>
      </c>
      <c r="F19" s="5"/>
      <c r="I19" s="20" t="s">
        <v>23</v>
      </c>
      <c r="J19" s="20"/>
      <c r="K19" s="20"/>
    </row>
    <row r="20" spans="1:11" ht="72" customHeight="1">
      <c r="A20" s="1" t="s">
        <v>26</v>
      </c>
      <c r="B20" s="1">
        <v>19</v>
      </c>
      <c r="C20" s="1" t="s">
        <v>45</v>
      </c>
      <c r="D20">
        <f>IMAGE("https://raw.githubusercontent.com/stautonico/pokemon-home-pokedex/main/sprites/rattata.png", 2)</f>
        <v>0</v>
      </c>
      <c r="E20" s="2" t="s">
        <v>9</v>
      </c>
      <c r="F20" s="5"/>
      <c r="I20" s="21" t="s">
        <v>24</v>
      </c>
      <c r="J20" s="21"/>
      <c r="K20" s="21"/>
    </row>
    <row r="21" spans="1:11" ht="72" customHeight="1">
      <c r="A21" s="1" t="s">
        <v>26</v>
      </c>
      <c r="B21" s="1">
        <v>20</v>
      </c>
      <c r="C21" s="1" t="s">
        <v>46</v>
      </c>
      <c r="D21">
        <f>IMAGE("https://raw.githubusercontent.com/stautonico/pokemon-home-pokedex/main/sprites/raticate.png", 2)</f>
        <v>0</v>
      </c>
      <c r="E21" s="2" t="s">
        <v>9</v>
      </c>
      <c r="F21" s="5"/>
      <c r="I21" s="22" t="s">
        <v>25</v>
      </c>
      <c r="J21" s="22"/>
      <c r="K21" s="22"/>
    </row>
    <row r="22" spans="1:11" ht="72" customHeight="1">
      <c r="A22" s="1" t="s">
        <v>26</v>
      </c>
      <c r="B22" s="1">
        <v>21</v>
      </c>
      <c r="C22" s="1" t="s">
        <v>47</v>
      </c>
      <c r="D22">
        <f>IMAGE("https://raw.githubusercontent.com/stautonico/pokemon-home-pokedex/main/sprites/spearow.png", 2)</f>
        <v>0</v>
      </c>
      <c r="E22" s="2" t="s">
        <v>9</v>
      </c>
      <c r="F22" s="5"/>
    </row>
    <row r="23" spans="1:11" ht="72" customHeight="1">
      <c r="A23" s="1" t="s">
        <v>26</v>
      </c>
      <c r="B23" s="1">
        <v>22</v>
      </c>
      <c r="C23" s="1" t="s">
        <v>48</v>
      </c>
      <c r="D23">
        <f>IMAGE("https://raw.githubusercontent.com/stautonico/pokemon-home-pokedex/main/sprites/fearow.png", 2)</f>
        <v>0</v>
      </c>
      <c r="E23" s="2" t="s">
        <v>9</v>
      </c>
      <c r="F23" s="5"/>
    </row>
    <row r="24" spans="1:11" ht="72" customHeight="1">
      <c r="A24" s="1" t="s">
        <v>26</v>
      </c>
      <c r="B24" s="1">
        <v>23</v>
      </c>
      <c r="C24" s="1" t="s">
        <v>49</v>
      </c>
      <c r="D24">
        <f>IMAGE("https://raw.githubusercontent.com/stautonico/pokemon-home-pokedex/main/sprites/ekans.png", 2)</f>
        <v>0</v>
      </c>
      <c r="E24" s="23" t="s">
        <v>16</v>
      </c>
      <c r="F24" s="24" t="s">
        <v>11</v>
      </c>
    </row>
    <row r="25" spans="1:11" ht="72" customHeight="1">
      <c r="A25" s="1" t="s">
        <v>26</v>
      </c>
      <c r="B25" s="1">
        <v>24</v>
      </c>
      <c r="C25" s="1" t="s">
        <v>50</v>
      </c>
      <c r="D25">
        <f>IMAGE("https://raw.githubusercontent.com/stautonico/pokemon-home-pokedex/main/sprites/arbok.png", 2)</f>
        <v>0</v>
      </c>
      <c r="E25" s="23" t="s">
        <v>16</v>
      </c>
      <c r="F25" s="24" t="s">
        <v>11</v>
      </c>
    </row>
    <row r="26" spans="1:11" ht="72" customHeight="1">
      <c r="A26" s="1" t="s">
        <v>26</v>
      </c>
      <c r="B26" s="1">
        <v>25</v>
      </c>
      <c r="C26" s="1" t="s">
        <v>51</v>
      </c>
      <c r="D26">
        <f>IMAGE("https://raw.githubusercontent.com/stautonico/pokemon-home-pokedex/main/sprites/pikachu.png", 2)</f>
        <v>0</v>
      </c>
      <c r="E26" s="4" t="s">
        <v>13</v>
      </c>
      <c r="F26" s="5"/>
    </row>
    <row r="27" spans="1:11" ht="72" customHeight="1">
      <c r="A27" s="1" t="s">
        <v>26</v>
      </c>
      <c r="B27" s="1">
        <v>26</v>
      </c>
      <c r="C27" s="1" t="s">
        <v>52</v>
      </c>
      <c r="D27">
        <f>IMAGE("https://raw.githubusercontent.com/stautonico/pokemon-home-pokedex/main/sprites/raichu.png", 2)</f>
        <v>0</v>
      </c>
      <c r="E27" s="4" t="s">
        <v>13</v>
      </c>
      <c r="F27" s="5"/>
    </row>
    <row r="28" spans="1:11" ht="72" customHeight="1">
      <c r="A28" s="1" t="s">
        <v>26</v>
      </c>
      <c r="B28" s="1">
        <v>27</v>
      </c>
      <c r="C28" s="1" t="s">
        <v>53</v>
      </c>
      <c r="D28">
        <f>IMAGE("https://raw.githubusercontent.com/stautonico/pokemon-home-pokedex/main/sprites/sandshrew.png", 2)</f>
        <v>0</v>
      </c>
      <c r="E28" s="3" t="s">
        <v>12</v>
      </c>
      <c r="F28" s="25" t="s">
        <v>10</v>
      </c>
    </row>
    <row r="29" spans="1:11" ht="72" customHeight="1">
      <c r="A29" s="1" t="s">
        <v>26</v>
      </c>
      <c r="B29" s="1">
        <v>28</v>
      </c>
      <c r="C29" s="1" t="s">
        <v>54</v>
      </c>
      <c r="D29">
        <f>IMAGE("https://raw.githubusercontent.com/stautonico/pokemon-home-pokedex/main/sprites/sandslash.png", 2)</f>
        <v>0</v>
      </c>
      <c r="E29" s="3" t="s">
        <v>12</v>
      </c>
      <c r="F29" s="25" t="s">
        <v>10</v>
      </c>
    </row>
    <row r="30" spans="1:11" ht="72" customHeight="1">
      <c r="A30" s="1" t="s">
        <v>26</v>
      </c>
      <c r="B30" s="1">
        <v>29</v>
      </c>
      <c r="C30" s="1" t="s">
        <v>55</v>
      </c>
      <c r="D30">
        <f>IMAGE("https://raw.githubusercontent.com/stautonico/pokemon-home-pokedex/main/sprites/nidoran-f.png", 2)</f>
        <v>0</v>
      </c>
      <c r="E30" s="2" t="s">
        <v>9</v>
      </c>
      <c r="F30" s="5"/>
    </row>
    <row r="31" spans="1:11" ht="72" customHeight="1">
      <c r="A31" s="1" t="s">
        <v>26</v>
      </c>
      <c r="B31" s="1">
        <v>30</v>
      </c>
      <c r="C31" s="1" t="s">
        <v>56</v>
      </c>
      <c r="D31">
        <f>IMAGE("https://raw.githubusercontent.com/stautonico/pokemon-home-pokedex/main/sprites/nidorina.png", 2)</f>
        <v>0</v>
      </c>
      <c r="E31" s="2" t="s">
        <v>9</v>
      </c>
      <c r="F31" s="5"/>
    </row>
    <row r="32" spans="1:11" ht="72" customHeight="1">
      <c r="A32" s="1" t="s">
        <v>26</v>
      </c>
      <c r="B32" s="1">
        <v>31</v>
      </c>
      <c r="C32" s="1" t="s">
        <v>57</v>
      </c>
      <c r="D32">
        <f>IMAGE("https://raw.githubusercontent.com/stautonico/pokemon-home-pokedex/main/sprites/nidoqueen.png", 2)</f>
        <v>0</v>
      </c>
      <c r="E32" s="2" t="s">
        <v>9</v>
      </c>
      <c r="F32" s="5"/>
    </row>
    <row r="33" spans="1:6" ht="72" customHeight="1">
      <c r="A33" s="1" t="s">
        <v>26</v>
      </c>
      <c r="B33" s="1">
        <v>32</v>
      </c>
      <c r="C33" s="1" t="s">
        <v>58</v>
      </c>
      <c r="D33">
        <f>IMAGE("https://raw.githubusercontent.com/stautonico/pokemon-home-pokedex/main/sprites/nidoran-m.png", 2)</f>
        <v>0</v>
      </c>
      <c r="E33" s="2" t="s">
        <v>9</v>
      </c>
      <c r="F33" s="5"/>
    </row>
    <row r="34" spans="1:6" ht="72" customHeight="1">
      <c r="A34" s="1" t="s">
        <v>26</v>
      </c>
      <c r="B34" s="1">
        <v>33</v>
      </c>
      <c r="C34" s="1" t="s">
        <v>59</v>
      </c>
      <c r="D34">
        <f>IMAGE("https://raw.githubusercontent.com/stautonico/pokemon-home-pokedex/main/sprites/nidorino.png", 2)</f>
        <v>0</v>
      </c>
      <c r="E34" s="2" t="s">
        <v>9</v>
      </c>
      <c r="F34" s="5"/>
    </row>
    <row r="35" spans="1:6" ht="72" customHeight="1">
      <c r="A35" s="1" t="s">
        <v>26</v>
      </c>
      <c r="B35" s="1">
        <v>34</v>
      </c>
      <c r="C35" s="1" t="s">
        <v>60</v>
      </c>
      <c r="D35">
        <f>IMAGE("https://raw.githubusercontent.com/stautonico/pokemon-home-pokedex/main/sprites/nidoking.png", 2)</f>
        <v>0</v>
      </c>
      <c r="E35" s="2" t="s">
        <v>9</v>
      </c>
      <c r="F35" s="5"/>
    </row>
    <row r="36" spans="1:6" ht="72" customHeight="1">
      <c r="A36" s="1" t="s">
        <v>26</v>
      </c>
      <c r="B36" s="1">
        <v>35</v>
      </c>
      <c r="C36" s="1" t="s">
        <v>61</v>
      </c>
      <c r="D36">
        <f>IMAGE("https://raw.githubusercontent.com/stautonico/pokemon-home-pokedex/main/sprites/clefairy.png", 2)</f>
        <v>0</v>
      </c>
      <c r="E36" s="4" t="s">
        <v>13</v>
      </c>
      <c r="F36" s="5"/>
    </row>
    <row r="37" spans="1:6" ht="72" customHeight="1">
      <c r="A37" s="1" t="s">
        <v>26</v>
      </c>
      <c r="B37" s="1">
        <v>36</v>
      </c>
      <c r="C37" s="1" t="s">
        <v>62</v>
      </c>
      <c r="D37">
        <f>IMAGE("https://raw.githubusercontent.com/stautonico/pokemon-home-pokedex/main/sprites/clefable.png", 2)</f>
        <v>0</v>
      </c>
      <c r="E37" s="4" t="s">
        <v>13</v>
      </c>
      <c r="F37" s="5"/>
    </row>
    <row r="38" spans="1:6" ht="72" customHeight="1">
      <c r="A38" s="1" t="s">
        <v>26</v>
      </c>
      <c r="B38" s="1">
        <v>37</v>
      </c>
      <c r="C38" s="1" t="s">
        <v>63</v>
      </c>
      <c r="D38">
        <f>IMAGE("https://raw.githubusercontent.com/stautonico/pokemon-home-pokedex/main/sprites/vulpix.png", 2)</f>
        <v>0</v>
      </c>
      <c r="E38" s="4" t="s">
        <v>13</v>
      </c>
      <c r="F38" s="5"/>
    </row>
    <row r="39" spans="1:6" ht="72" customHeight="1">
      <c r="A39" s="1" t="s">
        <v>26</v>
      </c>
      <c r="B39" s="1">
        <v>38</v>
      </c>
      <c r="C39" s="1" t="s">
        <v>64</v>
      </c>
      <c r="D39">
        <f>IMAGE("https://raw.githubusercontent.com/stautonico/pokemon-home-pokedex/main/sprites/ninetales.png", 2)</f>
        <v>0</v>
      </c>
      <c r="E39" s="4" t="s">
        <v>13</v>
      </c>
      <c r="F39" s="5"/>
    </row>
    <row r="40" spans="1:6" ht="72" customHeight="1">
      <c r="A40" s="1" t="s">
        <v>26</v>
      </c>
      <c r="B40" s="1">
        <v>39</v>
      </c>
      <c r="C40" s="1" t="s">
        <v>65</v>
      </c>
      <c r="D40">
        <f>IMAGE("https://raw.githubusercontent.com/stautonico/pokemon-home-pokedex/main/sprites/jigglypuff.png", 2)</f>
        <v>0</v>
      </c>
      <c r="E40" s="2" t="s">
        <v>9</v>
      </c>
      <c r="F40" s="5"/>
    </row>
    <row r="41" spans="1:6" ht="72" customHeight="1">
      <c r="A41" s="1" t="s">
        <v>26</v>
      </c>
      <c r="B41" s="1">
        <v>40</v>
      </c>
      <c r="C41" s="1" t="s">
        <v>66</v>
      </c>
      <c r="D41">
        <f>IMAGE("https://raw.githubusercontent.com/stautonico/pokemon-home-pokedex/main/sprites/wigglytuff.png", 2)</f>
        <v>0</v>
      </c>
      <c r="E41" s="2" t="s">
        <v>9</v>
      </c>
      <c r="F41" s="5"/>
    </row>
    <row r="42" spans="1:6" ht="72" customHeight="1">
      <c r="A42" s="1" t="s">
        <v>26</v>
      </c>
      <c r="B42" s="1">
        <v>41</v>
      </c>
      <c r="C42" s="1" t="s">
        <v>67</v>
      </c>
      <c r="D42">
        <f>IMAGE("https://raw.githubusercontent.com/stautonico/pokemon-home-pokedex/main/sprites/zubat.png", 2)</f>
        <v>0</v>
      </c>
      <c r="E42" s="2" t="s">
        <v>9</v>
      </c>
      <c r="F42" s="5"/>
    </row>
    <row r="43" spans="1:6" ht="72" customHeight="1">
      <c r="A43" s="1" t="s">
        <v>26</v>
      </c>
      <c r="B43" s="1">
        <v>42</v>
      </c>
      <c r="C43" s="1" t="s">
        <v>68</v>
      </c>
      <c r="D43">
        <f>IMAGE("https://raw.githubusercontent.com/stautonico/pokemon-home-pokedex/main/sprites/golbat.png", 2)</f>
        <v>0</v>
      </c>
      <c r="E43" s="2" t="s">
        <v>9</v>
      </c>
      <c r="F43" s="5"/>
    </row>
    <row r="44" spans="1:6" ht="72" customHeight="1">
      <c r="A44" s="1" t="s">
        <v>26</v>
      </c>
      <c r="B44" s="1">
        <v>43</v>
      </c>
      <c r="C44" s="1" t="s">
        <v>69</v>
      </c>
      <c r="D44">
        <f>IMAGE("https://raw.githubusercontent.com/stautonico/pokemon-home-pokedex/main/sprites/oddish.png", 2)</f>
        <v>0</v>
      </c>
      <c r="E44" s="4" t="s">
        <v>13</v>
      </c>
      <c r="F44" s="5"/>
    </row>
    <row r="45" spans="1:6" ht="72" customHeight="1">
      <c r="A45" s="1" t="s">
        <v>26</v>
      </c>
      <c r="B45" s="1">
        <v>44</v>
      </c>
      <c r="C45" s="1" t="s">
        <v>70</v>
      </c>
      <c r="D45">
        <f>IMAGE("https://raw.githubusercontent.com/stautonico/pokemon-home-pokedex/main/sprites/gloom.png", 2)</f>
        <v>0</v>
      </c>
      <c r="E45" s="4" t="s">
        <v>13</v>
      </c>
      <c r="F45" s="5"/>
    </row>
    <row r="46" spans="1:6" ht="72" customHeight="1">
      <c r="A46" s="1" t="s">
        <v>26</v>
      </c>
      <c r="B46" s="1">
        <v>45</v>
      </c>
      <c r="C46" s="1" t="s">
        <v>71</v>
      </c>
      <c r="D46">
        <f>IMAGE("https://raw.githubusercontent.com/stautonico/pokemon-home-pokedex/main/sprites/vileplume.png", 2)</f>
        <v>0</v>
      </c>
      <c r="E46" s="4" t="s">
        <v>13</v>
      </c>
      <c r="F46" s="5"/>
    </row>
    <row r="47" spans="1:6" ht="72" customHeight="1">
      <c r="A47" s="1" t="s">
        <v>26</v>
      </c>
      <c r="B47" s="1">
        <v>46</v>
      </c>
      <c r="C47" s="1" t="s">
        <v>72</v>
      </c>
      <c r="D47">
        <f>IMAGE("https://raw.githubusercontent.com/stautonico/pokemon-home-pokedex/main/sprites/paras.png", 2)</f>
        <v>0</v>
      </c>
      <c r="E47" s="2" t="s">
        <v>9</v>
      </c>
      <c r="F47" s="5"/>
    </row>
    <row r="48" spans="1:6" ht="72" customHeight="1">
      <c r="A48" s="1" t="s">
        <v>26</v>
      </c>
      <c r="B48" s="1">
        <v>47</v>
      </c>
      <c r="C48" s="1" t="s">
        <v>73</v>
      </c>
      <c r="D48">
        <f>IMAGE("https://raw.githubusercontent.com/stautonico/pokemon-home-pokedex/main/sprites/parasect.png", 2)</f>
        <v>0</v>
      </c>
      <c r="E48" s="2" t="s">
        <v>9</v>
      </c>
      <c r="F48" s="5"/>
    </row>
    <row r="49" spans="1:6" ht="72" customHeight="1">
      <c r="A49" s="1" t="s">
        <v>26</v>
      </c>
      <c r="B49" s="1">
        <v>48</v>
      </c>
      <c r="C49" s="1" t="s">
        <v>74</v>
      </c>
      <c r="D49">
        <f>IMAGE("https://raw.githubusercontent.com/stautonico/pokemon-home-pokedex/main/sprites/venonat.png", 2)</f>
        <v>0</v>
      </c>
      <c r="E49" s="2" t="s">
        <v>9</v>
      </c>
      <c r="F49" s="5"/>
    </row>
    <row r="50" spans="1:6" ht="72" customHeight="1">
      <c r="A50" s="1" t="s">
        <v>26</v>
      </c>
      <c r="B50" s="1">
        <v>49</v>
      </c>
      <c r="C50" s="1" t="s">
        <v>75</v>
      </c>
      <c r="D50">
        <f>IMAGE("https://raw.githubusercontent.com/stautonico/pokemon-home-pokedex/main/sprites/venomoth.png", 2)</f>
        <v>0</v>
      </c>
      <c r="E50" s="2" t="s">
        <v>9</v>
      </c>
      <c r="F50" s="5"/>
    </row>
    <row r="51" spans="1:6" ht="72" customHeight="1">
      <c r="A51" s="1" t="s">
        <v>26</v>
      </c>
      <c r="B51" s="1">
        <v>50</v>
      </c>
      <c r="C51" s="1" t="s">
        <v>76</v>
      </c>
      <c r="D51">
        <f>IMAGE("https://raw.githubusercontent.com/stautonico/pokemon-home-pokedex/main/sprites/diglett.png", 2)</f>
        <v>0</v>
      </c>
      <c r="E51" s="4" t="s">
        <v>13</v>
      </c>
      <c r="F51" s="5"/>
    </row>
    <row r="52" spans="1:6" ht="72" customHeight="1">
      <c r="A52" s="1" t="s">
        <v>26</v>
      </c>
      <c r="B52" s="1">
        <v>51</v>
      </c>
      <c r="C52" s="1" t="s">
        <v>77</v>
      </c>
      <c r="D52">
        <f>IMAGE("https://raw.githubusercontent.com/stautonico/pokemon-home-pokedex/main/sprites/dugtrio.png", 2)</f>
        <v>0</v>
      </c>
      <c r="E52" s="4" t="s">
        <v>13</v>
      </c>
      <c r="F52" s="5"/>
    </row>
    <row r="53" spans="1:6" ht="72" customHeight="1">
      <c r="A53" s="1" t="s">
        <v>26</v>
      </c>
      <c r="B53" s="1">
        <v>52</v>
      </c>
      <c r="C53" s="1" t="s">
        <v>78</v>
      </c>
      <c r="D53">
        <f>IMAGE("https://raw.githubusercontent.com/stautonico/pokemon-home-pokedex/main/sprites/meowth.png", 2)</f>
        <v>0</v>
      </c>
      <c r="E53" s="4" t="s">
        <v>13</v>
      </c>
      <c r="F53" s="5"/>
    </row>
    <row r="54" spans="1:6" ht="72" customHeight="1">
      <c r="A54" s="1" t="s">
        <v>26</v>
      </c>
      <c r="B54" s="1">
        <v>53</v>
      </c>
      <c r="C54" s="1" t="s">
        <v>79</v>
      </c>
      <c r="D54">
        <f>IMAGE("https://raw.githubusercontent.com/stautonico/pokemon-home-pokedex/main/sprites/persian.png", 2)</f>
        <v>0</v>
      </c>
      <c r="E54" s="4" t="s">
        <v>13</v>
      </c>
      <c r="F54" s="5"/>
    </row>
    <row r="55" spans="1:6" ht="72" customHeight="1">
      <c r="A55" s="1" t="s">
        <v>26</v>
      </c>
      <c r="B55" s="1">
        <v>54</v>
      </c>
      <c r="C55" s="1" t="s">
        <v>80</v>
      </c>
      <c r="D55">
        <f>IMAGE("https://raw.githubusercontent.com/stautonico/pokemon-home-pokedex/main/sprites/psyduck.png", 2)</f>
        <v>0</v>
      </c>
      <c r="E55" s="2" t="s">
        <v>9</v>
      </c>
      <c r="F55" s="5"/>
    </row>
    <row r="56" spans="1:6" ht="72" customHeight="1">
      <c r="A56" s="1" t="s">
        <v>26</v>
      </c>
      <c r="B56" s="1">
        <v>55</v>
      </c>
      <c r="C56" s="1" t="s">
        <v>81</v>
      </c>
      <c r="D56">
        <f>IMAGE("https://raw.githubusercontent.com/stautonico/pokemon-home-pokedex/main/sprites/golduck.png", 2)</f>
        <v>0</v>
      </c>
      <c r="E56" s="2" t="s">
        <v>9</v>
      </c>
      <c r="F56" s="5"/>
    </row>
    <row r="57" spans="1:6" ht="72" customHeight="1">
      <c r="A57" s="1" t="s">
        <v>26</v>
      </c>
      <c r="B57" s="1">
        <v>56</v>
      </c>
      <c r="C57" s="1" t="s">
        <v>82</v>
      </c>
      <c r="D57">
        <f>IMAGE("https://raw.githubusercontent.com/stautonico/pokemon-home-pokedex/main/sprites/mankey.png", 2)</f>
        <v>0</v>
      </c>
      <c r="E57" s="26" t="s">
        <v>17</v>
      </c>
      <c r="F57" s="25" t="s">
        <v>10</v>
      </c>
    </row>
    <row r="58" spans="1:6" ht="72" customHeight="1">
      <c r="A58" s="1" t="s">
        <v>26</v>
      </c>
      <c r="B58" s="1">
        <v>57</v>
      </c>
      <c r="C58" s="1" t="s">
        <v>83</v>
      </c>
      <c r="D58">
        <f>IMAGE("https://raw.githubusercontent.com/stautonico/pokemon-home-pokedex/main/sprites/primeape.png", 2)</f>
        <v>0</v>
      </c>
      <c r="E58" s="26" t="s">
        <v>17</v>
      </c>
      <c r="F58" s="25" t="s">
        <v>10</v>
      </c>
    </row>
    <row r="59" spans="1:6" ht="72" customHeight="1">
      <c r="A59" s="1" t="s">
        <v>26</v>
      </c>
      <c r="B59" s="1">
        <v>58</v>
      </c>
      <c r="C59" s="1" t="s">
        <v>84</v>
      </c>
      <c r="D59">
        <f>IMAGE("https://raw.githubusercontent.com/stautonico/pokemon-home-pokedex/main/sprites/growlithe.png", 2)</f>
        <v>0</v>
      </c>
      <c r="E59" s="4" t="s">
        <v>13</v>
      </c>
      <c r="F59" s="5"/>
    </row>
    <row r="60" spans="1:6" ht="72" customHeight="1">
      <c r="A60" s="1" t="s">
        <v>26</v>
      </c>
      <c r="B60" s="1">
        <v>59</v>
      </c>
      <c r="C60" s="1" t="s">
        <v>85</v>
      </c>
      <c r="D60">
        <f>IMAGE("https://raw.githubusercontent.com/stautonico/pokemon-home-pokedex/main/sprites/arcanine.png", 2)</f>
        <v>0</v>
      </c>
      <c r="E60" s="4" t="s">
        <v>13</v>
      </c>
      <c r="F60" s="5"/>
    </row>
    <row r="61" spans="1:6" ht="72" customHeight="1">
      <c r="A61" s="1" t="s">
        <v>26</v>
      </c>
      <c r="B61" s="1">
        <v>60</v>
      </c>
      <c r="C61" s="1" t="s">
        <v>86</v>
      </c>
      <c r="D61">
        <f>IMAGE("https://raw.githubusercontent.com/stautonico/pokemon-home-pokedex/main/sprites/poliwag.png", 2)</f>
        <v>0</v>
      </c>
      <c r="E61" s="2" t="s">
        <v>9</v>
      </c>
      <c r="F61" s="5"/>
    </row>
    <row r="62" spans="1:6" ht="72" customHeight="1">
      <c r="A62" s="1" t="s">
        <v>26</v>
      </c>
      <c r="B62" s="1">
        <v>61</v>
      </c>
      <c r="C62" s="1" t="s">
        <v>87</v>
      </c>
      <c r="D62">
        <f>IMAGE("https://raw.githubusercontent.com/stautonico/pokemon-home-pokedex/main/sprites/poliwhirl.png", 2)</f>
        <v>0</v>
      </c>
      <c r="E62" s="2" t="s">
        <v>9</v>
      </c>
      <c r="F62" s="5"/>
    </row>
    <row r="63" spans="1:6" ht="72" customHeight="1">
      <c r="A63" s="1" t="s">
        <v>26</v>
      </c>
      <c r="B63" s="1">
        <v>62</v>
      </c>
      <c r="C63" s="1" t="s">
        <v>88</v>
      </c>
      <c r="D63">
        <f>IMAGE("https://raw.githubusercontent.com/stautonico/pokemon-home-pokedex/main/sprites/poliwrath.png", 2)</f>
        <v>0</v>
      </c>
      <c r="E63" s="2" t="s">
        <v>9</v>
      </c>
      <c r="F63" s="5"/>
    </row>
    <row r="64" spans="1:6" ht="72" customHeight="1">
      <c r="A64" s="1" t="s">
        <v>26</v>
      </c>
      <c r="B64" s="1">
        <v>63</v>
      </c>
      <c r="C64" s="1" t="s">
        <v>89</v>
      </c>
      <c r="D64">
        <f>IMAGE("https://raw.githubusercontent.com/stautonico/pokemon-home-pokedex/main/sprites/abra.png", 2)</f>
        <v>0</v>
      </c>
      <c r="E64" s="3" t="s">
        <v>12</v>
      </c>
      <c r="F64" s="5"/>
    </row>
    <row r="65" spans="1:6" ht="72" customHeight="1">
      <c r="A65" s="1" t="s">
        <v>26</v>
      </c>
      <c r="B65" s="1">
        <v>64</v>
      </c>
      <c r="C65" s="1" t="s">
        <v>90</v>
      </c>
      <c r="D65">
        <f>IMAGE("https://raw.githubusercontent.com/stautonico/pokemon-home-pokedex/main/sprites/kadabra.png", 2)</f>
        <v>0</v>
      </c>
      <c r="E65" s="3" t="s">
        <v>12</v>
      </c>
      <c r="F65" s="5"/>
    </row>
    <row r="66" spans="1:6" ht="72" customHeight="1">
      <c r="A66" s="1" t="s">
        <v>26</v>
      </c>
      <c r="B66" s="1">
        <v>65</v>
      </c>
      <c r="C66" s="1" t="s">
        <v>91</v>
      </c>
      <c r="D66">
        <f>IMAGE("https://raw.githubusercontent.com/stautonico/pokemon-home-pokedex/main/sprites/alakazam.png", 2)</f>
        <v>0</v>
      </c>
      <c r="E66" s="3" t="s">
        <v>12</v>
      </c>
      <c r="F66" s="5"/>
    </row>
    <row r="67" spans="1:6" ht="72" customHeight="1">
      <c r="A67" s="1" t="s">
        <v>26</v>
      </c>
      <c r="B67" s="1">
        <v>66</v>
      </c>
      <c r="C67" s="1" t="s">
        <v>92</v>
      </c>
      <c r="D67">
        <f>IMAGE("https://raw.githubusercontent.com/stautonico/pokemon-home-pokedex/main/sprites/machop.png", 2)</f>
        <v>0</v>
      </c>
      <c r="E67" s="4" t="s">
        <v>13</v>
      </c>
      <c r="F67" s="5"/>
    </row>
    <row r="68" spans="1:6" ht="72" customHeight="1">
      <c r="A68" s="1" t="s">
        <v>26</v>
      </c>
      <c r="B68" s="1">
        <v>67</v>
      </c>
      <c r="C68" s="1" t="s">
        <v>93</v>
      </c>
      <c r="D68">
        <f>IMAGE("https://raw.githubusercontent.com/stautonico/pokemon-home-pokedex/main/sprites/machoke.png", 2)</f>
        <v>0</v>
      </c>
      <c r="E68" s="4" t="s">
        <v>13</v>
      </c>
      <c r="F68" s="5"/>
    </row>
    <row r="69" spans="1:6" ht="72" customHeight="1">
      <c r="A69" s="1" t="s">
        <v>26</v>
      </c>
      <c r="B69" s="1">
        <v>68</v>
      </c>
      <c r="C69" s="1" t="s">
        <v>94</v>
      </c>
      <c r="D69">
        <f>IMAGE("https://raw.githubusercontent.com/stautonico/pokemon-home-pokedex/main/sprites/machamp.png", 2)</f>
        <v>0</v>
      </c>
      <c r="E69" s="4" t="s">
        <v>13</v>
      </c>
      <c r="F69" s="5"/>
    </row>
    <row r="70" spans="1:6" ht="72" customHeight="1">
      <c r="A70" s="1" t="s">
        <v>26</v>
      </c>
      <c r="B70" s="1">
        <v>69</v>
      </c>
      <c r="C70" s="1" t="s">
        <v>95</v>
      </c>
      <c r="D70">
        <f>IMAGE("https://raw.githubusercontent.com/stautonico/pokemon-home-pokedex/main/sprites/bellsprout.png", 2)</f>
        <v>0</v>
      </c>
      <c r="E70" s="23" t="s">
        <v>16</v>
      </c>
      <c r="F70" s="24" t="s">
        <v>11</v>
      </c>
    </row>
    <row r="71" spans="1:6" ht="72" customHeight="1">
      <c r="A71" s="1" t="s">
        <v>26</v>
      </c>
      <c r="B71" s="1">
        <v>70</v>
      </c>
      <c r="C71" s="1" t="s">
        <v>96</v>
      </c>
      <c r="D71">
        <f>IMAGE("https://raw.githubusercontent.com/stautonico/pokemon-home-pokedex/main/sprites/weepinbell.png", 2)</f>
        <v>0</v>
      </c>
      <c r="E71" s="23" t="s">
        <v>16</v>
      </c>
      <c r="F71" s="24" t="s">
        <v>11</v>
      </c>
    </row>
    <row r="72" spans="1:6" ht="72" customHeight="1">
      <c r="A72" s="1" t="s">
        <v>26</v>
      </c>
      <c r="B72" s="1">
        <v>71</v>
      </c>
      <c r="C72" s="1" t="s">
        <v>97</v>
      </c>
      <c r="D72">
        <f>IMAGE("https://raw.githubusercontent.com/stautonico/pokemon-home-pokedex/main/sprites/victreebel.png", 2)</f>
        <v>0</v>
      </c>
      <c r="E72" s="23" t="s">
        <v>16</v>
      </c>
      <c r="F72" s="24" t="s">
        <v>11</v>
      </c>
    </row>
    <row r="73" spans="1:6" ht="72" customHeight="1">
      <c r="A73" s="1" t="s">
        <v>26</v>
      </c>
      <c r="B73" s="1">
        <v>72</v>
      </c>
      <c r="C73" s="1" t="s">
        <v>98</v>
      </c>
      <c r="D73">
        <f>IMAGE("https://raw.githubusercontent.com/stautonico/pokemon-home-pokedex/main/sprites/tentacool.png", 2)</f>
        <v>0</v>
      </c>
      <c r="E73" s="3" t="s">
        <v>12</v>
      </c>
      <c r="F73" s="5"/>
    </row>
    <row r="74" spans="1:6" ht="72" customHeight="1">
      <c r="A74" s="1" t="s">
        <v>26</v>
      </c>
      <c r="B74" s="1">
        <v>73</v>
      </c>
      <c r="C74" s="1" t="s">
        <v>99</v>
      </c>
      <c r="D74">
        <f>IMAGE("https://raw.githubusercontent.com/stautonico/pokemon-home-pokedex/main/sprites/tentacruel.png", 2)</f>
        <v>0</v>
      </c>
      <c r="E74" s="3" t="s">
        <v>12</v>
      </c>
      <c r="F74" s="5"/>
    </row>
    <row r="75" spans="1:6" ht="72" customHeight="1">
      <c r="A75" s="1" t="s">
        <v>26</v>
      </c>
      <c r="B75" s="1">
        <v>74</v>
      </c>
      <c r="C75" s="1" t="s">
        <v>100</v>
      </c>
      <c r="D75">
        <f>IMAGE("https://raw.githubusercontent.com/stautonico/pokemon-home-pokedex/main/sprites/geodude.png", 2)</f>
        <v>0</v>
      </c>
      <c r="E75" s="26" t="s">
        <v>17</v>
      </c>
      <c r="F75" s="5"/>
    </row>
    <row r="76" spans="1:6" ht="72" customHeight="1">
      <c r="A76" s="1" t="s">
        <v>26</v>
      </c>
      <c r="B76" s="1">
        <v>75</v>
      </c>
      <c r="C76" s="1" t="s">
        <v>101</v>
      </c>
      <c r="D76">
        <f>IMAGE("https://raw.githubusercontent.com/stautonico/pokemon-home-pokedex/main/sprites/graveler.png", 2)</f>
        <v>0</v>
      </c>
      <c r="E76" s="26" t="s">
        <v>17</v>
      </c>
      <c r="F76" s="5"/>
    </row>
    <row r="77" spans="1:6" ht="72" customHeight="1">
      <c r="A77" s="1" t="s">
        <v>26</v>
      </c>
      <c r="B77" s="1">
        <v>76</v>
      </c>
      <c r="C77" s="1" t="s">
        <v>102</v>
      </c>
      <c r="D77">
        <f>IMAGE("https://raw.githubusercontent.com/stautonico/pokemon-home-pokedex/main/sprites/golem.png", 2)</f>
        <v>0</v>
      </c>
      <c r="E77" s="26" t="s">
        <v>17</v>
      </c>
      <c r="F77" s="5"/>
    </row>
    <row r="78" spans="1:6" ht="72" customHeight="1">
      <c r="A78" s="1" t="s">
        <v>26</v>
      </c>
      <c r="B78" s="1">
        <v>77</v>
      </c>
      <c r="C78" s="1" t="s">
        <v>103</v>
      </c>
      <c r="D78">
        <f>IMAGE("https://raw.githubusercontent.com/stautonico/pokemon-home-pokedex/main/sprites/ponyta.png", 2)</f>
        <v>0</v>
      </c>
      <c r="E78" s="27" t="s">
        <v>15</v>
      </c>
      <c r="F78" s="28" t="s">
        <v>21</v>
      </c>
    </row>
    <row r="79" spans="1:6" ht="72" customHeight="1">
      <c r="A79" s="1" t="s">
        <v>26</v>
      </c>
      <c r="B79" s="1">
        <v>78</v>
      </c>
      <c r="C79" s="1" t="s">
        <v>104</v>
      </c>
      <c r="D79">
        <f>IMAGE("https://raw.githubusercontent.com/stautonico/pokemon-home-pokedex/main/sprites/rapidash.png", 2)</f>
        <v>0</v>
      </c>
      <c r="E79" s="27" t="s">
        <v>15</v>
      </c>
      <c r="F79" s="28" t="s">
        <v>21</v>
      </c>
    </row>
    <row r="80" spans="1:6" ht="72" customHeight="1">
      <c r="A80" s="1" t="s">
        <v>26</v>
      </c>
      <c r="B80" s="1">
        <v>79</v>
      </c>
      <c r="C80" s="1" t="s">
        <v>105</v>
      </c>
      <c r="D80">
        <f>IMAGE("https://raw.githubusercontent.com/stautonico/pokemon-home-pokedex/main/sprites/slowpoke.png", 2)</f>
        <v>0</v>
      </c>
      <c r="E80" s="2" t="s">
        <v>9</v>
      </c>
      <c r="F80" s="5"/>
    </row>
    <row r="81" spans="1:6" ht="72" customHeight="1">
      <c r="A81" s="1" t="s">
        <v>26</v>
      </c>
      <c r="B81" s="1">
        <v>80</v>
      </c>
      <c r="C81" s="1" t="s">
        <v>106</v>
      </c>
      <c r="D81">
        <f>IMAGE("https://raw.githubusercontent.com/stautonico/pokemon-home-pokedex/main/sprites/slowbro.png", 2)</f>
        <v>0</v>
      </c>
      <c r="E81" s="2" t="s">
        <v>9</v>
      </c>
      <c r="F81" s="5"/>
    </row>
    <row r="82" spans="1:6" ht="72" customHeight="1">
      <c r="A82" s="1" t="s">
        <v>26</v>
      </c>
      <c r="B82" s="1">
        <v>81</v>
      </c>
      <c r="C82" s="1" t="s">
        <v>107</v>
      </c>
      <c r="D82">
        <f>IMAGE("https://raw.githubusercontent.com/stautonico/pokemon-home-pokedex/main/sprites/magnemite.png", 2)</f>
        <v>0</v>
      </c>
      <c r="E82" s="2" t="s">
        <v>9</v>
      </c>
      <c r="F82" s="5"/>
    </row>
    <row r="83" spans="1:6" ht="72" customHeight="1">
      <c r="A83" s="1" t="s">
        <v>26</v>
      </c>
      <c r="B83" s="1">
        <v>82</v>
      </c>
      <c r="C83" s="1" t="s">
        <v>108</v>
      </c>
      <c r="D83">
        <f>IMAGE("https://raw.githubusercontent.com/stautonico/pokemon-home-pokedex/main/sprites/magneton.png", 2)</f>
        <v>0</v>
      </c>
      <c r="E83" s="2" t="s">
        <v>9</v>
      </c>
      <c r="F83" s="5"/>
    </row>
    <row r="84" spans="1:6" ht="72" customHeight="1">
      <c r="A84" s="1" t="s">
        <v>26</v>
      </c>
      <c r="B84" s="1">
        <v>83</v>
      </c>
      <c r="C84" s="1" t="s">
        <v>109</v>
      </c>
      <c r="D84">
        <f>IMAGE("https://raw.githubusercontent.com/stautonico/pokemon-home-pokedex/main/sprites/farfetchd.png", 2)</f>
        <v>0</v>
      </c>
      <c r="E84" s="29" t="s">
        <v>14</v>
      </c>
      <c r="F84" s="23" t="s">
        <v>16</v>
      </c>
    </row>
    <row r="85" spans="1:6" ht="72" customHeight="1">
      <c r="A85" s="1" t="s">
        <v>26</v>
      </c>
      <c r="B85" s="1">
        <v>84</v>
      </c>
      <c r="C85" s="1" t="s">
        <v>110</v>
      </c>
      <c r="D85">
        <f>IMAGE("https://raw.githubusercontent.com/stautonico/pokemon-home-pokedex/main/sprites/doduo.png", 2)</f>
        <v>0</v>
      </c>
      <c r="E85" s="2" t="s">
        <v>9</v>
      </c>
      <c r="F85" s="5"/>
    </row>
    <row r="86" spans="1:6" ht="72" customHeight="1">
      <c r="A86" s="1" t="s">
        <v>26</v>
      </c>
      <c r="B86" s="1">
        <v>85</v>
      </c>
      <c r="C86" s="1" t="s">
        <v>111</v>
      </c>
      <c r="D86">
        <f>IMAGE("https://raw.githubusercontent.com/stautonico/pokemon-home-pokedex/main/sprites/dodrio.png", 2)</f>
        <v>0</v>
      </c>
      <c r="E86" s="2" t="s">
        <v>9</v>
      </c>
      <c r="F86" s="5"/>
    </row>
    <row r="87" spans="1:6" ht="72" customHeight="1">
      <c r="A87" s="1" t="s">
        <v>26</v>
      </c>
      <c r="B87" s="1">
        <v>86</v>
      </c>
      <c r="C87" s="1" t="s">
        <v>112</v>
      </c>
      <c r="D87">
        <f>IMAGE("https://raw.githubusercontent.com/stautonico/pokemon-home-pokedex/main/sprites/seel.png", 2)</f>
        <v>0</v>
      </c>
      <c r="E87" s="2" t="s">
        <v>9</v>
      </c>
      <c r="F87" s="5"/>
    </row>
    <row r="88" spans="1:6" ht="72" customHeight="1">
      <c r="A88" s="1" t="s">
        <v>26</v>
      </c>
      <c r="B88" s="1">
        <v>87</v>
      </c>
      <c r="C88" s="1" t="s">
        <v>113</v>
      </c>
      <c r="D88">
        <f>IMAGE("https://raw.githubusercontent.com/stautonico/pokemon-home-pokedex/main/sprites/dewgong.png", 2)</f>
        <v>0</v>
      </c>
      <c r="E88" s="2" t="s">
        <v>9</v>
      </c>
      <c r="F88" s="5"/>
    </row>
    <row r="89" spans="1:6" ht="72" customHeight="1">
      <c r="A89" s="1" t="s">
        <v>26</v>
      </c>
      <c r="B89" s="1">
        <v>88</v>
      </c>
      <c r="C89" s="1" t="s">
        <v>114</v>
      </c>
      <c r="D89">
        <f>IMAGE("https://raw.githubusercontent.com/stautonico/pokemon-home-pokedex/main/sprites/grimer.png", 2)</f>
        <v>0</v>
      </c>
      <c r="E89" s="26" t="s">
        <v>17</v>
      </c>
      <c r="F89" s="25" t="s">
        <v>10</v>
      </c>
    </row>
    <row r="90" spans="1:6" ht="72" customHeight="1">
      <c r="A90" s="1" t="s">
        <v>26</v>
      </c>
      <c r="B90" s="1">
        <v>89</v>
      </c>
      <c r="C90" s="1" t="s">
        <v>115</v>
      </c>
      <c r="D90">
        <f>IMAGE("https://raw.githubusercontent.com/stautonico/pokemon-home-pokedex/main/sprites/muk.png", 2)</f>
        <v>0</v>
      </c>
      <c r="E90" s="26" t="s">
        <v>17</v>
      </c>
      <c r="F90" s="25" t="s">
        <v>10</v>
      </c>
    </row>
    <row r="91" spans="1:6" ht="72" customHeight="1">
      <c r="A91" s="1" t="s">
        <v>26</v>
      </c>
      <c r="B91" s="1">
        <v>90</v>
      </c>
      <c r="C91" s="1" t="s">
        <v>116</v>
      </c>
      <c r="D91">
        <f>IMAGE("https://raw.githubusercontent.com/stautonico/pokemon-home-pokedex/main/sprites/shellder.png", 2)</f>
        <v>0</v>
      </c>
      <c r="E91" s="4" t="s">
        <v>13</v>
      </c>
      <c r="F91" s="5"/>
    </row>
    <row r="92" spans="1:6" ht="72" customHeight="1">
      <c r="A92" s="1" t="s">
        <v>26</v>
      </c>
      <c r="B92" s="1">
        <v>91</v>
      </c>
      <c r="C92" s="1" t="s">
        <v>117</v>
      </c>
      <c r="D92">
        <f>IMAGE("https://raw.githubusercontent.com/stautonico/pokemon-home-pokedex/main/sprites/cloyster.png", 2)</f>
        <v>0</v>
      </c>
      <c r="E92" s="4" t="s">
        <v>13</v>
      </c>
      <c r="F92" s="5"/>
    </row>
    <row r="93" spans="1:6" ht="72" customHeight="1">
      <c r="A93" s="1" t="s">
        <v>26</v>
      </c>
      <c r="B93" s="1">
        <v>92</v>
      </c>
      <c r="C93" s="1" t="s">
        <v>118</v>
      </c>
      <c r="D93">
        <f>IMAGE("https://raw.githubusercontent.com/stautonico/pokemon-home-pokedex/main/sprites/gastly.png", 2)</f>
        <v>0</v>
      </c>
      <c r="E93" s="4" t="s">
        <v>13</v>
      </c>
      <c r="F93" s="5"/>
    </row>
    <row r="94" spans="1:6" ht="72" customHeight="1">
      <c r="A94" s="1" t="s">
        <v>26</v>
      </c>
      <c r="B94" s="1">
        <v>93</v>
      </c>
      <c r="C94" s="1" t="s">
        <v>119</v>
      </c>
      <c r="D94">
        <f>IMAGE("https://raw.githubusercontent.com/stautonico/pokemon-home-pokedex/main/sprites/haunter.png", 2)</f>
        <v>0</v>
      </c>
      <c r="E94" s="4" t="s">
        <v>13</v>
      </c>
      <c r="F94" s="5"/>
    </row>
    <row r="95" spans="1:6" ht="72" customHeight="1">
      <c r="A95" s="1" t="s">
        <v>26</v>
      </c>
      <c r="B95" s="1">
        <v>94</v>
      </c>
      <c r="C95" s="1" t="s">
        <v>120</v>
      </c>
      <c r="D95">
        <f>IMAGE("https://raw.githubusercontent.com/stautonico/pokemon-home-pokedex/main/sprites/gengar.png", 2)</f>
        <v>0</v>
      </c>
      <c r="E95" s="4" t="s">
        <v>13</v>
      </c>
      <c r="F95" s="5"/>
    </row>
    <row r="96" spans="1:6" ht="72" customHeight="1">
      <c r="A96" s="1" t="s">
        <v>26</v>
      </c>
      <c r="B96" s="1">
        <v>95</v>
      </c>
      <c r="C96" s="1" t="s">
        <v>121</v>
      </c>
      <c r="D96">
        <f>IMAGE("https://raw.githubusercontent.com/stautonico/pokemon-home-pokedex/main/sprites/onix.png", 2)</f>
        <v>0</v>
      </c>
      <c r="E96" s="4" t="s">
        <v>13</v>
      </c>
      <c r="F96" s="5"/>
    </row>
    <row r="97" spans="1:6" ht="72" customHeight="1">
      <c r="A97" s="1" t="s">
        <v>26</v>
      </c>
      <c r="B97" s="1">
        <v>96</v>
      </c>
      <c r="C97" s="1" t="s">
        <v>122</v>
      </c>
      <c r="D97">
        <f>IMAGE("https://raw.githubusercontent.com/stautonico/pokemon-home-pokedex/main/sprites/drowzee.png", 2)</f>
        <v>0</v>
      </c>
      <c r="E97" s="2" t="s">
        <v>9</v>
      </c>
      <c r="F97" s="5"/>
    </row>
    <row r="98" spans="1:6" ht="72" customHeight="1">
      <c r="A98" s="1" t="s">
        <v>26</v>
      </c>
      <c r="B98" s="1">
        <v>97</v>
      </c>
      <c r="C98" s="1" t="s">
        <v>123</v>
      </c>
      <c r="D98">
        <f>IMAGE("https://raw.githubusercontent.com/stautonico/pokemon-home-pokedex/main/sprites/hypno.png", 2)</f>
        <v>0</v>
      </c>
      <c r="E98" s="2" t="s">
        <v>9</v>
      </c>
      <c r="F98" s="5"/>
    </row>
    <row r="99" spans="1:6" ht="72" customHeight="1">
      <c r="A99" s="1" t="s">
        <v>26</v>
      </c>
      <c r="B99" s="1">
        <v>98</v>
      </c>
      <c r="C99" s="1" t="s">
        <v>124</v>
      </c>
      <c r="D99">
        <f>IMAGE("https://raw.githubusercontent.com/stautonico/pokemon-home-pokedex/main/sprites/krabby.png", 2)</f>
        <v>0</v>
      </c>
      <c r="E99" s="4" t="s">
        <v>13</v>
      </c>
      <c r="F99" s="5"/>
    </row>
    <row r="100" spans="1:6" ht="72" customHeight="1">
      <c r="A100" s="1" t="s">
        <v>26</v>
      </c>
      <c r="B100" s="1">
        <v>99</v>
      </c>
      <c r="C100" s="1" t="s">
        <v>125</v>
      </c>
      <c r="D100">
        <f>IMAGE("https://raw.githubusercontent.com/stautonico/pokemon-home-pokedex/main/sprites/kingler.png", 2)</f>
        <v>0</v>
      </c>
      <c r="E100" s="4" t="s">
        <v>13</v>
      </c>
      <c r="F100" s="5"/>
    </row>
    <row r="101" spans="1:6" ht="72" customHeight="1">
      <c r="A101" s="1" t="s">
        <v>26</v>
      </c>
      <c r="B101" s="1">
        <v>100</v>
      </c>
      <c r="C101" s="1" t="s">
        <v>126</v>
      </c>
      <c r="D101">
        <f>IMAGE("https://raw.githubusercontent.com/stautonico/pokemon-home-pokedex/main/sprites/voltorb.png", 2)</f>
        <v>0</v>
      </c>
      <c r="E101" s="2" t="s">
        <v>9</v>
      </c>
      <c r="F101" s="5"/>
    </row>
    <row r="102" spans="1:6" ht="72" customHeight="1">
      <c r="A102" s="1" t="s">
        <v>26</v>
      </c>
      <c r="B102" s="1">
        <v>101</v>
      </c>
      <c r="C102" s="1" t="s">
        <v>127</v>
      </c>
      <c r="D102">
        <f>IMAGE("https://raw.githubusercontent.com/stautonico/pokemon-home-pokedex/main/sprites/electrode.png", 2)</f>
        <v>0</v>
      </c>
      <c r="E102" s="2" t="s">
        <v>9</v>
      </c>
      <c r="F102" s="5"/>
    </row>
    <row r="103" spans="1:6" ht="72" customHeight="1">
      <c r="A103" s="1" t="s">
        <v>26</v>
      </c>
      <c r="B103" s="1">
        <v>102</v>
      </c>
      <c r="C103" s="1" t="s">
        <v>128</v>
      </c>
      <c r="D103">
        <f>IMAGE("https://raw.githubusercontent.com/stautonico/pokemon-home-pokedex/main/sprites/exeggcute.png", 2)</f>
        <v>0</v>
      </c>
      <c r="E103" s="2" t="s">
        <v>9</v>
      </c>
      <c r="F103" s="5"/>
    </row>
    <row r="104" spans="1:6" ht="72" customHeight="1">
      <c r="A104" s="1" t="s">
        <v>26</v>
      </c>
      <c r="B104" s="1">
        <v>103</v>
      </c>
      <c r="C104" s="1" t="s">
        <v>129</v>
      </c>
      <c r="D104">
        <f>IMAGE("https://raw.githubusercontent.com/stautonico/pokemon-home-pokedex/main/sprites/exeggutor.png", 2)</f>
        <v>0</v>
      </c>
      <c r="E104" s="2" t="s">
        <v>9</v>
      </c>
      <c r="F104" s="5"/>
    </row>
    <row r="105" spans="1:6" ht="72" customHeight="1">
      <c r="A105" s="1" t="s">
        <v>26</v>
      </c>
      <c r="B105" s="1">
        <v>104</v>
      </c>
      <c r="C105" s="1" t="s">
        <v>130</v>
      </c>
      <c r="D105">
        <f>IMAGE("https://raw.githubusercontent.com/stautonico/pokemon-home-pokedex/main/sprites/cubone.png", 2)</f>
        <v>0</v>
      </c>
      <c r="E105" s="2" t="s">
        <v>9</v>
      </c>
      <c r="F105" s="5"/>
    </row>
    <row r="106" spans="1:6" ht="72" customHeight="1">
      <c r="A106" s="1" t="s">
        <v>26</v>
      </c>
      <c r="B106" s="1">
        <v>105</v>
      </c>
      <c r="C106" s="1" t="s">
        <v>131</v>
      </c>
      <c r="D106">
        <f>IMAGE("https://raw.githubusercontent.com/stautonico/pokemon-home-pokedex/main/sprites/marowak.png", 2)</f>
        <v>0</v>
      </c>
      <c r="E106" s="2" t="s">
        <v>9</v>
      </c>
      <c r="F106" s="5"/>
    </row>
    <row r="107" spans="1:6" ht="72" customHeight="1">
      <c r="A107" s="1" t="s">
        <v>26</v>
      </c>
      <c r="B107" s="1">
        <v>106</v>
      </c>
      <c r="C107" s="1" t="s">
        <v>132</v>
      </c>
      <c r="D107">
        <f>IMAGE("https://raw.githubusercontent.com/stautonico/pokemon-home-pokedex/main/sprites/hitmonlee.png", 2)</f>
        <v>0</v>
      </c>
      <c r="E107" s="4" t="s">
        <v>13</v>
      </c>
      <c r="F107" s="5"/>
    </row>
    <row r="108" spans="1:6" ht="72" customHeight="1">
      <c r="A108" s="1" t="s">
        <v>26</v>
      </c>
      <c r="B108" s="1">
        <v>107</v>
      </c>
      <c r="C108" s="1" t="s">
        <v>133</v>
      </c>
      <c r="D108">
        <f>IMAGE("https://raw.githubusercontent.com/stautonico/pokemon-home-pokedex/main/sprites/hitmonchan.png", 2)</f>
        <v>0</v>
      </c>
      <c r="E108" s="4" t="s">
        <v>13</v>
      </c>
      <c r="F108" s="5"/>
    </row>
    <row r="109" spans="1:6" ht="72" customHeight="1">
      <c r="A109" s="1" t="s">
        <v>26</v>
      </c>
      <c r="B109" s="1">
        <v>108</v>
      </c>
      <c r="C109" s="1" t="s">
        <v>134</v>
      </c>
      <c r="D109">
        <f>IMAGE("https://raw.githubusercontent.com/stautonico/pokemon-home-pokedex/main/sprites/lickitung.png", 2)</f>
        <v>0</v>
      </c>
      <c r="E109" s="2" t="s">
        <v>9</v>
      </c>
      <c r="F109" s="5"/>
    </row>
    <row r="110" spans="1:6" ht="72" customHeight="1">
      <c r="A110" s="1" t="s">
        <v>26</v>
      </c>
      <c r="B110" s="1">
        <v>109</v>
      </c>
      <c r="C110" s="1" t="s">
        <v>135</v>
      </c>
      <c r="D110">
        <f>IMAGE("https://raw.githubusercontent.com/stautonico/pokemon-home-pokedex/main/sprites/koffing.png", 2)</f>
        <v>0</v>
      </c>
      <c r="E110" s="4" t="s">
        <v>13</v>
      </c>
      <c r="F110" s="5"/>
    </row>
    <row r="111" spans="1:6" ht="72" customHeight="1">
      <c r="A111" s="1" t="s">
        <v>26</v>
      </c>
      <c r="B111" s="1">
        <v>110</v>
      </c>
      <c r="C111" s="1" t="s">
        <v>136</v>
      </c>
      <c r="D111">
        <f>IMAGE("https://raw.githubusercontent.com/stautonico/pokemon-home-pokedex/main/sprites/weezing.png", 2)</f>
        <v>0</v>
      </c>
      <c r="E111" s="4" t="s">
        <v>13</v>
      </c>
      <c r="F111" s="5"/>
    </row>
    <row r="112" spans="1:6" ht="72" customHeight="1">
      <c r="A112" s="1" t="s">
        <v>26</v>
      </c>
      <c r="B112" s="1">
        <v>111</v>
      </c>
      <c r="C112" s="1" t="s">
        <v>137</v>
      </c>
      <c r="D112">
        <f>IMAGE("https://raw.githubusercontent.com/stautonico/pokemon-home-pokedex/main/sprites/rhyhorn.png", 2)</f>
        <v>0</v>
      </c>
      <c r="E112" s="4" t="s">
        <v>13</v>
      </c>
      <c r="F112" s="5"/>
    </row>
    <row r="113" spans="1:6" ht="72" customHeight="1">
      <c r="A113" s="1" t="s">
        <v>26</v>
      </c>
      <c r="B113" s="1">
        <v>112</v>
      </c>
      <c r="C113" s="1" t="s">
        <v>138</v>
      </c>
      <c r="D113">
        <f>IMAGE("https://raw.githubusercontent.com/stautonico/pokemon-home-pokedex/main/sprites/rhydon.png", 2)</f>
        <v>0</v>
      </c>
      <c r="E113" s="4" t="s">
        <v>13</v>
      </c>
      <c r="F113" s="5"/>
    </row>
    <row r="114" spans="1:6" ht="72" customHeight="1">
      <c r="A114" s="1" t="s">
        <v>26</v>
      </c>
      <c r="B114" s="1">
        <v>113</v>
      </c>
      <c r="C114" s="1" t="s">
        <v>139</v>
      </c>
      <c r="D114">
        <f>IMAGE("https://raw.githubusercontent.com/stautonico/pokemon-home-pokedex/main/sprites/chansey.png", 2)</f>
        <v>0</v>
      </c>
      <c r="E114" s="2" t="s">
        <v>9</v>
      </c>
      <c r="F114" s="5"/>
    </row>
    <row r="115" spans="1:6" ht="72" customHeight="1">
      <c r="A115" s="1" t="s">
        <v>26</v>
      </c>
      <c r="B115" s="1">
        <v>114</v>
      </c>
      <c r="C115" s="1" t="s">
        <v>140</v>
      </c>
      <c r="D115">
        <f>IMAGE("https://raw.githubusercontent.com/stautonico/pokemon-home-pokedex/main/sprites/tangela.png", 2)</f>
        <v>0</v>
      </c>
      <c r="E115" s="2" t="s">
        <v>9</v>
      </c>
      <c r="F115" s="5"/>
    </row>
    <row r="116" spans="1:6" ht="72" customHeight="1">
      <c r="A116" s="1" t="s">
        <v>26</v>
      </c>
      <c r="B116" s="1">
        <v>115</v>
      </c>
      <c r="C116" s="1" t="s">
        <v>141</v>
      </c>
      <c r="D116">
        <f>IMAGE("https://raw.githubusercontent.com/stautonico/pokemon-home-pokedex/main/sprites/kangaskhan.png", 2)</f>
        <v>0</v>
      </c>
      <c r="E116" s="2" t="s">
        <v>9</v>
      </c>
      <c r="F116" s="5"/>
    </row>
    <row r="117" spans="1:6" ht="72" customHeight="1">
      <c r="A117" s="1" t="s">
        <v>26</v>
      </c>
      <c r="B117" s="1">
        <v>116</v>
      </c>
      <c r="C117" s="1" t="s">
        <v>142</v>
      </c>
      <c r="D117">
        <f>IMAGE("https://raw.githubusercontent.com/stautonico/pokemon-home-pokedex/main/sprites/horsea.png", 2)</f>
        <v>0</v>
      </c>
      <c r="E117" s="2" t="s">
        <v>9</v>
      </c>
      <c r="F117" s="5"/>
    </row>
    <row r="118" spans="1:6" ht="72" customHeight="1">
      <c r="A118" s="1" t="s">
        <v>26</v>
      </c>
      <c r="B118" s="1">
        <v>117</v>
      </c>
      <c r="C118" s="1" t="s">
        <v>143</v>
      </c>
      <c r="D118">
        <f>IMAGE("https://raw.githubusercontent.com/stautonico/pokemon-home-pokedex/main/sprites/seadra.png", 2)</f>
        <v>0</v>
      </c>
      <c r="E118" s="2" t="s">
        <v>9</v>
      </c>
      <c r="F118" s="5"/>
    </row>
    <row r="119" spans="1:6" ht="72" customHeight="1">
      <c r="A119" s="1" t="s">
        <v>26</v>
      </c>
      <c r="B119" s="1">
        <v>118</v>
      </c>
      <c r="C119" s="1" t="s">
        <v>144</v>
      </c>
      <c r="D119">
        <f>IMAGE("https://raw.githubusercontent.com/stautonico/pokemon-home-pokedex/main/sprites/goldeen.png", 2)</f>
        <v>0</v>
      </c>
      <c r="E119" s="4" t="s">
        <v>13</v>
      </c>
      <c r="F119" s="5"/>
    </row>
    <row r="120" spans="1:6" ht="72" customHeight="1">
      <c r="A120" s="1" t="s">
        <v>26</v>
      </c>
      <c r="B120" s="1">
        <v>119</v>
      </c>
      <c r="C120" s="1" t="s">
        <v>145</v>
      </c>
      <c r="D120">
        <f>IMAGE("https://raw.githubusercontent.com/stautonico/pokemon-home-pokedex/main/sprites/seaking.png", 2)</f>
        <v>0</v>
      </c>
      <c r="E120" s="4" t="s">
        <v>13</v>
      </c>
      <c r="F120" s="5"/>
    </row>
    <row r="121" spans="1:6" ht="72" customHeight="1">
      <c r="A121" s="1" t="s">
        <v>26</v>
      </c>
      <c r="B121" s="1">
        <v>120</v>
      </c>
      <c r="C121" s="1" t="s">
        <v>146</v>
      </c>
      <c r="D121">
        <f>IMAGE("https://raw.githubusercontent.com/stautonico/pokemon-home-pokedex/main/sprites/staryu.png", 2)</f>
        <v>0</v>
      </c>
      <c r="E121" s="2" t="s">
        <v>9</v>
      </c>
      <c r="F121" s="5"/>
    </row>
    <row r="122" spans="1:6" ht="72" customHeight="1">
      <c r="A122" s="1" t="s">
        <v>26</v>
      </c>
      <c r="B122" s="1">
        <v>121</v>
      </c>
      <c r="C122" s="1" t="s">
        <v>147</v>
      </c>
      <c r="D122">
        <f>IMAGE("https://raw.githubusercontent.com/stautonico/pokemon-home-pokedex/main/sprites/starmie.png", 2)</f>
        <v>0</v>
      </c>
      <c r="E122" s="2" t="s">
        <v>9</v>
      </c>
      <c r="F122" s="5"/>
    </row>
    <row r="123" spans="1:6" ht="72" customHeight="1">
      <c r="A123" s="1" t="s">
        <v>26</v>
      </c>
      <c r="B123" s="1">
        <v>122</v>
      </c>
      <c r="C123" s="1" t="s">
        <v>148</v>
      </c>
      <c r="D123">
        <f>IMAGE("https://raw.githubusercontent.com/stautonico/pokemon-home-pokedex/main/sprites/mrmime.png", 2)</f>
        <v>0</v>
      </c>
      <c r="E123" s="4" t="s">
        <v>13</v>
      </c>
      <c r="F123" s="5"/>
    </row>
    <row r="124" spans="1:6" ht="72" customHeight="1">
      <c r="A124" s="1" t="s">
        <v>26</v>
      </c>
      <c r="B124" s="1">
        <v>123</v>
      </c>
      <c r="C124" s="1" t="s">
        <v>149</v>
      </c>
      <c r="D124">
        <f>IMAGE("https://raw.githubusercontent.com/stautonico/pokemon-home-pokedex/main/sprites/scyther.png", 2)</f>
        <v>0</v>
      </c>
      <c r="E124" s="3" t="s">
        <v>12</v>
      </c>
      <c r="F124" s="25" t="s">
        <v>10</v>
      </c>
    </row>
    <row r="125" spans="1:6" ht="72" customHeight="1">
      <c r="A125" s="1" t="s">
        <v>26</v>
      </c>
      <c r="B125" s="1">
        <v>124</v>
      </c>
      <c r="C125" s="1" t="s">
        <v>150</v>
      </c>
      <c r="D125">
        <f>IMAGE("https://raw.githubusercontent.com/stautonico/pokemon-home-pokedex/main/sprites/jynx.png", 2)</f>
        <v>0</v>
      </c>
      <c r="E125" s="2" t="s">
        <v>9</v>
      </c>
      <c r="F125" s="5"/>
    </row>
    <row r="126" spans="1:6" ht="72" customHeight="1">
      <c r="A126" s="1" t="s">
        <v>26</v>
      </c>
      <c r="B126" s="1">
        <v>125</v>
      </c>
      <c r="C126" s="1" t="s">
        <v>151</v>
      </c>
      <c r="D126">
        <f>IMAGE("https://raw.githubusercontent.com/stautonico/pokemon-home-pokedex/main/sprites/electabuzz.png", 2)</f>
        <v>0</v>
      </c>
      <c r="E126" s="2" t="s">
        <v>9</v>
      </c>
      <c r="F126" s="5"/>
    </row>
    <row r="127" spans="1:6" ht="72" customHeight="1">
      <c r="A127" s="1" t="s">
        <v>26</v>
      </c>
      <c r="B127" s="1">
        <v>126</v>
      </c>
      <c r="C127" s="1" t="s">
        <v>152</v>
      </c>
      <c r="D127">
        <f>IMAGE("https://raw.githubusercontent.com/stautonico/pokemon-home-pokedex/main/sprites/magmar.png", 2)</f>
        <v>0</v>
      </c>
      <c r="E127" s="2" t="s">
        <v>9</v>
      </c>
      <c r="F127" s="5"/>
    </row>
    <row r="128" spans="1:6" ht="72" customHeight="1">
      <c r="A128" s="1" t="s">
        <v>26</v>
      </c>
      <c r="B128" s="1">
        <v>127</v>
      </c>
      <c r="C128" s="1" t="s">
        <v>153</v>
      </c>
      <c r="D128">
        <f>IMAGE("https://raw.githubusercontent.com/stautonico/pokemon-home-pokedex/main/sprites/pinsir.png", 2)</f>
        <v>0</v>
      </c>
      <c r="E128" s="29" t="s">
        <v>14</v>
      </c>
      <c r="F128" s="24" t="s">
        <v>11</v>
      </c>
    </row>
    <row r="129" spans="1:6" ht="72" customHeight="1">
      <c r="A129" s="1" t="s">
        <v>26</v>
      </c>
      <c r="B129" s="1">
        <v>128</v>
      </c>
      <c r="C129" s="1" t="s">
        <v>154</v>
      </c>
      <c r="D129">
        <f>IMAGE("https://raw.githubusercontent.com/stautonico/pokemon-home-pokedex/main/sprites/tauros.png", 2)</f>
        <v>0</v>
      </c>
      <c r="E129" s="2" t="s">
        <v>9</v>
      </c>
      <c r="F129" s="5"/>
    </row>
    <row r="130" spans="1:6" ht="72" customHeight="1">
      <c r="A130" s="1" t="s">
        <v>26</v>
      </c>
      <c r="B130" s="1">
        <v>129</v>
      </c>
      <c r="C130" s="1" t="s">
        <v>155</v>
      </c>
      <c r="D130">
        <f>IMAGE("https://raw.githubusercontent.com/stautonico/pokemon-home-pokedex/main/sprites/magikarp.png", 2)</f>
        <v>0</v>
      </c>
      <c r="E130" s="4" t="s">
        <v>13</v>
      </c>
      <c r="F130" s="5"/>
    </row>
    <row r="131" spans="1:6" ht="72" customHeight="1">
      <c r="A131" s="1" t="s">
        <v>26</v>
      </c>
      <c r="B131" s="1">
        <v>130</v>
      </c>
      <c r="C131" s="1" t="s">
        <v>156</v>
      </c>
      <c r="D131">
        <f>IMAGE("https://raw.githubusercontent.com/stautonico/pokemon-home-pokedex/main/sprites/gyarados.png", 2)</f>
        <v>0</v>
      </c>
      <c r="E131" s="4" t="s">
        <v>13</v>
      </c>
      <c r="F131" s="5"/>
    </row>
    <row r="132" spans="1:6" ht="72" customHeight="1">
      <c r="A132" s="1" t="s">
        <v>26</v>
      </c>
      <c r="B132" s="1">
        <v>131</v>
      </c>
      <c r="C132" s="1" t="s">
        <v>157</v>
      </c>
      <c r="D132">
        <f>IMAGE("https://raw.githubusercontent.com/stautonico/pokemon-home-pokedex/main/sprites/lapras.png", 2)</f>
        <v>0</v>
      </c>
      <c r="E132" s="4" t="s">
        <v>13</v>
      </c>
      <c r="F132" s="5"/>
    </row>
    <row r="133" spans="1:6" ht="72" customHeight="1">
      <c r="A133" s="1" t="s">
        <v>26</v>
      </c>
      <c r="B133" s="1">
        <v>132</v>
      </c>
      <c r="C133" s="1" t="s">
        <v>158</v>
      </c>
      <c r="D133">
        <f>IMAGE("https://raw.githubusercontent.com/stautonico/pokemon-home-pokedex/main/sprites/ditto.png", 2)</f>
        <v>0</v>
      </c>
      <c r="E133" s="4" t="s">
        <v>13</v>
      </c>
      <c r="F133" s="5"/>
    </row>
    <row r="134" spans="1:6" ht="72" customHeight="1">
      <c r="A134" s="1" t="s">
        <v>26</v>
      </c>
      <c r="B134" s="1">
        <v>133</v>
      </c>
      <c r="C134" s="1" t="s">
        <v>159</v>
      </c>
      <c r="D134">
        <f>IMAGE("https://raw.githubusercontent.com/stautonico/pokemon-home-pokedex/main/sprites/eevee.png", 2)</f>
        <v>0</v>
      </c>
      <c r="E134" s="4" t="s">
        <v>13</v>
      </c>
      <c r="F134" s="5"/>
    </row>
    <row r="135" spans="1:6" ht="72" customHeight="1">
      <c r="A135" s="1" t="s">
        <v>26</v>
      </c>
      <c r="B135" s="1">
        <v>134</v>
      </c>
      <c r="C135" s="1" t="s">
        <v>160</v>
      </c>
      <c r="D135">
        <f>IMAGE("https://raw.githubusercontent.com/stautonico/pokemon-home-pokedex/main/sprites/vaporeon.png", 2)</f>
        <v>0</v>
      </c>
      <c r="E135" s="4" t="s">
        <v>13</v>
      </c>
      <c r="F135" s="5"/>
    </row>
    <row r="136" spans="1:6" ht="72" customHeight="1">
      <c r="A136" s="1" t="s">
        <v>26</v>
      </c>
      <c r="B136" s="1">
        <v>135</v>
      </c>
      <c r="C136" s="1" t="s">
        <v>161</v>
      </c>
      <c r="D136">
        <f>IMAGE("https://raw.githubusercontent.com/stautonico/pokemon-home-pokedex/main/sprites/jolteon.png", 2)</f>
        <v>0</v>
      </c>
      <c r="E136" s="4" t="s">
        <v>13</v>
      </c>
      <c r="F136" s="5"/>
    </row>
    <row r="137" spans="1:6" ht="72" customHeight="1">
      <c r="A137" s="1" t="s">
        <v>26</v>
      </c>
      <c r="B137" s="1">
        <v>136</v>
      </c>
      <c r="C137" s="1" t="s">
        <v>162</v>
      </c>
      <c r="D137">
        <f>IMAGE("https://raw.githubusercontent.com/stautonico/pokemon-home-pokedex/main/sprites/flareon.png", 2)</f>
        <v>0</v>
      </c>
      <c r="E137" s="4" t="s">
        <v>13</v>
      </c>
      <c r="F137" s="5"/>
    </row>
    <row r="138" spans="1:6" ht="72" customHeight="1">
      <c r="A138" s="1" t="s">
        <v>26</v>
      </c>
      <c r="B138" s="1">
        <v>137</v>
      </c>
      <c r="C138" s="1" t="s">
        <v>163</v>
      </c>
      <c r="D138">
        <f>IMAGE("https://raw.githubusercontent.com/stautonico/pokemon-home-pokedex/main/sprites/porygon.png", 2)</f>
        <v>0</v>
      </c>
      <c r="E138" s="2" t="s">
        <v>9</v>
      </c>
      <c r="F138" s="5"/>
    </row>
    <row r="139" spans="1:6" ht="72" customHeight="1">
      <c r="A139" s="1" t="s">
        <v>26</v>
      </c>
      <c r="B139" s="1">
        <v>138</v>
      </c>
      <c r="C139" s="1" t="s">
        <v>164</v>
      </c>
      <c r="D139">
        <f>IMAGE("https://raw.githubusercontent.com/stautonico/pokemon-home-pokedex/main/sprites/omanyte.png", 2)</f>
        <v>0</v>
      </c>
      <c r="E139" s="2" t="s">
        <v>9</v>
      </c>
      <c r="F139" s="5"/>
    </row>
    <row r="140" spans="1:6" ht="72" customHeight="1">
      <c r="A140" s="1" t="s">
        <v>26</v>
      </c>
      <c r="B140" s="1">
        <v>139</v>
      </c>
      <c r="C140" s="1" t="s">
        <v>165</v>
      </c>
      <c r="D140">
        <f>IMAGE("https://raw.githubusercontent.com/stautonico/pokemon-home-pokedex/main/sprites/omastar.png", 2)</f>
        <v>0</v>
      </c>
      <c r="E140" s="2" t="s">
        <v>9</v>
      </c>
      <c r="F140" s="5"/>
    </row>
    <row r="141" spans="1:6" ht="72" customHeight="1">
      <c r="A141" s="1" t="s">
        <v>26</v>
      </c>
      <c r="B141" s="1">
        <v>140</v>
      </c>
      <c r="C141" s="1" t="s">
        <v>166</v>
      </c>
      <c r="D141">
        <f>IMAGE("https://raw.githubusercontent.com/stautonico/pokemon-home-pokedex/main/sprites/kabuto.png", 2)</f>
        <v>0</v>
      </c>
      <c r="E141" s="2" t="s">
        <v>9</v>
      </c>
      <c r="F141" s="5"/>
    </row>
    <row r="142" spans="1:6" ht="72" customHeight="1">
      <c r="A142" s="1" t="s">
        <v>26</v>
      </c>
      <c r="B142" s="1">
        <v>141</v>
      </c>
      <c r="C142" s="1" t="s">
        <v>167</v>
      </c>
      <c r="D142">
        <f>IMAGE("https://raw.githubusercontent.com/stautonico/pokemon-home-pokedex/main/sprites/kabutops.png", 2)</f>
        <v>0</v>
      </c>
      <c r="E142" s="2" t="s">
        <v>9</v>
      </c>
      <c r="F142" s="5"/>
    </row>
    <row r="143" spans="1:6" ht="72" customHeight="1">
      <c r="A143" s="1" t="s">
        <v>26</v>
      </c>
      <c r="B143" s="1">
        <v>142</v>
      </c>
      <c r="C143" s="1" t="s">
        <v>168</v>
      </c>
      <c r="D143">
        <f>IMAGE("https://raw.githubusercontent.com/stautonico/pokemon-home-pokedex/main/sprites/aerodactyl.png", 2)</f>
        <v>0</v>
      </c>
      <c r="E143" s="2" t="s">
        <v>9</v>
      </c>
      <c r="F143" s="5"/>
    </row>
    <row r="144" spans="1:6" ht="72" customHeight="1">
      <c r="A144" s="1" t="s">
        <v>26</v>
      </c>
      <c r="B144" s="1">
        <v>143</v>
      </c>
      <c r="C144" s="1" t="s">
        <v>169</v>
      </c>
      <c r="D144">
        <f>IMAGE("https://raw.githubusercontent.com/stautonico/pokemon-home-pokedex/main/sprites/snorlax.png", 2)</f>
        <v>0</v>
      </c>
      <c r="E144" s="4" t="s">
        <v>13</v>
      </c>
      <c r="F144" s="5"/>
    </row>
    <row r="145" spans="1:6" ht="72" customHeight="1">
      <c r="A145" s="1" t="s">
        <v>26</v>
      </c>
      <c r="B145" s="1">
        <v>144</v>
      </c>
      <c r="C145" s="1" t="s">
        <v>170</v>
      </c>
      <c r="D145">
        <f>IMAGE("https://raw.githubusercontent.com/stautonico/pokemon-home-pokedex/main/sprites/articuno.png", 2)</f>
        <v>0</v>
      </c>
      <c r="E145" s="2" t="s">
        <v>9</v>
      </c>
      <c r="F145" s="5"/>
    </row>
    <row r="146" spans="1:6" ht="72" customHeight="1">
      <c r="A146" s="1" t="s">
        <v>26</v>
      </c>
      <c r="B146" s="1">
        <v>145</v>
      </c>
      <c r="C146" s="1" t="s">
        <v>171</v>
      </c>
      <c r="D146">
        <f>IMAGE("https://raw.githubusercontent.com/stautonico/pokemon-home-pokedex/main/sprites/zapdos.png", 2)</f>
        <v>0</v>
      </c>
      <c r="E146" s="2" t="s">
        <v>9</v>
      </c>
      <c r="F146" s="5"/>
    </row>
    <row r="147" spans="1:6" ht="72" customHeight="1">
      <c r="A147" s="1" t="s">
        <v>26</v>
      </c>
      <c r="B147" s="1">
        <v>146</v>
      </c>
      <c r="C147" s="1" t="s">
        <v>172</v>
      </c>
      <c r="D147">
        <f>IMAGE("https://raw.githubusercontent.com/stautonico/pokemon-home-pokedex/main/sprites/moltres.png", 2)</f>
        <v>0</v>
      </c>
      <c r="E147" s="2" t="s">
        <v>9</v>
      </c>
      <c r="F147" s="5"/>
    </row>
    <row r="148" spans="1:6" ht="72" customHeight="1">
      <c r="A148" s="1" t="s">
        <v>26</v>
      </c>
      <c r="B148" s="1">
        <v>147</v>
      </c>
      <c r="C148" s="1" t="s">
        <v>173</v>
      </c>
      <c r="D148">
        <f>IMAGE("https://raw.githubusercontent.com/stautonico/pokemon-home-pokedex/main/sprites/dratini.png", 2)</f>
        <v>0</v>
      </c>
      <c r="E148" s="2" t="s">
        <v>9</v>
      </c>
      <c r="F148" s="5"/>
    </row>
    <row r="149" spans="1:6" ht="72" customHeight="1">
      <c r="A149" s="1" t="s">
        <v>26</v>
      </c>
      <c r="B149" s="1">
        <v>148</v>
      </c>
      <c r="C149" s="1" t="s">
        <v>174</v>
      </c>
      <c r="D149">
        <f>IMAGE("https://raw.githubusercontent.com/stautonico/pokemon-home-pokedex/main/sprites/dragonair.png", 2)</f>
        <v>0</v>
      </c>
      <c r="E149" s="2" t="s">
        <v>9</v>
      </c>
      <c r="F149" s="5"/>
    </row>
    <row r="150" spans="1:6" ht="72" customHeight="1">
      <c r="A150" s="1" t="s">
        <v>26</v>
      </c>
      <c r="B150" s="1">
        <v>149</v>
      </c>
      <c r="C150" s="1" t="s">
        <v>175</v>
      </c>
      <c r="D150">
        <f>IMAGE("https://raw.githubusercontent.com/stautonico/pokemon-home-pokedex/main/sprites/dragonite.png", 2)</f>
        <v>0</v>
      </c>
      <c r="E150" s="2" t="s">
        <v>9</v>
      </c>
      <c r="F150" s="5"/>
    </row>
    <row r="151" spans="1:6" ht="72" customHeight="1">
      <c r="A151" s="1" t="s">
        <v>26</v>
      </c>
      <c r="B151" s="1">
        <v>150</v>
      </c>
      <c r="C151" s="1" t="s">
        <v>176</v>
      </c>
      <c r="D151">
        <f>IMAGE("https://raw.githubusercontent.com/stautonico/pokemon-home-pokedex/main/sprites/mewtwo.png", 2)</f>
        <v>0</v>
      </c>
      <c r="E151" s="2" t="s">
        <v>9</v>
      </c>
      <c r="F151" s="5"/>
    </row>
    <row r="152" spans="1:6" ht="72" customHeight="1">
      <c r="A152" s="1" t="s">
        <v>26</v>
      </c>
      <c r="B152" s="1">
        <v>151</v>
      </c>
      <c r="C152" s="1" t="s">
        <v>177</v>
      </c>
      <c r="D152">
        <f>IMAGE("https://raw.githubusercontent.com/stautonico/pokemon-home-pokedex/main/sprites/mew.png", 2)</f>
        <v>0</v>
      </c>
      <c r="E152" s="2" t="s">
        <v>9</v>
      </c>
      <c r="F152" s="4" t="s">
        <v>13</v>
      </c>
    </row>
    <row r="153" spans="1:6" ht="72" customHeight="1">
      <c r="A153" s="1" t="s">
        <v>26</v>
      </c>
      <c r="B153" s="1">
        <v>152</v>
      </c>
      <c r="C153" s="1" t="s">
        <v>178</v>
      </c>
      <c r="D153">
        <f>IMAGE("https://raw.githubusercontent.com/stautonico/pokemon-home-pokedex/main/sprites/chikorita.png", 2)</f>
        <v>0</v>
      </c>
      <c r="E153" s="30" t="s">
        <v>18</v>
      </c>
      <c r="F153" s="28" t="s">
        <v>21</v>
      </c>
    </row>
    <row r="154" spans="1:6" ht="72" customHeight="1">
      <c r="A154" s="1" t="s">
        <v>26</v>
      </c>
      <c r="B154" s="1">
        <v>153</v>
      </c>
      <c r="C154" s="1" t="s">
        <v>179</v>
      </c>
      <c r="D154">
        <f>IMAGE("https://raw.githubusercontent.com/stautonico/pokemon-home-pokedex/main/sprites/bayleef.png", 2)</f>
        <v>0</v>
      </c>
      <c r="E154" s="30" t="s">
        <v>18</v>
      </c>
      <c r="F154" s="28" t="s">
        <v>21</v>
      </c>
    </row>
    <row r="155" spans="1:6" ht="72" customHeight="1">
      <c r="A155" s="1" t="s">
        <v>26</v>
      </c>
      <c r="B155" s="1">
        <v>154</v>
      </c>
      <c r="C155" s="1" t="s">
        <v>180</v>
      </c>
      <c r="D155">
        <f>IMAGE("https://raw.githubusercontent.com/stautonico/pokemon-home-pokedex/main/sprites/meganium.png", 2)</f>
        <v>0</v>
      </c>
      <c r="E155" s="30" t="s">
        <v>18</v>
      </c>
      <c r="F155" s="28" t="s">
        <v>21</v>
      </c>
    </row>
    <row r="156" spans="1:6" ht="72" customHeight="1">
      <c r="A156" s="1" t="s">
        <v>26</v>
      </c>
      <c r="B156" s="1">
        <v>155</v>
      </c>
      <c r="C156" s="1" t="s">
        <v>181</v>
      </c>
      <c r="D156">
        <f>IMAGE("https://raw.githubusercontent.com/stautonico/pokemon-home-pokedex/main/sprites/cyndaquil.png", 2)</f>
        <v>0</v>
      </c>
      <c r="E156" s="30" t="s">
        <v>18</v>
      </c>
      <c r="F156" s="28" t="s">
        <v>21</v>
      </c>
    </row>
    <row r="157" spans="1:6" ht="72" customHeight="1">
      <c r="A157" s="1" t="s">
        <v>26</v>
      </c>
      <c r="B157" s="1">
        <v>156</v>
      </c>
      <c r="C157" s="1" t="s">
        <v>182</v>
      </c>
      <c r="D157">
        <f>IMAGE("https://raw.githubusercontent.com/stautonico/pokemon-home-pokedex/main/sprites/quilava.png", 2)</f>
        <v>0</v>
      </c>
      <c r="E157" s="30" t="s">
        <v>18</v>
      </c>
      <c r="F157" s="28" t="s">
        <v>21</v>
      </c>
    </row>
    <row r="158" spans="1:6" ht="72" customHeight="1">
      <c r="A158" s="1" t="s">
        <v>26</v>
      </c>
      <c r="B158" s="1">
        <v>157</v>
      </c>
      <c r="C158" s="1" t="s">
        <v>183</v>
      </c>
      <c r="D158">
        <f>IMAGE("https://raw.githubusercontent.com/stautonico/pokemon-home-pokedex/main/sprites/typhlosion.png", 2)</f>
        <v>0</v>
      </c>
      <c r="E158" s="30" t="s">
        <v>18</v>
      </c>
      <c r="F158" s="28" t="s">
        <v>21</v>
      </c>
    </row>
    <row r="159" spans="1:6" ht="72" customHeight="1">
      <c r="A159" s="1" t="s">
        <v>26</v>
      </c>
      <c r="B159" s="1">
        <v>158</v>
      </c>
      <c r="C159" s="1" t="s">
        <v>184</v>
      </c>
      <c r="D159">
        <f>IMAGE("https://raw.githubusercontent.com/stautonico/pokemon-home-pokedex/main/sprites/totodile.png", 2)</f>
        <v>0</v>
      </c>
      <c r="E159" s="30" t="s">
        <v>18</v>
      </c>
      <c r="F159" s="28" t="s">
        <v>21</v>
      </c>
    </row>
    <row r="160" spans="1:6" ht="72" customHeight="1">
      <c r="A160" s="1" t="s">
        <v>26</v>
      </c>
      <c r="B160" s="1">
        <v>159</v>
      </c>
      <c r="C160" s="1" t="s">
        <v>185</v>
      </c>
      <c r="D160">
        <f>IMAGE("https://raw.githubusercontent.com/stautonico/pokemon-home-pokedex/main/sprites/croconaw.png", 2)</f>
        <v>0</v>
      </c>
      <c r="E160" s="30" t="s">
        <v>18</v>
      </c>
      <c r="F160" s="28" t="s">
        <v>21</v>
      </c>
    </row>
    <row r="161" spans="1:6" ht="72" customHeight="1">
      <c r="A161" s="1" t="s">
        <v>26</v>
      </c>
      <c r="B161" s="1">
        <v>160</v>
      </c>
      <c r="C161" s="1" t="s">
        <v>186</v>
      </c>
      <c r="D161">
        <f>IMAGE("https://raw.githubusercontent.com/stautonico/pokemon-home-pokedex/main/sprites/feraligatr.png", 2)</f>
        <v>0</v>
      </c>
      <c r="E161" s="30" t="s">
        <v>18</v>
      </c>
      <c r="F161" s="28" t="s">
        <v>21</v>
      </c>
    </row>
    <row r="162" spans="1:6" ht="72" customHeight="1">
      <c r="A162" s="1" t="s">
        <v>26</v>
      </c>
      <c r="B162" s="1">
        <v>161</v>
      </c>
      <c r="C162" s="1" t="s">
        <v>187</v>
      </c>
      <c r="D162">
        <f>IMAGE("https://raw.githubusercontent.com/stautonico/pokemon-home-pokedex/main/sprites/sentret.png", 2)</f>
        <v>0</v>
      </c>
      <c r="E162" s="30" t="s">
        <v>18</v>
      </c>
      <c r="F162" s="5"/>
    </row>
    <row r="163" spans="1:6" ht="72" customHeight="1">
      <c r="A163" s="1" t="s">
        <v>26</v>
      </c>
      <c r="B163" s="1">
        <v>162</v>
      </c>
      <c r="C163" s="1" t="s">
        <v>188</v>
      </c>
      <c r="D163">
        <f>IMAGE("https://raw.githubusercontent.com/stautonico/pokemon-home-pokedex/main/sprites/furret.png", 2)</f>
        <v>0</v>
      </c>
      <c r="E163" s="30" t="s">
        <v>18</v>
      </c>
      <c r="F163" s="5"/>
    </row>
    <row r="164" spans="1:6" ht="72" customHeight="1">
      <c r="A164" s="1" t="s">
        <v>26</v>
      </c>
      <c r="B164" s="1">
        <v>163</v>
      </c>
      <c r="C164" s="1" t="s">
        <v>189</v>
      </c>
      <c r="D164">
        <f>IMAGE("https://raw.githubusercontent.com/stautonico/pokemon-home-pokedex/main/sprites/hoothoot.png", 2)</f>
        <v>0</v>
      </c>
      <c r="E164" s="4" t="s">
        <v>13</v>
      </c>
      <c r="F164" s="5"/>
    </row>
    <row r="165" spans="1:6" ht="72" customHeight="1">
      <c r="A165" s="1" t="s">
        <v>26</v>
      </c>
      <c r="B165" s="1">
        <v>164</v>
      </c>
      <c r="C165" s="1" t="s">
        <v>190</v>
      </c>
      <c r="D165">
        <f>IMAGE("https://raw.githubusercontent.com/stautonico/pokemon-home-pokedex/main/sprites/noctowl.png", 2)</f>
        <v>0</v>
      </c>
      <c r="E165" s="4" t="s">
        <v>13</v>
      </c>
      <c r="F165" s="5"/>
    </row>
    <row r="166" spans="1:6" ht="72" customHeight="1">
      <c r="A166" s="1" t="s">
        <v>26</v>
      </c>
      <c r="B166" s="1">
        <v>165</v>
      </c>
      <c r="C166" s="1" t="s">
        <v>191</v>
      </c>
      <c r="D166">
        <f>IMAGE("https://raw.githubusercontent.com/stautonico/pokemon-home-pokedex/main/sprites/ledyba.png", 2)</f>
        <v>0</v>
      </c>
      <c r="E166" s="30" t="s">
        <v>18</v>
      </c>
      <c r="F166" s="5"/>
    </row>
    <row r="167" spans="1:6" ht="72" customHeight="1">
      <c r="A167" s="1" t="s">
        <v>26</v>
      </c>
      <c r="B167" s="1">
        <v>166</v>
      </c>
      <c r="C167" s="1" t="s">
        <v>192</v>
      </c>
      <c r="D167">
        <f>IMAGE("https://raw.githubusercontent.com/stautonico/pokemon-home-pokedex/main/sprites/ledian.png", 2)</f>
        <v>0</v>
      </c>
      <c r="E167" s="30" t="s">
        <v>18</v>
      </c>
      <c r="F167" s="5"/>
    </row>
    <row r="168" spans="1:6" ht="72" customHeight="1">
      <c r="A168" s="1" t="s">
        <v>26</v>
      </c>
      <c r="B168" s="1">
        <v>167</v>
      </c>
      <c r="C168" s="1" t="s">
        <v>193</v>
      </c>
      <c r="D168">
        <f>IMAGE("https://raw.githubusercontent.com/stautonico/pokemon-home-pokedex/main/sprites/spinarak.png", 2)</f>
        <v>0</v>
      </c>
      <c r="E168" s="30" t="s">
        <v>18</v>
      </c>
      <c r="F168" s="5"/>
    </row>
    <row r="169" spans="1:6" ht="72" customHeight="1">
      <c r="A169" s="1" t="s">
        <v>26</v>
      </c>
      <c r="B169" s="1">
        <v>168</v>
      </c>
      <c r="C169" s="1" t="s">
        <v>194</v>
      </c>
      <c r="D169">
        <f>IMAGE("https://raw.githubusercontent.com/stautonico/pokemon-home-pokedex/main/sprites/ariados.png", 2)</f>
        <v>0</v>
      </c>
      <c r="E169" s="30" t="s">
        <v>18</v>
      </c>
      <c r="F169" s="5"/>
    </row>
    <row r="170" spans="1:6" ht="72" customHeight="1">
      <c r="A170" s="1" t="s">
        <v>26</v>
      </c>
      <c r="B170" s="1">
        <v>169</v>
      </c>
      <c r="C170" s="1" t="s">
        <v>195</v>
      </c>
      <c r="D170">
        <f>IMAGE("https://raw.githubusercontent.com/stautonico/pokemon-home-pokedex/main/sprites/crobat.png", 2)</f>
        <v>0</v>
      </c>
      <c r="E170" s="30" t="s">
        <v>18</v>
      </c>
      <c r="F170" s="5"/>
    </row>
    <row r="171" spans="1:6" ht="72" customHeight="1">
      <c r="A171" s="1" t="s">
        <v>26</v>
      </c>
      <c r="B171" s="1">
        <v>170</v>
      </c>
      <c r="C171" s="1" t="s">
        <v>196</v>
      </c>
      <c r="D171">
        <f>IMAGE("https://raw.githubusercontent.com/stautonico/pokemon-home-pokedex/main/sprites/chinchou.png", 2)</f>
        <v>0</v>
      </c>
      <c r="E171" s="4" t="s">
        <v>13</v>
      </c>
      <c r="F171" s="5"/>
    </row>
    <row r="172" spans="1:6" ht="72" customHeight="1">
      <c r="A172" s="1" t="s">
        <v>26</v>
      </c>
      <c r="B172" s="1">
        <v>171</v>
      </c>
      <c r="C172" s="1" t="s">
        <v>197</v>
      </c>
      <c r="D172">
        <f>IMAGE("https://raw.githubusercontent.com/stautonico/pokemon-home-pokedex/main/sprites/lanturn.png", 2)</f>
        <v>0</v>
      </c>
      <c r="E172" s="4" t="s">
        <v>13</v>
      </c>
      <c r="F172" s="5"/>
    </row>
    <row r="173" spans="1:6" ht="72" customHeight="1">
      <c r="A173" s="1" t="s">
        <v>26</v>
      </c>
      <c r="B173" s="1">
        <v>172</v>
      </c>
      <c r="C173" s="1" t="s">
        <v>198</v>
      </c>
      <c r="D173">
        <f>IMAGE("https://raw.githubusercontent.com/stautonico/pokemon-home-pokedex/main/sprites/pichu.png", 2)</f>
        <v>0</v>
      </c>
      <c r="E173" s="4" t="s">
        <v>13</v>
      </c>
      <c r="F173" s="5"/>
    </row>
    <row r="174" spans="1:6" ht="72" customHeight="1">
      <c r="A174" s="1" t="s">
        <v>26</v>
      </c>
      <c r="B174" s="1">
        <v>173</v>
      </c>
      <c r="C174" s="1" t="s">
        <v>199</v>
      </c>
      <c r="D174">
        <f>IMAGE("https://raw.githubusercontent.com/stautonico/pokemon-home-pokedex/main/sprites/cleffa.png", 2)</f>
        <v>0</v>
      </c>
      <c r="E174" s="4" t="s">
        <v>13</v>
      </c>
      <c r="F174" s="5"/>
    </row>
    <row r="175" spans="1:6" ht="72" customHeight="1">
      <c r="A175" s="1" t="s">
        <v>26</v>
      </c>
      <c r="B175" s="1">
        <v>174</v>
      </c>
      <c r="C175" s="1" t="s">
        <v>200</v>
      </c>
      <c r="D175">
        <f>IMAGE("https://raw.githubusercontent.com/stautonico/pokemon-home-pokedex/main/sprites/igglybuff.png", 2)</f>
        <v>0</v>
      </c>
      <c r="E175" s="3" t="s">
        <v>12</v>
      </c>
      <c r="F175" s="5"/>
    </row>
    <row r="176" spans="1:6" ht="72" customHeight="1">
      <c r="A176" s="1" t="s">
        <v>26</v>
      </c>
      <c r="B176" s="1">
        <v>175</v>
      </c>
      <c r="C176" s="1" t="s">
        <v>201</v>
      </c>
      <c r="D176">
        <f>IMAGE("https://raw.githubusercontent.com/stautonico/pokemon-home-pokedex/main/sprites/togepi.png", 2)</f>
        <v>0</v>
      </c>
      <c r="E176" s="4" t="s">
        <v>13</v>
      </c>
      <c r="F176" s="5"/>
    </row>
    <row r="177" spans="1:6" ht="72" customHeight="1">
      <c r="A177" s="1" t="s">
        <v>26</v>
      </c>
      <c r="B177" s="1">
        <v>176</v>
      </c>
      <c r="C177" s="1" t="s">
        <v>202</v>
      </c>
      <c r="D177">
        <f>IMAGE("https://raw.githubusercontent.com/stautonico/pokemon-home-pokedex/main/sprites/togetic.png", 2)</f>
        <v>0</v>
      </c>
      <c r="E177" s="4" t="s">
        <v>13</v>
      </c>
      <c r="F177" s="5"/>
    </row>
    <row r="178" spans="1:6" ht="72" customHeight="1">
      <c r="A178" s="1" t="s">
        <v>26</v>
      </c>
      <c r="B178" s="1">
        <v>177</v>
      </c>
      <c r="C178" s="1" t="s">
        <v>203</v>
      </c>
      <c r="D178">
        <f>IMAGE("https://raw.githubusercontent.com/stautonico/pokemon-home-pokedex/main/sprites/natu.png", 2)</f>
        <v>0</v>
      </c>
      <c r="E178" s="4" t="s">
        <v>13</v>
      </c>
      <c r="F178" s="5"/>
    </row>
    <row r="179" spans="1:6" ht="72" customHeight="1">
      <c r="A179" s="1" t="s">
        <v>26</v>
      </c>
      <c r="B179" s="1">
        <v>178</v>
      </c>
      <c r="C179" s="1" t="s">
        <v>204</v>
      </c>
      <c r="D179">
        <f>IMAGE("https://raw.githubusercontent.com/stautonico/pokemon-home-pokedex/main/sprites/xatu.png", 2)</f>
        <v>0</v>
      </c>
      <c r="E179" s="4" t="s">
        <v>13</v>
      </c>
      <c r="F179" s="5"/>
    </row>
    <row r="180" spans="1:6" ht="72" customHeight="1">
      <c r="A180" s="1" t="s">
        <v>26</v>
      </c>
      <c r="B180" s="1">
        <v>179</v>
      </c>
      <c r="C180" s="1" t="s">
        <v>205</v>
      </c>
      <c r="D180">
        <f>IMAGE("https://raw.githubusercontent.com/stautonico/pokemon-home-pokedex/main/sprites/mareep.png", 2)</f>
        <v>0</v>
      </c>
      <c r="E180" s="26" t="s">
        <v>17</v>
      </c>
      <c r="F180" s="5"/>
    </row>
    <row r="181" spans="1:6" ht="72" customHeight="1">
      <c r="A181" s="1" t="s">
        <v>26</v>
      </c>
      <c r="B181" s="1">
        <v>180</v>
      </c>
      <c r="C181" s="1" t="s">
        <v>206</v>
      </c>
      <c r="D181">
        <f>IMAGE("https://raw.githubusercontent.com/stautonico/pokemon-home-pokedex/main/sprites/flaaffy.png", 2)</f>
        <v>0</v>
      </c>
      <c r="E181" s="26" t="s">
        <v>17</v>
      </c>
      <c r="F181" s="5"/>
    </row>
    <row r="182" spans="1:6" ht="72" customHeight="1">
      <c r="A182" s="1" t="s">
        <v>26</v>
      </c>
      <c r="B182" s="1">
        <v>181</v>
      </c>
      <c r="C182" s="1" t="s">
        <v>207</v>
      </c>
      <c r="D182">
        <f>IMAGE("https://raw.githubusercontent.com/stautonico/pokemon-home-pokedex/main/sprites/ampharos.png", 2)</f>
        <v>0</v>
      </c>
      <c r="E182" s="26" t="s">
        <v>17</v>
      </c>
      <c r="F182" s="5"/>
    </row>
    <row r="183" spans="1:6" ht="72" customHeight="1">
      <c r="A183" s="1" t="s">
        <v>26</v>
      </c>
      <c r="B183" s="1">
        <v>182</v>
      </c>
      <c r="C183" s="1" t="s">
        <v>208</v>
      </c>
      <c r="D183">
        <f>IMAGE("https://raw.githubusercontent.com/stautonico/pokemon-home-pokedex/main/sprites/bellossom.png", 2)</f>
        <v>0</v>
      </c>
      <c r="E183" s="4" t="s">
        <v>13</v>
      </c>
      <c r="F183" s="5"/>
    </row>
    <row r="184" spans="1:6" ht="72" customHeight="1">
      <c r="A184" s="1" t="s">
        <v>26</v>
      </c>
      <c r="B184" s="1">
        <v>183</v>
      </c>
      <c r="C184" s="1" t="s">
        <v>209</v>
      </c>
      <c r="D184">
        <f>IMAGE("https://raw.githubusercontent.com/stautonico/pokemon-home-pokedex/main/sprites/marill.png", 2)</f>
        <v>0</v>
      </c>
      <c r="E184" s="3" t="s">
        <v>12</v>
      </c>
      <c r="F184" s="5"/>
    </row>
    <row r="185" spans="1:6" ht="72" customHeight="1">
      <c r="A185" s="1" t="s">
        <v>26</v>
      </c>
      <c r="B185" s="1">
        <v>184</v>
      </c>
      <c r="C185" s="1" t="s">
        <v>210</v>
      </c>
      <c r="D185">
        <f>IMAGE("https://raw.githubusercontent.com/stautonico/pokemon-home-pokedex/main/sprites/azumarill.png", 2)</f>
        <v>0</v>
      </c>
      <c r="E185" s="3" t="s">
        <v>12</v>
      </c>
      <c r="F185" s="5"/>
    </row>
    <row r="186" spans="1:6" ht="72" customHeight="1">
      <c r="A186" s="1" t="s">
        <v>26</v>
      </c>
      <c r="B186" s="1">
        <v>185</v>
      </c>
      <c r="C186" s="1" t="s">
        <v>211</v>
      </c>
      <c r="D186">
        <f>IMAGE("https://raw.githubusercontent.com/stautonico/pokemon-home-pokedex/main/sprites/sudowoodo.png", 2)</f>
        <v>0</v>
      </c>
      <c r="E186" s="4" t="s">
        <v>13</v>
      </c>
      <c r="F186" s="5"/>
    </row>
    <row r="187" spans="1:6" ht="72" customHeight="1">
      <c r="A187" s="1" t="s">
        <v>26</v>
      </c>
      <c r="B187" s="1">
        <v>186</v>
      </c>
      <c r="C187" s="1" t="s">
        <v>212</v>
      </c>
      <c r="D187">
        <f>IMAGE("https://raw.githubusercontent.com/stautonico/pokemon-home-pokedex/main/sprites/politoed.png", 2)</f>
        <v>0</v>
      </c>
      <c r="E187" s="3" t="s">
        <v>12</v>
      </c>
      <c r="F187" s="30" t="s">
        <v>18</v>
      </c>
    </row>
    <row r="188" spans="1:6" ht="72" customHeight="1">
      <c r="A188" s="1" t="s">
        <v>26</v>
      </c>
      <c r="B188" s="1">
        <v>187</v>
      </c>
      <c r="C188" s="1" t="s">
        <v>213</v>
      </c>
      <c r="D188">
        <f>IMAGE("https://raw.githubusercontent.com/stautonico/pokemon-home-pokedex/main/sprites/hoppip.png", 2)</f>
        <v>0</v>
      </c>
      <c r="E188" s="30" t="s">
        <v>18</v>
      </c>
      <c r="F188" s="5"/>
    </row>
    <row r="189" spans="1:6" ht="72" customHeight="1">
      <c r="A189" s="1" t="s">
        <v>26</v>
      </c>
      <c r="B189" s="1">
        <v>188</v>
      </c>
      <c r="C189" s="1" t="s">
        <v>214</v>
      </c>
      <c r="D189">
        <f>IMAGE("https://raw.githubusercontent.com/stautonico/pokemon-home-pokedex/main/sprites/skiploom.png", 2)</f>
        <v>0</v>
      </c>
      <c r="E189" s="30" t="s">
        <v>18</v>
      </c>
      <c r="F189" s="5"/>
    </row>
    <row r="190" spans="1:6" ht="72" customHeight="1">
      <c r="A190" s="1" t="s">
        <v>26</v>
      </c>
      <c r="B190" s="1">
        <v>189</v>
      </c>
      <c r="C190" s="1" t="s">
        <v>215</v>
      </c>
      <c r="D190">
        <f>IMAGE("https://raw.githubusercontent.com/stautonico/pokemon-home-pokedex/main/sprites/jumpluff.png", 2)</f>
        <v>0</v>
      </c>
      <c r="E190" s="30" t="s">
        <v>18</v>
      </c>
      <c r="F190" s="5"/>
    </row>
    <row r="191" spans="1:6" ht="72" customHeight="1">
      <c r="A191" s="1" t="s">
        <v>26</v>
      </c>
      <c r="B191" s="1">
        <v>190</v>
      </c>
      <c r="C191" s="1" t="s">
        <v>216</v>
      </c>
      <c r="D191">
        <f>IMAGE("https://raw.githubusercontent.com/stautonico/pokemon-home-pokedex/main/sprites/aipom.png", 2)</f>
        <v>0</v>
      </c>
      <c r="E191" s="30" t="s">
        <v>18</v>
      </c>
      <c r="F191" s="5"/>
    </row>
    <row r="192" spans="1:6" ht="72" customHeight="1">
      <c r="A192" s="1" t="s">
        <v>26</v>
      </c>
      <c r="B192" s="1">
        <v>191</v>
      </c>
      <c r="C192" s="1" t="s">
        <v>217</v>
      </c>
      <c r="D192">
        <f>IMAGE("https://raw.githubusercontent.com/stautonico/pokemon-home-pokedex/main/sprites/sunkern.png", 2)</f>
        <v>0</v>
      </c>
      <c r="E192" s="30" t="s">
        <v>18</v>
      </c>
      <c r="F192" s="5"/>
    </row>
    <row r="193" spans="1:6" ht="72" customHeight="1">
      <c r="A193" s="1" t="s">
        <v>26</v>
      </c>
      <c r="B193" s="1">
        <v>192</v>
      </c>
      <c r="C193" s="1" t="s">
        <v>218</v>
      </c>
      <c r="D193">
        <f>IMAGE("https://raw.githubusercontent.com/stautonico/pokemon-home-pokedex/main/sprites/sunflora.png", 2)</f>
        <v>0</v>
      </c>
      <c r="E193" s="30" t="s">
        <v>18</v>
      </c>
      <c r="F193" s="5"/>
    </row>
    <row r="194" spans="1:6" ht="72" customHeight="1">
      <c r="A194" s="1" t="s">
        <v>26</v>
      </c>
      <c r="B194" s="1">
        <v>193</v>
      </c>
      <c r="C194" s="1" t="s">
        <v>219</v>
      </c>
      <c r="D194">
        <f>IMAGE("https://raw.githubusercontent.com/stautonico/pokemon-home-pokedex/main/sprites/yanma.png", 2)</f>
        <v>0</v>
      </c>
      <c r="E194" s="30" t="s">
        <v>18</v>
      </c>
      <c r="F194" s="5"/>
    </row>
    <row r="195" spans="1:6" ht="72" customHeight="1">
      <c r="A195" s="1" t="s">
        <v>26</v>
      </c>
      <c r="B195" s="1">
        <v>194</v>
      </c>
      <c r="C195" s="1" t="s">
        <v>220</v>
      </c>
      <c r="D195">
        <f>IMAGE("https://raw.githubusercontent.com/stautonico/pokemon-home-pokedex/main/sprites/wooper.png", 2)</f>
        <v>0</v>
      </c>
      <c r="E195" s="4" t="s">
        <v>13</v>
      </c>
      <c r="F195" s="5"/>
    </row>
    <row r="196" spans="1:6" ht="72" customHeight="1">
      <c r="A196" s="1" t="s">
        <v>26</v>
      </c>
      <c r="B196" s="1">
        <v>195</v>
      </c>
      <c r="C196" s="1" t="s">
        <v>221</v>
      </c>
      <c r="D196">
        <f>IMAGE("https://raw.githubusercontent.com/stautonico/pokemon-home-pokedex/main/sprites/quagsire.png", 2)</f>
        <v>0</v>
      </c>
      <c r="E196" s="4" t="s">
        <v>13</v>
      </c>
      <c r="F196" s="5"/>
    </row>
    <row r="197" spans="1:6" ht="72" customHeight="1">
      <c r="A197" s="1" t="s">
        <v>26</v>
      </c>
      <c r="B197" s="1">
        <v>196</v>
      </c>
      <c r="C197" s="1" t="s">
        <v>222</v>
      </c>
      <c r="D197">
        <f>IMAGE("https://raw.githubusercontent.com/stautonico/pokemon-home-pokedex/main/sprites/espeon.png", 2)</f>
        <v>0</v>
      </c>
      <c r="E197" s="4" t="s">
        <v>13</v>
      </c>
      <c r="F197" s="5"/>
    </row>
    <row r="198" spans="1:6" ht="72" customHeight="1">
      <c r="A198" s="1" t="s">
        <v>26</v>
      </c>
      <c r="B198" s="1">
        <v>197</v>
      </c>
      <c r="C198" s="1" t="s">
        <v>223</v>
      </c>
      <c r="D198">
        <f>IMAGE("https://raw.githubusercontent.com/stautonico/pokemon-home-pokedex/main/sprites/umbreon.png", 2)</f>
        <v>0</v>
      </c>
      <c r="E198" s="4" t="s">
        <v>13</v>
      </c>
      <c r="F198" s="5"/>
    </row>
    <row r="199" spans="1:6" ht="72" customHeight="1">
      <c r="A199" s="1" t="s">
        <v>26</v>
      </c>
      <c r="B199" s="1">
        <v>198</v>
      </c>
      <c r="C199" s="1" t="s">
        <v>224</v>
      </c>
      <c r="D199">
        <f>IMAGE("https://raw.githubusercontent.com/stautonico/pokemon-home-pokedex/main/sprites/murkrow.png", 2)</f>
        <v>0</v>
      </c>
      <c r="E199" s="30" t="s">
        <v>18</v>
      </c>
      <c r="F199" s="5"/>
    </row>
    <row r="200" spans="1:6" ht="72" customHeight="1">
      <c r="A200" s="1" t="s">
        <v>26</v>
      </c>
      <c r="B200" s="1">
        <v>199</v>
      </c>
      <c r="C200" s="1" t="s">
        <v>225</v>
      </c>
      <c r="D200">
        <f>IMAGE("https://raw.githubusercontent.com/stautonico/pokemon-home-pokedex/main/sprites/slowking.png", 2)</f>
        <v>0</v>
      </c>
      <c r="E200" s="26" t="s">
        <v>17</v>
      </c>
      <c r="F200" s="30" t="s">
        <v>18</v>
      </c>
    </row>
    <row r="201" spans="1:6" ht="72" customHeight="1">
      <c r="A201" s="1" t="s">
        <v>26</v>
      </c>
      <c r="B201" s="1">
        <v>200</v>
      </c>
      <c r="C201" s="1" t="s">
        <v>226</v>
      </c>
      <c r="D201">
        <f>IMAGE("https://raw.githubusercontent.com/stautonico/pokemon-home-pokedex/main/sprites/misdreavus.png", 2)</f>
        <v>0</v>
      </c>
      <c r="E201" s="30" t="s">
        <v>18</v>
      </c>
      <c r="F201" s="5"/>
    </row>
    <row r="202" spans="1:6" ht="72" customHeight="1">
      <c r="A202" s="1" t="s">
        <v>26</v>
      </c>
      <c r="B202" s="1">
        <v>201</v>
      </c>
      <c r="C202" s="1" t="s">
        <v>227</v>
      </c>
      <c r="D202">
        <f>IMAGE("https://raw.githubusercontent.com/stautonico/pokemon-home-pokedex/main/sprites/unown.png", 2)</f>
        <v>0</v>
      </c>
      <c r="E202" s="30" t="s">
        <v>18</v>
      </c>
      <c r="F202" s="5"/>
    </row>
    <row r="203" spans="1:6" ht="72" customHeight="1">
      <c r="A203" s="1" t="s">
        <v>26</v>
      </c>
      <c r="B203" s="1">
        <v>202</v>
      </c>
      <c r="C203" s="1" t="s">
        <v>228</v>
      </c>
      <c r="D203">
        <f>IMAGE("https://raw.githubusercontent.com/stautonico/pokemon-home-pokedex/main/sprites/wobbuffet.png", 2)</f>
        <v>0</v>
      </c>
      <c r="E203" s="4" t="s">
        <v>13</v>
      </c>
      <c r="F203" s="5"/>
    </row>
    <row r="204" spans="1:6" ht="72" customHeight="1">
      <c r="A204" s="1" t="s">
        <v>26</v>
      </c>
      <c r="B204" s="1">
        <v>203</v>
      </c>
      <c r="C204" s="1" t="s">
        <v>229</v>
      </c>
      <c r="D204">
        <f>IMAGE("https://raw.githubusercontent.com/stautonico/pokemon-home-pokedex/main/sprites/girafarig.png", 2)</f>
        <v>0</v>
      </c>
      <c r="E204" s="28" t="s">
        <v>21</v>
      </c>
      <c r="F204" s="5"/>
    </row>
    <row r="205" spans="1:6" ht="72" customHeight="1">
      <c r="A205" s="1" t="s">
        <v>26</v>
      </c>
      <c r="B205" s="1">
        <v>204</v>
      </c>
      <c r="C205" s="1" t="s">
        <v>230</v>
      </c>
      <c r="D205">
        <f>IMAGE("https://raw.githubusercontent.com/stautonico/pokemon-home-pokedex/main/sprites/pineco.png", 2)</f>
        <v>0</v>
      </c>
      <c r="E205" s="30" t="s">
        <v>18</v>
      </c>
      <c r="F205" s="5"/>
    </row>
    <row r="206" spans="1:6" ht="72" customHeight="1">
      <c r="A206" s="1" t="s">
        <v>26</v>
      </c>
      <c r="B206" s="1">
        <v>205</v>
      </c>
      <c r="C206" s="1" t="s">
        <v>231</v>
      </c>
      <c r="D206">
        <f>IMAGE("https://raw.githubusercontent.com/stautonico/pokemon-home-pokedex/main/sprites/forretress.png", 2)</f>
        <v>0</v>
      </c>
      <c r="E206" s="30" t="s">
        <v>18</v>
      </c>
      <c r="F206" s="5"/>
    </row>
    <row r="207" spans="1:6" ht="72" customHeight="1">
      <c r="A207" s="1" t="s">
        <v>26</v>
      </c>
      <c r="B207" s="1">
        <v>206</v>
      </c>
      <c r="C207" s="1" t="s">
        <v>232</v>
      </c>
      <c r="D207">
        <f>IMAGE("https://raw.githubusercontent.com/stautonico/pokemon-home-pokedex/main/sprites/dunsparce.png", 2)</f>
        <v>0</v>
      </c>
      <c r="E207" s="3" t="s">
        <v>12</v>
      </c>
      <c r="F207" s="30" t="s">
        <v>18</v>
      </c>
    </row>
    <row r="208" spans="1:6" ht="72" customHeight="1">
      <c r="A208" s="1" t="s">
        <v>26</v>
      </c>
      <c r="B208" s="1">
        <v>207</v>
      </c>
      <c r="C208" s="1" t="s">
        <v>233</v>
      </c>
      <c r="D208">
        <f>IMAGE("https://raw.githubusercontent.com/stautonico/pokemon-home-pokedex/main/sprites/gligar.png", 2)</f>
        <v>0</v>
      </c>
      <c r="E208" s="30" t="s">
        <v>18</v>
      </c>
      <c r="F208" s="5"/>
    </row>
    <row r="209" spans="1:6" ht="72" customHeight="1">
      <c r="A209" s="1" t="s">
        <v>26</v>
      </c>
      <c r="B209" s="1">
        <v>208</v>
      </c>
      <c r="C209" s="1" t="s">
        <v>234</v>
      </c>
      <c r="D209">
        <f>IMAGE("https://raw.githubusercontent.com/stautonico/pokemon-home-pokedex/main/sprites/steelix.png", 2)</f>
        <v>0</v>
      </c>
      <c r="E209" s="4" t="s">
        <v>13</v>
      </c>
      <c r="F209" s="5"/>
    </row>
    <row r="210" spans="1:6" ht="72" customHeight="1">
      <c r="A210" s="1" t="s">
        <v>26</v>
      </c>
      <c r="B210" s="1">
        <v>209</v>
      </c>
      <c r="C210" s="1" t="s">
        <v>235</v>
      </c>
      <c r="D210">
        <f>IMAGE("https://raw.githubusercontent.com/stautonico/pokemon-home-pokedex/main/sprites/snubbull.png", 2)</f>
        <v>0</v>
      </c>
      <c r="E210" s="30" t="s">
        <v>18</v>
      </c>
      <c r="F210" s="5"/>
    </row>
    <row r="211" spans="1:6" ht="72" customHeight="1">
      <c r="A211" s="1" t="s">
        <v>26</v>
      </c>
      <c r="B211" s="1">
        <v>210</v>
      </c>
      <c r="C211" s="1" t="s">
        <v>236</v>
      </c>
      <c r="D211">
        <f>IMAGE("https://raw.githubusercontent.com/stautonico/pokemon-home-pokedex/main/sprites/granbull.png", 2)</f>
        <v>0</v>
      </c>
      <c r="E211" s="30" t="s">
        <v>18</v>
      </c>
      <c r="F211" s="5"/>
    </row>
    <row r="212" spans="1:6" ht="72" customHeight="1">
      <c r="A212" s="1" t="s">
        <v>26</v>
      </c>
      <c r="B212" s="1">
        <v>211</v>
      </c>
      <c r="C212" s="1" t="s">
        <v>237</v>
      </c>
      <c r="D212">
        <f>IMAGE("https://raw.githubusercontent.com/stautonico/pokemon-home-pokedex/main/sprites/qwilfish.png", 2)</f>
        <v>0</v>
      </c>
      <c r="E212" s="4" t="s">
        <v>13</v>
      </c>
      <c r="F212" s="5"/>
    </row>
    <row r="213" spans="1:6" ht="72" customHeight="1">
      <c r="A213" s="1" t="s">
        <v>26</v>
      </c>
      <c r="B213" s="1">
        <v>212</v>
      </c>
      <c r="C213" s="1" t="s">
        <v>238</v>
      </c>
      <c r="D213">
        <f>IMAGE("https://raw.githubusercontent.com/stautonico/pokemon-home-pokedex/main/sprites/scizor.png", 2)</f>
        <v>0</v>
      </c>
      <c r="E213" s="3" t="s">
        <v>12</v>
      </c>
      <c r="F213" s="30" t="s">
        <v>18</v>
      </c>
    </row>
    <row r="214" spans="1:6" ht="72" customHeight="1">
      <c r="A214" s="1" t="s">
        <v>26</v>
      </c>
      <c r="B214" s="1">
        <v>213</v>
      </c>
      <c r="C214" s="1" t="s">
        <v>239</v>
      </c>
      <c r="D214">
        <f>IMAGE("https://raw.githubusercontent.com/stautonico/pokemon-home-pokedex/main/sprites/shuckle.png", 2)</f>
        <v>0</v>
      </c>
      <c r="E214" s="4" t="s">
        <v>13</v>
      </c>
      <c r="F214" s="5"/>
    </row>
    <row r="215" spans="1:6" ht="72" customHeight="1">
      <c r="A215" s="1" t="s">
        <v>26</v>
      </c>
      <c r="B215" s="1">
        <v>214</v>
      </c>
      <c r="C215" s="1" t="s">
        <v>240</v>
      </c>
      <c r="D215">
        <f>IMAGE("https://raw.githubusercontent.com/stautonico/pokemon-home-pokedex/main/sprites/heracross.png", 2)</f>
        <v>0</v>
      </c>
      <c r="E215" s="3" t="s">
        <v>12</v>
      </c>
      <c r="F215" s="30" t="s">
        <v>18</v>
      </c>
    </row>
    <row r="216" spans="1:6" ht="72" customHeight="1">
      <c r="A216" s="1" t="s">
        <v>26</v>
      </c>
      <c r="B216" s="1">
        <v>215</v>
      </c>
      <c r="C216" s="1" t="s">
        <v>241</v>
      </c>
      <c r="D216">
        <f>IMAGE("https://raw.githubusercontent.com/stautonico/pokemon-home-pokedex/main/sprites/sneasel.png", 2)</f>
        <v>0</v>
      </c>
      <c r="E216" s="4" t="s">
        <v>13</v>
      </c>
      <c r="F216" s="5"/>
    </row>
    <row r="217" spans="1:6" ht="72" customHeight="1">
      <c r="A217" s="1" t="s">
        <v>26</v>
      </c>
      <c r="B217" s="1">
        <v>216</v>
      </c>
      <c r="C217" s="1" t="s">
        <v>242</v>
      </c>
      <c r="D217">
        <f>IMAGE("https://raw.githubusercontent.com/stautonico/pokemon-home-pokedex/main/sprites/teddiursa.png", 2)</f>
        <v>0</v>
      </c>
      <c r="E217" s="30" t="s">
        <v>18</v>
      </c>
      <c r="F217" s="5"/>
    </row>
    <row r="218" spans="1:6" ht="72" customHeight="1">
      <c r="A218" s="1" t="s">
        <v>26</v>
      </c>
      <c r="B218" s="1">
        <v>217</v>
      </c>
      <c r="C218" s="1" t="s">
        <v>243</v>
      </c>
      <c r="D218">
        <f>IMAGE("https://raw.githubusercontent.com/stautonico/pokemon-home-pokedex/main/sprites/ursaring.png", 2)</f>
        <v>0</v>
      </c>
      <c r="E218" s="30" t="s">
        <v>18</v>
      </c>
      <c r="F218" s="5"/>
    </row>
    <row r="219" spans="1:6" ht="72" customHeight="1">
      <c r="A219" s="1" t="s">
        <v>26</v>
      </c>
      <c r="B219" s="1">
        <v>218</v>
      </c>
      <c r="C219" s="1" t="s">
        <v>244</v>
      </c>
      <c r="D219">
        <f>IMAGE("https://raw.githubusercontent.com/stautonico/pokemon-home-pokedex/main/sprites/slugma.png", 2)</f>
        <v>0</v>
      </c>
      <c r="E219" s="30" t="s">
        <v>18</v>
      </c>
      <c r="F219" s="5"/>
    </row>
    <row r="220" spans="1:6" ht="72" customHeight="1">
      <c r="A220" s="1" t="s">
        <v>26</v>
      </c>
      <c r="B220" s="1">
        <v>219</v>
      </c>
      <c r="C220" s="1" t="s">
        <v>245</v>
      </c>
      <c r="D220">
        <f>IMAGE("https://raw.githubusercontent.com/stautonico/pokemon-home-pokedex/main/sprites/magcargo.png", 2)</f>
        <v>0</v>
      </c>
      <c r="E220" s="30" t="s">
        <v>18</v>
      </c>
      <c r="F220" s="5"/>
    </row>
    <row r="221" spans="1:6" ht="72" customHeight="1">
      <c r="A221" s="1" t="s">
        <v>26</v>
      </c>
      <c r="B221" s="1">
        <v>220</v>
      </c>
      <c r="C221" s="1" t="s">
        <v>246</v>
      </c>
      <c r="D221">
        <f>IMAGE("https://raw.githubusercontent.com/stautonico/pokemon-home-pokedex/main/sprites/swinub.png", 2)</f>
        <v>0</v>
      </c>
      <c r="E221" s="4" t="s">
        <v>13</v>
      </c>
      <c r="F221" s="5"/>
    </row>
    <row r="222" spans="1:6" ht="72" customHeight="1">
      <c r="A222" s="1" t="s">
        <v>26</v>
      </c>
      <c r="B222" s="1">
        <v>221</v>
      </c>
      <c r="C222" s="1" t="s">
        <v>247</v>
      </c>
      <c r="D222">
        <f>IMAGE("https://raw.githubusercontent.com/stautonico/pokemon-home-pokedex/main/sprites/piloswine.png", 2)</f>
        <v>0</v>
      </c>
      <c r="E222" s="4" t="s">
        <v>13</v>
      </c>
      <c r="F222" s="5"/>
    </row>
    <row r="223" spans="1:6" ht="72" customHeight="1">
      <c r="A223" s="1" t="s">
        <v>26</v>
      </c>
      <c r="B223" s="1">
        <v>222</v>
      </c>
      <c r="C223" s="1" t="s">
        <v>248</v>
      </c>
      <c r="D223">
        <f>IMAGE("https://raw.githubusercontent.com/stautonico/pokemon-home-pokedex/main/sprites/corsola.png", 2)</f>
        <v>0</v>
      </c>
      <c r="E223" s="27" t="s">
        <v>15</v>
      </c>
      <c r="F223" s="23" t="s">
        <v>16</v>
      </c>
    </row>
    <row r="224" spans="1:6" ht="72" customHeight="1">
      <c r="A224" s="1" t="s">
        <v>26</v>
      </c>
      <c r="B224" s="1">
        <v>223</v>
      </c>
      <c r="C224" s="1" t="s">
        <v>249</v>
      </c>
      <c r="D224">
        <f>IMAGE("https://raw.githubusercontent.com/stautonico/pokemon-home-pokedex/main/sprites/remoraid.png", 2)</f>
        <v>0</v>
      </c>
      <c r="E224" s="4" t="s">
        <v>13</v>
      </c>
      <c r="F224" s="5"/>
    </row>
    <row r="225" spans="1:6" ht="72" customHeight="1">
      <c r="A225" s="1" t="s">
        <v>26</v>
      </c>
      <c r="B225" s="1">
        <v>224</v>
      </c>
      <c r="C225" s="1" t="s">
        <v>250</v>
      </c>
      <c r="D225">
        <f>IMAGE("https://raw.githubusercontent.com/stautonico/pokemon-home-pokedex/main/sprites/octillery.png", 2)</f>
        <v>0</v>
      </c>
      <c r="E225" s="4" t="s">
        <v>13</v>
      </c>
      <c r="F225" s="5"/>
    </row>
    <row r="226" spans="1:6" ht="72" customHeight="1">
      <c r="A226" s="1" t="s">
        <v>26</v>
      </c>
      <c r="B226" s="1">
        <v>225</v>
      </c>
      <c r="C226" s="1" t="s">
        <v>251</v>
      </c>
      <c r="D226">
        <f>IMAGE("https://raw.githubusercontent.com/stautonico/pokemon-home-pokedex/main/sprites/delibird.png", 2)</f>
        <v>0</v>
      </c>
      <c r="E226" s="4" t="s">
        <v>13</v>
      </c>
      <c r="F226" s="5"/>
    </row>
    <row r="227" spans="1:6" ht="72" customHeight="1">
      <c r="A227" s="1" t="s">
        <v>26</v>
      </c>
      <c r="B227" s="1">
        <v>226</v>
      </c>
      <c r="C227" s="1" t="s">
        <v>252</v>
      </c>
      <c r="D227">
        <f>IMAGE("https://raw.githubusercontent.com/stautonico/pokemon-home-pokedex/main/sprites/mantine.png", 2)</f>
        <v>0</v>
      </c>
      <c r="E227" s="4" t="s">
        <v>13</v>
      </c>
      <c r="F227" s="5"/>
    </row>
    <row r="228" spans="1:6" ht="72" customHeight="1">
      <c r="A228" s="1" t="s">
        <v>26</v>
      </c>
      <c r="B228" s="1">
        <v>227</v>
      </c>
      <c r="C228" s="1" t="s">
        <v>253</v>
      </c>
      <c r="D228">
        <f>IMAGE("https://raw.githubusercontent.com/stautonico/pokemon-home-pokedex/main/sprites/skarmory.png", 2)</f>
        <v>0</v>
      </c>
      <c r="E228" s="30" t="s">
        <v>18</v>
      </c>
      <c r="F228" s="5"/>
    </row>
    <row r="229" spans="1:6" ht="72" customHeight="1">
      <c r="A229" s="1" t="s">
        <v>26</v>
      </c>
      <c r="B229" s="1">
        <v>228</v>
      </c>
      <c r="C229" s="1" t="s">
        <v>254</v>
      </c>
      <c r="D229">
        <f>IMAGE("https://raw.githubusercontent.com/stautonico/pokemon-home-pokedex/main/sprites/houndour.png", 2)</f>
        <v>0</v>
      </c>
      <c r="E229" s="30" t="s">
        <v>18</v>
      </c>
      <c r="F229" s="5"/>
    </row>
    <row r="230" spans="1:6" ht="72" customHeight="1">
      <c r="A230" s="1" t="s">
        <v>26</v>
      </c>
      <c r="B230" s="1">
        <v>229</v>
      </c>
      <c r="C230" s="1" t="s">
        <v>255</v>
      </c>
      <c r="D230">
        <f>IMAGE("https://raw.githubusercontent.com/stautonico/pokemon-home-pokedex/main/sprites/houndoom.png", 2)</f>
        <v>0</v>
      </c>
      <c r="E230" s="30" t="s">
        <v>18</v>
      </c>
      <c r="F230" s="5"/>
    </row>
    <row r="231" spans="1:6" ht="72" customHeight="1">
      <c r="A231" s="1" t="s">
        <v>26</v>
      </c>
      <c r="B231" s="1">
        <v>230</v>
      </c>
      <c r="C231" s="1" t="s">
        <v>256</v>
      </c>
      <c r="D231">
        <f>IMAGE("https://raw.githubusercontent.com/stautonico/pokemon-home-pokedex/main/sprites/kingdra.png", 2)</f>
        <v>0</v>
      </c>
      <c r="E231" s="3" t="s">
        <v>12</v>
      </c>
      <c r="F231" s="30" t="s">
        <v>18</v>
      </c>
    </row>
    <row r="232" spans="1:6" ht="72" customHeight="1">
      <c r="A232" s="1" t="s">
        <v>26</v>
      </c>
      <c r="B232" s="1">
        <v>231</v>
      </c>
      <c r="C232" s="1" t="s">
        <v>257</v>
      </c>
      <c r="D232">
        <f>IMAGE("https://raw.githubusercontent.com/stautonico/pokemon-home-pokedex/main/sprites/phanpy.png", 2)</f>
        <v>0</v>
      </c>
      <c r="E232" s="30" t="s">
        <v>18</v>
      </c>
      <c r="F232" s="5"/>
    </row>
    <row r="233" spans="1:6" ht="72" customHeight="1">
      <c r="A233" s="1" t="s">
        <v>26</v>
      </c>
      <c r="B233" s="1">
        <v>232</v>
      </c>
      <c r="C233" s="1" t="s">
        <v>258</v>
      </c>
      <c r="D233">
        <f>IMAGE("https://raw.githubusercontent.com/stautonico/pokemon-home-pokedex/main/sprites/donphan.png", 2)</f>
        <v>0</v>
      </c>
      <c r="E233" s="30" t="s">
        <v>18</v>
      </c>
      <c r="F233" s="5"/>
    </row>
    <row r="234" spans="1:6" ht="72" customHeight="1">
      <c r="A234" s="1" t="s">
        <v>26</v>
      </c>
      <c r="B234" s="1">
        <v>233</v>
      </c>
      <c r="C234" s="1" t="s">
        <v>259</v>
      </c>
      <c r="D234">
        <f>IMAGE("https://raw.githubusercontent.com/stautonico/pokemon-home-pokedex/main/sprites/porygon2.png", 2)</f>
        <v>0</v>
      </c>
      <c r="E234" s="3" t="s">
        <v>12</v>
      </c>
      <c r="F234" s="30" t="s">
        <v>18</v>
      </c>
    </row>
    <row r="235" spans="1:6" ht="72" customHeight="1">
      <c r="A235" s="1" t="s">
        <v>26</v>
      </c>
      <c r="B235" s="1">
        <v>234</v>
      </c>
      <c r="C235" s="1" t="s">
        <v>260</v>
      </c>
      <c r="D235">
        <f>IMAGE("https://raw.githubusercontent.com/stautonico/pokemon-home-pokedex/main/sprites/stantler.png", 2)</f>
        <v>0</v>
      </c>
      <c r="E235" s="30" t="s">
        <v>18</v>
      </c>
      <c r="F235" s="5"/>
    </row>
    <row r="236" spans="1:6" ht="72" customHeight="1">
      <c r="A236" s="1" t="s">
        <v>26</v>
      </c>
      <c r="B236" s="1">
        <v>235</v>
      </c>
      <c r="C236" s="1" t="s">
        <v>261</v>
      </c>
      <c r="D236">
        <f>IMAGE("https://raw.githubusercontent.com/stautonico/pokemon-home-pokedex/main/sprites/smeargle.png", 2)</f>
        <v>0</v>
      </c>
      <c r="E236" s="30" t="s">
        <v>18</v>
      </c>
      <c r="F236" s="5"/>
    </row>
    <row r="237" spans="1:6" ht="72" customHeight="1">
      <c r="A237" s="1" t="s">
        <v>26</v>
      </c>
      <c r="B237" s="1">
        <v>236</v>
      </c>
      <c r="C237" s="1" t="s">
        <v>262</v>
      </c>
      <c r="D237">
        <f>IMAGE("https://raw.githubusercontent.com/stautonico/pokemon-home-pokedex/main/sprites/tyrogue.png", 2)</f>
        <v>0</v>
      </c>
      <c r="E237" s="4" t="s">
        <v>13</v>
      </c>
      <c r="F237" s="5"/>
    </row>
    <row r="238" spans="1:6" ht="72" customHeight="1">
      <c r="A238" s="1" t="s">
        <v>26</v>
      </c>
      <c r="B238" s="1">
        <v>237</v>
      </c>
      <c r="C238" s="1" t="s">
        <v>263</v>
      </c>
      <c r="D238">
        <f>IMAGE("https://raw.githubusercontent.com/stautonico/pokemon-home-pokedex/main/sprites/hitmontop.png", 2)</f>
        <v>0</v>
      </c>
      <c r="E238" s="4" t="s">
        <v>13</v>
      </c>
      <c r="F238" s="5"/>
    </row>
    <row r="239" spans="1:6" ht="72" customHeight="1">
      <c r="A239" s="1" t="s">
        <v>26</v>
      </c>
      <c r="B239" s="1">
        <v>238</v>
      </c>
      <c r="C239" s="1" t="s">
        <v>264</v>
      </c>
      <c r="D239">
        <f>IMAGE("https://raw.githubusercontent.com/stautonico/pokemon-home-pokedex/main/sprites/smoochum.png", 2)</f>
        <v>0</v>
      </c>
      <c r="E239" s="30" t="s">
        <v>18</v>
      </c>
      <c r="F239" s="5"/>
    </row>
    <row r="240" spans="1:6" ht="72" customHeight="1">
      <c r="A240" s="1" t="s">
        <v>26</v>
      </c>
      <c r="B240" s="1">
        <v>239</v>
      </c>
      <c r="C240" s="1" t="s">
        <v>265</v>
      </c>
      <c r="D240">
        <f>IMAGE("https://raw.githubusercontent.com/stautonico/pokemon-home-pokedex/main/sprites/elekid.png", 2)</f>
        <v>0</v>
      </c>
      <c r="E240" s="30" t="s">
        <v>18</v>
      </c>
      <c r="F240" s="5"/>
    </row>
    <row r="241" spans="1:6" ht="72" customHeight="1">
      <c r="A241" s="1" t="s">
        <v>26</v>
      </c>
      <c r="B241" s="1">
        <v>240</v>
      </c>
      <c r="C241" s="1" t="s">
        <v>266</v>
      </c>
      <c r="D241">
        <f>IMAGE("https://raw.githubusercontent.com/stautonico/pokemon-home-pokedex/main/sprites/magby.png", 2)</f>
        <v>0</v>
      </c>
      <c r="E241" s="30" t="s">
        <v>18</v>
      </c>
      <c r="F241" s="5"/>
    </row>
    <row r="242" spans="1:6" ht="72" customHeight="1">
      <c r="A242" s="1" t="s">
        <v>26</v>
      </c>
      <c r="B242" s="1">
        <v>241</v>
      </c>
      <c r="C242" s="1" t="s">
        <v>267</v>
      </c>
      <c r="D242">
        <f>IMAGE("https://raw.githubusercontent.com/stautonico/pokemon-home-pokedex/main/sprites/miltank.png", 2)</f>
        <v>0</v>
      </c>
      <c r="E242" s="3" t="s">
        <v>12</v>
      </c>
      <c r="F242" s="30" t="s">
        <v>18</v>
      </c>
    </row>
    <row r="243" spans="1:6" ht="72" customHeight="1">
      <c r="A243" s="1" t="s">
        <v>26</v>
      </c>
      <c r="B243" s="1">
        <v>242</v>
      </c>
      <c r="C243" s="1" t="s">
        <v>268</v>
      </c>
      <c r="D243">
        <f>IMAGE("https://raw.githubusercontent.com/stautonico/pokemon-home-pokedex/main/sprites/blissey.png", 2)</f>
        <v>0</v>
      </c>
      <c r="E243" s="3" t="s">
        <v>12</v>
      </c>
      <c r="F243" s="30" t="s">
        <v>18</v>
      </c>
    </row>
    <row r="244" spans="1:6" ht="72" customHeight="1">
      <c r="A244" s="1" t="s">
        <v>26</v>
      </c>
      <c r="B244" s="1">
        <v>243</v>
      </c>
      <c r="C244" s="1" t="s">
        <v>269</v>
      </c>
      <c r="D244">
        <f>IMAGE("https://raw.githubusercontent.com/stautonico/pokemon-home-pokedex/main/sprites/raikou.png", 2)</f>
        <v>0</v>
      </c>
      <c r="E244" s="30" t="s">
        <v>18</v>
      </c>
      <c r="F244" s="5"/>
    </row>
    <row r="245" spans="1:6" ht="72" customHeight="1">
      <c r="A245" s="1" t="s">
        <v>26</v>
      </c>
      <c r="B245" s="1">
        <v>244</v>
      </c>
      <c r="C245" s="1" t="s">
        <v>270</v>
      </c>
      <c r="D245">
        <f>IMAGE("https://raw.githubusercontent.com/stautonico/pokemon-home-pokedex/main/sprites/entei.png", 2)</f>
        <v>0</v>
      </c>
      <c r="E245" s="30" t="s">
        <v>18</v>
      </c>
      <c r="F245" s="5"/>
    </row>
    <row r="246" spans="1:6" ht="72" customHeight="1">
      <c r="A246" s="1" t="s">
        <v>26</v>
      </c>
      <c r="B246" s="1">
        <v>245</v>
      </c>
      <c r="C246" s="1" t="s">
        <v>271</v>
      </c>
      <c r="D246">
        <f>IMAGE("https://raw.githubusercontent.com/stautonico/pokemon-home-pokedex/main/sprites/suicune.png", 2)</f>
        <v>0</v>
      </c>
      <c r="E246" s="30" t="s">
        <v>18</v>
      </c>
      <c r="F246" s="5"/>
    </row>
    <row r="247" spans="1:6" ht="72" customHeight="1">
      <c r="A247" s="1" t="s">
        <v>26</v>
      </c>
      <c r="B247" s="1">
        <v>246</v>
      </c>
      <c r="C247" s="1" t="s">
        <v>272</v>
      </c>
      <c r="D247">
        <f>IMAGE("https://raw.githubusercontent.com/stautonico/pokemon-home-pokedex/main/sprites/larvitar.png", 2)</f>
        <v>0</v>
      </c>
      <c r="E247" s="27" t="s">
        <v>15</v>
      </c>
      <c r="F247" s="26" t="s">
        <v>17</v>
      </c>
    </row>
    <row r="248" spans="1:6" ht="72" customHeight="1">
      <c r="A248" s="1" t="s">
        <v>26</v>
      </c>
      <c r="B248" s="1">
        <v>247</v>
      </c>
      <c r="C248" s="1" t="s">
        <v>273</v>
      </c>
      <c r="D248">
        <f>IMAGE("https://raw.githubusercontent.com/stautonico/pokemon-home-pokedex/main/sprites/pupitar.png", 2)</f>
        <v>0</v>
      </c>
      <c r="E248" s="27" t="s">
        <v>15</v>
      </c>
      <c r="F248" s="26" t="s">
        <v>17</v>
      </c>
    </row>
    <row r="249" spans="1:6" ht="72" customHeight="1">
      <c r="A249" s="1" t="s">
        <v>26</v>
      </c>
      <c r="B249" s="1">
        <v>248</v>
      </c>
      <c r="C249" s="1" t="s">
        <v>274</v>
      </c>
      <c r="D249">
        <f>IMAGE("https://raw.githubusercontent.com/stautonico/pokemon-home-pokedex/main/sprites/tyranitar.png", 2)</f>
        <v>0</v>
      </c>
      <c r="E249" s="27" t="s">
        <v>15</v>
      </c>
      <c r="F249" s="26" t="s">
        <v>17</v>
      </c>
    </row>
    <row r="250" spans="1:6" ht="72" customHeight="1">
      <c r="A250" s="1" t="s">
        <v>26</v>
      </c>
      <c r="B250" s="1">
        <v>249</v>
      </c>
      <c r="C250" s="1" t="s">
        <v>275</v>
      </c>
      <c r="D250">
        <f>IMAGE("https://raw.githubusercontent.com/stautonico/pokemon-home-pokedex/main/sprites/lugia.png", 2)</f>
        <v>0</v>
      </c>
      <c r="E250" s="30" t="s">
        <v>18</v>
      </c>
      <c r="F250" s="5"/>
    </row>
    <row r="251" spans="1:6" ht="72" customHeight="1">
      <c r="A251" s="1" t="s">
        <v>26</v>
      </c>
      <c r="B251" s="1">
        <v>250</v>
      </c>
      <c r="C251" s="1" t="s">
        <v>276</v>
      </c>
      <c r="D251">
        <f>IMAGE("https://raw.githubusercontent.com/stautonico/pokemon-home-pokedex/main/sprites/hooh.png", 2)</f>
        <v>0</v>
      </c>
      <c r="E251" s="30" t="s">
        <v>18</v>
      </c>
      <c r="F251" s="5"/>
    </row>
    <row r="252" spans="1:6" ht="72" customHeight="1">
      <c r="A252" s="1" t="s">
        <v>26</v>
      </c>
      <c r="B252" s="1">
        <v>251</v>
      </c>
      <c r="C252" s="1" t="s">
        <v>277</v>
      </c>
      <c r="D252">
        <f>IMAGE("https://raw.githubusercontent.com/stautonico/pokemon-home-pokedex/main/sprites/celebi.png", 2)</f>
        <v>0</v>
      </c>
      <c r="E252" s="30" t="s">
        <v>18</v>
      </c>
      <c r="F252" s="5"/>
    </row>
    <row r="253" spans="1:6" ht="72" customHeight="1">
      <c r="A253" s="1" t="s">
        <v>26</v>
      </c>
      <c r="B253" s="1">
        <v>252</v>
      </c>
      <c r="C253" s="1" t="s">
        <v>278</v>
      </c>
      <c r="D253">
        <f>IMAGE("https://raw.githubusercontent.com/stautonico/pokemon-home-pokedex/main/sprites/treecko.png", 2)</f>
        <v>0</v>
      </c>
      <c r="E253" s="26" t="s">
        <v>17</v>
      </c>
      <c r="F253" s="28" t="s">
        <v>21</v>
      </c>
    </row>
    <row r="254" spans="1:6" ht="72" customHeight="1">
      <c r="A254" s="1" t="s">
        <v>26</v>
      </c>
      <c r="B254" s="1">
        <v>253</v>
      </c>
      <c r="C254" s="1" t="s">
        <v>279</v>
      </c>
      <c r="D254">
        <f>IMAGE("https://raw.githubusercontent.com/stautonico/pokemon-home-pokedex/main/sprites/grovyle.png", 2)</f>
        <v>0</v>
      </c>
      <c r="E254" s="26" t="s">
        <v>17</v>
      </c>
      <c r="F254" s="28" t="s">
        <v>21</v>
      </c>
    </row>
    <row r="255" spans="1:6" ht="72" customHeight="1">
      <c r="A255" s="1" t="s">
        <v>26</v>
      </c>
      <c r="B255" s="1">
        <v>254</v>
      </c>
      <c r="C255" s="1" t="s">
        <v>280</v>
      </c>
      <c r="D255">
        <f>IMAGE("https://raw.githubusercontent.com/stautonico/pokemon-home-pokedex/main/sprites/sceptile.png", 2)</f>
        <v>0</v>
      </c>
      <c r="E255" s="26" t="s">
        <v>17</v>
      </c>
      <c r="F255" s="28" t="s">
        <v>21</v>
      </c>
    </row>
    <row r="256" spans="1:6" ht="72" customHeight="1">
      <c r="A256" s="1" t="s">
        <v>26</v>
      </c>
      <c r="B256" s="1">
        <v>255</v>
      </c>
      <c r="C256" s="1" t="s">
        <v>281</v>
      </c>
      <c r="D256">
        <f>IMAGE("https://raw.githubusercontent.com/stautonico/pokemon-home-pokedex/main/sprites/torchic.png", 2)</f>
        <v>0</v>
      </c>
      <c r="E256" s="26" t="s">
        <v>17</v>
      </c>
      <c r="F256" s="28" t="s">
        <v>21</v>
      </c>
    </row>
    <row r="257" spans="1:6" ht="72" customHeight="1">
      <c r="A257" s="1" t="s">
        <v>26</v>
      </c>
      <c r="B257" s="1">
        <v>256</v>
      </c>
      <c r="C257" s="1" t="s">
        <v>282</v>
      </c>
      <c r="D257">
        <f>IMAGE("https://raw.githubusercontent.com/stautonico/pokemon-home-pokedex/main/sprites/combusken.png", 2)</f>
        <v>0</v>
      </c>
      <c r="E257" s="26" t="s">
        <v>17</v>
      </c>
      <c r="F257" s="28" t="s">
        <v>21</v>
      </c>
    </row>
    <row r="258" spans="1:6" ht="72" customHeight="1">
      <c r="A258" s="1" t="s">
        <v>26</v>
      </c>
      <c r="B258" s="1">
        <v>257</v>
      </c>
      <c r="C258" s="1" t="s">
        <v>283</v>
      </c>
      <c r="D258">
        <f>IMAGE("https://raw.githubusercontent.com/stautonico/pokemon-home-pokedex/main/sprites/blaziken.png", 2)</f>
        <v>0</v>
      </c>
      <c r="E258" s="26" t="s">
        <v>17</v>
      </c>
      <c r="F258" s="28" t="s">
        <v>21</v>
      </c>
    </row>
    <row r="259" spans="1:6" ht="72" customHeight="1">
      <c r="A259" s="1" t="s">
        <v>26</v>
      </c>
      <c r="B259" s="1">
        <v>258</v>
      </c>
      <c r="C259" s="1" t="s">
        <v>284</v>
      </c>
      <c r="D259">
        <f>IMAGE("https://raw.githubusercontent.com/stautonico/pokemon-home-pokedex/main/sprites/mudkip.png", 2)</f>
        <v>0</v>
      </c>
      <c r="E259" s="26" t="s">
        <v>17</v>
      </c>
      <c r="F259" s="28" t="s">
        <v>21</v>
      </c>
    </row>
    <row r="260" spans="1:6" ht="72" customHeight="1">
      <c r="A260" s="1" t="s">
        <v>26</v>
      </c>
      <c r="B260" s="1">
        <v>259</v>
      </c>
      <c r="C260" s="1" t="s">
        <v>285</v>
      </c>
      <c r="D260">
        <f>IMAGE("https://raw.githubusercontent.com/stautonico/pokemon-home-pokedex/main/sprites/marshtomp.png", 2)</f>
        <v>0</v>
      </c>
      <c r="E260" s="26" t="s">
        <v>17</v>
      </c>
      <c r="F260" s="28" t="s">
        <v>21</v>
      </c>
    </row>
    <row r="261" spans="1:6" ht="72" customHeight="1">
      <c r="A261" s="1" t="s">
        <v>26</v>
      </c>
      <c r="B261" s="1">
        <v>260</v>
      </c>
      <c r="C261" s="1" t="s">
        <v>286</v>
      </c>
      <c r="D261">
        <f>IMAGE("https://raw.githubusercontent.com/stautonico/pokemon-home-pokedex/main/sprites/swampert.png", 2)</f>
        <v>0</v>
      </c>
      <c r="E261" s="26" t="s">
        <v>17</v>
      </c>
      <c r="F261" s="28" t="s">
        <v>21</v>
      </c>
    </row>
    <row r="262" spans="1:6" ht="72" customHeight="1">
      <c r="A262" s="1" t="s">
        <v>26</v>
      </c>
      <c r="B262" s="1">
        <v>261</v>
      </c>
      <c r="C262" s="1" t="s">
        <v>287</v>
      </c>
      <c r="D262">
        <f>IMAGE("https://raw.githubusercontent.com/stautonico/pokemon-home-pokedex/main/sprites/poochyena.png", 2)</f>
        <v>0</v>
      </c>
      <c r="E262" s="28" t="s">
        <v>21</v>
      </c>
      <c r="F262" s="5"/>
    </row>
    <row r="263" spans="1:6" ht="72" customHeight="1">
      <c r="A263" s="1" t="s">
        <v>26</v>
      </c>
      <c r="B263" s="1">
        <v>262</v>
      </c>
      <c r="C263" s="1" t="s">
        <v>288</v>
      </c>
      <c r="D263">
        <f>IMAGE("https://raw.githubusercontent.com/stautonico/pokemon-home-pokedex/main/sprites/mightyena.png", 2)</f>
        <v>0</v>
      </c>
      <c r="E263" s="28" t="s">
        <v>21</v>
      </c>
      <c r="F263" s="5"/>
    </row>
    <row r="264" spans="1:6" ht="72" customHeight="1">
      <c r="A264" s="1" t="s">
        <v>26</v>
      </c>
      <c r="B264" s="1">
        <v>263</v>
      </c>
      <c r="C264" s="1" t="s">
        <v>289</v>
      </c>
      <c r="D264">
        <f>IMAGE("https://raw.githubusercontent.com/stautonico/pokemon-home-pokedex/main/sprites/zigzagoon.png", 2)</f>
        <v>0</v>
      </c>
      <c r="E264" s="4" t="s">
        <v>13</v>
      </c>
      <c r="F264" s="5"/>
    </row>
    <row r="265" spans="1:6" ht="72" customHeight="1">
      <c r="A265" s="1" t="s">
        <v>26</v>
      </c>
      <c r="B265" s="1">
        <v>264</v>
      </c>
      <c r="C265" s="1" t="s">
        <v>290</v>
      </c>
      <c r="D265">
        <f>IMAGE("https://raw.githubusercontent.com/stautonico/pokemon-home-pokedex/main/sprites/linoone.png", 2)</f>
        <v>0</v>
      </c>
      <c r="E265" s="4" t="s">
        <v>13</v>
      </c>
      <c r="F265" s="5"/>
    </row>
    <row r="266" spans="1:6" ht="72" customHeight="1">
      <c r="A266" s="1" t="s">
        <v>26</v>
      </c>
      <c r="B266" s="1">
        <v>265</v>
      </c>
      <c r="C266" s="1" t="s">
        <v>291</v>
      </c>
      <c r="D266">
        <f>IMAGE("https://raw.githubusercontent.com/stautonico/pokemon-home-pokedex/main/sprites/wurmple.png", 2)</f>
        <v>0</v>
      </c>
      <c r="E266" s="28" t="s">
        <v>21</v>
      </c>
      <c r="F266" s="5"/>
    </row>
    <row r="267" spans="1:6" ht="72" customHeight="1">
      <c r="A267" s="1" t="s">
        <v>26</v>
      </c>
      <c r="B267" s="1">
        <v>266</v>
      </c>
      <c r="C267" s="1" t="s">
        <v>292</v>
      </c>
      <c r="D267">
        <f>IMAGE("https://raw.githubusercontent.com/stautonico/pokemon-home-pokedex/main/sprites/silcoon.png", 2)</f>
        <v>0</v>
      </c>
      <c r="E267" s="28" t="s">
        <v>21</v>
      </c>
      <c r="F267" s="5"/>
    </row>
    <row r="268" spans="1:6" ht="72" customHeight="1">
      <c r="A268" s="1" t="s">
        <v>26</v>
      </c>
      <c r="B268" s="1">
        <v>267</v>
      </c>
      <c r="C268" s="1" t="s">
        <v>293</v>
      </c>
      <c r="D268">
        <f>IMAGE("https://raw.githubusercontent.com/stautonico/pokemon-home-pokedex/main/sprites/beautifly.png", 2)</f>
        <v>0</v>
      </c>
      <c r="E268" s="28" t="s">
        <v>21</v>
      </c>
      <c r="F268" s="5"/>
    </row>
    <row r="269" spans="1:6" ht="72" customHeight="1">
      <c r="A269" s="1" t="s">
        <v>26</v>
      </c>
      <c r="B269" s="1">
        <v>268</v>
      </c>
      <c r="C269" s="1" t="s">
        <v>294</v>
      </c>
      <c r="D269">
        <f>IMAGE("https://raw.githubusercontent.com/stautonico/pokemon-home-pokedex/main/sprites/cascoon.png", 2)</f>
        <v>0</v>
      </c>
      <c r="E269" s="28" t="s">
        <v>21</v>
      </c>
      <c r="F269" s="5"/>
    </row>
    <row r="270" spans="1:6" ht="72" customHeight="1">
      <c r="A270" s="1" t="s">
        <v>26</v>
      </c>
      <c r="B270" s="1">
        <v>269</v>
      </c>
      <c r="C270" s="1" t="s">
        <v>295</v>
      </c>
      <c r="D270">
        <f>IMAGE("https://raw.githubusercontent.com/stautonico/pokemon-home-pokedex/main/sprites/dustox.png", 2)</f>
        <v>0</v>
      </c>
      <c r="E270" s="28" t="s">
        <v>21</v>
      </c>
      <c r="F270" s="5"/>
    </row>
    <row r="271" spans="1:6" ht="72" customHeight="1">
      <c r="A271" s="1" t="s">
        <v>26</v>
      </c>
      <c r="B271" s="1">
        <v>270</v>
      </c>
      <c r="C271" s="1" t="s">
        <v>296</v>
      </c>
      <c r="D271">
        <f>IMAGE("https://raw.githubusercontent.com/stautonico/pokemon-home-pokedex/main/sprites/lotad.png", 2)</f>
        <v>0</v>
      </c>
      <c r="E271" s="27" t="s">
        <v>15</v>
      </c>
      <c r="F271" s="23" t="s">
        <v>16</v>
      </c>
    </row>
    <row r="272" spans="1:6" ht="72" customHeight="1">
      <c r="A272" s="1" t="s">
        <v>26</v>
      </c>
      <c r="B272" s="1">
        <v>271</v>
      </c>
      <c r="C272" s="1" t="s">
        <v>297</v>
      </c>
      <c r="D272">
        <f>IMAGE("https://raw.githubusercontent.com/stautonico/pokemon-home-pokedex/main/sprites/lombre.png", 2)</f>
        <v>0</v>
      </c>
      <c r="E272" s="27" t="s">
        <v>15</v>
      </c>
      <c r="F272" s="23" t="s">
        <v>16</v>
      </c>
    </row>
    <row r="273" spans="1:6" ht="72" customHeight="1">
      <c r="A273" s="1" t="s">
        <v>26</v>
      </c>
      <c r="B273" s="1">
        <v>272</v>
      </c>
      <c r="C273" s="1" t="s">
        <v>298</v>
      </c>
      <c r="D273">
        <f>IMAGE("https://raw.githubusercontent.com/stautonico/pokemon-home-pokedex/main/sprites/ludicolo.png", 2)</f>
        <v>0</v>
      </c>
      <c r="E273" s="27" t="s">
        <v>15</v>
      </c>
      <c r="F273" s="23" t="s">
        <v>16</v>
      </c>
    </row>
    <row r="274" spans="1:6" ht="72" customHeight="1">
      <c r="A274" s="1" t="s">
        <v>26</v>
      </c>
      <c r="B274" s="1">
        <v>273</v>
      </c>
      <c r="C274" s="1" t="s">
        <v>299</v>
      </c>
      <c r="D274">
        <f>IMAGE("https://raw.githubusercontent.com/stautonico/pokemon-home-pokedex/main/sprites/seedot.png", 2)</f>
        <v>0</v>
      </c>
      <c r="E274" s="29" t="s">
        <v>14</v>
      </c>
      <c r="F274" s="23" t="s">
        <v>16</v>
      </c>
    </row>
    <row r="275" spans="1:6" ht="72" customHeight="1">
      <c r="A275" s="1" t="s">
        <v>26</v>
      </c>
      <c r="B275" s="1">
        <v>274</v>
      </c>
      <c r="C275" s="1" t="s">
        <v>300</v>
      </c>
      <c r="D275">
        <f>IMAGE("https://raw.githubusercontent.com/stautonico/pokemon-home-pokedex/main/sprites/nuzleaf.png", 2)</f>
        <v>0</v>
      </c>
      <c r="E275" s="29" t="s">
        <v>14</v>
      </c>
      <c r="F275" s="23" t="s">
        <v>16</v>
      </c>
    </row>
    <row r="276" spans="1:6" ht="72" customHeight="1">
      <c r="A276" s="1" t="s">
        <v>26</v>
      </c>
      <c r="B276" s="1">
        <v>275</v>
      </c>
      <c r="C276" s="1" t="s">
        <v>301</v>
      </c>
      <c r="D276">
        <f>IMAGE("https://raw.githubusercontent.com/stautonico/pokemon-home-pokedex/main/sprites/shiftry.png", 2)</f>
        <v>0</v>
      </c>
      <c r="E276" s="29" t="s">
        <v>14</v>
      </c>
      <c r="F276" s="23" t="s">
        <v>16</v>
      </c>
    </row>
    <row r="277" spans="1:6" ht="72" customHeight="1">
      <c r="A277" s="1" t="s">
        <v>26</v>
      </c>
      <c r="B277" s="1">
        <v>276</v>
      </c>
      <c r="C277" s="1" t="s">
        <v>302</v>
      </c>
      <c r="D277">
        <f>IMAGE("https://raw.githubusercontent.com/stautonico/pokemon-home-pokedex/main/sprites/taillow.png", 2)</f>
        <v>0</v>
      </c>
      <c r="E277" s="28" t="s">
        <v>21</v>
      </c>
      <c r="F277" s="5"/>
    </row>
    <row r="278" spans="1:6" ht="72" customHeight="1">
      <c r="A278" s="1" t="s">
        <v>26</v>
      </c>
      <c r="B278" s="1">
        <v>277</v>
      </c>
      <c r="C278" s="1" t="s">
        <v>303</v>
      </c>
      <c r="D278">
        <f>IMAGE("https://raw.githubusercontent.com/stautonico/pokemon-home-pokedex/main/sprites/swellow.png", 2)</f>
        <v>0</v>
      </c>
      <c r="E278" s="28" t="s">
        <v>21</v>
      </c>
      <c r="F278" s="5"/>
    </row>
    <row r="279" spans="1:6" ht="72" customHeight="1">
      <c r="A279" s="1" t="s">
        <v>26</v>
      </c>
      <c r="B279" s="1">
        <v>278</v>
      </c>
      <c r="C279" s="1" t="s">
        <v>304</v>
      </c>
      <c r="D279">
        <f>IMAGE("https://raw.githubusercontent.com/stautonico/pokemon-home-pokedex/main/sprites/wingull.png", 2)</f>
        <v>0</v>
      </c>
      <c r="E279" s="4" t="s">
        <v>13</v>
      </c>
      <c r="F279" s="5"/>
    </row>
    <row r="280" spans="1:6" ht="72" customHeight="1">
      <c r="A280" s="1" t="s">
        <v>26</v>
      </c>
      <c r="B280" s="1">
        <v>279</v>
      </c>
      <c r="C280" s="1" t="s">
        <v>305</v>
      </c>
      <c r="D280">
        <f>IMAGE("https://raw.githubusercontent.com/stautonico/pokemon-home-pokedex/main/sprites/pelipper.png", 2)</f>
        <v>0</v>
      </c>
      <c r="E280" s="4" t="s">
        <v>13</v>
      </c>
      <c r="F280" s="5"/>
    </row>
    <row r="281" spans="1:6" ht="72" customHeight="1">
      <c r="A281" s="1" t="s">
        <v>26</v>
      </c>
      <c r="B281" s="1">
        <v>280</v>
      </c>
      <c r="C281" s="1" t="s">
        <v>306</v>
      </c>
      <c r="D281">
        <f>IMAGE("https://raw.githubusercontent.com/stautonico/pokemon-home-pokedex/main/sprites/ralts.png", 2)</f>
        <v>0</v>
      </c>
      <c r="E281" s="4" t="s">
        <v>13</v>
      </c>
      <c r="F281" s="5"/>
    </row>
    <row r="282" spans="1:6" ht="72" customHeight="1">
      <c r="A282" s="1" t="s">
        <v>26</v>
      </c>
      <c r="B282" s="1">
        <v>281</v>
      </c>
      <c r="C282" s="1" t="s">
        <v>307</v>
      </c>
      <c r="D282">
        <f>IMAGE("https://raw.githubusercontent.com/stautonico/pokemon-home-pokedex/main/sprites/kirlia.png", 2)</f>
        <v>0</v>
      </c>
      <c r="E282" s="4" t="s">
        <v>13</v>
      </c>
      <c r="F282" s="5"/>
    </row>
    <row r="283" spans="1:6" ht="72" customHeight="1">
      <c r="A283" s="1" t="s">
        <v>26</v>
      </c>
      <c r="B283" s="1">
        <v>282</v>
      </c>
      <c r="C283" s="1" t="s">
        <v>308</v>
      </c>
      <c r="D283">
        <f>IMAGE("https://raw.githubusercontent.com/stautonico/pokemon-home-pokedex/main/sprites/gardevoir.png", 2)</f>
        <v>0</v>
      </c>
      <c r="E283" s="4" t="s">
        <v>13</v>
      </c>
      <c r="F283" s="5"/>
    </row>
    <row r="284" spans="1:6" ht="72" customHeight="1">
      <c r="A284" s="1" t="s">
        <v>26</v>
      </c>
      <c r="B284" s="1">
        <v>283</v>
      </c>
      <c r="C284" s="1" t="s">
        <v>309</v>
      </c>
      <c r="D284">
        <f>IMAGE("https://raw.githubusercontent.com/stautonico/pokemon-home-pokedex/main/sprites/surskit.png", 2)</f>
        <v>0</v>
      </c>
      <c r="E284" s="28" t="s">
        <v>21</v>
      </c>
      <c r="F284" s="5"/>
    </row>
    <row r="285" spans="1:6" ht="72" customHeight="1">
      <c r="A285" s="1" t="s">
        <v>26</v>
      </c>
      <c r="B285" s="1">
        <v>284</v>
      </c>
      <c r="C285" s="1" t="s">
        <v>310</v>
      </c>
      <c r="D285">
        <f>IMAGE("https://raw.githubusercontent.com/stautonico/pokemon-home-pokedex/main/sprites/masquerain.png", 2)</f>
        <v>0</v>
      </c>
      <c r="E285" s="28" t="s">
        <v>21</v>
      </c>
      <c r="F285" s="5"/>
    </row>
    <row r="286" spans="1:6" ht="72" customHeight="1">
      <c r="A286" s="1" t="s">
        <v>26</v>
      </c>
      <c r="B286" s="1">
        <v>285</v>
      </c>
      <c r="C286" s="1" t="s">
        <v>311</v>
      </c>
      <c r="D286">
        <f>IMAGE("https://raw.githubusercontent.com/stautonico/pokemon-home-pokedex/main/sprites/shroomish.png", 2)</f>
        <v>0</v>
      </c>
      <c r="E286" s="28" t="s">
        <v>21</v>
      </c>
      <c r="F286" s="5"/>
    </row>
    <row r="287" spans="1:6" ht="72" customHeight="1">
      <c r="A287" s="1" t="s">
        <v>26</v>
      </c>
      <c r="B287" s="1">
        <v>286</v>
      </c>
      <c r="C287" s="1" t="s">
        <v>312</v>
      </c>
      <c r="D287">
        <f>IMAGE("https://raw.githubusercontent.com/stautonico/pokemon-home-pokedex/main/sprites/breloom.png", 2)</f>
        <v>0</v>
      </c>
      <c r="E287" s="28" t="s">
        <v>21</v>
      </c>
      <c r="F287" s="5"/>
    </row>
    <row r="288" spans="1:6" ht="72" customHeight="1">
      <c r="A288" s="1" t="s">
        <v>26</v>
      </c>
      <c r="B288" s="1">
        <v>287</v>
      </c>
      <c r="C288" s="1" t="s">
        <v>313</v>
      </c>
      <c r="D288">
        <f>IMAGE("https://raw.githubusercontent.com/stautonico/pokemon-home-pokedex/main/sprites/slakoth.png", 2)</f>
        <v>0</v>
      </c>
      <c r="E288" s="28" t="s">
        <v>21</v>
      </c>
      <c r="F288" s="5"/>
    </row>
    <row r="289" spans="1:6" ht="72" customHeight="1">
      <c r="A289" s="1" t="s">
        <v>26</v>
      </c>
      <c r="B289" s="1">
        <v>288</v>
      </c>
      <c r="C289" s="1" t="s">
        <v>314</v>
      </c>
      <c r="D289">
        <f>IMAGE("https://raw.githubusercontent.com/stautonico/pokemon-home-pokedex/main/sprites/vigoroth.png", 2)</f>
        <v>0</v>
      </c>
      <c r="E289" s="28" t="s">
        <v>21</v>
      </c>
      <c r="F289" s="5"/>
    </row>
    <row r="290" spans="1:6" ht="72" customHeight="1">
      <c r="A290" s="1" t="s">
        <v>26</v>
      </c>
      <c r="B290" s="1">
        <v>289</v>
      </c>
      <c r="C290" s="1" t="s">
        <v>315</v>
      </c>
      <c r="D290">
        <f>IMAGE("https://raw.githubusercontent.com/stautonico/pokemon-home-pokedex/main/sprites/slaking.png", 2)</f>
        <v>0</v>
      </c>
      <c r="E290" s="28" t="s">
        <v>21</v>
      </c>
      <c r="F290" s="5"/>
    </row>
    <row r="291" spans="1:6" ht="72" customHeight="1">
      <c r="A291" s="1" t="s">
        <v>26</v>
      </c>
      <c r="B291" s="1">
        <v>290</v>
      </c>
      <c r="C291" s="1" t="s">
        <v>316</v>
      </c>
      <c r="D291">
        <f>IMAGE("https://raw.githubusercontent.com/stautonico/pokemon-home-pokedex/main/sprites/nincada.png", 2)</f>
        <v>0</v>
      </c>
      <c r="E291" s="4" t="s">
        <v>13</v>
      </c>
      <c r="F291" s="5"/>
    </row>
    <row r="292" spans="1:6" ht="72" customHeight="1">
      <c r="A292" s="1" t="s">
        <v>26</v>
      </c>
      <c r="B292" s="1">
        <v>291</v>
      </c>
      <c r="C292" s="1" t="s">
        <v>317</v>
      </c>
      <c r="D292">
        <f>IMAGE("https://raw.githubusercontent.com/stautonico/pokemon-home-pokedex/main/sprites/ninjask.png", 2)</f>
        <v>0</v>
      </c>
      <c r="E292" s="4" t="s">
        <v>13</v>
      </c>
      <c r="F292" s="5"/>
    </row>
    <row r="293" spans="1:6" ht="72" customHeight="1">
      <c r="A293" s="1" t="s">
        <v>26</v>
      </c>
      <c r="B293" s="1">
        <v>292</v>
      </c>
      <c r="C293" s="1" t="s">
        <v>318</v>
      </c>
      <c r="D293">
        <f>IMAGE("https://raw.githubusercontent.com/stautonico/pokemon-home-pokedex/main/sprites/shedinja.png", 2)</f>
        <v>0</v>
      </c>
      <c r="E293" s="4" t="s">
        <v>13</v>
      </c>
      <c r="F293" s="5"/>
    </row>
    <row r="294" spans="1:6" ht="72" customHeight="1">
      <c r="A294" s="1" t="s">
        <v>26</v>
      </c>
      <c r="B294" s="1">
        <v>293</v>
      </c>
      <c r="C294" s="1" t="s">
        <v>319</v>
      </c>
      <c r="D294">
        <f>IMAGE("https://raw.githubusercontent.com/stautonico/pokemon-home-pokedex/main/sprites/whismur.png", 2)</f>
        <v>0</v>
      </c>
      <c r="E294" s="3" t="s">
        <v>12</v>
      </c>
      <c r="F294" s="28" t="s">
        <v>21</v>
      </c>
    </row>
    <row r="295" spans="1:6" ht="72" customHeight="1">
      <c r="A295" s="1" t="s">
        <v>26</v>
      </c>
      <c r="B295" s="1">
        <v>294</v>
      </c>
      <c r="C295" s="1" t="s">
        <v>320</v>
      </c>
      <c r="D295">
        <f>IMAGE("https://raw.githubusercontent.com/stautonico/pokemon-home-pokedex/main/sprites/loudred.png", 2)</f>
        <v>0</v>
      </c>
      <c r="E295" s="3" t="s">
        <v>12</v>
      </c>
      <c r="F295" s="28" t="s">
        <v>21</v>
      </c>
    </row>
    <row r="296" spans="1:6" ht="72" customHeight="1">
      <c r="A296" s="1" t="s">
        <v>26</v>
      </c>
      <c r="B296" s="1">
        <v>295</v>
      </c>
      <c r="C296" s="1" t="s">
        <v>321</v>
      </c>
      <c r="D296">
        <f>IMAGE("https://raw.githubusercontent.com/stautonico/pokemon-home-pokedex/main/sprites/exploud.png", 2)</f>
        <v>0</v>
      </c>
      <c r="E296" s="3" t="s">
        <v>12</v>
      </c>
      <c r="F296" s="28" t="s">
        <v>21</v>
      </c>
    </row>
    <row r="297" spans="1:6" ht="72" customHeight="1">
      <c r="A297" s="1" t="s">
        <v>26</v>
      </c>
      <c r="B297" s="1">
        <v>296</v>
      </c>
      <c r="C297" s="1" t="s">
        <v>322</v>
      </c>
      <c r="D297">
        <f>IMAGE("https://raw.githubusercontent.com/stautonico/pokemon-home-pokedex/main/sprites/makuhita.png", 2)</f>
        <v>0</v>
      </c>
      <c r="E297" s="28" t="s">
        <v>21</v>
      </c>
      <c r="F297" s="5"/>
    </row>
    <row r="298" spans="1:6" ht="72" customHeight="1">
      <c r="A298" s="1" t="s">
        <v>26</v>
      </c>
      <c r="B298" s="1">
        <v>297</v>
      </c>
      <c r="C298" s="1" t="s">
        <v>323</v>
      </c>
      <c r="D298">
        <f>IMAGE("https://raw.githubusercontent.com/stautonico/pokemon-home-pokedex/main/sprites/hariyama.png", 2)</f>
        <v>0</v>
      </c>
      <c r="E298" s="28" t="s">
        <v>21</v>
      </c>
      <c r="F298" s="5"/>
    </row>
    <row r="299" spans="1:6" ht="72" customHeight="1">
      <c r="A299" s="1" t="s">
        <v>26</v>
      </c>
      <c r="B299" s="1">
        <v>298</v>
      </c>
      <c r="C299" s="1" t="s">
        <v>324</v>
      </c>
      <c r="D299">
        <f>IMAGE("https://raw.githubusercontent.com/stautonico/pokemon-home-pokedex/main/sprites/azurill.png", 2)</f>
        <v>0</v>
      </c>
      <c r="E299" s="3" t="s">
        <v>12</v>
      </c>
      <c r="F299" s="28" t="s">
        <v>21</v>
      </c>
    </row>
    <row r="300" spans="1:6" ht="72" customHeight="1">
      <c r="A300" s="1" t="s">
        <v>26</v>
      </c>
      <c r="B300" s="1">
        <v>299</v>
      </c>
      <c r="C300" s="1" t="s">
        <v>325</v>
      </c>
      <c r="D300">
        <f>IMAGE("https://raw.githubusercontent.com/stautonico/pokemon-home-pokedex/main/sprites/nosepass.png", 2)</f>
        <v>0</v>
      </c>
      <c r="E300" s="28" t="s">
        <v>21</v>
      </c>
      <c r="F300" s="5"/>
    </row>
    <row r="301" spans="1:6" ht="72" customHeight="1">
      <c r="A301" s="1" t="s">
        <v>26</v>
      </c>
      <c r="B301" s="1">
        <v>300</v>
      </c>
      <c r="C301" s="1" t="s">
        <v>326</v>
      </c>
      <c r="D301">
        <f>IMAGE("https://raw.githubusercontent.com/stautonico/pokemon-home-pokedex/main/sprites/skitty.png", 2)</f>
        <v>0</v>
      </c>
      <c r="E301" s="28" t="s">
        <v>21</v>
      </c>
      <c r="F301" s="5"/>
    </row>
    <row r="302" spans="1:6" ht="72" customHeight="1">
      <c r="A302" s="1" t="s">
        <v>26</v>
      </c>
      <c r="B302" s="1">
        <v>301</v>
      </c>
      <c r="C302" s="1" t="s">
        <v>327</v>
      </c>
      <c r="D302">
        <f>IMAGE("https://raw.githubusercontent.com/stautonico/pokemon-home-pokedex/main/sprites/delcatty.png", 2)</f>
        <v>0</v>
      </c>
      <c r="E302" s="28" t="s">
        <v>21</v>
      </c>
      <c r="F302" s="5"/>
    </row>
    <row r="303" spans="1:6" ht="72" customHeight="1">
      <c r="A303" s="1" t="s">
        <v>26</v>
      </c>
      <c r="B303" s="1">
        <v>302</v>
      </c>
      <c r="C303" s="1" t="s">
        <v>328</v>
      </c>
      <c r="D303">
        <f>IMAGE("https://raw.githubusercontent.com/stautonico/pokemon-home-pokedex/main/sprites/sableye.png", 2)</f>
        <v>0</v>
      </c>
      <c r="E303" s="27" t="s">
        <v>15</v>
      </c>
      <c r="F303" s="23" t="s">
        <v>16</v>
      </c>
    </row>
    <row r="304" spans="1:6" ht="72" customHeight="1">
      <c r="A304" s="1" t="s">
        <v>26</v>
      </c>
      <c r="B304" s="1">
        <v>303</v>
      </c>
      <c r="C304" s="1" t="s">
        <v>329</v>
      </c>
      <c r="D304">
        <f>IMAGE("https://raw.githubusercontent.com/stautonico/pokemon-home-pokedex/main/sprites/mawile.png", 2)</f>
        <v>0</v>
      </c>
      <c r="E304" s="29" t="s">
        <v>14</v>
      </c>
      <c r="F304" s="23" t="s">
        <v>16</v>
      </c>
    </row>
    <row r="305" spans="1:6" ht="72" customHeight="1">
      <c r="A305" s="1" t="s">
        <v>26</v>
      </c>
      <c r="B305" s="1">
        <v>304</v>
      </c>
      <c r="C305" s="1" t="s">
        <v>330</v>
      </c>
      <c r="D305">
        <f>IMAGE("https://raw.githubusercontent.com/stautonico/pokemon-home-pokedex/main/sprites/aron.png", 2)</f>
        <v>0</v>
      </c>
      <c r="E305" s="28" t="s">
        <v>21</v>
      </c>
      <c r="F305" s="5"/>
    </row>
    <row r="306" spans="1:6" ht="72" customHeight="1">
      <c r="A306" s="1" t="s">
        <v>26</v>
      </c>
      <c r="B306" s="1">
        <v>305</v>
      </c>
      <c r="C306" s="1" t="s">
        <v>331</v>
      </c>
      <c r="D306">
        <f>IMAGE("https://raw.githubusercontent.com/stautonico/pokemon-home-pokedex/main/sprites/lairon.png", 2)</f>
        <v>0</v>
      </c>
      <c r="E306" s="28" t="s">
        <v>21</v>
      </c>
      <c r="F306" s="5"/>
    </row>
    <row r="307" spans="1:6" ht="72" customHeight="1">
      <c r="A307" s="1" t="s">
        <v>26</v>
      </c>
      <c r="B307" s="1">
        <v>306</v>
      </c>
      <c r="C307" s="1" t="s">
        <v>332</v>
      </c>
      <c r="D307">
        <f>IMAGE("https://raw.githubusercontent.com/stautonico/pokemon-home-pokedex/main/sprites/aggron.png", 2)</f>
        <v>0</v>
      </c>
      <c r="E307" s="28" t="s">
        <v>21</v>
      </c>
      <c r="F307" s="5"/>
    </row>
    <row r="308" spans="1:6" ht="72" customHeight="1">
      <c r="A308" s="1" t="s">
        <v>26</v>
      </c>
      <c r="B308" s="1">
        <v>307</v>
      </c>
      <c r="C308" s="1" t="s">
        <v>333</v>
      </c>
      <c r="D308">
        <f>IMAGE("https://raw.githubusercontent.com/stautonico/pokemon-home-pokedex/main/sprites/meditite.png", 2)</f>
        <v>0</v>
      </c>
      <c r="E308" s="28" t="s">
        <v>21</v>
      </c>
      <c r="F308" s="5"/>
    </row>
    <row r="309" spans="1:6" ht="72" customHeight="1">
      <c r="A309" s="1" t="s">
        <v>26</v>
      </c>
      <c r="B309" s="1">
        <v>308</v>
      </c>
      <c r="C309" s="1" t="s">
        <v>334</v>
      </c>
      <c r="D309">
        <f>IMAGE("https://raw.githubusercontent.com/stautonico/pokemon-home-pokedex/main/sprites/medicham.png", 2)</f>
        <v>0</v>
      </c>
      <c r="E309" s="28" t="s">
        <v>21</v>
      </c>
      <c r="F309" s="5"/>
    </row>
    <row r="310" spans="1:6" ht="72" customHeight="1">
      <c r="A310" s="1" t="s">
        <v>26</v>
      </c>
      <c r="B310" s="1">
        <v>309</v>
      </c>
      <c r="C310" s="1" t="s">
        <v>335</v>
      </c>
      <c r="D310">
        <f>IMAGE("https://raw.githubusercontent.com/stautonico/pokemon-home-pokedex/main/sprites/electrike.png", 2)</f>
        <v>0</v>
      </c>
      <c r="E310" s="4" t="s">
        <v>13</v>
      </c>
      <c r="F310" s="5"/>
    </row>
    <row r="311" spans="1:6" ht="72" customHeight="1">
      <c r="A311" s="1" t="s">
        <v>26</v>
      </c>
      <c r="B311" s="1">
        <v>310</v>
      </c>
      <c r="C311" s="1" t="s">
        <v>336</v>
      </c>
      <c r="D311">
        <f>IMAGE("https://raw.githubusercontent.com/stautonico/pokemon-home-pokedex/main/sprites/manectric.png", 2)</f>
        <v>0</v>
      </c>
      <c r="E311" s="4" t="s">
        <v>13</v>
      </c>
      <c r="F311" s="5"/>
    </row>
    <row r="312" spans="1:6" ht="72" customHeight="1">
      <c r="A312" s="1" t="s">
        <v>26</v>
      </c>
      <c r="B312" s="1">
        <v>311</v>
      </c>
      <c r="C312" s="1" t="s">
        <v>337</v>
      </c>
      <c r="D312">
        <f>IMAGE("https://raw.githubusercontent.com/stautonico/pokemon-home-pokedex/main/sprites/plusle.png", 2)</f>
        <v>0</v>
      </c>
      <c r="E312" s="28" t="s">
        <v>21</v>
      </c>
      <c r="F312" s="5"/>
    </row>
    <row r="313" spans="1:6" ht="72" customHeight="1">
      <c r="A313" s="1" t="s">
        <v>26</v>
      </c>
      <c r="B313" s="1">
        <v>312</v>
      </c>
      <c r="C313" s="1" t="s">
        <v>338</v>
      </c>
      <c r="D313">
        <f>IMAGE("https://raw.githubusercontent.com/stautonico/pokemon-home-pokedex/main/sprites/minun.png", 2)</f>
        <v>0</v>
      </c>
      <c r="E313" s="28" t="s">
        <v>21</v>
      </c>
      <c r="F313" s="5"/>
    </row>
    <row r="314" spans="1:6" ht="72" customHeight="1">
      <c r="A314" s="1" t="s">
        <v>26</v>
      </c>
      <c r="B314" s="1">
        <v>313</v>
      </c>
      <c r="C314" s="1" t="s">
        <v>339</v>
      </c>
      <c r="D314">
        <f>IMAGE("https://raw.githubusercontent.com/stautonico/pokemon-home-pokedex/main/sprites/volbeat.png", 2)</f>
        <v>0</v>
      </c>
      <c r="E314" s="28" t="s">
        <v>21</v>
      </c>
      <c r="F314" s="5"/>
    </row>
    <row r="315" spans="1:6" ht="72" customHeight="1">
      <c r="A315" s="1" t="s">
        <v>26</v>
      </c>
      <c r="B315" s="1">
        <v>314</v>
      </c>
      <c r="C315" s="1" t="s">
        <v>340</v>
      </c>
      <c r="D315">
        <f>IMAGE("https://raw.githubusercontent.com/stautonico/pokemon-home-pokedex/main/sprites/illumise.png", 2)</f>
        <v>0</v>
      </c>
      <c r="E315" s="28" t="s">
        <v>21</v>
      </c>
      <c r="F315" s="5"/>
    </row>
    <row r="316" spans="1:6" ht="72" customHeight="1">
      <c r="A316" s="1" t="s">
        <v>26</v>
      </c>
      <c r="B316" s="1">
        <v>315</v>
      </c>
      <c r="C316" s="1" t="s">
        <v>341</v>
      </c>
      <c r="D316">
        <f>IMAGE("https://raw.githubusercontent.com/stautonico/pokemon-home-pokedex/main/sprites/roselia.png", 2)</f>
        <v>0</v>
      </c>
      <c r="E316" s="4" t="s">
        <v>13</v>
      </c>
      <c r="F316" s="5"/>
    </row>
    <row r="317" spans="1:6" ht="72" customHeight="1">
      <c r="A317" s="1" t="s">
        <v>26</v>
      </c>
      <c r="B317" s="1">
        <v>316</v>
      </c>
      <c r="C317" s="1" t="s">
        <v>342</v>
      </c>
      <c r="D317">
        <f>IMAGE("https://raw.githubusercontent.com/stautonico/pokemon-home-pokedex/main/sprites/gulpin.png", 2)</f>
        <v>0</v>
      </c>
      <c r="E317" s="28" t="s">
        <v>21</v>
      </c>
      <c r="F317" s="5"/>
    </row>
    <row r="318" spans="1:6" ht="72" customHeight="1">
      <c r="A318" s="1" t="s">
        <v>26</v>
      </c>
      <c r="B318" s="1">
        <v>317</v>
      </c>
      <c r="C318" s="1" t="s">
        <v>343</v>
      </c>
      <c r="D318">
        <f>IMAGE("https://raw.githubusercontent.com/stautonico/pokemon-home-pokedex/main/sprites/swalot.png", 2)</f>
        <v>0</v>
      </c>
      <c r="E318" s="28" t="s">
        <v>21</v>
      </c>
      <c r="F318" s="5"/>
    </row>
    <row r="319" spans="1:6" ht="72" customHeight="1">
      <c r="A319" s="1" t="s">
        <v>26</v>
      </c>
      <c r="B319" s="1">
        <v>318</v>
      </c>
      <c r="C319" s="1" t="s">
        <v>344</v>
      </c>
      <c r="D319">
        <f>IMAGE("https://raw.githubusercontent.com/stautonico/pokemon-home-pokedex/main/sprites/carvanha.png", 2)</f>
        <v>0</v>
      </c>
      <c r="E319" s="3" t="s">
        <v>12</v>
      </c>
      <c r="F319" s="28" t="s">
        <v>21</v>
      </c>
    </row>
    <row r="320" spans="1:6" ht="72" customHeight="1">
      <c r="A320" s="1" t="s">
        <v>26</v>
      </c>
      <c r="B320" s="1">
        <v>319</v>
      </c>
      <c r="C320" s="1" t="s">
        <v>345</v>
      </c>
      <c r="D320">
        <f>IMAGE("https://raw.githubusercontent.com/stautonico/pokemon-home-pokedex/main/sprites/sharpedo.png", 2)</f>
        <v>0</v>
      </c>
      <c r="E320" s="3" t="s">
        <v>12</v>
      </c>
      <c r="F320" s="28" t="s">
        <v>21</v>
      </c>
    </row>
    <row r="321" spans="1:6" ht="72" customHeight="1">
      <c r="A321" s="1" t="s">
        <v>26</v>
      </c>
      <c r="B321" s="1">
        <v>320</v>
      </c>
      <c r="C321" s="1" t="s">
        <v>346</v>
      </c>
      <c r="D321">
        <f>IMAGE("https://raw.githubusercontent.com/stautonico/pokemon-home-pokedex/main/sprites/wailmer.png", 2)</f>
        <v>0</v>
      </c>
      <c r="E321" s="4" t="s">
        <v>13</v>
      </c>
      <c r="F321" s="5"/>
    </row>
    <row r="322" spans="1:6" ht="72" customHeight="1">
      <c r="A322" s="1" t="s">
        <v>26</v>
      </c>
      <c r="B322" s="1">
        <v>321</v>
      </c>
      <c r="C322" s="1" t="s">
        <v>347</v>
      </c>
      <c r="D322">
        <f>IMAGE("https://raw.githubusercontent.com/stautonico/pokemon-home-pokedex/main/sprites/wailord.png", 2)</f>
        <v>0</v>
      </c>
      <c r="E322" s="4" t="s">
        <v>13</v>
      </c>
      <c r="F322" s="5"/>
    </row>
    <row r="323" spans="1:6" ht="72" customHeight="1">
      <c r="A323" s="1" t="s">
        <v>26</v>
      </c>
      <c r="B323" s="1">
        <v>322</v>
      </c>
      <c r="C323" s="1" t="s">
        <v>348</v>
      </c>
      <c r="D323">
        <f>IMAGE("https://raw.githubusercontent.com/stautonico/pokemon-home-pokedex/main/sprites/numel.png", 2)</f>
        <v>0</v>
      </c>
      <c r="E323" s="28" t="s">
        <v>21</v>
      </c>
      <c r="F323" s="5"/>
    </row>
    <row r="324" spans="1:6" ht="72" customHeight="1">
      <c r="A324" s="1" t="s">
        <v>26</v>
      </c>
      <c r="B324" s="1">
        <v>323</v>
      </c>
      <c r="C324" s="1" t="s">
        <v>349</v>
      </c>
      <c r="D324">
        <f>IMAGE("https://raw.githubusercontent.com/stautonico/pokemon-home-pokedex/main/sprites/camerupt.png", 2)</f>
        <v>0</v>
      </c>
      <c r="E324" s="28" t="s">
        <v>21</v>
      </c>
      <c r="F324" s="5"/>
    </row>
    <row r="325" spans="1:6" ht="72" customHeight="1">
      <c r="A325" s="1" t="s">
        <v>26</v>
      </c>
      <c r="B325" s="1">
        <v>324</v>
      </c>
      <c r="C325" s="1" t="s">
        <v>350</v>
      </c>
      <c r="D325">
        <f>IMAGE("https://raw.githubusercontent.com/stautonico/pokemon-home-pokedex/main/sprites/torkoal.png", 2)</f>
        <v>0</v>
      </c>
      <c r="E325" s="4" t="s">
        <v>13</v>
      </c>
      <c r="F325" s="5"/>
    </row>
    <row r="326" spans="1:6" ht="72" customHeight="1">
      <c r="A326" s="1" t="s">
        <v>26</v>
      </c>
      <c r="B326" s="1">
        <v>325</v>
      </c>
      <c r="C326" s="1" t="s">
        <v>351</v>
      </c>
      <c r="D326">
        <f>IMAGE("https://raw.githubusercontent.com/stautonico/pokemon-home-pokedex/main/sprites/spoink.png", 2)</f>
        <v>0</v>
      </c>
      <c r="E326" s="28" t="s">
        <v>21</v>
      </c>
      <c r="F326" s="5"/>
    </row>
    <row r="327" spans="1:6" ht="72" customHeight="1">
      <c r="A327" s="1" t="s">
        <v>26</v>
      </c>
      <c r="B327" s="1">
        <v>326</v>
      </c>
      <c r="C327" s="1" t="s">
        <v>352</v>
      </c>
      <c r="D327">
        <f>IMAGE("https://raw.githubusercontent.com/stautonico/pokemon-home-pokedex/main/sprites/grumpig.png", 2)</f>
        <v>0</v>
      </c>
      <c r="E327" s="28" t="s">
        <v>21</v>
      </c>
      <c r="F327" s="5"/>
    </row>
    <row r="328" spans="1:6" ht="72" customHeight="1">
      <c r="A328" s="1" t="s">
        <v>26</v>
      </c>
      <c r="B328" s="1">
        <v>327</v>
      </c>
      <c r="C328" s="1" t="s">
        <v>353</v>
      </c>
      <c r="D328">
        <f>IMAGE("https://raw.githubusercontent.com/stautonico/pokemon-home-pokedex/main/sprites/spinda.png", 2)</f>
        <v>0</v>
      </c>
      <c r="E328" s="28" t="s">
        <v>21</v>
      </c>
      <c r="F328" s="5"/>
    </row>
    <row r="329" spans="1:6" ht="72" customHeight="1">
      <c r="A329" s="1" t="s">
        <v>26</v>
      </c>
      <c r="B329" s="1">
        <v>328</v>
      </c>
      <c r="C329" s="1" t="s">
        <v>354</v>
      </c>
      <c r="D329">
        <f>IMAGE("https://raw.githubusercontent.com/stautonico/pokemon-home-pokedex/main/sprites/trapinch.png", 2)</f>
        <v>0</v>
      </c>
      <c r="E329" s="4" t="s">
        <v>13</v>
      </c>
      <c r="F329" s="5"/>
    </row>
    <row r="330" spans="1:6" ht="72" customHeight="1">
      <c r="A330" s="1" t="s">
        <v>26</v>
      </c>
      <c r="B330" s="1">
        <v>329</v>
      </c>
      <c r="C330" s="1" t="s">
        <v>355</v>
      </c>
      <c r="D330">
        <f>IMAGE("https://raw.githubusercontent.com/stautonico/pokemon-home-pokedex/main/sprites/vibrava.png", 2)</f>
        <v>0</v>
      </c>
      <c r="E330" s="4" t="s">
        <v>13</v>
      </c>
      <c r="F330" s="5"/>
    </row>
    <row r="331" spans="1:6" ht="72" customHeight="1">
      <c r="A331" s="1" t="s">
        <v>26</v>
      </c>
      <c r="B331" s="1">
        <v>330</v>
      </c>
      <c r="C331" s="1" t="s">
        <v>356</v>
      </c>
      <c r="D331">
        <f>IMAGE("https://raw.githubusercontent.com/stautonico/pokemon-home-pokedex/main/sprites/flygon.png", 2)</f>
        <v>0</v>
      </c>
      <c r="E331" s="4" t="s">
        <v>13</v>
      </c>
      <c r="F331" s="5"/>
    </row>
    <row r="332" spans="1:6" ht="72" customHeight="1">
      <c r="A332" s="1" t="s">
        <v>26</v>
      </c>
      <c r="B332" s="1">
        <v>331</v>
      </c>
      <c r="C332" s="1" t="s">
        <v>357</v>
      </c>
      <c r="D332">
        <f>IMAGE("https://raw.githubusercontent.com/stautonico/pokemon-home-pokedex/main/sprites/cacnea.png", 2)</f>
        <v>0</v>
      </c>
      <c r="E332" s="28" t="s">
        <v>21</v>
      </c>
      <c r="F332" s="5"/>
    </row>
    <row r="333" spans="1:6" ht="72" customHeight="1">
      <c r="A333" s="1" t="s">
        <v>26</v>
      </c>
      <c r="B333" s="1">
        <v>332</v>
      </c>
      <c r="C333" s="1" t="s">
        <v>358</v>
      </c>
      <c r="D333">
        <f>IMAGE("https://raw.githubusercontent.com/stautonico/pokemon-home-pokedex/main/sprites/cacturne.png", 2)</f>
        <v>0</v>
      </c>
      <c r="E333" s="28" t="s">
        <v>21</v>
      </c>
      <c r="F333" s="5"/>
    </row>
    <row r="334" spans="1:6" ht="72" customHeight="1">
      <c r="A334" s="1" t="s">
        <v>26</v>
      </c>
      <c r="B334" s="1">
        <v>333</v>
      </c>
      <c r="C334" s="1" t="s">
        <v>359</v>
      </c>
      <c r="D334">
        <f>IMAGE("https://raw.githubusercontent.com/stautonico/pokemon-home-pokedex/main/sprites/swablu.png", 2)</f>
        <v>0</v>
      </c>
      <c r="E334" s="28" t="s">
        <v>21</v>
      </c>
      <c r="F334" s="5"/>
    </row>
    <row r="335" spans="1:6" ht="72" customHeight="1">
      <c r="A335" s="1" t="s">
        <v>26</v>
      </c>
      <c r="B335" s="1">
        <v>334</v>
      </c>
      <c r="C335" s="1" t="s">
        <v>360</v>
      </c>
      <c r="D335">
        <f>IMAGE("https://raw.githubusercontent.com/stautonico/pokemon-home-pokedex/main/sprites/altaria.png", 2)</f>
        <v>0</v>
      </c>
      <c r="E335" s="28" t="s">
        <v>21</v>
      </c>
      <c r="F335" s="5"/>
    </row>
    <row r="336" spans="1:6" ht="72" customHeight="1">
      <c r="A336" s="1" t="s">
        <v>26</v>
      </c>
      <c r="B336" s="1">
        <v>335</v>
      </c>
      <c r="C336" s="1" t="s">
        <v>361</v>
      </c>
      <c r="D336">
        <f>IMAGE("https://raw.githubusercontent.com/stautonico/pokemon-home-pokedex/main/sprites/zangoose.png", 2)</f>
        <v>0</v>
      </c>
      <c r="E336" s="3" t="s">
        <v>12</v>
      </c>
      <c r="F336" s="5"/>
    </row>
    <row r="337" spans="1:6" ht="72" customHeight="1">
      <c r="A337" s="1" t="s">
        <v>26</v>
      </c>
      <c r="B337" s="1">
        <v>336</v>
      </c>
      <c r="C337" s="1" t="s">
        <v>362</v>
      </c>
      <c r="D337">
        <f>IMAGE("https://raw.githubusercontent.com/stautonico/pokemon-home-pokedex/main/sprites/seviper.png", 2)</f>
        <v>0</v>
      </c>
      <c r="E337" s="3" t="s">
        <v>12</v>
      </c>
      <c r="F337" s="5"/>
    </row>
    <row r="338" spans="1:6" ht="72" customHeight="1">
      <c r="A338" s="1" t="s">
        <v>26</v>
      </c>
      <c r="B338" s="1">
        <v>337</v>
      </c>
      <c r="C338" s="1" t="s">
        <v>363</v>
      </c>
      <c r="D338">
        <f>IMAGE("https://raw.githubusercontent.com/stautonico/pokemon-home-pokedex/main/sprites/lunatone.png", 2)</f>
        <v>0</v>
      </c>
      <c r="E338" s="27" t="s">
        <v>15</v>
      </c>
      <c r="F338" s="23" t="s">
        <v>16</v>
      </c>
    </row>
    <row r="339" spans="1:6" ht="72" customHeight="1">
      <c r="A339" s="1" t="s">
        <v>26</v>
      </c>
      <c r="B339" s="1">
        <v>338</v>
      </c>
      <c r="C339" s="1" t="s">
        <v>364</v>
      </c>
      <c r="D339">
        <f>IMAGE("https://raw.githubusercontent.com/stautonico/pokemon-home-pokedex/main/sprites/solrock.png", 2)</f>
        <v>0</v>
      </c>
      <c r="E339" s="29" t="s">
        <v>14</v>
      </c>
      <c r="F339" s="23" t="s">
        <v>16</v>
      </c>
    </row>
    <row r="340" spans="1:6" ht="72" customHeight="1">
      <c r="A340" s="1" t="s">
        <v>26</v>
      </c>
      <c r="B340" s="1">
        <v>339</v>
      </c>
      <c r="C340" s="1" t="s">
        <v>365</v>
      </c>
      <c r="D340">
        <f>IMAGE("https://raw.githubusercontent.com/stautonico/pokemon-home-pokedex/main/sprites/barboach.png", 2)</f>
        <v>0</v>
      </c>
      <c r="E340" s="4" t="s">
        <v>13</v>
      </c>
      <c r="F340" s="5"/>
    </row>
    <row r="341" spans="1:6" ht="72" customHeight="1">
      <c r="A341" s="1" t="s">
        <v>26</v>
      </c>
      <c r="B341" s="1">
        <v>340</v>
      </c>
      <c r="C341" s="1" t="s">
        <v>366</v>
      </c>
      <c r="D341">
        <f>IMAGE("https://raw.githubusercontent.com/stautonico/pokemon-home-pokedex/main/sprites/whiscash.png", 2)</f>
        <v>0</v>
      </c>
      <c r="E341" s="4" t="s">
        <v>13</v>
      </c>
      <c r="F341" s="5"/>
    </row>
    <row r="342" spans="1:6" ht="72" customHeight="1">
      <c r="A342" s="1" t="s">
        <v>26</v>
      </c>
      <c r="B342" s="1">
        <v>341</v>
      </c>
      <c r="C342" s="1" t="s">
        <v>367</v>
      </c>
      <c r="D342">
        <f>IMAGE("https://raw.githubusercontent.com/stautonico/pokemon-home-pokedex/main/sprites/corphish.png", 2)</f>
        <v>0</v>
      </c>
      <c r="E342" s="4" t="s">
        <v>13</v>
      </c>
      <c r="F342" s="5"/>
    </row>
    <row r="343" spans="1:6" ht="72" customHeight="1">
      <c r="A343" s="1" t="s">
        <v>26</v>
      </c>
      <c r="B343" s="1">
        <v>342</v>
      </c>
      <c r="C343" s="1" t="s">
        <v>368</v>
      </c>
      <c r="D343">
        <f>IMAGE("https://raw.githubusercontent.com/stautonico/pokemon-home-pokedex/main/sprites/crawdaunt.png", 2)</f>
        <v>0</v>
      </c>
      <c r="E343" s="4" t="s">
        <v>13</v>
      </c>
      <c r="F343" s="5"/>
    </row>
    <row r="344" spans="1:6" ht="72" customHeight="1">
      <c r="A344" s="1" t="s">
        <v>26</v>
      </c>
      <c r="B344" s="1">
        <v>343</v>
      </c>
      <c r="C344" s="1" t="s">
        <v>369</v>
      </c>
      <c r="D344">
        <f>IMAGE("https://raw.githubusercontent.com/stautonico/pokemon-home-pokedex/main/sprites/baltoy.png", 2)</f>
        <v>0</v>
      </c>
      <c r="E344" s="4" t="s">
        <v>13</v>
      </c>
      <c r="F344" s="5"/>
    </row>
    <row r="345" spans="1:6" ht="72" customHeight="1">
      <c r="A345" s="1" t="s">
        <v>26</v>
      </c>
      <c r="B345" s="1">
        <v>344</v>
      </c>
      <c r="C345" s="1" t="s">
        <v>370</v>
      </c>
      <c r="D345">
        <f>IMAGE("https://raw.githubusercontent.com/stautonico/pokemon-home-pokedex/main/sprites/claydol.png", 2)</f>
        <v>0</v>
      </c>
      <c r="E345" s="4" t="s">
        <v>13</v>
      </c>
      <c r="F345" s="5"/>
    </row>
    <row r="346" spans="1:6" ht="72" customHeight="1">
      <c r="A346" s="1" t="s">
        <v>26</v>
      </c>
      <c r="B346" s="1">
        <v>345</v>
      </c>
      <c r="C346" s="1" t="s">
        <v>371</v>
      </c>
      <c r="D346">
        <f>IMAGE("https://raw.githubusercontent.com/stautonico/pokemon-home-pokedex/main/sprites/lileep.png", 2)</f>
        <v>0</v>
      </c>
      <c r="E346" s="28" t="s">
        <v>21</v>
      </c>
      <c r="F346" s="5" t="s">
        <v>372</v>
      </c>
    </row>
    <row r="347" spans="1:6" ht="72" customHeight="1">
      <c r="A347" s="1" t="s">
        <v>26</v>
      </c>
      <c r="B347" s="1">
        <v>346</v>
      </c>
      <c r="C347" s="1" t="s">
        <v>373</v>
      </c>
      <c r="D347">
        <f>IMAGE("https://raw.githubusercontent.com/stautonico/pokemon-home-pokedex/main/sprites/cradily.png", 2)</f>
        <v>0</v>
      </c>
      <c r="E347" s="28" t="s">
        <v>21</v>
      </c>
      <c r="F347" s="5" t="s">
        <v>372</v>
      </c>
    </row>
    <row r="348" spans="1:6" ht="72" customHeight="1">
      <c r="A348" s="1" t="s">
        <v>26</v>
      </c>
      <c r="B348" s="1">
        <v>347</v>
      </c>
      <c r="C348" s="1" t="s">
        <v>374</v>
      </c>
      <c r="D348">
        <f>IMAGE("https://raw.githubusercontent.com/stautonico/pokemon-home-pokedex/main/sprites/anorith.png", 2)</f>
        <v>0</v>
      </c>
      <c r="E348" s="28" t="s">
        <v>21</v>
      </c>
      <c r="F348" s="5" t="s">
        <v>372</v>
      </c>
    </row>
    <row r="349" spans="1:6" ht="72" customHeight="1">
      <c r="A349" s="1" t="s">
        <v>26</v>
      </c>
      <c r="B349" s="1">
        <v>348</v>
      </c>
      <c r="C349" s="1" t="s">
        <v>375</v>
      </c>
      <c r="D349">
        <f>IMAGE("https://raw.githubusercontent.com/stautonico/pokemon-home-pokedex/main/sprites/armaldo.png", 2)</f>
        <v>0</v>
      </c>
      <c r="E349" s="28" t="s">
        <v>21</v>
      </c>
      <c r="F349" s="5" t="s">
        <v>372</v>
      </c>
    </row>
    <row r="350" spans="1:6" ht="72" customHeight="1">
      <c r="A350" s="1" t="s">
        <v>26</v>
      </c>
      <c r="B350" s="1">
        <v>349</v>
      </c>
      <c r="C350" s="1" t="s">
        <v>376</v>
      </c>
      <c r="D350">
        <f>IMAGE("https://raw.githubusercontent.com/stautonico/pokemon-home-pokedex/main/sprites/feebas.png", 2)</f>
        <v>0</v>
      </c>
      <c r="E350" s="4" t="s">
        <v>13</v>
      </c>
      <c r="F350" s="5"/>
    </row>
    <row r="351" spans="1:6" ht="72" customHeight="1">
      <c r="A351" s="1" t="s">
        <v>26</v>
      </c>
      <c r="B351" s="1">
        <v>350</v>
      </c>
      <c r="C351" s="1" t="s">
        <v>377</v>
      </c>
      <c r="D351">
        <f>IMAGE("https://raw.githubusercontent.com/stautonico/pokemon-home-pokedex/main/sprites/milotic.png", 2)</f>
        <v>0</v>
      </c>
      <c r="E351" s="4" t="s">
        <v>13</v>
      </c>
      <c r="F351" s="5"/>
    </row>
    <row r="352" spans="1:6" ht="72" customHeight="1">
      <c r="A352" s="1" t="s">
        <v>26</v>
      </c>
      <c r="B352" s="1">
        <v>351</v>
      </c>
      <c r="C352" s="1" t="s">
        <v>378</v>
      </c>
      <c r="D352">
        <f>IMAGE("https://raw.githubusercontent.com/stautonico/pokemon-home-pokedex/main/sprites/castform.png", 2)</f>
        <v>0</v>
      </c>
      <c r="E352" s="28" t="s">
        <v>21</v>
      </c>
      <c r="F352" s="5"/>
    </row>
    <row r="353" spans="1:6" ht="72" customHeight="1">
      <c r="A353" s="1" t="s">
        <v>26</v>
      </c>
      <c r="B353" s="1">
        <v>352</v>
      </c>
      <c r="C353" s="1" t="s">
        <v>379</v>
      </c>
      <c r="D353">
        <f>IMAGE("https://raw.githubusercontent.com/stautonico/pokemon-home-pokedex/main/sprites/kecleon.png", 2)</f>
        <v>0</v>
      </c>
      <c r="E353" s="28" t="s">
        <v>21</v>
      </c>
      <c r="F353" s="5"/>
    </row>
    <row r="354" spans="1:6" ht="72" customHeight="1">
      <c r="A354" s="1" t="s">
        <v>26</v>
      </c>
      <c r="B354" s="1">
        <v>353</v>
      </c>
      <c r="C354" s="1" t="s">
        <v>380</v>
      </c>
      <c r="D354">
        <f>IMAGE("https://raw.githubusercontent.com/stautonico/pokemon-home-pokedex/main/sprites/shuppet.png", 2)</f>
        <v>0</v>
      </c>
      <c r="E354" s="28" t="s">
        <v>21</v>
      </c>
      <c r="F354" s="5"/>
    </row>
    <row r="355" spans="1:6" ht="72" customHeight="1">
      <c r="A355" s="1" t="s">
        <v>26</v>
      </c>
      <c r="B355" s="1">
        <v>354</v>
      </c>
      <c r="C355" s="1" t="s">
        <v>381</v>
      </c>
      <c r="D355">
        <f>IMAGE("https://raw.githubusercontent.com/stautonico/pokemon-home-pokedex/main/sprites/banette.png", 2)</f>
        <v>0</v>
      </c>
      <c r="E355" s="28" t="s">
        <v>21</v>
      </c>
      <c r="F355" s="5"/>
    </row>
    <row r="356" spans="1:6" ht="72" customHeight="1">
      <c r="A356" s="1" t="s">
        <v>26</v>
      </c>
      <c r="B356" s="1">
        <v>355</v>
      </c>
      <c r="C356" s="1" t="s">
        <v>382</v>
      </c>
      <c r="D356">
        <f>IMAGE("https://raw.githubusercontent.com/stautonico/pokemon-home-pokedex/main/sprites/duskull.png", 2)</f>
        <v>0</v>
      </c>
      <c r="E356" s="4" t="s">
        <v>13</v>
      </c>
      <c r="F356" s="5"/>
    </row>
    <row r="357" spans="1:6" ht="72" customHeight="1">
      <c r="A357" s="1" t="s">
        <v>26</v>
      </c>
      <c r="B357" s="1">
        <v>356</v>
      </c>
      <c r="C357" s="1" t="s">
        <v>383</v>
      </c>
      <c r="D357">
        <f>IMAGE("https://raw.githubusercontent.com/stautonico/pokemon-home-pokedex/main/sprites/dusclops.png", 2)</f>
        <v>0</v>
      </c>
      <c r="E357" s="4" t="s">
        <v>13</v>
      </c>
      <c r="F357" s="5"/>
    </row>
    <row r="358" spans="1:6" ht="72" customHeight="1">
      <c r="A358" s="1" t="s">
        <v>26</v>
      </c>
      <c r="B358" s="1">
        <v>357</v>
      </c>
      <c r="C358" s="1" t="s">
        <v>384</v>
      </c>
      <c r="D358">
        <f>IMAGE("https://raw.githubusercontent.com/stautonico/pokemon-home-pokedex/main/sprites/tropius.png", 2)</f>
        <v>0</v>
      </c>
      <c r="E358" s="28" t="s">
        <v>21</v>
      </c>
      <c r="F358" s="5"/>
    </row>
    <row r="359" spans="1:6" ht="72" customHeight="1">
      <c r="A359" s="1" t="s">
        <v>26</v>
      </c>
      <c r="B359" s="1">
        <v>358</v>
      </c>
      <c r="C359" s="1" t="s">
        <v>385</v>
      </c>
      <c r="D359">
        <f>IMAGE("https://raw.githubusercontent.com/stautonico/pokemon-home-pokedex/main/sprites/chimecho.png", 2)</f>
        <v>0</v>
      </c>
      <c r="E359" s="28" t="s">
        <v>21</v>
      </c>
      <c r="F359" s="5"/>
    </row>
    <row r="360" spans="1:6" ht="72" customHeight="1">
      <c r="A360" s="1" t="s">
        <v>26</v>
      </c>
      <c r="B360" s="1">
        <v>359</v>
      </c>
      <c r="C360" s="1" t="s">
        <v>386</v>
      </c>
      <c r="D360">
        <f>IMAGE("https://raw.githubusercontent.com/stautonico/pokemon-home-pokedex/main/sprites/absol.png", 2)</f>
        <v>0</v>
      </c>
      <c r="E360" s="28" t="s">
        <v>21</v>
      </c>
      <c r="F360" s="5"/>
    </row>
    <row r="361" spans="1:6" ht="72" customHeight="1">
      <c r="A361" s="1" t="s">
        <v>26</v>
      </c>
      <c r="B361" s="1">
        <v>360</v>
      </c>
      <c r="C361" s="1" t="s">
        <v>387</v>
      </c>
      <c r="D361">
        <f>IMAGE("https://raw.githubusercontent.com/stautonico/pokemon-home-pokedex/main/sprites/wynaut.png", 2)</f>
        <v>0</v>
      </c>
      <c r="E361" s="4" t="s">
        <v>13</v>
      </c>
      <c r="F361" s="5"/>
    </row>
    <row r="362" spans="1:6" ht="72" customHeight="1">
      <c r="A362" s="1" t="s">
        <v>26</v>
      </c>
      <c r="B362" s="1">
        <v>361</v>
      </c>
      <c r="C362" s="1" t="s">
        <v>388</v>
      </c>
      <c r="D362">
        <f>IMAGE("https://raw.githubusercontent.com/stautonico/pokemon-home-pokedex/main/sprites/snorunt.png", 2)</f>
        <v>0</v>
      </c>
      <c r="E362" s="4" t="s">
        <v>13</v>
      </c>
      <c r="F362" s="5"/>
    </row>
    <row r="363" spans="1:6" ht="72" customHeight="1">
      <c r="A363" s="1" t="s">
        <v>26</v>
      </c>
      <c r="B363" s="1">
        <v>362</v>
      </c>
      <c r="C363" s="1" t="s">
        <v>389</v>
      </c>
      <c r="D363">
        <f>IMAGE("https://raw.githubusercontent.com/stautonico/pokemon-home-pokedex/main/sprites/glalie.png", 2)</f>
        <v>0</v>
      </c>
      <c r="E363" s="4" t="s">
        <v>13</v>
      </c>
      <c r="F363" s="5"/>
    </row>
    <row r="364" spans="1:6" ht="72" customHeight="1">
      <c r="A364" s="1" t="s">
        <v>26</v>
      </c>
      <c r="B364" s="1">
        <v>363</v>
      </c>
      <c r="C364" s="1" t="s">
        <v>390</v>
      </c>
      <c r="D364">
        <f>IMAGE("https://raw.githubusercontent.com/stautonico/pokemon-home-pokedex/main/sprites/spheal.png", 2)</f>
        <v>0</v>
      </c>
      <c r="E364" s="28" t="s">
        <v>21</v>
      </c>
      <c r="F364" s="5"/>
    </row>
    <row r="365" spans="1:6" ht="72" customHeight="1">
      <c r="A365" s="1" t="s">
        <v>26</v>
      </c>
      <c r="B365" s="1">
        <v>364</v>
      </c>
      <c r="C365" s="1" t="s">
        <v>391</v>
      </c>
      <c r="D365">
        <f>IMAGE("https://raw.githubusercontent.com/stautonico/pokemon-home-pokedex/main/sprites/sealeo.png", 2)</f>
        <v>0</v>
      </c>
      <c r="E365" s="28" t="s">
        <v>21</v>
      </c>
      <c r="F365" s="5"/>
    </row>
    <row r="366" spans="1:6" ht="72" customHeight="1">
      <c r="A366" s="1" t="s">
        <v>26</v>
      </c>
      <c r="B366" s="1">
        <v>365</v>
      </c>
      <c r="C366" s="1" t="s">
        <v>392</v>
      </c>
      <c r="D366">
        <f>IMAGE("https://raw.githubusercontent.com/stautonico/pokemon-home-pokedex/main/sprites/walrein.png", 2)</f>
        <v>0</v>
      </c>
      <c r="E366" s="28" t="s">
        <v>21</v>
      </c>
      <c r="F366" s="5"/>
    </row>
    <row r="367" spans="1:6" ht="72" customHeight="1">
      <c r="A367" s="1" t="s">
        <v>26</v>
      </c>
      <c r="B367" s="1">
        <v>366</v>
      </c>
      <c r="C367" s="1" t="s">
        <v>393</v>
      </c>
      <c r="D367">
        <f>IMAGE("https://raw.githubusercontent.com/stautonico/pokemon-home-pokedex/main/sprites/clamperl.png", 2)</f>
        <v>0</v>
      </c>
      <c r="E367" s="26" t="s">
        <v>17</v>
      </c>
      <c r="F367" s="28" t="s">
        <v>21</v>
      </c>
    </row>
    <row r="368" spans="1:6" ht="72" customHeight="1">
      <c r="A368" s="1" t="s">
        <v>26</v>
      </c>
      <c r="B368" s="1">
        <v>367</v>
      </c>
      <c r="C368" s="1" t="s">
        <v>394</v>
      </c>
      <c r="D368">
        <f>IMAGE("https://raw.githubusercontent.com/stautonico/pokemon-home-pokedex/main/sprites/huntail.png", 2)</f>
        <v>0</v>
      </c>
      <c r="E368" s="26" t="s">
        <v>17</v>
      </c>
      <c r="F368" s="28" t="s">
        <v>21</v>
      </c>
    </row>
    <row r="369" spans="1:6" ht="72" customHeight="1">
      <c r="A369" s="1" t="s">
        <v>26</v>
      </c>
      <c r="B369" s="1">
        <v>368</v>
      </c>
      <c r="C369" s="1" t="s">
        <v>395</v>
      </c>
      <c r="D369">
        <f>IMAGE("https://raw.githubusercontent.com/stautonico/pokemon-home-pokedex/main/sprites/gorebyss.png", 2)</f>
        <v>0</v>
      </c>
      <c r="E369" s="26" t="s">
        <v>17</v>
      </c>
      <c r="F369" s="28" t="s">
        <v>21</v>
      </c>
    </row>
    <row r="370" spans="1:6" ht="72" customHeight="1">
      <c r="A370" s="1" t="s">
        <v>26</v>
      </c>
      <c r="B370" s="1">
        <v>369</v>
      </c>
      <c r="C370" s="1" t="s">
        <v>396</v>
      </c>
      <c r="D370">
        <f>IMAGE("https://raw.githubusercontent.com/stautonico/pokemon-home-pokedex/main/sprites/relicanth.png", 2)</f>
        <v>0</v>
      </c>
      <c r="E370" s="28" t="s">
        <v>21</v>
      </c>
      <c r="F370" s="5"/>
    </row>
    <row r="371" spans="1:6" ht="72" customHeight="1">
      <c r="A371" s="1" t="s">
        <v>26</v>
      </c>
      <c r="B371" s="1">
        <v>370</v>
      </c>
      <c r="C371" s="1" t="s">
        <v>397</v>
      </c>
      <c r="D371">
        <f>IMAGE("https://raw.githubusercontent.com/stautonico/pokemon-home-pokedex/main/sprites/luvdisc.png", 2)</f>
        <v>0</v>
      </c>
      <c r="E371" s="28" t="s">
        <v>21</v>
      </c>
      <c r="F371" s="5"/>
    </row>
    <row r="372" spans="1:6" ht="72" customHeight="1">
      <c r="A372" s="1" t="s">
        <v>26</v>
      </c>
      <c r="B372" s="1">
        <v>371</v>
      </c>
      <c r="C372" s="1" t="s">
        <v>398</v>
      </c>
      <c r="D372">
        <f>IMAGE("https://raw.githubusercontent.com/stautonico/pokemon-home-pokedex/main/sprites/bagon.png", 2)</f>
        <v>0</v>
      </c>
      <c r="E372" s="28" t="s">
        <v>21</v>
      </c>
      <c r="F372" s="5"/>
    </row>
    <row r="373" spans="1:6" ht="72" customHeight="1">
      <c r="A373" s="1" t="s">
        <v>26</v>
      </c>
      <c r="B373" s="1">
        <v>372</v>
      </c>
      <c r="C373" s="1" t="s">
        <v>399</v>
      </c>
      <c r="D373">
        <f>IMAGE("https://raw.githubusercontent.com/stautonico/pokemon-home-pokedex/main/sprites/shelgon.png", 2)</f>
        <v>0</v>
      </c>
      <c r="E373" s="28" t="s">
        <v>21</v>
      </c>
      <c r="F373" s="5"/>
    </row>
    <row r="374" spans="1:6" ht="72" customHeight="1">
      <c r="A374" s="1" t="s">
        <v>26</v>
      </c>
      <c r="B374" s="1">
        <v>373</v>
      </c>
      <c r="C374" s="1" t="s">
        <v>400</v>
      </c>
      <c r="D374">
        <f>IMAGE("https://raw.githubusercontent.com/stautonico/pokemon-home-pokedex/main/sprites/salamence.png", 2)</f>
        <v>0</v>
      </c>
      <c r="E374" s="28" t="s">
        <v>21</v>
      </c>
      <c r="F374" s="5"/>
    </row>
    <row r="375" spans="1:6" ht="72" customHeight="1">
      <c r="A375" s="1" t="s">
        <v>26</v>
      </c>
      <c r="B375" s="1">
        <v>374</v>
      </c>
      <c r="C375" s="1" t="s">
        <v>401</v>
      </c>
      <c r="D375">
        <f>IMAGE("https://raw.githubusercontent.com/stautonico/pokemon-home-pokedex/main/sprites/beldum.png", 2)</f>
        <v>0</v>
      </c>
      <c r="E375" s="28" t="s">
        <v>21</v>
      </c>
      <c r="F375" s="5"/>
    </row>
    <row r="376" spans="1:6" ht="72" customHeight="1">
      <c r="A376" s="1" t="s">
        <v>26</v>
      </c>
      <c r="B376" s="1">
        <v>375</v>
      </c>
      <c r="C376" s="1" t="s">
        <v>402</v>
      </c>
      <c r="D376">
        <f>IMAGE("https://raw.githubusercontent.com/stautonico/pokemon-home-pokedex/main/sprites/metang.png", 2)</f>
        <v>0</v>
      </c>
      <c r="E376" s="28" t="s">
        <v>21</v>
      </c>
      <c r="F376" s="5"/>
    </row>
    <row r="377" spans="1:6" ht="72" customHeight="1">
      <c r="A377" s="1" t="s">
        <v>26</v>
      </c>
      <c r="B377" s="1">
        <v>376</v>
      </c>
      <c r="C377" s="1" t="s">
        <v>403</v>
      </c>
      <c r="D377">
        <f>IMAGE("https://raw.githubusercontent.com/stautonico/pokemon-home-pokedex/main/sprites/metagross.png", 2)</f>
        <v>0</v>
      </c>
      <c r="E377" s="28" t="s">
        <v>21</v>
      </c>
      <c r="F377" s="5"/>
    </row>
    <row r="378" spans="1:6" ht="72" customHeight="1">
      <c r="A378" s="1" t="s">
        <v>26</v>
      </c>
      <c r="B378" s="1">
        <v>377</v>
      </c>
      <c r="C378" s="1" t="s">
        <v>404</v>
      </c>
      <c r="D378">
        <f>IMAGE("https://raw.githubusercontent.com/stautonico/pokemon-home-pokedex/main/sprites/regirock.png", 2)</f>
        <v>0</v>
      </c>
      <c r="E378" s="28" t="s">
        <v>21</v>
      </c>
      <c r="F378" s="5"/>
    </row>
    <row r="379" spans="1:6" ht="72" customHeight="1">
      <c r="A379" s="1" t="s">
        <v>26</v>
      </c>
      <c r="B379" s="1">
        <v>378</v>
      </c>
      <c r="C379" s="1" t="s">
        <v>405</v>
      </c>
      <c r="D379">
        <f>IMAGE("https://raw.githubusercontent.com/stautonico/pokemon-home-pokedex/main/sprites/regice.png", 2)</f>
        <v>0</v>
      </c>
      <c r="E379" s="28" t="s">
        <v>21</v>
      </c>
      <c r="F379" s="5"/>
    </row>
    <row r="380" spans="1:6" ht="72" customHeight="1">
      <c r="A380" s="1" t="s">
        <v>26</v>
      </c>
      <c r="B380" s="1">
        <v>379</v>
      </c>
      <c r="C380" s="1" t="s">
        <v>406</v>
      </c>
      <c r="D380">
        <f>IMAGE("https://raw.githubusercontent.com/stautonico/pokemon-home-pokedex/main/sprites/registeel.png", 2)</f>
        <v>0</v>
      </c>
      <c r="E380" s="28" t="s">
        <v>21</v>
      </c>
      <c r="F380" s="5"/>
    </row>
    <row r="381" spans="1:6" ht="72" customHeight="1">
      <c r="A381" s="1" t="s">
        <v>26</v>
      </c>
      <c r="B381" s="1">
        <v>380</v>
      </c>
      <c r="C381" s="1" t="s">
        <v>407</v>
      </c>
      <c r="D381">
        <f>IMAGE("https://raw.githubusercontent.com/stautonico/pokemon-home-pokedex/main/sprites/latias.png", 2)</f>
        <v>0</v>
      </c>
      <c r="E381" s="28" t="s">
        <v>21</v>
      </c>
      <c r="F381" s="5"/>
    </row>
    <row r="382" spans="1:6" ht="72" customHeight="1">
      <c r="A382" s="1" t="s">
        <v>26</v>
      </c>
      <c r="B382" s="1">
        <v>381</v>
      </c>
      <c r="C382" s="1" t="s">
        <v>408</v>
      </c>
      <c r="D382">
        <f>IMAGE("https://raw.githubusercontent.com/stautonico/pokemon-home-pokedex/main/sprites/latios.png", 2)</f>
        <v>0</v>
      </c>
      <c r="E382" s="28" t="s">
        <v>21</v>
      </c>
      <c r="F382" s="5"/>
    </row>
    <row r="383" spans="1:6" ht="72" customHeight="1">
      <c r="A383" s="1" t="s">
        <v>26</v>
      </c>
      <c r="B383" s="1">
        <v>382</v>
      </c>
      <c r="C383" s="1" t="s">
        <v>409</v>
      </c>
      <c r="D383">
        <f>IMAGE("https://raw.githubusercontent.com/stautonico/pokemon-home-pokedex/main/sprites/kyogre.png", 2)</f>
        <v>0</v>
      </c>
      <c r="E383" s="28" t="s">
        <v>21</v>
      </c>
      <c r="F383" s="5"/>
    </row>
    <row r="384" spans="1:6" ht="72" customHeight="1">
      <c r="A384" s="1" t="s">
        <v>26</v>
      </c>
      <c r="B384" s="1">
        <v>383</v>
      </c>
      <c r="C384" s="1" t="s">
        <v>410</v>
      </c>
      <c r="D384">
        <f>IMAGE("https://raw.githubusercontent.com/stautonico/pokemon-home-pokedex/main/sprites/groudon.png", 2)</f>
        <v>0</v>
      </c>
      <c r="E384" s="28" t="s">
        <v>21</v>
      </c>
      <c r="F384" s="5"/>
    </row>
    <row r="385" spans="1:6" ht="72" customHeight="1">
      <c r="A385" s="1" t="s">
        <v>26</v>
      </c>
      <c r="B385" s="1">
        <v>384</v>
      </c>
      <c r="C385" s="1" t="s">
        <v>411</v>
      </c>
      <c r="D385">
        <f>IMAGE("https://raw.githubusercontent.com/stautonico/pokemon-home-pokedex/main/sprites/rayquaza.png", 2)</f>
        <v>0</v>
      </c>
      <c r="E385" s="28" t="s">
        <v>21</v>
      </c>
      <c r="F385" s="5"/>
    </row>
    <row r="386" spans="1:6" ht="72" customHeight="1">
      <c r="A386" s="1" t="s">
        <v>26</v>
      </c>
      <c r="B386" s="1">
        <v>385</v>
      </c>
      <c r="C386" s="1" t="s">
        <v>412</v>
      </c>
      <c r="D386">
        <f>IMAGE("https://raw.githubusercontent.com/stautonico/pokemon-home-pokedex/main/sprites/jirachi.png", 2)</f>
        <v>0</v>
      </c>
      <c r="E386" s="31" t="s">
        <v>24</v>
      </c>
      <c r="F386" s="5"/>
    </row>
    <row r="387" spans="1:6" ht="72" customHeight="1">
      <c r="A387" s="1" t="s">
        <v>26</v>
      </c>
      <c r="B387" s="1">
        <v>386</v>
      </c>
      <c r="C387" s="1" t="s">
        <v>413</v>
      </c>
      <c r="D387">
        <f>IMAGE("https://raw.githubusercontent.com/stautonico/pokemon-home-pokedex/main/sprites/deoxys-normal.png", 2)</f>
        <v>0</v>
      </c>
      <c r="E387" s="28" t="s">
        <v>21</v>
      </c>
      <c r="F387" s="5"/>
    </row>
    <row r="388" spans="1:6" ht="72" customHeight="1">
      <c r="A388" s="1" t="s">
        <v>26</v>
      </c>
      <c r="B388" s="1">
        <v>387</v>
      </c>
      <c r="C388" s="1" t="s">
        <v>414</v>
      </c>
      <c r="D388">
        <f>IMAGE("https://raw.githubusercontent.com/stautonico/pokemon-home-pokedex/main/sprites/turtwig.png", 2)</f>
        <v>0</v>
      </c>
      <c r="E388" s="26" t="s">
        <v>17</v>
      </c>
      <c r="F388" s="5"/>
    </row>
    <row r="389" spans="1:6" ht="72" customHeight="1">
      <c r="A389" s="1" t="s">
        <v>26</v>
      </c>
      <c r="B389" s="1">
        <v>388</v>
      </c>
      <c r="C389" s="1" t="s">
        <v>415</v>
      </c>
      <c r="D389">
        <f>IMAGE("https://raw.githubusercontent.com/stautonico/pokemon-home-pokedex/main/sprites/grotle.png", 2)</f>
        <v>0</v>
      </c>
      <c r="E389" s="26" t="s">
        <v>17</v>
      </c>
      <c r="F389" s="5"/>
    </row>
    <row r="390" spans="1:6" ht="72" customHeight="1">
      <c r="A390" s="1" t="s">
        <v>26</v>
      </c>
      <c r="B390" s="1">
        <v>389</v>
      </c>
      <c r="C390" s="1" t="s">
        <v>416</v>
      </c>
      <c r="D390">
        <f>IMAGE("https://raw.githubusercontent.com/stautonico/pokemon-home-pokedex/main/sprites/torterra.png", 2)</f>
        <v>0</v>
      </c>
      <c r="E390" s="26" t="s">
        <v>17</v>
      </c>
      <c r="F390" s="5"/>
    </row>
    <row r="391" spans="1:6" ht="72" customHeight="1">
      <c r="A391" s="1" t="s">
        <v>26</v>
      </c>
      <c r="B391" s="1">
        <v>390</v>
      </c>
      <c r="C391" s="1" t="s">
        <v>417</v>
      </c>
      <c r="D391">
        <f>IMAGE("https://raw.githubusercontent.com/stautonico/pokemon-home-pokedex/main/sprites/chimchar.png", 2)</f>
        <v>0</v>
      </c>
      <c r="E391" s="26" t="s">
        <v>17</v>
      </c>
      <c r="F391" s="5"/>
    </row>
    <row r="392" spans="1:6" ht="72" customHeight="1">
      <c r="A392" s="1" t="s">
        <v>26</v>
      </c>
      <c r="B392" s="1">
        <v>391</v>
      </c>
      <c r="C392" s="1" t="s">
        <v>418</v>
      </c>
      <c r="D392">
        <f>IMAGE("https://raw.githubusercontent.com/stautonico/pokemon-home-pokedex/main/sprites/monferno.png", 2)</f>
        <v>0</v>
      </c>
      <c r="E392" s="26" t="s">
        <v>17</v>
      </c>
      <c r="F392" s="5"/>
    </row>
    <row r="393" spans="1:6" ht="72" customHeight="1">
      <c r="A393" s="1" t="s">
        <v>26</v>
      </c>
      <c r="B393" s="1">
        <v>392</v>
      </c>
      <c r="C393" s="1" t="s">
        <v>419</v>
      </c>
      <c r="D393">
        <f>IMAGE("https://raw.githubusercontent.com/stautonico/pokemon-home-pokedex/main/sprites/infernape.png", 2)</f>
        <v>0</v>
      </c>
      <c r="E393" s="26" t="s">
        <v>17</v>
      </c>
      <c r="F393" s="5"/>
    </row>
    <row r="394" spans="1:6" ht="72" customHeight="1">
      <c r="A394" s="1" t="s">
        <v>26</v>
      </c>
      <c r="B394" s="1">
        <v>393</v>
      </c>
      <c r="C394" s="1" t="s">
        <v>420</v>
      </c>
      <c r="D394">
        <f>IMAGE("https://raw.githubusercontent.com/stautonico/pokemon-home-pokedex/main/sprites/piplup.png", 2)</f>
        <v>0</v>
      </c>
      <c r="E394" s="26" t="s">
        <v>17</v>
      </c>
      <c r="F394" s="5"/>
    </row>
    <row r="395" spans="1:6" ht="72" customHeight="1">
      <c r="A395" s="1" t="s">
        <v>26</v>
      </c>
      <c r="B395" s="1">
        <v>394</v>
      </c>
      <c r="C395" s="1" t="s">
        <v>421</v>
      </c>
      <c r="D395">
        <f>IMAGE("https://raw.githubusercontent.com/stautonico/pokemon-home-pokedex/main/sprites/prinplup.png", 2)</f>
        <v>0</v>
      </c>
      <c r="E395" s="26" t="s">
        <v>17</v>
      </c>
      <c r="F395" s="5"/>
    </row>
    <row r="396" spans="1:6" ht="72" customHeight="1">
      <c r="A396" s="1" t="s">
        <v>26</v>
      </c>
      <c r="B396" s="1">
        <v>395</v>
      </c>
      <c r="C396" s="1" t="s">
        <v>422</v>
      </c>
      <c r="D396">
        <f>IMAGE("https://raw.githubusercontent.com/stautonico/pokemon-home-pokedex/main/sprites/empoleon.png", 2)</f>
        <v>0</v>
      </c>
      <c r="E396" s="26" t="s">
        <v>17</v>
      </c>
      <c r="F396" s="5"/>
    </row>
    <row r="397" spans="1:6" ht="72" customHeight="1">
      <c r="A397" s="1" t="s">
        <v>26</v>
      </c>
      <c r="B397" s="1">
        <v>396</v>
      </c>
      <c r="C397" s="1" t="s">
        <v>423</v>
      </c>
      <c r="D397">
        <f>IMAGE("https://raw.githubusercontent.com/stautonico/pokemon-home-pokedex/main/sprites/starly.png", 2)</f>
        <v>0</v>
      </c>
      <c r="E397" s="23" t="s">
        <v>16</v>
      </c>
      <c r="F397" s="5"/>
    </row>
    <row r="398" spans="1:6" ht="72" customHeight="1">
      <c r="A398" s="1" t="s">
        <v>26</v>
      </c>
      <c r="B398" s="1">
        <v>397</v>
      </c>
      <c r="C398" s="1" t="s">
        <v>424</v>
      </c>
      <c r="D398">
        <f>IMAGE("https://raw.githubusercontent.com/stautonico/pokemon-home-pokedex/main/sprites/staravia.png", 2)</f>
        <v>0</v>
      </c>
      <c r="E398" s="23" t="s">
        <v>16</v>
      </c>
      <c r="F398" s="5"/>
    </row>
    <row r="399" spans="1:6" ht="72" customHeight="1">
      <c r="A399" s="1" t="s">
        <v>26</v>
      </c>
      <c r="B399" s="1">
        <v>398</v>
      </c>
      <c r="C399" s="1" t="s">
        <v>425</v>
      </c>
      <c r="D399">
        <f>IMAGE("https://raw.githubusercontent.com/stautonico/pokemon-home-pokedex/main/sprites/staraptor.png", 2)</f>
        <v>0</v>
      </c>
      <c r="E399" s="23" t="s">
        <v>16</v>
      </c>
      <c r="F399" s="5"/>
    </row>
    <row r="400" spans="1:6" ht="72" customHeight="1">
      <c r="A400" s="1" t="s">
        <v>26</v>
      </c>
      <c r="B400" s="1">
        <v>399</v>
      </c>
      <c r="C400" s="1" t="s">
        <v>426</v>
      </c>
      <c r="D400">
        <f>IMAGE("https://raw.githubusercontent.com/stautonico/pokemon-home-pokedex/main/sprites/bidoof.png", 2)</f>
        <v>0</v>
      </c>
      <c r="E400" s="23" t="s">
        <v>16</v>
      </c>
      <c r="F400" s="5"/>
    </row>
    <row r="401" spans="1:6" ht="72" customHeight="1">
      <c r="A401" s="1" t="s">
        <v>26</v>
      </c>
      <c r="B401" s="1">
        <v>400</v>
      </c>
      <c r="C401" s="1" t="s">
        <v>427</v>
      </c>
      <c r="D401">
        <f>IMAGE("https://raw.githubusercontent.com/stautonico/pokemon-home-pokedex/main/sprites/bibarel.png", 2)</f>
        <v>0</v>
      </c>
      <c r="E401" s="23" t="s">
        <v>16</v>
      </c>
      <c r="F401" s="5"/>
    </row>
    <row r="402" spans="1:6" ht="72" customHeight="1">
      <c r="A402" s="1" t="s">
        <v>26</v>
      </c>
      <c r="B402" s="1">
        <v>401</v>
      </c>
      <c r="C402" s="1" t="s">
        <v>428</v>
      </c>
      <c r="D402">
        <f>IMAGE("https://raw.githubusercontent.com/stautonico/pokemon-home-pokedex/main/sprites/kricketot.png", 2)</f>
        <v>0</v>
      </c>
      <c r="E402" s="32" t="s">
        <v>22</v>
      </c>
      <c r="F402" s="5"/>
    </row>
    <row r="403" spans="1:6" ht="72" customHeight="1">
      <c r="A403" s="1" t="s">
        <v>26</v>
      </c>
      <c r="B403" s="1">
        <v>402</v>
      </c>
      <c r="C403" s="1" t="s">
        <v>429</v>
      </c>
      <c r="D403">
        <f>IMAGE("https://raw.githubusercontent.com/stautonico/pokemon-home-pokedex/main/sprites/kricketune.png", 2)</f>
        <v>0</v>
      </c>
      <c r="E403" s="32" t="s">
        <v>22</v>
      </c>
      <c r="F403" s="5"/>
    </row>
    <row r="404" spans="1:6" ht="72" customHeight="1">
      <c r="A404" s="1" t="s">
        <v>26</v>
      </c>
      <c r="B404" s="1">
        <v>403</v>
      </c>
      <c r="C404" s="1" t="s">
        <v>430</v>
      </c>
      <c r="D404">
        <f>IMAGE("https://raw.githubusercontent.com/stautonico/pokemon-home-pokedex/main/sprites/shinx.png", 2)</f>
        <v>0</v>
      </c>
      <c r="E404" s="3" t="s">
        <v>12</v>
      </c>
      <c r="F404" s="32" t="s">
        <v>22</v>
      </c>
    </row>
    <row r="405" spans="1:6" ht="72" customHeight="1">
      <c r="A405" s="1" t="s">
        <v>26</v>
      </c>
      <c r="B405" s="1">
        <v>404</v>
      </c>
      <c r="C405" s="1" t="s">
        <v>431</v>
      </c>
      <c r="D405">
        <f>IMAGE("https://raw.githubusercontent.com/stautonico/pokemon-home-pokedex/main/sprites/luxio.png", 2)</f>
        <v>0</v>
      </c>
      <c r="E405" s="3" t="s">
        <v>12</v>
      </c>
      <c r="F405" s="32" t="s">
        <v>22</v>
      </c>
    </row>
    <row r="406" spans="1:6" ht="72" customHeight="1">
      <c r="A406" s="1" t="s">
        <v>26</v>
      </c>
      <c r="B406" s="1">
        <v>405</v>
      </c>
      <c r="C406" s="1" t="s">
        <v>432</v>
      </c>
      <c r="D406">
        <f>IMAGE("https://raw.githubusercontent.com/stautonico/pokemon-home-pokedex/main/sprites/luxray.png", 2)</f>
        <v>0</v>
      </c>
      <c r="E406" s="3" t="s">
        <v>12</v>
      </c>
      <c r="F406" s="32" t="s">
        <v>22</v>
      </c>
    </row>
    <row r="407" spans="1:6" ht="72" customHeight="1">
      <c r="A407" s="1" t="s">
        <v>26</v>
      </c>
      <c r="B407" s="1">
        <v>406</v>
      </c>
      <c r="C407" s="1" t="s">
        <v>433</v>
      </c>
      <c r="D407">
        <f>IMAGE("https://raw.githubusercontent.com/stautonico/pokemon-home-pokedex/main/sprites/budew.png", 2)</f>
        <v>0</v>
      </c>
      <c r="E407" s="4" t="s">
        <v>13</v>
      </c>
      <c r="F407" s="5"/>
    </row>
    <row r="408" spans="1:6" ht="72" customHeight="1">
      <c r="A408" s="1" t="s">
        <v>26</v>
      </c>
      <c r="B408" s="1">
        <v>407</v>
      </c>
      <c r="C408" s="1" t="s">
        <v>434</v>
      </c>
      <c r="D408">
        <f>IMAGE("https://raw.githubusercontent.com/stautonico/pokemon-home-pokedex/main/sprites/roserade.png", 2)</f>
        <v>0</v>
      </c>
      <c r="E408" s="4" t="s">
        <v>13</v>
      </c>
      <c r="F408" s="5"/>
    </row>
    <row r="409" spans="1:6" ht="72" customHeight="1">
      <c r="A409" s="1" t="s">
        <v>26</v>
      </c>
      <c r="B409" s="1">
        <v>408</v>
      </c>
      <c r="C409" s="1" t="s">
        <v>435</v>
      </c>
      <c r="D409">
        <f>IMAGE("https://raw.githubusercontent.com/stautonico/pokemon-home-pokedex/main/sprites/cranidos.png", 2)</f>
        <v>0</v>
      </c>
      <c r="E409" s="33" t="s">
        <v>19</v>
      </c>
      <c r="F409" s="5"/>
    </row>
    <row r="410" spans="1:6" ht="72" customHeight="1">
      <c r="A410" s="1" t="s">
        <v>26</v>
      </c>
      <c r="B410" s="1">
        <v>409</v>
      </c>
      <c r="C410" s="1" t="s">
        <v>436</v>
      </c>
      <c r="D410">
        <f>IMAGE("https://raw.githubusercontent.com/stautonico/pokemon-home-pokedex/main/sprites/rampardos.png", 2)</f>
        <v>0</v>
      </c>
      <c r="E410" s="33" t="s">
        <v>19</v>
      </c>
      <c r="F410" s="5"/>
    </row>
    <row r="411" spans="1:6" ht="72" customHeight="1">
      <c r="A411" s="1" t="s">
        <v>26</v>
      </c>
      <c r="B411" s="1">
        <v>410</v>
      </c>
      <c r="C411" s="1" t="s">
        <v>437</v>
      </c>
      <c r="D411">
        <f>IMAGE("https://raw.githubusercontent.com/stautonico/pokemon-home-pokedex/main/sprites/shieldon.png", 2)</f>
        <v>0</v>
      </c>
      <c r="E411" s="34" t="s">
        <v>20</v>
      </c>
      <c r="F411" s="5"/>
    </row>
    <row r="412" spans="1:6" ht="72" customHeight="1">
      <c r="A412" s="1" t="s">
        <v>26</v>
      </c>
      <c r="B412" s="1">
        <v>411</v>
      </c>
      <c r="C412" s="1" t="s">
        <v>438</v>
      </c>
      <c r="D412">
        <f>IMAGE("https://raw.githubusercontent.com/stautonico/pokemon-home-pokedex/main/sprites/bastiodon.png", 2)</f>
        <v>0</v>
      </c>
      <c r="E412" s="34" t="s">
        <v>20</v>
      </c>
      <c r="F412" s="5"/>
    </row>
    <row r="413" spans="1:6" ht="72" customHeight="1">
      <c r="A413" s="1" t="s">
        <v>26</v>
      </c>
      <c r="B413" s="1">
        <v>412</v>
      </c>
      <c r="C413" s="1" t="s">
        <v>439</v>
      </c>
      <c r="D413">
        <f>IMAGE("https://raw.githubusercontent.com/stautonico/pokemon-home-pokedex/main/sprites/burmy.png", 2)</f>
        <v>0</v>
      </c>
      <c r="E413" s="23" t="s">
        <v>16</v>
      </c>
      <c r="F413" s="5"/>
    </row>
    <row r="414" spans="1:6" ht="72" customHeight="1">
      <c r="A414" s="1" t="s">
        <v>26</v>
      </c>
      <c r="B414" s="1">
        <v>413</v>
      </c>
      <c r="C414" s="1" t="s">
        <v>440</v>
      </c>
      <c r="D414">
        <f>IMAGE("https://raw.githubusercontent.com/stautonico/pokemon-home-pokedex/main/sprites/wormadam-plant.png", 2)</f>
        <v>0</v>
      </c>
      <c r="E414" s="23" t="s">
        <v>16</v>
      </c>
      <c r="F414" s="5"/>
    </row>
    <row r="415" spans="1:6" ht="72" customHeight="1">
      <c r="A415" s="1" t="s">
        <v>26</v>
      </c>
      <c r="B415" s="1">
        <v>414</v>
      </c>
      <c r="C415" s="1" t="s">
        <v>441</v>
      </c>
      <c r="D415">
        <f>IMAGE("https://raw.githubusercontent.com/stautonico/pokemon-home-pokedex/main/sprites/mothim.png", 2)</f>
        <v>0</v>
      </c>
      <c r="E415" s="23" t="s">
        <v>16</v>
      </c>
      <c r="F415" s="5"/>
    </row>
    <row r="416" spans="1:6" ht="72" customHeight="1">
      <c r="A416" s="1" t="s">
        <v>26</v>
      </c>
      <c r="B416" s="1">
        <v>415</v>
      </c>
      <c r="C416" s="1" t="s">
        <v>442</v>
      </c>
      <c r="D416">
        <f>IMAGE("https://raw.githubusercontent.com/stautonico/pokemon-home-pokedex/main/sprites/combee.png", 2)</f>
        <v>0</v>
      </c>
      <c r="E416" s="4" t="s">
        <v>13</v>
      </c>
      <c r="F416" s="5"/>
    </row>
    <row r="417" spans="1:6" ht="72" customHeight="1">
      <c r="A417" s="1" t="s">
        <v>26</v>
      </c>
      <c r="B417" s="1">
        <v>416</v>
      </c>
      <c r="C417" s="1" t="s">
        <v>443</v>
      </c>
      <c r="D417">
        <f>IMAGE("https://raw.githubusercontent.com/stautonico/pokemon-home-pokedex/main/sprites/vespiquen.png", 2)</f>
        <v>0</v>
      </c>
      <c r="E417" s="4" t="s">
        <v>13</v>
      </c>
      <c r="F417" s="5"/>
    </row>
    <row r="418" spans="1:6" ht="72" customHeight="1">
      <c r="A418" s="1" t="s">
        <v>26</v>
      </c>
      <c r="B418" s="1">
        <v>417</v>
      </c>
      <c r="C418" s="1" t="s">
        <v>444</v>
      </c>
      <c r="D418">
        <f>IMAGE("https://raw.githubusercontent.com/stautonico/pokemon-home-pokedex/main/sprites/pachirisu.png", 2)</f>
        <v>0</v>
      </c>
      <c r="E418" s="23" t="s">
        <v>16</v>
      </c>
      <c r="F418" s="5"/>
    </row>
    <row r="419" spans="1:6" ht="72" customHeight="1">
      <c r="A419" s="1" t="s">
        <v>26</v>
      </c>
      <c r="B419" s="1">
        <v>418</v>
      </c>
      <c r="C419" s="1" t="s">
        <v>445</v>
      </c>
      <c r="D419">
        <f>IMAGE("https://raw.githubusercontent.com/stautonico/pokemon-home-pokedex/main/sprites/buizel.png", 2)</f>
        <v>0</v>
      </c>
      <c r="E419" s="23" t="s">
        <v>16</v>
      </c>
      <c r="F419" s="5"/>
    </row>
    <row r="420" spans="1:6" ht="72" customHeight="1">
      <c r="A420" s="1" t="s">
        <v>26</v>
      </c>
      <c r="B420" s="1">
        <v>419</v>
      </c>
      <c r="C420" s="1" t="s">
        <v>446</v>
      </c>
      <c r="D420">
        <f>IMAGE("https://raw.githubusercontent.com/stautonico/pokemon-home-pokedex/main/sprites/floatzel.png", 2)</f>
        <v>0</v>
      </c>
      <c r="E420" s="23" t="s">
        <v>16</v>
      </c>
      <c r="F420" s="5"/>
    </row>
    <row r="421" spans="1:6" ht="72" customHeight="1">
      <c r="A421" s="1" t="s">
        <v>26</v>
      </c>
      <c r="B421" s="1">
        <v>420</v>
      </c>
      <c r="C421" s="1" t="s">
        <v>447</v>
      </c>
      <c r="D421">
        <f>IMAGE("https://raw.githubusercontent.com/stautonico/pokemon-home-pokedex/main/sprites/cherubi.png", 2)</f>
        <v>0</v>
      </c>
      <c r="E421" s="4" t="s">
        <v>13</v>
      </c>
      <c r="F421" s="5"/>
    </row>
    <row r="422" spans="1:6" ht="72" customHeight="1">
      <c r="A422" s="1" t="s">
        <v>26</v>
      </c>
      <c r="B422" s="1">
        <v>421</v>
      </c>
      <c r="C422" s="1" t="s">
        <v>448</v>
      </c>
      <c r="D422">
        <f>IMAGE("https://raw.githubusercontent.com/stautonico/pokemon-home-pokedex/main/sprites/cherrim.png", 2)</f>
        <v>0</v>
      </c>
      <c r="E422" s="4" t="s">
        <v>13</v>
      </c>
      <c r="F422" s="5"/>
    </row>
    <row r="423" spans="1:6" ht="72" customHeight="1">
      <c r="A423" s="1" t="s">
        <v>26</v>
      </c>
      <c r="B423" s="1">
        <v>422</v>
      </c>
      <c r="C423" s="1" t="s">
        <v>449</v>
      </c>
      <c r="D423">
        <f>IMAGE("https://raw.githubusercontent.com/stautonico/pokemon-home-pokedex/main/sprites/shellos.png", 2)</f>
        <v>0</v>
      </c>
      <c r="E423" s="4" t="s">
        <v>13</v>
      </c>
      <c r="F423" s="5"/>
    </row>
    <row r="424" spans="1:6" ht="72" customHeight="1">
      <c r="A424" s="1" t="s">
        <v>26</v>
      </c>
      <c r="B424" s="1">
        <v>423</v>
      </c>
      <c r="C424" s="1" t="s">
        <v>450</v>
      </c>
      <c r="D424">
        <f>IMAGE("https://raw.githubusercontent.com/stautonico/pokemon-home-pokedex/main/sprites/gastrodon.png", 2)</f>
        <v>0</v>
      </c>
      <c r="E424" s="4" t="s">
        <v>13</v>
      </c>
      <c r="F424" s="5"/>
    </row>
    <row r="425" spans="1:6" ht="72" customHeight="1">
      <c r="A425" s="1" t="s">
        <v>26</v>
      </c>
      <c r="B425" s="1">
        <v>424</v>
      </c>
      <c r="C425" s="1" t="s">
        <v>451</v>
      </c>
      <c r="D425">
        <f>IMAGE("https://raw.githubusercontent.com/stautonico/pokemon-home-pokedex/main/sprites/ambipom.png", 2)</f>
        <v>0</v>
      </c>
      <c r="E425" s="28" t="s">
        <v>21</v>
      </c>
      <c r="F425" s="5"/>
    </row>
    <row r="426" spans="1:6" ht="72" customHeight="1">
      <c r="A426" s="1" t="s">
        <v>26</v>
      </c>
      <c r="B426" s="1">
        <v>425</v>
      </c>
      <c r="C426" s="1" t="s">
        <v>452</v>
      </c>
      <c r="D426">
        <f>IMAGE("https://raw.githubusercontent.com/stautonico/pokemon-home-pokedex/main/sprites/drifloon.png", 2)</f>
        <v>0</v>
      </c>
      <c r="E426" s="4" t="s">
        <v>13</v>
      </c>
      <c r="F426" s="5"/>
    </row>
    <row r="427" spans="1:6" ht="72" customHeight="1">
      <c r="A427" s="1" t="s">
        <v>26</v>
      </c>
      <c r="B427" s="1">
        <v>426</v>
      </c>
      <c r="C427" s="1" t="s">
        <v>453</v>
      </c>
      <c r="D427">
        <f>IMAGE("https://raw.githubusercontent.com/stautonico/pokemon-home-pokedex/main/sprites/drifblim.png", 2)</f>
        <v>0</v>
      </c>
      <c r="E427" s="4" t="s">
        <v>13</v>
      </c>
      <c r="F427" s="5"/>
    </row>
    <row r="428" spans="1:6" ht="72" customHeight="1">
      <c r="A428" s="1" t="s">
        <v>26</v>
      </c>
      <c r="B428" s="1">
        <v>427</v>
      </c>
      <c r="C428" s="1" t="s">
        <v>454</v>
      </c>
      <c r="D428">
        <f>IMAGE("https://raw.githubusercontent.com/stautonico/pokemon-home-pokedex/main/sprites/buneary.png", 2)</f>
        <v>0</v>
      </c>
      <c r="E428" s="3" t="s">
        <v>12</v>
      </c>
      <c r="F428" s="26" t="s">
        <v>17</v>
      </c>
    </row>
    <row r="429" spans="1:6" ht="72" customHeight="1">
      <c r="A429" s="1" t="s">
        <v>26</v>
      </c>
      <c r="B429" s="1">
        <v>428</v>
      </c>
      <c r="C429" s="1" t="s">
        <v>455</v>
      </c>
      <c r="D429">
        <f>IMAGE("https://raw.githubusercontent.com/stautonico/pokemon-home-pokedex/main/sprites/lopunny.png", 2)</f>
        <v>0</v>
      </c>
      <c r="E429" s="3" t="s">
        <v>12</v>
      </c>
      <c r="F429" s="26" t="s">
        <v>17</v>
      </c>
    </row>
    <row r="430" spans="1:6" ht="72" customHeight="1">
      <c r="A430" s="1" t="s">
        <v>26</v>
      </c>
      <c r="B430" s="1">
        <v>429</v>
      </c>
      <c r="C430" s="1" t="s">
        <v>456</v>
      </c>
      <c r="D430">
        <f>IMAGE("https://raw.githubusercontent.com/stautonico/pokemon-home-pokedex/main/sprites/mismagius.png", 2)</f>
        <v>0</v>
      </c>
      <c r="E430" s="26" t="s">
        <v>17</v>
      </c>
      <c r="F430" s="5"/>
    </row>
    <row r="431" spans="1:6" ht="72" customHeight="1">
      <c r="A431" s="1" t="s">
        <v>26</v>
      </c>
      <c r="B431" s="1">
        <v>430</v>
      </c>
      <c r="C431" s="1" t="s">
        <v>457</v>
      </c>
      <c r="D431">
        <f>IMAGE("https://raw.githubusercontent.com/stautonico/pokemon-home-pokedex/main/sprites/honchkrow.png", 2)</f>
        <v>0</v>
      </c>
      <c r="E431" s="23" t="s">
        <v>16</v>
      </c>
      <c r="F431" s="5"/>
    </row>
    <row r="432" spans="1:6" ht="72" customHeight="1">
      <c r="A432" s="1" t="s">
        <v>26</v>
      </c>
      <c r="B432" s="1">
        <v>431</v>
      </c>
      <c r="C432" s="1" t="s">
        <v>458</v>
      </c>
      <c r="D432">
        <f>IMAGE("https://raw.githubusercontent.com/stautonico/pokemon-home-pokedex/main/sprites/glameow.png", 2)</f>
        <v>0</v>
      </c>
      <c r="E432" s="28" t="s">
        <v>21</v>
      </c>
      <c r="F432" s="5"/>
    </row>
    <row r="433" spans="1:6" ht="72" customHeight="1">
      <c r="A433" s="1" t="s">
        <v>26</v>
      </c>
      <c r="B433" s="1">
        <v>432</v>
      </c>
      <c r="C433" s="1" t="s">
        <v>459</v>
      </c>
      <c r="D433">
        <f>IMAGE("https://raw.githubusercontent.com/stautonico/pokemon-home-pokedex/main/sprites/purugly.png", 2)</f>
        <v>0</v>
      </c>
      <c r="E433" s="28" t="s">
        <v>21</v>
      </c>
      <c r="F433" s="5"/>
    </row>
    <row r="434" spans="1:6" ht="72" customHeight="1">
      <c r="A434" s="1" t="s">
        <v>26</v>
      </c>
      <c r="B434" s="1">
        <v>433</v>
      </c>
      <c r="C434" s="1" t="s">
        <v>460</v>
      </c>
      <c r="D434">
        <f>IMAGE("https://raw.githubusercontent.com/stautonico/pokemon-home-pokedex/main/sprites/chingling.png", 2)</f>
        <v>0</v>
      </c>
      <c r="E434" s="26" t="s">
        <v>17</v>
      </c>
      <c r="F434" s="5"/>
    </row>
    <row r="435" spans="1:6" ht="72" customHeight="1">
      <c r="A435" s="1" t="s">
        <v>26</v>
      </c>
      <c r="B435" s="1">
        <v>434</v>
      </c>
      <c r="C435" s="1" t="s">
        <v>461</v>
      </c>
      <c r="D435">
        <f>IMAGE("https://raw.githubusercontent.com/stautonico/pokemon-home-pokedex/main/sprites/stunky.png", 2)</f>
        <v>0</v>
      </c>
      <c r="E435" s="4" t="s">
        <v>13</v>
      </c>
      <c r="F435" s="5"/>
    </row>
    <row r="436" spans="1:6" ht="72" customHeight="1">
      <c r="A436" s="1" t="s">
        <v>26</v>
      </c>
      <c r="B436" s="1">
        <v>435</v>
      </c>
      <c r="C436" s="1" t="s">
        <v>462</v>
      </c>
      <c r="D436">
        <f>IMAGE("https://raw.githubusercontent.com/stautonico/pokemon-home-pokedex/main/sprites/skuntank.png", 2)</f>
        <v>0</v>
      </c>
      <c r="E436" s="4" t="s">
        <v>13</v>
      </c>
      <c r="F436" s="5"/>
    </row>
    <row r="437" spans="1:6" ht="72" customHeight="1">
      <c r="A437" s="1" t="s">
        <v>26</v>
      </c>
      <c r="B437" s="1">
        <v>436</v>
      </c>
      <c r="C437" s="1" t="s">
        <v>463</v>
      </c>
      <c r="D437">
        <f>IMAGE("https://raw.githubusercontent.com/stautonico/pokemon-home-pokedex/main/sprites/bronzor.png", 2)</f>
        <v>0</v>
      </c>
      <c r="E437" s="4" t="s">
        <v>13</v>
      </c>
      <c r="F437" s="5"/>
    </row>
    <row r="438" spans="1:6" ht="72" customHeight="1">
      <c r="A438" s="1" t="s">
        <v>26</v>
      </c>
      <c r="B438" s="1">
        <v>437</v>
      </c>
      <c r="C438" s="1" t="s">
        <v>464</v>
      </c>
      <c r="D438">
        <f>IMAGE("https://raw.githubusercontent.com/stautonico/pokemon-home-pokedex/main/sprites/bronzong.png", 2)</f>
        <v>0</v>
      </c>
      <c r="E438" s="4" t="s">
        <v>13</v>
      </c>
      <c r="F438" s="5"/>
    </row>
    <row r="439" spans="1:6" ht="72" customHeight="1">
      <c r="A439" s="1" t="s">
        <v>26</v>
      </c>
      <c r="B439" s="1">
        <v>438</v>
      </c>
      <c r="C439" s="1" t="s">
        <v>465</v>
      </c>
      <c r="D439">
        <f>IMAGE("https://raw.githubusercontent.com/stautonico/pokemon-home-pokedex/main/sprites/bonsly.png", 2)</f>
        <v>0</v>
      </c>
      <c r="E439" s="4" t="s">
        <v>13</v>
      </c>
      <c r="F439" s="5"/>
    </row>
    <row r="440" spans="1:6" ht="72" customHeight="1">
      <c r="A440" s="1" t="s">
        <v>26</v>
      </c>
      <c r="B440" s="1">
        <v>439</v>
      </c>
      <c r="C440" s="1" t="s">
        <v>466</v>
      </c>
      <c r="D440">
        <f>IMAGE("https://raw.githubusercontent.com/stautonico/pokemon-home-pokedex/main/sprites/mimejr.png", 2)</f>
        <v>0</v>
      </c>
      <c r="E440" s="4" t="s">
        <v>13</v>
      </c>
      <c r="F440" s="5"/>
    </row>
    <row r="441" spans="1:6" ht="72" customHeight="1">
      <c r="A441" s="1" t="s">
        <v>26</v>
      </c>
      <c r="B441" s="1">
        <v>440</v>
      </c>
      <c r="C441" s="1" t="s">
        <v>467</v>
      </c>
      <c r="D441">
        <f>IMAGE("https://raw.githubusercontent.com/stautonico/pokemon-home-pokedex/main/sprites/happiny.png", 2)</f>
        <v>0</v>
      </c>
      <c r="E441" s="3" t="s">
        <v>12</v>
      </c>
      <c r="F441" s="26" t="s">
        <v>17</v>
      </c>
    </row>
    <row r="442" spans="1:6" ht="72" customHeight="1">
      <c r="A442" s="1" t="s">
        <v>26</v>
      </c>
      <c r="B442" s="1">
        <v>441</v>
      </c>
      <c r="C442" s="1" t="s">
        <v>468</v>
      </c>
      <c r="D442">
        <f>IMAGE("https://raw.githubusercontent.com/stautonico/pokemon-home-pokedex/main/sprites/chatot.png", 2)</f>
        <v>0</v>
      </c>
      <c r="E442" s="23" t="s">
        <v>16</v>
      </c>
      <c r="F442" s="5"/>
    </row>
    <row r="443" spans="1:6" ht="72" customHeight="1">
      <c r="A443" s="1" t="s">
        <v>26</v>
      </c>
      <c r="B443" s="1">
        <v>442</v>
      </c>
      <c r="C443" s="1" t="s">
        <v>469</v>
      </c>
      <c r="D443">
        <f>IMAGE("https://raw.githubusercontent.com/stautonico/pokemon-home-pokedex/main/sprites/spiritomb.png", 2)</f>
        <v>0</v>
      </c>
      <c r="E443" s="28" t="s">
        <v>21</v>
      </c>
      <c r="F443" s="5"/>
    </row>
    <row r="444" spans="1:6" ht="72" customHeight="1">
      <c r="A444" s="1" t="s">
        <v>26</v>
      </c>
      <c r="B444" s="1">
        <v>443</v>
      </c>
      <c r="C444" s="1" t="s">
        <v>470</v>
      </c>
      <c r="D444">
        <f>IMAGE("https://raw.githubusercontent.com/stautonico/pokemon-home-pokedex/main/sprites/gible.png", 2)</f>
        <v>0</v>
      </c>
      <c r="E444" s="23" t="s">
        <v>16</v>
      </c>
      <c r="F444" s="5"/>
    </row>
    <row r="445" spans="1:6" ht="72" customHeight="1">
      <c r="A445" s="1" t="s">
        <v>26</v>
      </c>
      <c r="B445" s="1">
        <v>444</v>
      </c>
      <c r="C445" s="1" t="s">
        <v>471</v>
      </c>
      <c r="D445">
        <f>IMAGE("https://raw.githubusercontent.com/stautonico/pokemon-home-pokedex/main/sprites/gabite.png", 2)</f>
        <v>0</v>
      </c>
      <c r="E445" s="23" t="s">
        <v>16</v>
      </c>
      <c r="F445" s="5"/>
    </row>
    <row r="446" spans="1:6" ht="72" customHeight="1">
      <c r="A446" s="1" t="s">
        <v>26</v>
      </c>
      <c r="B446" s="1">
        <v>445</v>
      </c>
      <c r="C446" s="1" t="s">
        <v>472</v>
      </c>
      <c r="D446">
        <f>IMAGE("https://raw.githubusercontent.com/stautonico/pokemon-home-pokedex/main/sprites/garchomp.png", 2)</f>
        <v>0</v>
      </c>
      <c r="E446" s="23" t="s">
        <v>16</v>
      </c>
      <c r="F446" s="5"/>
    </row>
    <row r="447" spans="1:6" ht="72" customHeight="1">
      <c r="A447" s="1" t="s">
        <v>26</v>
      </c>
      <c r="B447" s="1">
        <v>446</v>
      </c>
      <c r="C447" s="1" t="s">
        <v>473</v>
      </c>
      <c r="D447">
        <f>IMAGE("https://raw.githubusercontent.com/stautonico/pokemon-home-pokedex/main/sprites/munchlax.png", 2)</f>
        <v>0</v>
      </c>
      <c r="E447" s="4" t="s">
        <v>13</v>
      </c>
      <c r="F447" s="5"/>
    </row>
    <row r="448" spans="1:6" ht="72" customHeight="1">
      <c r="A448" s="1" t="s">
        <v>26</v>
      </c>
      <c r="B448" s="1">
        <v>447</v>
      </c>
      <c r="C448" s="1" t="s">
        <v>474</v>
      </c>
      <c r="D448">
        <f>IMAGE("https://raw.githubusercontent.com/stautonico/pokemon-home-pokedex/main/sprites/riolu.png", 2)</f>
        <v>0</v>
      </c>
      <c r="E448" s="4" t="s">
        <v>13</v>
      </c>
      <c r="F448" s="5"/>
    </row>
    <row r="449" spans="1:6" ht="72" customHeight="1">
      <c r="A449" s="1" t="s">
        <v>26</v>
      </c>
      <c r="B449" s="1">
        <v>448</v>
      </c>
      <c r="C449" s="1" t="s">
        <v>475</v>
      </c>
      <c r="D449">
        <f>IMAGE("https://raw.githubusercontent.com/stautonico/pokemon-home-pokedex/main/sprites/lucario.png", 2)</f>
        <v>0</v>
      </c>
      <c r="E449" s="4" t="s">
        <v>13</v>
      </c>
      <c r="F449" s="5"/>
    </row>
    <row r="450" spans="1:6" ht="72" customHeight="1">
      <c r="A450" s="1" t="s">
        <v>26</v>
      </c>
      <c r="B450" s="1">
        <v>449</v>
      </c>
      <c r="C450" s="1" t="s">
        <v>476</v>
      </c>
      <c r="D450">
        <f>IMAGE("https://raw.githubusercontent.com/stautonico/pokemon-home-pokedex/main/sprites/hippopotas.png", 2)</f>
        <v>0</v>
      </c>
      <c r="E450" s="4" t="s">
        <v>13</v>
      </c>
      <c r="F450" s="5"/>
    </row>
    <row r="451" spans="1:6" ht="72" customHeight="1">
      <c r="A451" s="1" t="s">
        <v>26</v>
      </c>
      <c r="B451" s="1">
        <v>450</v>
      </c>
      <c r="C451" s="1" t="s">
        <v>477</v>
      </c>
      <c r="D451">
        <f>IMAGE("https://raw.githubusercontent.com/stautonico/pokemon-home-pokedex/main/sprites/hippowdon.png", 2)</f>
        <v>0</v>
      </c>
      <c r="E451" s="4" t="s">
        <v>13</v>
      </c>
      <c r="F451" s="5"/>
    </row>
    <row r="452" spans="1:6" ht="72" customHeight="1">
      <c r="A452" s="1" t="s">
        <v>26</v>
      </c>
      <c r="B452" s="1">
        <v>451</v>
      </c>
      <c r="C452" s="1" t="s">
        <v>478</v>
      </c>
      <c r="D452">
        <f>IMAGE("https://raw.githubusercontent.com/stautonico/pokemon-home-pokedex/main/sprites/skorupi.png", 2)</f>
        <v>0</v>
      </c>
      <c r="E452" s="4" t="s">
        <v>13</v>
      </c>
      <c r="F452" s="5"/>
    </row>
    <row r="453" spans="1:6" ht="72" customHeight="1">
      <c r="A453" s="1" t="s">
        <v>26</v>
      </c>
      <c r="B453" s="1">
        <v>452</v>
      </c>
      <c r="C453" s="1" t="s">
        <v>479</v>
      </c>
      <c r="D453">
        <f>IMAGE("https://raw.githubusercontent.com/stautonico/pokemon-home-pokedex/main/sprites/drapion.png", 2)</f>
        <v>0</v>
      </c>
      <c r="E453" s="4" t="s">
        <v>13</v>
      </c>
      <c r="F453" s="5"/>
    </row>
    <row r="454" spans="1:6" ht="72" customHeight="1">
      <c r="A454" s="1" t="s">
        <v>26</v>
      </c>
      <c r="B454" s="1">
        <v>453</v>
      </c>
      <c r="C454" s="1" t="s">
        <v>480</v>
      </c>
      <c r="D454">
        <f>IMAGE("https://raw.githubusercontent.com/stautonico/pokemon-home-pokedex/main/sprites/croagunk.png", 2)</f>
        <v>0</v>
      </c>
      <c r="E454" s="27" t="s">
        <v>15</v>
      </c>
      <c r="F454" s="23" t="s">
        <v>16</v>
      </c>
    </row>
    <row r="455" spans="1:6" ht="72" customHeight="1">
      <c r="A455" s="1" t="s">
        <v>26</v>
      </c>
      <c r="B455" s="1">
        <v>454</v>
      </c>
      <c r="C455" s="1" t="s">
        <v>481</v>
      </c>
      <c r="D455">
        <f>IMAGE("https://raw.githubusercontent.com/stautonico/pokemon-home-pokedex/main/sprites/toxicroak.png", 2)</f>
        <v>0</v>
      </c>
      <c r="E455" s="27" t="s">
        <v>15</v>
      </c>
      <c r="F455" s="23" t="s">
        <v>16</v>
      </c>
    </row>
    <row r="456" spans="1:6" ht="72" customHeight="1">
      <c r="A456" s="1" t="s">
        <v>26</v>
      </c>
      <c r="B456" s="1">
        <v>455</v>
      </c>
      <c r="C456" s="1" t="s">
        <v>482</v>
      </c>
      <c r="D456">
        <f>IMAGE("https://raw.githubusercontent.com/stautonico/pokemon-home-pokedex/main/sprites/carnivine.png", 2)</f>
        <v>0</v>
      </c>
      <c r="E456" s="23" t="s">
        <v>16</v>
      </c>
      <c r="F456" s="5"/>
    </row>
    <row r="457" spans="1:6" ht="72" customHeight="1">
      <c r="A457" s="1" t="s">
        <v>26</v>
      </c>
      <c r="B457" s="1">
        <v>456</v>
      </c>
      <c r="C457" s="1" t="s">
        <v>483</v>
      </c>
      <c r="D457">
        <f>IMAGE("https://raw.githubusercontent.com/stautonico/pokemon-home-pokedex/main/sprites/finneon.png", 2)</f>
        <v>0</v>
      </c>
      <c r="E457" s="26" t="s">
        <v>17</v>
      </c>
      <c r="F457" s="5"/>
    </row>
    <row r="458" spans="1:6" ht="72" customHeight="1">
      <c r="A458" s="1" t="s">
        <v>26</v>
      </c>
      <c r="B458" s="1">
        <v>457</v>
      </c>
      <c r="C458" s="1" t="s">
        <v>484</v>
      </c>
      <c r="D458">
        <f>IMAGE("https://raw.githubusercontent.com/stautonico/pokemon-home-pokedex/main/sprites/lumineon.png", 2)</f>
        <v>0</v>
      </c>
      <c r="E458" s="26" t="s">
        <v>17</v>
      </c>
      <c r="F458" s="5"/>
    </row>
    <row r="459" spans="1:6" ht="72" customHeight="1">
      <c r="A459" s="1" t="s">
        <v>26</v>
      </c>
      <c r="B459" s="1">
        <v>458</v>
      </c>
      <c r="C459" s="1" t="s">
        <v>485</v>
      </c>
      <c r="D459">
        <f>IMAGE("https://raw.githubusercontent.com/stautonico/pokemon-home-pokedex/main/sprites/mantyke.png", 2)</f>
        <v>0</v>
      </c>
      <c r="E459" s="4" t="s">
        <v>13</v>
      </c>
      <c r="F459" s="5"/>
    </row>
    <row r="460" spans="1:6" ht="72" customHeight="1">
      <c r="A460" s="1" t="s">
        <v>26</v>
      </c>
      <c r="B460" s="1">
        <v>459</v>
      </c>
      <c r="C460" s="1" t="s">
        <v>486</v>
      </c>
      <c r="D460">
        <f>IMAGE("https://raw.githubusercontent.com/stautonico/pokemon-home-pokedex/main/sprites/snover.png", 2)</f>
        <v>0</v>
      </c>
      <c r="E460" s="4" t="s">
        <v>13</v>
      </c>
      <c r="F460" s="5"/>
    </row>
    <row r="461" spans="1:6" ht="72" customHeight="1">
      <c r="A461" s="1" t="s">
        <v>26</v>
      </c>
      <c r="B461" s="1">
        <v>460</v>
      </c>
      <c r="C461" s="1" t="s">
        <v>487</v>
      </c>
      <c r="D461">
        <f>IMAGE("https://raw.githubusercontent.com/stautonico/pokemon-home-pokedex/main/sprites/abomasnow.png", 2)</f>
        <v>0</v>
      </c>
      <c r="E461" s="4" t="s">
        <v>13</v>
      </c>
      <c r="F461" s="5"/>
    </row>
    <row r="462" spans="1:6" ht="72" customHeight="1">
      <c r="A462" s="1" t="s">
        <v>26</v>
      </c>
      <c r="B462" s="1">
        <v>461</v>
      </c>
      <c r="C462" s="1" t="s">
        <v>488</v>
      </c>
      <c r="D462">
        <f>IMAGE("https://raw.githubusercontent.com/stautonico/pokemon-home-pokedex/main/sprites/weavile.png", 2)</f>
        <v>0</v>
      </c>
      <c r="E462" s="4" t="s">
        <v>13</v>
      </c>
      <c r="F462" s="5"/>
    </row>
    <row r="463" spans="1:6" ht="72" customHeight="1">
      <c r="A463" s="1" t="s">
        <v>26</v>
      </c>
      <c r="B463" s="1">
        <v>462</v>
      </c>
      <c r="C463" s="1" t="s">
        <v>489</v>
      </c>
      <c r="D463">
        <f>IMAGE("https://raw.githubusercontent.com/stautonico/pokemon-home-pokedex/main/sprites/magnezone.png", 2)</f>
        <v>0</v>
      </c>
      <c r="E463" s="3" t="s">
        <v>12</v>
      </c>
      <c r="F463" s="26" t="s">
        <v>17</v>
      </c>
    </row>
    <row r="464" spans="1:6" ht="72" customHeight="1">
      <c r="A464" s="1" t="s">
        <v>26</v>
      </c>
      <c r="B464" s="1">
        <v>463</v>
      </c>
      <c r="C464" s="1" t="s">
        <v>490</v>
      </c>
      <c r="D464">
        <f>IMAGE("https://raw.githubusercontent.com/stautonico/pokemon-home-pokedex/main/sprites/lickilicky.png", 2)</f>
        <v>0</v>
      </c>
      <c r="E464" s="3" t="s">
        <v>12</v>
      </c>
      <c r="F464" s="26" t="s">
        <v>17</v>
      </c>
    </row>
    <row r="465" spans="1:6" ht="72" customHeight="1">
      <c r="A465" s="1" t="s">
        <v>26</v>
      </c>
      <c r="B465" s="1">
        <v>464</v>
      </c>
      <c r="C465" s="1" t="s">
        <v>491</v>
      </c>
      <c r="D465">
        <f>IMAGE("https://raw.githubusercontent.com/stautonico/pokemon-home-pokedex/main/sprites/rhyperior.png", 2)</f>
        <v>0</v>
      </c>
      <c r="E465" s="4" t="s">
        <v>13</v>
      </c>
      <c r="F465" s="5"/>
    </row>
    <row r="466" spans="1:6" ht="72" customHeight="1">
      <c r="A466" s="1" t="s">
        <v>26</v>
      </c>
      <c r="B466" s="1">
        <v>465</v>
      </c>
      <c r="C466" s="1" t="s">
        <v>492</v>
      </c>
      <c r="D466">
        <f>IMAGE("https://raw.githubusercontent.com/stautonico/pokemon-home-pokedex/main/sprites/tangrowth.png", 2)</f>
        <v>0</v>
      </c>
      <c r="E466" s="3" t="s">
        <v>12</v>
      </c>
      <c r="F466" s="28" t="s">
        <v>21</v>
      </c>
    </row>
    <row r="467" spans="1:6" ht="72" customHeight="1">
      <c r="A467" s="1" t="s">
        <v>26</v>
      </c>
      <c r="B467" s="1">
        <v>466</v>
      </c>
      <c r="C467" s="1" t="s">
        <v>493</v>
      </c>
      <c r="D467">
        <f>IMAGE("https://raw.githubusercontent.com/stautonico/pokemon-home-pokedex/main/sprites/electivire.png", 2)</f>
        <v>0</v>
      </c>
      <c r="E467" s="26" t="s">
        <v>17</v>
      </c>
      <c r="F467" s="5"/>
    </row>
    <row r="468" spans="1:6" ht="72" customHeight="1">
      <c r="A468" s="1" t="s">
        <v>26</v>
      </c>
      <c r="B468" s="1">
        <v>467</v>
      </c>
      <c r="C468" s="1" t="s">
        <v>494</v>
      </c>
      <c r="D468">
        <f>IMAGE("https://raw.githubusercontent.com/stautonico/pokemon-home-pokedex/main/sprites/magmortar.png", 2)</f>
        <v>0</v>
      </c>
      <c r="E468" s="26" t="s">
        <v>17</v>
      </c>
      <c r="F468" s="5"/>
    </row>
    <row r="469" spans="1:6" ht="72" customHeight="1">
      <c r="A469" s="1" t="s">
        <v>26</v>
      </c>
      <c r="B469" s="1">
        <v>468</v>
      </c>
      <c r="C469" s="1" t="s">
        <v>495</v>
      </c>
      <c r="D469">
        <f>IMAGE("https://raw.githubusercontent.com/stautonico/pokemon-home-pokedex/main/sprites/togekiss.png", 2)</f>
        <v>0</v>
      </c>
      <c r="E469" s="4" t="s">
        <v>13</v>
      </c>
      <c r="F469" s="5"/>
    </row>
    <row r="470" spans="1:6" ht="72" customHeight="1">
      <c r="A470" s="1" t="s">
        <v>26</v>
      </c>
      <c r="B470" s="1">
        <v>469</v>
      </c>
      <c r="C470" s="1" t="s">
        <v>496</v>
      </c>
      <c r="D470">
        <f>IMAGE("https://raw.githubusercontent.com/stautonico/pokemon-home-pokedex/main/sprites/yanmega.png", 2)</f>
        <v>0</v>
      </c>
      <c r="E470" s="23" t="s">
        <v>16</v>
      </c>
      <c r="F470" s="5"/>
    </row>
    <row r="471" spans="1:6" ht="72" customHeight="1">
      <c r="A471" s="1" t="s">
        <v>26</v>
      </c>
      <c r="B471" s="1">
        <v>470</v>
      </c>
      <c r="C471" s="1" t="s">
        <v>497</v>
      </c>
      <c r="D471">
        <f>IMAGE("https://raw.githubusercontent.com/stautonico/pokemon-home-pokedex/main/sprites/leafeon.png", 2)</f>
        <v>0</v>
      </c>
      <c r="E471" s="4" t="s">
        <v>13</v>
      </c>
      <c r="F471" s="5"/>
    </row>
    <row r="472" spans="1:6" ht="72" customHeight="1">
      <c r="A472" s="1" t="s">
        <v>26</v>
      </c>
      <c r="B472" s="1">
        <v>471</v>
      </c>
      <c r="C472" s="1" t="s">
        <v>498</v>
      </c>
      <c r="D472">
        <f>IMAGE("https://raw.githubusercontent.com/stautonico/pokemon-home-pokedex/main/sprites/glaceon.png", 2)</f>
        <v>0</v>
      </c>
      <c r="E472" s="4" t="s">
        <v>13</v>
      </c>
      <c r="F472" s="5"/>
    </row>
    <row r="473" spans="1:6" ht="72" customHeight="1">
      <c r="A473" s="1" t="s">
        <v>26</v>
      </c>
      <c r="B473" s="1">
        <v>472</v>
      </c>
      <c r="C473" s="1" t="s">
        <v>499</v>
      </c>
      <c r="D473">
        <f>IMAGE("https://raw.githubusercontent.com/stautonico/pokemon-home-pokedex/main/sprites/gliscor.png", 2)</f>
        <v>0</v>
      </c>
      <c r="E473" s="23" t="s">
        <v>16</v>
      </c>
      <c r="F473" s="5"/>
    </row>
    <row r="474" spans="1:6" ht="72" customHeight="1">
      <c r="A474" s="1" t="s">
        <v>26</v>
      </c>
      <c r="B474" s="1">
        <v>473</v>
      </c>
      <c r="C474" s="1" t="s">
        <v>500</v>
      </c>
      <c r="D474">
        <f>IMAGE("https://raw.githubusercontent.com/stautonico/pokemon-home-pokedex/main/sprites/mamoswine.png", 2)</f>
        <v>0</v>
      </c>
      <c r="E474" s="4" t="s">
        <v>13</v>
      </c>
      <c r="F474" s="5"/>
    </row>
    <row r="475" spans="1:6" ht="72" customHeight="1">
      <c r="A475" s="1" t="s">
        <v>26</v>
      </c>
      <c r="B475" s="1">
        <v>474</v>
      </c>
      <c r="C475" s="1" t="s">
        <v>501</v>
      </c>
      <c r="D475">
        <f>IMAGE("https://raw.githubusercontent.com/stautonico/pokemon-home-pokedex/main/sprites/porygon-z.png", 2)</f>
        <v>0</v>
      </c>
      <c r="E475" s="3" t="s">
        <v>12</v>
      </c>
      <c r="F475" s="26" t="s">
        <v>17</v>
      </c>
    </row>
    <row r="476" spans="1:6" ht="72" customHeight="1">
      <c r="A476" s="1" t="s">
        <v>26</v>
      </c>
      <c r="B476" s="1">
        <v>475</v>
      </c>
      <c r="C476" s="1" t="s">
        <v>502</v>
      </c>
      <c r="D476">
        <f>IMAGE("https://raw.githubusercontent.com/stautonico/pokemon-home-pokedex/main/sprites/gallade.png", 2)</f>
        <v>0</v>
      </c>
      <c r="E476" s="4" t="s">
        <v>13</v>
      </c>
      <c r="F476" s="5"/>
    </row>
    <row r="477" spans="1:6" ht="72" customHeight="1">
      <c r="A477" s="1" t="s">
        <v>26</v>
      </c>
      <c r="B477" s="1">
        <v>476</v>
      </c>
      <c r="C477" s="1" t="s">
        <v>503</v>
      </c>
      <c r="D477">
        <f>IMAGE("https://raw.githubusercontent.com/stautonico/pokemon-home-pokedex/main/sprites/probopass.png", 2)</f>
        <v>0</v>
      </c>
      <c r="E477" s="28" t="s">
        <v>21</v>
      </c>
      <c r="F477" s="5"/>
    </row>
    <row r="478" spans="1:6" ht="72" customHeight="1">
      <c r="A478" s="1" t="s">
        <v>26</v>
      </c>
      <c r="B478" s="1">
        <v>477</v>
      </c>
      <c r="C478" s="1" t="s">
        <v>504</v>
      </c>
      <c r="D478">
        <f>IMAGE("https://raw.githubusercontent.com/stautonico/pokemon-home-pokedex/main/sprites/dusknoir.png", 2)</f>
        <v>0</v>
      </c>
      <c r="E478" s="4" t="s">
        <v>13</v>
      </c>
      <c r="F478" s="5"/>
    </row>
    <row r="479" spans="1:6" ht="72" customHeight="1">
      <c r="A479" s="1" t="s">
        <v>26</v>
      </c>
      <c r="B479" s="1">
        <v>478</v>
      </c>
      <c r="C479" s="1" t="s">
        <v>505</v>
      </c>
      <c r="D479">
        <f>IMAGE("https://raw.githubusercontent.com/stautonico/pokemon-home-pokedex/main/sprites/froslass.png", 2)</f>
        <v>0</v>
      </c>
      <c r="E479" s="4" t="s">
        <v>13</v>
      </c>
      <c r="F479" s="5"/>
    </row>
    <row r="480" spans="1:6" ht="72" customHeight="1">
      <c r="A480" s="1" t="s">
        <v>26</v>
      </c>
      <c r="B480" s="1">
        <v>479</v>
      </c>
      <c r="C480" s="1" t="s">
        <v>506</v>
      </c>
      <c r="D480">
        <f>IMAGE("https://raw.githubusercontent.com/stautonico/pokemon-home-pokedex/main/sprites/rotom.png", 2)</f>
        <v>0</v>
      </c>
      <c r="E480" s="4" t="s">
        <v>13</v>
      </c>
      <c r="F480" s="5"/>
    </row>
    <row r="481" spans="1:6" ht="72" customHeight="1">
      <c r="A481" s="1" t="s">
        <v>26</v>
      </c>
      <c r="B481" s="1">
        <v>480</v>
      </c>
      <c r="C481" s="1" t="s">
        <v>507</v>
      </c>
      <c r="D481">
        <f>IMAGE("https://raw.githubusercontent.com/stautonico/pokemon-home-pokedex/main/sprites/uxie.png", 2)</f>
        <v>0</v>
      </c>
      <c r="E481" s="26" t="s">
        <v>17</v>
      </c>
      <c r="F481" s="5"/>
    </row>
    <row r="482" spans="1:6" ht="72" customHeight="1">
      <c r="A482" s="1" t="s">
        <v>26</v>
      </c>
      <c r="B482" s="1">
        <v>481</v>
      </c>
      <c r="C482" s="1" t="s">
        <v>508</v>
      </c>
      <c r="D482">
        <f>IMAGE("https://raw.githubusercontent.com/stautonico/pokemon-home-pokedex/main/sprites/mesprit.png", 2)</f>
        <v>0</v>
      </c>
      <c r="E482" s="26" t="s">
        <v>17</v>
      </c>
      <c r="F482" s="5"/>
    </row>
    <row r="483" spans="1:6" ht="72" customHeight="1">
      <c r="A483" s="1" t="s">
        <v>26</v>
      </c>
      <c r="B483" s="1">
        <v>482</v>
      </c>
      <c r="C483" s="1" t="s">
        <v>509</v>
      </c>
      <c r="D483">
        <f>IMAGE("https://raw.githubusercontent.com/stautonico/pokemon-home-pokedex/main/sprites/azelf.png", 2)</f>
        <v>0</v>
      </c>
      <c r="E483" s="26" t="s">
        <v>17</v>
      </c>
      <c r="F483" s="5"/>
    </row>
    <row r="484" spans="1:6" ht="72" customHeight="1">
      <c r="A484" s="1" t="s">
        <v>26</v>
      </c>
      <c r="B484" s="1">
        <v>483</v>
      </c>
      <c r="C484" s="1" t="s">
        <v>510</v>
      </c>
      <c r="D484">
        <f>IMAGE("https://raw.githubusercontent.com/stautonico/pokemon-home-pokedex/main/sprites/dialga.png", 2)</f>
        <v>0</v>
      </c>
      <c r="E484" s="33" t="s">
        <v>19</v>
      </c>
      <c r="F484" s="35" t="s">
        <v>23</v>
      </c>
    </row>
    <row r="485" spans="1:6" ht="72" customHeight="1">
      <c r="A485" s="1" t="s">
        <v>26</v>
      </c>
      <c r="B485" s="1">
        <v>484</v>
      </c>
      <c r="C485" s="1" t="s">
        <v>511</v>
      </c>
      <c r="D485">
        <f>IMAGE("https://raw.githubusercontent.com/stautonico/pokemon-home-pokedex/main/sprites/palkia.png", 2)</f>
        <v>0</v>
      </c>
      <c r="E485" s="34" t="s">
        <v>20</v>
      </c>
      <c r="F485" s="32" t="s">
        <v>22</v>
      </c>
    </row>
    <row r="486" spans="1:6" ht="72" customHeight="1">
      <c r="A486" s="1" t="s">
        <v>26</v>
      </c>
      <c r="B486" s="1">
        <v>485</v>
      </c>
      <c r="C486" s="1" t="s">
        <v>512</v>
      </c>
      <c r="D486">
        <f>IMAGE("https://raw.githubusercontent.com/stautonico/pokemon-home-pokedex/main/sprites/heatran.png", 2)</f>
        <v>0</v>
      </c>
      <c r="E486" s="28" t="s">
        <v>21</v>
      </c>
      <c r="F486" s="5"/>
    </row>
    <row r="487" spans="1:6" ht="72" customHeight="1">
      <c r="A487" s="1" t="s">
        <v>26</v>
      </c>
      <c r="B487" s="1">
        <v>486</v>
      </c>
      <c r="C487" s="1" t="s">
        <v>513</v>
      </c>
      <c r="D487">
        <f>IMAGE("https://raw.githubusercontent.com/stautonico/pokemon-home-pokedex/main/sprites/regigigas.png", 2)</f>
        <v>0</v>
      </c>
      <c r="E487" s="28" t="s">
        <v>21</v>
      </c>
      <c r="F487" s="5"/>
    </row>
    <row r="488" spans="1:6" ht="72" customHeight="1">
      <c r="A488" s="1" t="s">
        <v>26</v>
      </c>
      <c r="B488" s="1">
        <v>487</v>
      </c>
      <c r="C488" s="1" t="s">
        <v>514</v>
      </c>
      <c r="D488">
        <f>IMAGE("https://raw.githubusercontent.com/stautonico/pokemon-home-pokedex/main/sprites/giratina-altered.png", 2)</f>
        <v>0</v>
      </c>
      <c r="E488" s="26" t="s">
        <v>17</v>
      </c>
      <c r="F488" s="5"/>
    </row>
    <row r="489" spans="1:6" ht="72" customHeight="1">
      <c r="A489" s="1" t="s">
        <v>26</v>
      </c>
      <c r="B489" s="1">
        <v>488</v>
      </c>
      <c r="C489" s="1" t="s">
        <v>515</v>
      </c>
      <c r="D489">
        <f>IMAGE("https://raw.githubusercontent.com/stautonico/pokemon-home-pokedex/main/sprites/cresselia.png", 2)</f>
        <v>0</v>
      </c>
      <c r="E489" s="26" t="s">
        <v>17</v>
      </c>
      <c r="F489" s="28" t="s">
        <v>21</v>
      </c>
    </row>
    <row r="490" spans="1:6" ht="72" customHeight="1">
      <c r="A490" s="1" t="s">
        <v>26</v>
      </c>
      <c r="B490" s="1">
        <v>489</v>
      </c>
      <c r="C490" s="1" t="s">
        <v>516</v>
      </c>
      <c r="D490">
        <f>IMAGE("https://raw.githubusercontent.com/stautonico/pokemon-home-pokedex/main/sprites/phione.png", 2)</f>
        <v>0</v>
      </c>
      <c r="E490" s="31" t="s">
        <v>24</v>
      </c>
      <c r="F490" s="5"/>
    </row>
    <row r="491" spans="1:6" ht="72" customHeight="1">
      <c r="A491" s="1" t="s">
        <v>26</v>
      </c>
      <c r="B491" s="1">
        <v>490</v>
      </c>
      <c r="C491" s="1" t="s">
        <v>517</v>
      </c>
      <c r="D491">
        <f>IMAGE("https://raw.githubusercontent.com/stautonico/pokemon-home-pokedex/main/sprites/manaphy.png", 2)</f>
        <v>0</v>
      </c>
      <c r="E491" s="31" t="s">
        <v>24</v>
      </c>
      <c r="F491" s="5"/>
    </row>
    <row r="492" spans="1:6" ht="72" customHeight="1">
      <c r="A492" s="1" t="s">
        <v>26</v>
      </c>
      <c r="B492" s="1">
        <v>491</v>
      </c>
      <c r="C492" s="1" t="s">
        <v>518</v>
      </c>
      <c r="D492">
        <f>IMAGE("https://raw.githubusercontent.com/stautonico/pokemon-home-pokedex/main/sprites/darkrai.png", 2)</f>
        <v>0</v>
      </c>
      <c r="E492" s="31" t="s">
        <v>24</v>
      </c>
      <c r="F492" s="5"/>
    </row>
    <row r="493" spans="1:6" ht="72" customHeight="1">
      <c r="A493" s="1" t="s">
        <v>26</v>
      </c>
      <c r="B493" s="1">
        <v>492</v>
      </c>
      <c r="C493" s="1" t="s">
        <v>519</v>
      </c>
      <c r="D493">
        <f>IMAGE("https://raw.githubusercontent.com/stautonico/pokemon-home-pokedex/main/sprites/shaymin-land.png", 2)</f>
        <v>0</v>
      </c>
      <c r="E493" s="31" t="s">
        <v>24</v>
      </c>
      <c r="F493" s="5"/>
    </row>
    <row r="494" spans="1:6" ht="72" customHeight="1">
      <c r="A494" s="1" t="s">
        <v>26</v>
      </c>
      <c r="B494" s="1">
        <v>493</v>
      </c>
      <c r="C494" s="1" t="s">
        <v>520</v>
      </c>
      <c r="D494">
        <f>IMAGE("https://raw.githubusercontent.com/stautonico/pokemon-home-pokedex/main/sprites/arceus.png", 2)</f>
        <v>0</v>
      </c>
      <c r="E494" s="31" t="s">
        <v>24</v>
      </c>
      <c r="F494" s="5"/>
    </row>
    <row r="495" spans="1:6" ht="72" customHeight="1">
      <c r="A495" s="1" t="s">
        <v>26</v>
      </c>
      <c r="B495" s="1">
        <v>494</v>
      </c>
      <c r="C495" s="1" t="s">
        <v>521</v>
      </c>
      <c r="D495">
        <f>IMAGE("https://raw.githubusercontent.com/stautonico/pokemon-home-pokedex/main/sprites/victini.png", 2)</f>
        <v>0</v>
      </c>
      <c r="E495" s="31" t="s">
        <v>24</v>
      </c>
      <c r="F495" s="5"/>
    </row>
    <row r="496" spans="1:6" ht="72" customHeight="1">
      <c r="A496" s="1" t="s">
        <v>26</v>
      </c>
      <c r="B496" s="1">
        <v>495</v>
      </c>
      <c r="C496" s="1" t="s">
        <v>522</v>
      </c>
      <c r="D496">
        <f>IMAGE("https://raw.githubusercontent.com/stautonico/pokemon-home-pokedex/main/sprites/snivy.png", 2)</f>
        <v>0</v>
      </c>
      <c r="E496" s="28" t="s">
        <v>21</v>
      </c>
      <c r="F496" s="5" t="s">
        <v>523</v>
      </c>
    </row>
    <row r="497" spans="1:6" ht="72" customHeight="1">
      <c r="A497" s="1" t="s">
        <v>26</v>
      </c>
      <c r="B497" s="1">
        <v>496</v>
      </c>
      <c r="C497" s="1" t="s">
        <v>524</v>
      </c>
      <c r="D497">
        <f>IMAGE("https://raw.githubusercontent.com/stautonico/pokemon-home-pokedex/main/sprites/servine.png", 2)</f>
        <v>0</v>
      </c>
      <c r="E497" s="28" t="s">
        <v>21</v>
      </c>
      <c r="F497" s="5" t="s">
        <v>523</v>
      </c>
    </row>
    <row r="498" spans="1:6" ht="72" customHeight="1">
      <c r="A498" s="1" t="s">
        <v>26</v>
      </c>
      <c r="B498" s="1">
        <v>497</v>
      </c>
      <c r="C498" s="1" t="s">
        <v>525</v>
      </c>
      <c r="D498">
        <f>IMAGE("https://raw.githubusercontent.com/stautonico/pokemon-home-pokedex/main/sprites/serperior.png", 2)</f>
        <v>0</v>
      </c>
      <c r="E498" s="28" t="s">
        <v>21</v>
      </c>
      <c r="F498" s="5" t="s">
        <v>523</v>
      </c>
    </row>
    <row r="499" spans="1:6" ht="72" customHeight="1">
      <c r="A499" s="1" t="s">
        <v>26</v>
      </c>
      <c r="B499" s="1">
        <v>498</v>
      </c>
      <c r="C499" s="1" t="s">
        <v>526</v>
      </c>
      <c r="D499">
        <f>IMAGE("https://raw.githubusercontent.com/stautonico/pokemon-home-pokedex/main/sprites/tepig.png", 2)</f>
        <v>0</v>
      </c>
      <c r="E499" s="28" t="s">
        <v>21</v>
      </c>
      <c r="F499" s="5" t="s">
        <v>523</v>
      </c>
    </row>
    <row r="500" spans="1:6" ht="72" customHeight="1">
      <c r="A500" s="1" t="s">
        <v>26</v>
      </c>
      <c r="B500" s="1">
        <v>499</v>
      </c>
      <c r="C500" s="1" t="s">
        <v>527</v>
      </c>
      <c r="D500">
        <f>IMAGE("https://raw.githubusercontent.com/stautonico/pokemon-home-pokedex/main/sprites/pignite.png", 2)</f>
        <v>0</v>
      </c>
      <c r="E500" s="28" t="s">
        <v>21</v>
      </c>
      <c r="F500" s="5" t="s">
        <v>523</v>
      </c>
    </row>
    <row r="501" spans="1:6" ht="72" customHeight="1">
      <c r="A501" s="1" t="s">
        <v>26</v>
      </c>
      <c r="B501" s="1">
        <v>500</v>
      </c>
      <c r="C501" s="1" t="s">
        <v>528</v>
      </c>
      <c r="D501">
        <f>IMAGE("https://raw.githubusercontent.com/stautonico/pokemon-home-pokedex/main/sprites/emboar.png", 2)</f>
        <v>0</v>
      </c>
      <c r="E501" s="28" t="s">
        <v>21</v>
      </c>
      <c r="F501" s="5" t="s">
        <v>523</v>
      </c>
    </row>
    <row r="502" spans="1:6" ht="72" customHeight="1">
      <c r="A502" s="1" t="s">
        <v>26</v>
      </c>
      <c r="B502" s="1">
        <v>501</v>
      </c>
      <c r="C502" s="1" t="s">
        <v>529</v>
      </c>
      <c r="D502">
        <f>IMAGE("https://raw.githubusercontent.com/stautonico/pokemon-home-pokedex/main/sprites/oshawott.png", 2)</f>
        <v>0</v>
      </c>
      <c r="E502" s="28" t="s">
        <v>21</v>
      </c>
      <c r="F502" s="5" t="s">
        <v>523</v>
      </c>
    </row>
    <row r="503" spans="1:6" ht="72" customHeight="1">
      <c r="A503" s="1" t="s">
        <v>26</v>
      </c>
      <c r="B503" s="1">
        <v>502</v>
      </c>
      <c r="C503" s="1" t="s">
        <v>530</v>
      </c>
      <c r="D503">
        <f>IMAGE("https://raw.githubusercontent.com/stautonico/pokemon-home-pokedex/main/sprites/dewott.png", 2)</f>
        <v>0</v>
      </c>
      <c r="E503" s="28" t="s">
        <v>21</v>
      </c>
      <c r="F503" s="5" t="s">
        <v>523</v>
      </c>
    </row>
    <row r="504" spans="1:6" ht="72" customHeight="1">
      <c r="A504" s="1" t="s">
        <v>26</v>
      </c>
      <c r="B504" s="1">
        <v>503</v>
      </c>
      <c r="C504" s="1" t="s">
        <v>531</v>
      </c>
      <c r="D504">
        <f>IMAGE("https://raw.githubusercontent.com/stautonico/pokemon-home-pokedex/main/sprites/samurott.png", 2)</f>
        <v>0</v>
      </c>
      <c r="E504" s="28" t="s">
        <v>21</v>
      </c>
      <c r="F504" s="5" t="s">
        <v>523</v>
      </c>
    </row>
    <row r="505" spans="1:6" ht="72" customHeight="1">
      <c r="A505" s="1" t="s">
        <v>26</v>
      </c>
      <c r="B505" s="1">
        <v>504</v>
      </c>
      <c r="C505" s="1" t="s">
        <v>532</v>
      </c>
      <c r="D505">
        <f>IMAGE("https://raw.githubusercontent.com/stautonico/pokemon-home-pokedex/main/sprites/patrat.png", 2)</f>
        <v>0</v>
      </c>
      <c r="E505" s="23" t="s">
        <v>16</v>
      </c>
      <c r="F505" s="5"/>
    </row>
    <row r="506" spans="1:6" ht="72" customHeight="1">
      <c r="A506" s="1" t="s">
        <v>26</v>
      </c>
      <c r="B506" s="1">
        <v>505</v>
      </c>
      <c r="C506" s="1" t="s">
        <v>533</v>
      </c>
      <c r="D506">
        <f>IMAGE("https://raw.githubusercontent.com/stautonico/pokemon-home-pokedex/main/sprites/watchog.png", 2)</f>
        <v>0</v>
      </c>
      <c r="E506" s="23" t="s">
        <v>16</v>
      </c>
      <c r="F506" s="5"/>
    </row>
    <row r="507" spans="1:6" ht="72" customHeight="1">
      <c r="A507" s="1" t="s">
        <v>26</v>
      </c>
      <c r="B507" s="1">
        <v>506</v>
      </c>
      <c r="C507" s="1" t="s">
        <v>534</v>
      </c>
      <c r="D507">
        <f>IMAGE("https://raw.githubusercontent.com/stautonico/pokemon-home-pokedex/main/sprites/lillipup.png", 2)</f>
        <v>0</v>
      </c>
      <c r="E507" s="3" t="s">
        <v>12</v>
      </c>
      <c r="F507" s="26" t="s">
        <v>17</v>
      </c>
    </row>
    <row r="508" spans="1:6" ht="72" customHeight="1">
      <c r="A508" s="1" t="s">
        <v>26</v>
      </c>
      <c r="B508" s="1">
        <v>507</v>
      </c>
      <c r="C508" s="1" t="s">
        <v>535</v>
      </c>
      <c r="D508">
        <f>IMAGE("https://raw.githubusercontent.com/stautonico/pokemon-home-pokedex/main/sprites/herdier.png", 2)</f>
        <v>0</v>
      </c>
      <c r="E508" s="3" t="s">
        <v>12</v>
      </c>
      <c r="F508" s="26" t="s">
        <v>17</v>
      </c>
    </row>
    <row r="509" spans="1:6" ht="72" customHeight="1">
      <c r="A509" s="1" t="s">
        <v>26</v>
      </c>
      <c r="B509" s="1">
        <v>508</v>
      </c>
      <c r="C509" s="1" t="s">
        <v>536</v>
      </c>
      <c r="D509">
        <f>IMAGE("https://raw.githubusercontent.com/stautonico/pokemon-home-pokedex/main/sprites/stoutland.png", 2)</f>
        <v>0</v>
      </c>
      <c r="E509" s="3" t="s">
        <v>12</v>
      </c>
      <c r="F509" s="26" t="s">
        <v>17</v>
      </c>
    </row>
    <row r="510" spans="1:6" ht="72" customHeight="1">
      <c r="A510" s="1" t="s">
        <v>26</v>
      </c>
      <c r="B510" s="1">
        <v>509</v>
      </c>
      <c r="C510" s="1" t="s">
        <v>537</v>
      </c>
      <c r="D510">
        <f>IMAGE("https://raw.githubusercontent.com/stautonico/pokemon-home-pokedex/main/sprites/purrloin.png", 2)</f>
        <v>0</v>
      </c>
      <c r="E510" s="4" t="s">
        <v>13</v>
      </c>
      <c r="F510" s="5"/>
    </row>
    <row r="511" spans="1:6" ht="72" customHeight="1">
      <c r="A511" s="1" t="s">
        <v>26</v>
      </c>
      <c r="B511" s="1">
        <v>510</v>
      </c>
      <c r="C511" s="1" t="s">
        <v>538</v>
      </c>
      <c r="D511">
        <f>IMAGE("https://raw.githubusercontent.com/stautonico/pokemon-home-pokedex/main/sprites/liepard.png", 2)</f>
        <v>0</v>
      </c>
      <c r="E511" s="4" t="s">
        <v>13</v>
      </c>
      <c r="F511" s="5"/>
    </row>
    <row r="512" spans="1:6" ht="72" customHeight="1">
      <c r="A512" s="1" t="s">
        <v>26</v>
      </c>
      <c r="B512" s="1">
        <v>511</v>
      </c>
      <c r="C512" s="1" t="s">
        <v>539</v>
      </c>
      <c r="D512">
        <f>IMAGE("https://raw.githubusercontent.com/stautonico/pokemon-home-pokedex/main/sprites/pansage.png", 2)</f>
        <v>0</v>
      </c>
      <c r="E512" s="23" t="s">
        <v>16</v>
      </c>
      <c r="F512" s="5"/>
    </row>
    <row r="513" spans="1:6" ht="72" customHeight="1">
      <c r="A513" s="1" t="s">
        <v>26</v>
      </c>
      <c r="B513" s="1">
        <v>512</v>
      </c>
      <c r="C513" s="1" t="s">
        <v>540</v>
      </c>
      <c r="D513">
        <f>IMAGE("https://raw.githubusercontent.com/stautonico/pokemon-home-pokedex/main/sprites/simisage.png", 2)</f>
        <v>0</v>
      </c>
      <c r="E513" s="23" t="s">
        <v>16</v>
      </c>
      <c r="F513" s="5"/>
    </row>
    <row r="514" spans="1:6" ht="72" customHeight="1">
      <c r="A514" s="1" t="s">
        <v>26</v>
      </c>
      <c r="B514" s="1">
        <v>513</v>
      </c>
      <c r="C514" s="1" t="s">
        <v>541</v>
      </c>
      <c r="D514">
        <f>IMAGE("https://raw.githubusercontent.com/stautonico/pokemon-home-pokedex/main/sprites/pansear.png", 2)</f>
        <v>0</v>
      </c>
      <c r="E514" s="23" t="s">
        <v>16</v>
      </c>
      <c r="F514" s="5"/>
    </row>
    <row r="515" spans="1:6" ht="72" customHeight="1">
      <c r="A515" s="1" t="s">
        <v>26</v>
      </c>
      <c r="B515" s="1">
        <v>514</v>
      </c>
      <c r="C515" s="1" t="s">
        <v>542</v>
      </c>
      <c r="D515">
        <f>IMAGE("https://raw.githubusercontent.com/stautonico/pokemon-home-pokedex/main/sprites/simisear.png", 2)</f>
        <v>0</v>
      </c>
      <c r="E515" s="23" t="s">
        <v>16</v>
      </c>
      <c r="F515" s="5"/>
    </row>
    <row r="516" spans="1:6" ht="72" customHeight="1">
      <c r="A516" s="1" t="s">
        <v>26</v>
      </c>
      <c r="B516" s="1">
        <v>515</v>
      </c>
      <c r="C516" s="1" t="s">
        <v>543</v>
      </c>
      <c r="D516">
        <f>IMAGE("https://raw.githubusercontent.com/stautonico/pokemon-home-pokedex/main/sprites/panpour.png", 2)</f>
        <v>0</v>
      </c>
      <c r="E516" s="23" t="s">
        <v>16</v>
      </c>
      <c r="F516" s="5"/>
    </row>
    <row r="517" spans="1:6" ht="72" customHeight="1">
      <c r="A517" s="1" t="s">
        <v>26</v>
      </c>
      <c r="B517" s="1">
        <v>516</v>
      </c>
      <c r="C517" s="1" t="s">
        <v>544</v>
      </c>
      <c r="D517">
        <f>IMAGE("https://raw.githubusercontent.com/stautonico/pokemon-home-pokedex/main/sprites/simipour.png", 2)</f>
        <v>0</v>
      </c>
      <c r="E517" s="23" t="s">
        <v>16</v>
      </c>
      <c r="F517" s="5"/>
    </row>
    <row r="518" spans="1:6" ht="72" customHeight="1">
      <c r="A518" s="1" t="s">
        <v>26</v>
      </c>
      <c r="B518" s="1">
        <v>517</v>
      </c>
      <c r="C518" s="1" t="s">
        <v>545</v>
      </c>
      <c r="D518">
        <f>IMAGE("https://raw.githubusercontent.com/stautonico/pokemon-home-pokedex/main/sprites/munna.png", 2)</f>
        <v>0</v>
      </c>
      <c r="E518" s="4" t="s">
        <v>13</v>
      </c>
      <c r="F518" s="5"/>
    </row>
    <row r="519" spans="1:6" ht="72" customHeight="1">
      <c r="A519" s="1" t="s">
        <v>26</v>
      </c>
      <c r="B519" s="1">
        <v>518</v>
      </c>
      <c r="C519" s="1" t="s">
        <v>546</v>
      </c>
      <c r="D519">
        <f>IMAGE("https://raw.githubusercontent.com/stautonico/pokemon-home-pokedex/main/sprites/musharna.png", 2)</f>
        <v>0</v>
      </c>
      <c r="E519" s="4" t="s">
        <v>13</v>
      </c>
      <c r="F519" s="5"/>
    </row>
    <row r="520" spans="1:6" ht="72" customHeight="1">
      <c r="A520" s="1" t="s">
        <v>26</v>
      </c>
      <c r="B520" s="1">
        <v>519</v>
      </c>
      <c r="C520" s="1" t="s">
        <v>547</v>
      </c>
      <c r="D520">
        <f>IMAGE("https://raw.githubusercontent.com/stautonico/pokemon-home-pokedex/main/sprites/pidove.png", 2)</f>
        <v>0</v>
      </c>
      <c r="E520" s="4" t="s">
        <v>13</v>
      </c>
      <c r="F520" s="5"/>
    </row>
    <row r="521" spans="1:6" ht="72" customHeight="1">
      <c r="A521" s="1" t="s">
        <v>26</v>
      </c>
      <c r="B521" s="1">
        <v>520</v>
      </c>
      <c r="C521" s="1" t="s">
        <v>548</v>
      </c>
      <c r="D521">
        <f>IMAGE("https://raw.githubusercontent.com/stautonico/pokemon-home-pokedex/main/sprites/tranquill.png", 2)</f>
        <v>0</v>
      </c>
      <c r="E521" s="4" t="s">
        <v>13</v>
      </c>
      <c r="F521" s="5"/>
    </row>
    <row r="522" spans="1:6" ht="72" customHeight="1">
      <c r="A522" s="1" t="s">
        <v>26</v>
      </c>
      <c r="B522" s="1">
        <v>521</v>
      </c>
      <c r="C522" s="1" t="s">
        <v>549</v>
      </c>
      <c r="D522">
        <f>IMAGE("https://raw.githubusercontent.com/stautonico/pokemon-home-pokedex/main/sprites/unfezant.png", 2)</f>
        <v>0</v>
      </c>
      <c r="E522" s="4" t="s">
        <v>13</v>
      </c>
      <c r="F522" s="5"/>
    </row>
    <row r="523" spans="1:6" ht="72" customHeight="1">
      <c r="A523" s="1" t="s">
        <v>26</v>
      </c>
      <c r="B523" s="1">
        <v>522</v>
      </c>
      <c r="C523" s="1" t="s">
        <v>550</v>
      </c>
      <c r="D523">
        <f>IMAGE("https://raw.githubusercontent.com/stautonico/pokemon-home-pokedex/main/sprites/blitzle.png", 2)</f>
        <v>0</v>
      </c>
      <c r="E523" s="28" t="s">
        <v>21</v>
      </c>
      <c r="F523" s="5"/>
    </row>
    <row r="524" spans="1:6" ht="72" customHeight="1">
      <c r="A524" s="1" t="s">
        <v>26</v>
      </c>
      <c r="B524" s="1">
        <v>523</v>
      </c>
      <c r="C524" s="1" t="s">
        <v>551</v>
      </c>
      <c r="D524">
        <f>IMAGE("https://raw.githubusercontent.com/stautonico/pokemon-home-pokedex/main/sprites/zebstrika.png", 2)</f>
        <v>0</v>
      </c>
      <c r="E524" s="28" t="s">
        <v>21</v>
      </c>
      <c r="F524" s="5"/>
    </row>
    <row r="525" spans="1:6" ht="72" customHeight="1">
      <c r="A525" s="1" t="s">
        <v>26</v>
      </c>
      <c r="B525" s="1">
        <v>524</v>
      </c>
      <c r="C525" s="1" t="s">
        <v>552</v>
      </c>
      <c r="D525">
        <f>IMAGE("https://raw.githubusercontent.com/stautonico/pokemon-home-pokedex/main/sprites/roggenrola.png", 2)</f>
        <v>0</v>
      </c>
      <c r="E525" s="4" t="s">
        <v>13</v>
      </c>
      <c r="F525" s="5"/>
    </row>
    <row r="526" spans="1:6" ht="72" customHeight="1">
      <c r="A526" s="1" t="s">
        <v>26</v>
      </c>
      <c r="B526" s="1">
        <v>525</v>
      </c>
      <c r="C526" s="1" t="s">
        <v>553</v>
      </c>
      <c r="D526">
        <f>IMAGE("https://raw.githubusercontent.com/stautonico/pokemon-home-pokedex/main/sprites/boldore.png", 2)</f>
        <v>0</v>
      </c>
      <c r="E526" s="4" t="s">
        <v>13</v>
      </c>
      <c r="F526" s="5"/>
    </row>
    <row r="527" spans="1:6" ht="72" customHeight="1">
      <c r="A527" s="1" t="s">
        <v>26</v>
      </c>
      <c r="B527" s="1">
        <v>526</v>
      </c>
      <c r="C527" s="1" t="s">
        <v>554</v>
      </c>
      <c r="D527">
        <f>IMAGE("https://raw.githubusercontent.com/stautonico/pokemon-home-pokedex/main/sprites/gigalith.png", 2)</f>
        <v>0</v>
      </c>
      <c r="E527" s="4" t="s">
        <v>13</v>
      </c>
      <c r="F527" s="5"/>
    </row>
    <row r="528" spans="1:6" ht="72" customHeight="1">
      <c r="A528" s="1" t="s">
        <v>26</v>
      </c>
      <c r="B528" s="1">
        <v>527</v>
      </c>
      <c r="C528" s="1" t="s">
        <v>555</v>
      </c>
      <c r="D528">
        <f>IMAGE("https://raw.githubusercontent.com/stautonico/pokemon-home-pokedex/main/sprites/woobat.png", 2)</f>
        <v>0</v>
      </c>
      <c r="E528" s="4" t="s">
        <v>13</v>
      </c>
      <c r="F528" s="5"/>
    </row>
    <row r="529" spans="1:6" ht="72" customHeight="1">
      <c r="A529" s="1" t="s">
        <v>26</v>
      </c>
      <c r="B529" s="1">
        <v>528</v>
      </c>
      <c r="C529" s="1" t="s">
        <v>556</v>
      </c>
      <c r="D529">
        <f>IMAGE("https://raw.githubusercontent.com/stautonico/pokemon-home-pokedex/main/sprites/swoobat.png", 2)</f>
        <v>0</v>
      </c>
      <c r="E529" s="4" t="s">
        <v>13</v>
      </c>
      <c r="F529" s="5"/>
    </row>
    <row r="530" spans="1:6" ht="72" customHeight="1">
      <c r="A530" s="1" t="s">
        <v>26</v>
      </c>
      <c r="B530" s="1">
        <v>529</v>
      </c>
      <c r="C530" s="1" t="s">
        <v>557</v>
      </c>
      <c r="D530">
        <f>IMAGE("https://raw.githubusercontent.com/stautonico/pokemon-home-pokedex/main/sprites/drilbur.png", 2)</f>
        <v>0</v>
      </c>
      <c r="E530" s="4" t="s">
        <v>13</v>
      </c>
      <c r="F530" s="5"/>
    </row>
    <row r="531" spans="1:6" ht="72" customHeight="1">
      <c r="A531" s="1" t="s">
        <v>26</v>
      </c>
      <c r="B531" s="1">
        <v>530</v>
      </c>
      <c r="C531" s="1" t="s">
        <v>558</v>
      </c>
      <c r="D531">
        <f>IMAGE("https://raw.githubusercontent.com/stautonico/pokemon-home-pokedex/main/sprites/excadrill.png", 2)</f>
        <v>0</v>
      </c>
      <c r="E531" s="4" t="s">
        <v>13</v>
      </c>
      <c r="F531" s="5"/>
    </row>
    <row r="532" spans="1:6" ht="72" customHeight="1">
      <c r="A532" s="1" t="s">
        <v>26</v>
      </c>
      <c r="B532" s="1">
        <v>531</v>
      </c>
      <c r="C532" s="1" t="s">
        <v>559</v>
      </c>
      <c r="D532">
        <f>IMAGE("https://raw.githubusercontent.com/stautonico/pokemon-home-pokedex/main/sprites/audino.png", 2)</f>
        <v>0</v>
      </c>
      <c r="E532" s="23" t="s">
        <v>16</v>
      </c>
      <c r="F532" s="5"/>
    </row>
    <row r="533" spans="1:6" ht="72" customHeight="1">
      <c r="A533" s="1" t="s">
        <v>26</v>
      </c>
      <c r="B533" s="1">
        <v>532</v>
      </c>
      <c r="C533" s="1" t="s">
        <v>560</v>
      </c>
      <c r="D533">
        <f>IMAGE("https://raw.githubusercontent.com/stautonico/pokemon-home-pokedex/main/sprites/timburr.png", 2)</f>
        <v>0</v>
      </c>
      <c r="E533" s="4" t="s">
        <v>13</v>
      </c>
      <c r="F533" s="5"/>
    </row>
    <row r="534" spans="1:6" ht="72" customHeight="1">
      <c r="A534" s="1" t="s">
        <v>26</v>
      </c>
      <c r="B534" s="1">
        <v>533</v>
      </c>
      <c r="C534" s="1" t="s">
        <v>561</v>
      </c>
      <c r="D534">
        <f>IMAGE("https://raw.githubusercontent.com/stautonico/pokemon-home-pokedex/main/sprites/gurdurr.png", 2)</f>
        <v>0</v>
      </c>
      <c r="E534" s="4" t="s">
        <v>13</v>
      </c>
      <c r="F534" s="5"/>
    </row>
    <row r="535" spans="1:6" ht="72" customHeight="1">
      <c r="A535" s="1" t="s">
        <v>26</v>
      </c>
      <c r="B535" s="1">
        <v>534</v>
      </c>
      <c r="C535" s="1" t="s">
        <v>562</v>
      </c>
      <c r="D535">
        <f>IMAGE("https://raw.githubusercontent.com/stautonico/pokemon-home-pokedex/main/sprites/conkeldurr.png", 2)</f>
        <v>0</v>
      </c>
      <c r="E535" s="4" t="s">
        <v>13</v>
      </c>
      <c r="F535" s="5"/>
    </row>
    <row r="536" spans="1:6" ht="72" customHeight="1">
      <c r="A536" s="1" t="s">
        <v>26</v>
      </c>
      <c r="B536" s="1">
        <v>535</v>
      </c>
      <c r="C536" s="1" t="s">
        <v>563</v>
      </c>
      <c r="D536">
        <f>IMAGE("https://raw.githubusercontent.com/stautonico/pokemon-home-pokedex/main/sprites/tympole.png", 2)</f>
        <v>0</v>
      </c>
      <c r="E536" s="4" t="s">
        <v>13</v>
      </c>
      <c r="F536" s="5"/>
    </row>
    <row r="537" spans="1:6" ht="72" customHeight="1">
      <c r="A537" s="1" t="s">
        <v>26</v>
      </c>
      <c r="B537" s="1">
        <v>536</v>
      </c>
      <c r="C537" s="1" t="s">
        <v>564</v>
      </c>
      <c r="D537">
        <f>IMAGE("https://raw.githubusercontent.com/stautonico/pokemon-home-pokedex/main/sprites/palpitoad.png", 2)</f>
        <v>0</v>
      </c>
      <c r="E537" s="4" t="s">
        <v>13</v>
      </c>
      <c r="F537" s="5"/>
    </row>
    <row r="538" spans="1:6" ht="72" customHeight="1">
      <c r="A538" s="1" t="s">
        <v>26</v>
      </c>
      <c r="B538" s="1">
        <v>537</v>
      </c>
      <c r="C538" s="1" t="s">
        <v>565</v>
      </c>
      <c r="D538">
        <f>IMAGE("https://raw.githubusercontent.com/stautonico/pokemon-home-pokedex/main/sprites/seismitoad.png", 2)</f>
        <v>0</v>
      </c>
      <c r="E538" s="4" t="s">
        <v>13</v>
      </c>
      <c r="F538" s="5"/>
    </row>
    <row r="539" spans="1:6" ht="72" customHeight="1">
      <c r="A539" s="1" t="s">
        <v>26</v>
      </c>
      <c r="B539" s="1">
        <v>538</v>
      </c>
      <c r="C539" s="1" t="s">
        <v>566</v>
      </c>
      <c r="D539">
        <f>IMAGE("https://raw.githubusercontent.com/stautonico/pokemon-home-pokedex/main/sprites/throh.png", 2)</f>
        <v>0</v>
      </c>
      <c r="E539" s="4" t="s">
        <v>13</v>
      </c>
      <c r="F539" s="5"/>
    </row>
    <row r="540" spans="1:6" ht="72" customHeight="1">
      <c r="A540" s="1" t="s">
        <v>26</v>
      </c>
      <c r="B540" s="1">
        <v>539</v>
      </c>
      <c r="C540" s="1" t="s">
        <v>567</v>
      </c>
      <c r="D540">
        <f>IMAGE("https://raw.githubusercontent.com/stautonico/pokemon-home-pokedex/main/sprites/sawk.png", 2)</f>
        <v>0</v>
      </c>
      <c r="E540" s="4" t="s">
        <v>13</v>
      </c>
      <c r="F540" s="5"/>
    </row>
    <row r="541" spans="1:6" ht="72" customHeight="1">
      <c r="A541" s="1" t="s">
        <v>26</v>
      </c>
      <c r="B541" s="1">
        <v>540</v>
      </c>
      <c r="C541" s="1" t="s">
        <v>568</v>
      </c>
      <c r="D541">
        <f>IMAGE("https://raw.githubusercontent.com/stautonico/pokemon-home-pokedex/main/sprites/sewaddle.png", 2)</f>
        <v>0</v>
      </c>
      <c r="E541" s="28" t="s">
        <v>21</v>
      </c>
      <c r="F541" s="5"/>
    </row>
    <row r="542" spans="1:6" ht="72" customHeight="1">
      <c r="A542" s="1" t="s">
        <v>26</v>
      </c>
      <c r="B542" s="1">
        <v>541</v>
      </c>
      <c r="C542" s="1" t="s">
        <v>569</v>
      </c>
      <c r="D542">
        <f>IMAGE("https://raw.githubusercontent.com/stautonico/pokemon-home-pokedex/main/sprites/swadloon.png", 2)</f>
        <v>0</v>
      </c>
      <c r="E542" s="28" t="s">
        <v>21</v>
      </c>
      <c r="F542" s="5"/>
    </row>
    <row r="543" spans="1:6" ht="72" customHeight="1">
      <c r="A543" s="1" t="s">
        <v>26</v>
      </c>
      <c r="B543" s="1">
        <v>542</v>
      </c>
      <c r="C543" s="1" t="s">
        <v>570</v>
      </c>
      <c r="D543">
        <f>IMAGE("https://raw.githubusercontent.com/stautonico/pokemon-home-pokedex/main/sprites/leavanny.png", 2)</f>
        <v>0</v>
      </c>
      <c r="E543" s="28" t="s">
        <v>21</v>
      </c>
      <c r="F543" s="5"/>
    </row>
    <row r="544" spans="1:6" ht="72" customHeight="1">
      <c r="A544" s="1" t="s">
        <v>26</v>
      </c>
      <c r="B544" s="1">
        <v>543</v>
      </c>
      <c r="C544" s="1" t="s">
        <v>571</v>
      </c>
      <c r="D544">
        <f>IMAGE("https://raw.githubusercontent.com/stautonico/pokemon-home-pokedex/main/sprites/venipede.png", 2)</f>
        <v>0</v>
      </c>
      <c r="E544" s="3" t="s">
        <v>12</v>
      </c>
      <c r="F544" s="23" t="s">
        <v>16</v>
      </c>
    </row>
    <row r="545" spans="1:6" ht="72" customHeight="1">
      <c r="A545" s="1" t="s">
        <v>26</v>
      </c>
      <c r="B545" s="1">
        <v>544</v>
      </c>
      <c r="C545" s="1" t="s">
        <v>572</v>
      </c>
      <c r="D545">
        <f>IMAGE("https://raw.githubusercontent.com/stautonico/pokemon-home-pokedex/main/sprites/whirlipede.png", 2)</f>
        <v>0</v>
      </c>
      <c r="E545" s="3" t="s">
        <v>12</v>
      </c>
      <c r="F545" s="23" t="s">
        <v>16</v>
      </c>
    </row>
    <row r="546" spans="1:6" ht="72" customHeight="1">
      <c r="A546" s="1" t="s">
        <v>26</v>
      </c>
      <c r="B546" s="1">
        <v>545</v>
      </c>
      <c r="C546" s="1" t="s">
        <v>573</v>
      </c>
      <c r="D546">
        <f>IMAGE("https://raw.githubusercontent.com/stautonico/pokemon-home-pokedex/main/sprites/scolipede.png", 2)</f>
        <v>0</v>
      </c>
      <c r="E546" s="3" t="s">
        <v>12</v>
      </c>
      <c r="F546" s="23" t="s">
        <v>16</v>
      </c>
    </row>
    <row r="547" spans="1:6" ht="72" customHeight="1">
      <c r="A547" s="1" t="s">
        <v>26</v>
      </c>
      <c r="B547" s="1">
        <v>546</v>
      </c>
      <c r="C547" s="1" t="s">
        <v>574</v>
      </c>
      <c r="D547">
        <f>IMAGE("https://raw.githubusercontent.com/stautonico/pokemon-home-pokedex/main/sprites/cottonee.png", 2)</f>
        <v>0</v>
      </c>
      <c r="E547" s="4" t="s">
        <v>13</v>
      </c>
      <c r="F547" s="5"/>
    </row>
    <row r="548" spans="1:6" ht="72" customHeight="1">
      <c r="A548" s="1" t="s">
        <v>26</v>
      </c>
      <c r="B548" s="1">
        <v>547</v>
      </c>
      <c r="C548" s="1" t="s">
        <v>575</v>
      </c>
      <c r="D548">
        <f>IMAGE("https://raw.githubusercontent.com/stautonico/pokemon-home-pokedex/main/sprites/whimsicott.png", 2)</f>
        <v>0</v>
      </c>
      <c r="E548" s="4" t="s">
        <v>13</v>
      </c>
      <c r="F548" s="5"/>
    </row>
    <row r="549" spans="1:6" ht="72" customHeight="1">
      <c r="A549" s="1" t="s">
        <v>26</v>
      </c>
      <c r="B549" s="1">
        <v>548</v>
      </c>
      <c r="C549" s="1" t="s">
        <v>576</v>
      </c>
      <c r="D549">
        <f>IMAGE("https://raw.githubusercontent.com/stautonico/pokemon-home-pokedex/main/sprites/petilil.png", 2)</f>
        <v>0</v>
      </c>
      <c r="E549" s="3" t="s">
        <v>12</v>
      </c>
      <c r="F549" s="5" t="s">
        <v>577</v>
      </c>
    </row>
    <row r="550" spans="1:6" ht="72" customHeight="1">
      <c r="A550" s="1" t="s">
        <v>26</v>
      </c>
      <c r="B550" s="1">
        <v>549</v>
      </c>
      <c r="C550" s="1" t="s">
        <v>578</v>
      </c>
      <c r="D550">
        <f>IMAGE("https://raw.githubusercontent.com/stautonico/pokemon-home-pokedex/main/sprites/lilligant.png", 2)</f>
        <v>0</v>
      </c>
      <c r="E550" s="3" t="s">
        <v>12</v>
      </c>
      <c r="F550" s="5" t="s">
        <v>577</v>
      </c>
    </row>
    <row r="551" spans="1:6" ht="72" customHeight="1">
      <c r="A551" s="1" t="s">
        <v>26</v>
      </c>
      <c r="B551" s="1">
        <v>550</v>
      </c>
      <c r="C551" s="1" t="s">
        <v>579</v>
      </c>
      <c r="D551">
        <f>IMAGE("https://raw.githubusercontent.com/stautonico/pokemon-home-pokedex/main/sprites/basculin-red-striped.png", 2)</f>
        <v>0</v>
      </c>
      <c r="E551" s="4" t="s">
        <v>13</v>
      </c>
      <c r="F551" s="5"/>
    </row>
    <row r="552" spans="1:6" ht="72" customHeight="1">
      <c r="A552" s="1" t="s">
        <v>26</v>
      </c>
      <c r="B552" s="1">
        <v>551</v>
      </c>
      <c r="C552" s="1" t="s">
        <v>580</v>
      </c>
      <c r="D552">
        <f>IMAGE("https://raw.githubusercontent.com/stautonico/pokemon-home-pokedex/main/sprites/sandile.png", 2)</f>
        <v>0</v>
      </c>
      <c r="E552" s="3" t="s">
        <v>12</v>
      </c>
      <c r="F552" s="28" t="s">
        <v>21</v>
      </c>
    </row>
    <row r="553" spans="1:6" ht="72" customHeight="1">
      <c r="A553" s="1" t="s">
        <v>26</v>
      </c>
      <c r="B553" s="1">
        <v>552</v>
      </c>
      <c r="C553" s="1" t="s">
        <v>581</v>
      </c>
      <c r="D553">
        <f>IMAGE("https://raw.githubusercontent.com/stautonico/pokemon-home-pokedex/main/sprites/krokorok.png", 2)</f>
        <v>0</v>
      </c>
      <c r="E553" s="3" t="s">
        <v>12</v>
      </c>
      <c r="F553" s="28" t="s">
        <v>21</v>
      </c>
    </row>
    <row r="554" spans="1:6" ht="72" customHeight="1">
      <c r="A554" s="1" t="s">
        <v>26</v>
      </c>
      <c r="B554" s="1">
        <v>553</v>
      </c>
      <c r="C554" s="1" t="s">
        <v>582</v>
      </c>
      <c r="D554">
        <f>IMAGE("https://raw.githubusercontent.com/stautonico/pokemon-home-pokedex/main/sprites/krookodile.png", 2)</f>
        <v>0</v>
      </c>
      <c r="E554" s="3" t="s">
        <v>12</v>
      </c>
      <c r="F554" s="28" t="s">
        <v>21</v>
      </c>
    </row>
    <row r="555" spans="1:6" ht="72" customHeight="1">
      <c r="A555" s="1" t="s">
        <v>26</v>
      </c>
      <c r="B555" s="1">
        <v>554</v>
      </c>
      <c r="C555" s="1" t="s">
        <v>583</v>
      </c>
      <c r="D555">
        <f>IMAGE("https://raw.githubusercontent.com/stautonico/pokemon-home-pokedex/main/sprites/darumaka.png", 2)</f>
        <v>0</v>
      </c>
      <c r="E555" s="29" t="s">
        <v>14</v>
      </c>
      <c r="F555" s="28" t="s">
        <v>21</v>
      </c>
    </row>
    <row r="556" spans="1:6" ht="72" customHeight="1">
      <c r="A556" s="1" t="s">
        <v>26</v>
      </c>
      <c r="B556" s="1">
        <v>555</v>
      </c>
      <c r="C556" s="1" t="s">
        <v>584</v>
      </c>
      <c r="D556">
        <f>IMAGE("https://raw.githubusercontent.com/stautonico/pokemon-home-pokedex/main/sprites/darmanitan-standard.png", 2)</f>
        <v>0</v>
      </c>
      <c r="E556" s="29" t="s">
        <v>14</v>
      </c>
      <c r="F556" s="28" t="s">
        <v>21</v>
      </c>
    </row>
    <row r="557" spans="1:6" ht="72" customHeight="1">
      <c r="A557" s="1" t="s">
        <v>26</v>
      </c>
      <c r="B557" s="1">
        <v>556</v>
      </c>
      <c r="C557" s="1" t="s">
        <v>585</v>
      </c>
      <c r="D557">
        <f>IMAGE("https://raw.githubusercontent.com/stautonico/pokemon-home-pokedex/main/sprites/maractus.png", 2)</f>
        <v>0</v>
      </c>
      <c r="E557" s="4" t="s">
        <v>13</v>
      </c>
      <c r="F557" s="5"/>
    </row>
    <row r="558" spans="1:6" ht="72" customHeight="1">
      <c r="A558" s="1" t="s">
        <v>26</v>
      </c>
      <c r="B558" s="1">
        <v>557</v>
      </c>
      <c r="C558" s="1" t="s">
        <v>586</v>
      </c>
      <c r="D558">
        <f>IMAGE("https://raw.githubusercontent.com/stautonico/pokemon-home-pokedex/main/sprites/dwebble.png", 2)</f>
        <v>0</v>
      </c>
      <c r="E558" s="4" t="s">
        <v>13</v>
      </c>
      <c r="F558" s="5"/>
    </row>
    <row r="559" spans="1:6" ht="72" customHeight="1">
      <c r="A559" s="1" t="s">
        <v>26</v>
      </c>
      <c r="B559" s="1">
        <v>558</v>
      </c>
      <c r="C559" s="1" t="s">
        <v>587</v>
      </c>
      <c r="D559">
        <f>IMAGE("https://raw.githubusercontent.com/stautonico/pokemon-home-pokedex/main/sprites/crustle.png", 2)</f>
        <v>0</v>
      </c>
      <c r="E559" s="4" t="s">
        <v>13</v>
      </c>
      <c r="F559" s="5"/>
    </row>
    <row r="560" spans="1:6" ht="72" customHeight="1">
      <c r="A560" s="1" t="s">
        <v>26</v>
      </c>
      <c r="B560" s="1">
        <v>559</v>
      </c>
      <c r="C560" s="1" t="s">
        <v>588</v>
      </c>
      <c r="D560">
        <f>IMAGE("https://raw.githubusercontent.com/stautonico/pokemon-home-pokedex/main/sprites/scraggy.png", 2)</f>
        <v>0</v>
      </c>
      <c r="E560" s="29" t="s">
        <v>14</v>
      </c>
      <c r="F560" s="23" t="s">
        <v>16</v>
      </c>
    </row>
    <row r="561" spans="1:6" ht="72" customHeight="1">
      <c r="A561" s="1" t="s">
        <v>26</v>
      </c>
      <c r="B561" s="1">
        <v>560</v>
      </c>
      <c r="C561" s="1" t="s">
        <v>589</v>
      </c>
      <c r="D561">
        <f>IMAGE("https://raw.githubusercontent.com/stautonico/pokemon-home-pokedex/main/sprites/scrafty.png", 2)</f>
        <v>0</v>
      </c>
      <c r="E561" s="29" t="s">
        <v>14</v>
      </c>
      <c r="F561" s="23" t="s">
        <v>16</v>
      </c>
    </row>
    <row r="562" spans="1:6" ht="72" customHeight="1">
      <c r="A562" s="1" t="s">
        <v>26</v>
      </c>
      <c r="B562" s="1">
        <v>561</v>
      </c>
      <c r="C562" s="1" t="s">
        <v>590</v>
      </c>
      <c r="D562">
        <f>IMAGE("https://raw.githubusercontent.com/stautonico/pokemon-home-pokedex/main/sprites/sigilyph.png", 2)</f>
        <v>0</v>
      </c>
      <c r="E562" s="4" t="s">
        <v>13</v>
      </c>
      <c r="F562" s="5"/>
    </row>
    <row r="563" spans="1:6" ht="72" customHeight="1">
      <c r="A563" s="1" t="s">
        <v>26</v>
      </c>
      <c r="B563" s="1">
        <v>562</v>
      </c>
      <c r="C563" s="1" t="s">
        <v>591</v>
      </c>
      <c r="D563">
        <f>IMAGE("https://raw.githubusercontent.com/stautonico/pokemon-home-pokedex/main/sprites/yamask.png", 2)</f>
        <v>0</v>
      </c>
      <c r="E563" s="4" t="s">
        <v>13</v>
      </c>
      <c r="F563" s="5"/>
    </row>
    <row r="564" spans="1:6" ht="72" customHeight="1">
      <c r="A564" s="1" t="s">
        <v>26</v>
      </c>
      <c r="B564" s="1">
        <v>563</v>
      </c>
      <c r="C564" s="1" t="s">
        <v>592</v>
      </c>
      <c r="D564">
        <f>IMAGE("https://raw.githubusercontent.com/stautonico/pokemon-home-pokedex/main/sprites/cofagrigus.png", 2)</f>
        <v>0</v>
      </c>
      <c r="E564" s="4" t="s">
        <v>13</v>
      </c>
      <c r="F564" s="5"/>
    </row>
    <row r="565" spans="1:6" ht="72" customHeight="1">
      <c r="A565" s="1" t="s">
        <v>26</v>
      </c>
      <c r="B565" s="1">
        <v>564</v>
      </c>
      <c r="C565" s="1" t="s">
        <v>593</v>
      </c>
      <c r="D565">
        <f>IMAGE("https://raw.githubusercontent.com/stautonico/pokemon-home-pokedex/main/sprites/tirtouga.png", 2)</f>
        <v>0</v>
      </c>
      <c r="E565" s="23" t="s">
        <v>16</v>
      </c>
      <c r="F565" s="26" t="s">
        <v>17</v>
      </c>
    </row>
    <row r="566" spans="1:6" ht="72" customHeight="1">
      <c r="A566" s="1" t="s">
        <v>26</v>
      </c>
      <c r="B566" s="1">
        <v>565</v>
      </c>
      <c r="C566" s="1" t="s">
        <v>594</v>
      </c>
      <c r="D566">
        <f>IMAGE("https://raw.githubusercontent.com/stautonico/pokemon-home-pokedex/main/sprites/carracosta.png", 2)</f>
        <v>0</v>
      </c>
      <c r="E566" s="23" t="s">
        <v>16</v>
      </c>
      <c r="F566" s="26" t="s">
        <v>17</v>
      </c>
    </row>
    <row r="567" spans="1:6" ht="72" customHeight="1">
      <c r="A567" s="1" t="s">
        <v>26</v>
      </c>
      <c r="B567" s="1">
        <v>566</v>
      </c>
      <c r="C567" s="1" t="s">
        <v>595</v>
      </c>
      <c r="D567">
        <f>IMAGE("https://raw.githubusercontent.com/stautonico/pokemon-home-pokedex/main/sprites/archen.png", 2)</f>
        <v>0</v>
      </c>
      <c r="E567" s="23" t="s">
        <v>16</v>
      </c>
      <c r="F567" s="26" t="s">
        <v>17</v>
      </c>
    </row>
    <row r="568" spans="1:6" ht="72" customHeight="1">
      <c r="A568" s="1" t="s">
        <v>26</v>
      </c>
      <c r="B568" s="1">
        <v>567</v>
      </c>
      <c r="C568" s="1" t="s">
        <v>596</v>
      </c>
      <c r="D568">
        <f>IMAGE("https://raw.githubusercontent.com/stautonico/pokemon-home-pokedex/main/sprites/archeops.png", 2)</f>
        <v>0</v>
      </c>
      <c r="E568" s="23" t="s">
        <v>16</v>
      </c>
      <c r="F568" s="26" t="s">
        <v>17</v>
      </c>
    </row>
    <row r="569" spans="1:6" ht="72" customHeight="1">
      <c r="A569" s="1" t="s">
        <v>26</v>
      </c>
      <c r="B569" s="1">
        <v>568</v>
      </c>
      <c r="C569" s="1" t="s">
        <v>597</v>
      </c>
      <c r="D569">
        <f>IMAGE("https://raw.githubusercontent.com/stautonico/pokemon-home-pokedex/main/sprites/trubbish.png", 2)</f>
        <v>0</v>
      </c>
      <c r="E569" s="4" t="s">
        <v>13</v>
      </c>
      <c r="F569" s="5"/>
    </row>
    <row r="570" spans="1:6" ht="72" customHeight="1">
      <c r="A570" s="1" t="s">
        <v>26</v>
      </c>
      <c r="B570" s="1">
        <v>569</v>
      </c>
      <c r="C570" s="1" t="s">
        <v>598</v>
      </c>
      <c r="D570">
        <f>IMAGE("https://raw.githubusercontent.com/stautonico/pokemon-home-pokedex/main/sprites/garbodor.png", 2)</f>
        <v>0</v>
      </c>
      <c r="E570" s="4" t="s">
        <v>13</v>
      </c>
      <c r="F570" s="5"/>
    </row>
    <row r="571" spans="1:6" ht="72" customHeight="1">
      <c r="A571" s="1" t="s">
        <v>26</v>
      </c>
      <c r="B571" s="1">
        <v>570</v>
      </c>
      <c r="C571" s="1" t="s">
        <v>599</v>
      </c>
      <c r="D571">
        <f>IMAGE("https://raw.githubusercontent.com/stautonico/pokemon-home-pokedex/main/sprites/zorua.png", 2)</f>
        <v>0</v>
      </c>
      <c r="E571" s="3" t="s">
        <v>12</v>
      </c>
      <c r="F571" s="23" t="s">
        <v>16</v>
      </c>
    </row>
    <row r="572" spans="1:6" ht="72" customHeight="1">
      <c r="A572" s="1" t="s">
        <v>26</v>
      </c>
      <c r="B572" s="1">
        <v>571</v>
      </c>
      <c r="C572" s="1" t="s">
        <v>600</v>
      </c>
      <c r="D572">
        <f>IMAGE("https://raw.githubusercontent.com/stautonico/pokemon-home-pokedex/main/sprites/zoroark.png", 2)</f>
        <v>0</v>
      </c>
      <c r="E572" s="3" t="s">
        <v>12</v>
      </c>
      <c r="F572" s="23" t="s">
        <v>16</v>
      </c>
    </row>
    <row r="573" spans="1:6" ht="72" customHeight="1">
      <c r="A573" s="1" t="s">
        <v>26</v>
      </c>
      <c r="B573" s="1">
        <v>572</v>
      </c>
      <c r="C573" s="1" t="s">
        <v>601</v>
      </c>
      <c r="D573">
        <f>IMAGE("https://raw.githubusercontent.com/stautonico/pokemon-home-pokedex/main/sprites/minccino.png", 2)</f>
        <v>0</v>
      </c>
      <c r="E573" s="4" t="s">
        <v>13</v>
      </c>
      <c r="F573" s="5"/>
    </row>
    <row r="574" spans="1:6" ht="72" customHeight="1">
      <c r="A574" s="1" t="s">
        <v>26</v>
      </c>
      <c r="B574" s="1">
        <v>573</v>
      </c>
      <c r="C574" s="1" t="s">
        <v>602</v>
      </c>
      <c r="D574">
        <f>IMAGE("https://raw.githubusercontent.com/stautonico/pokemon-home-pokedex/main/sprites/cinccino.png", 2)</f>
        <v>0</v>
      </c>
      <c r="E574" s="4" t="s">
        <v>13</v>
      </c>
      <c r="F574" s="5"/>
    </row>
    <row r="575" spans="1:6" ht="72" customHeight="1">
      <c r="A575" s="1" t="s">
        <v>26</v>
      </c>
      <c r="B575" s="1">
        <v>574</v>
      </c>
      <c r="C575" s="1" t="s">
        <v>603</v>
      </c>
      <c r="D575">
        <f>IMAGE("https://raw.githubusercontent.com/stautonico/pokemon-home-pokedex/main/sprites/gothita.png", 2)</f>
        <v>0</v>
      </c>
      <c r="E575" s="29" t="s">
        <v>14</v>
      </c>
      <c r="F575" s="23" t="s">
        <v>16</v>
      </c>
    </row>
    <row r="576" spans="1:6" ht="72" customHeight="1">
      <c r="A576" s="1" t="s">
        <v>26</v>
      </c>
      <c r="B576" s="1">
        <v>575</v>
      </c>
      <c r="C576" s="1" t="s">
        <v>604</v>
      </c>
      <c r="D576">
        <f>IMAGE("https://raw.githubusercontent.com/stautonico/pokemon-home-pokedex/main/sprites/gothorita.png", 2)</f>
        <v>0</v>
      </c>
      <c r="E576" s="29" t="s">
        <v>14</v>
      </c>
      <c r="F576" s="23" t="s">
        <v>16</v>
      </c>
    </row>
    <row r="577" spans="1:6" ht="72" customHeight="1">
      <c r="A577" s="1" t="s">
        <v>26</v>
      </c>
      <c r="B577" s="1">
        <v>576</v>
      </c>
      <c r="C577" s="1" t="s">
        <v>605</v>
      </c>
      <c r="D577">
        <f>IMAGE("https://raw.githubusercontent.com/stautonico/pokemon-home-pokedex/main/sprites/gothitelle.png", 2)</f>
        <v>0</v>
      </c>
      <c r="E577" s="29" t="s">
        <v>14</v>
      </c>
      <c r="F577" s="23" t="s">
        <v>16</v>
      </c>
    </row>
    <row r="578" spans="1:6" ht="72" customHeight="1">
      <c r="A578" s="1" t="s">
        <v>26</v>
      </c>
      <c r="B578" s="1">
        <v>577</v>
      </c>
      <c r="C578" s="1" t="s">
        <v>606</v>
      </c>
      <c r="D578">
        <f>IMAGE("https://raw.githubusercontent.com/stautonico/pokemon-home-pokedex/main/sprites/solosis.png", 2)</f>
        <v>0</v>
      </c>
      <c r="E578" s="27" t="s">
        <v>15</v>
      </c>
      <c r="F578" s="23" t="s">
        <v>16</v>
      </c>
    </row>
    <row r="579" spans="1:6" ht="72" customHeight="1">
      <c r="A579" s="1" t="s">
        <v>26</v>
      </c>
      <c r="B579" s="1">
        <v>578</v>
      </c>
      <c r="C579" s="1" t="s">
        <v>607</v>
      </c>
      <c r="D579">
        <f>IMAGE("https://raw.githubusercontent.com/stautonico/pokemon-home-pokedex/main/sprites/duosion.png", 2)</f>
        <v>0</v>
      </c>
      <c r="E579" s="27" t="s">
        <v>15</v>
      </c>
      <c r="F579" s="23" t="s">
        <v>16</v>
      </c>
    </row>
    <row r="580" spans="1:6" ht="72" customHeight="1">
      <c r="A580" s="1" t="s">
        <v>26</v>
      </c>
      <c r="B580" s="1">
        <v>579</v>
      </c>
      <c r="C580" s="1" t="s">
        <v>608</v>
      </c>
      <c r="D580">
        <f>IMAGE("https://raw.githubusercontent.com/stautonico/pokemon-home-pokedex/main/sprites/reuniclus.png", 2)</f>
        <v>0</v>
      </c>
      <c r="E580" s="27" t="s">
        <v>15</v>
      </c>
      <c r="F580" s="23" t="s">
        <v>16</v>
      </c>
    </row>
    <row r="581" spans="1:6" ht="72" customHeight="1">
      <c r="A581" s="1" t="s">
        <v>26</v>
      </c>
      <c r="B581" s="1">
        <v>580</v>
      </c>
      <c r="C581" s="1" t="s">
        <v>609</v>
      </c>
      <c r="D581">
        <f>IMAGE("https://raw.githubusercontent.com/stautonico/pokemon-home-pokedex/main/sprites/ducklett.png", 2)</f>
        <v>0</v>
      </c>
      <c r="E581" s="23" t="s">
        <v>16</v>
      </c>
      <c r="F581" s="5"/>
    </row>
    <row r="582" spans="1:6" ht="72" customHeight="1">
      <c r="A582" s="1" t="s">
        <v>26</v>
      </c>
      <c r="B582" s="1">
        <v>581</v>
      </c>
      <c r="C582" s="1" t="s">
        <v>610</v>
      </c>
      <c r="D582">
        <f>IMAGE("https://raw.githubusercontent.com/stautonico/pokemon-home-pokedex/main/sprites/swanna.png", 2)</f>
        <v>0</v>
      </c>
      <c r="E582" s="23" t="s">
        <v>16</v>
      </c>
      <c r="F582" s="5"/>
    </row>
    <row r="583" spans="1:6" ht="72" customHeight="1">
      <c r="A583" s="1" t="s">
        <v>26</v>
      </c>
      <c r="B583" s="1">
        <v>582</v>
      </c>
      <c r="C583" s="1" t="s">
        <v>611</v>
      </c>
      <c r="D583">
        <f>IMAGE("https://raw.githubusercontent.com/stautonico/pokemon-home-pokedex/main/sprites/vanillite.png", 2)</f>
        <v>0</v>
      </c>
      <c r="E583" s="4" t="s">
        <v>13</v>
      </c>
      <c r="F583" s="5"/>
    </row>
    <row r="584" spans="1:6" ht="72" customHeight="1">
      <c r="A584" s="1" t="s">
        <v>26</v>
      </c>
      <c r="B584" s="1">
        <v>583</v>
      </c>
      <c r="C584" s="1" t="s">
        <v>612</v>
      </c>
      <c r="D584">
        <f>IMAGE("https://raw.githubusercontent.com/stautonico/pokemon-home-pokedex/main/sprites/vanillish.png", 2)</f>
        <v>0</v>
      </c>
      <c r="E584" s="4" t="s">
        <v>13</v>
      </c>
      <c r="F584" s="5"/>
    </row>
    <row r="585" spans="1:6" ht="72" customHeight="1">
      <c r="A585" s="1" t="s">
        <v>26</v>
      </c>
      <c r="B585" s="1">
        <v>584</v>
      </c>
      <c r="C585" s="1" t="s">
        <v>613</v>
      </c>
      <c r="D585">
        <f>IMAGE("https://raw.githubusercontent.com/stautonico/pokemon-home-pokedex/main/sprites/vanilluxe.png", 2)</f>
        <v>0</v>
      </c>
      <c r="E585" s="4" t="s">
        <v>13</v>
      </c>
      <c r="F585" s="5"/>
    </row>
    <row r="586" spans="1:6" ht="72" customHeight="1">
      <c r="A586" s="1" t="s">
        <v>26</v>
      </c>
      <c r="B586" s="1">
        <v>585</v>
      </c>
      <c r="C586" s="1" t="s">
        <v>614</v>
      </c>
      <c r="D586">
        <f>IMAGE("https://raw.githubusercontent.com/stautonico/pokemon-home-pokedex/main/sprites/deerling.png", 2)</f>
        <v>0</v>
      </c>
      <c r="E586" s="28" t="s">
        <v>21</v>
      </c>
      <c r="F586" s="5"/>
    </row>
    <row r="587" spans="1:6" ht="72" customHeight="1">
      <c r="A587" s="1" t="s">
        <v>26</v>
      </c>
      <c r="B587" s="1">
        <v>586</v>
      </c>
      <c r="C587" s="1" t="s">
        <v>615</v>
      </c>
      <c r="D587">
        <f>IMAGE("https://raw.githubusercontent.com/stautonico/pokemon-home-pokedex/main/sprites/sawsbuck.png", 2)</f>
        <v>0</v>
      </c>
      <c r="E587" s="28" t="s">
        <v>21</v>
      </c>
      <c r="F587" s="5"/>
    </row>
    <row r="588" spans="1:6" ht="72" customHeight="1">
      <c r="A588" s="1" t="s">
        <v>26</v>
      </c>
      <c r="B588" s="1">
        <v>587</v>
      </c>
      <c r="C588" s="1" t="s">
        <v>616</v>
      </c>
      <c r="D588">
        <f>IMAGE("https://raw.githubusercontent.com/stautonico/pokemon-home-pokedex/main/sprites/emolga.png", 2)</f>
        <v>0</v>
      </c>
      <c r="E588" s="3" t="s">
        <v>12</v>
      </c>
      <c r="F588" s="23" t="s">
        <v>16</v>
      </c>
    </row>
    <row r="589" spans="1:6" ht="72" customHeight="1">
      <c r="A589" s="1" t="s">
        <v>26</v>
      </c>
      <c r="B589" s="1">
        <v>588</v>
      </c>
      <c r="C589" s="1" t="s">
        <v>617</v>
      </c>
      <c r="D589">
        <f>IMAGE("https://raw.githubusercontent.com/stautonico/pokemon-home-pokedex/main/sprites/karrablast.png", 2)</f>
        <v>0</v>
      </c>
      <c r="E589" s="4" t="s">
        <v>13</v>
      </c>
      <c r="F589" s="5"/>
    </row>
    <row r="590" spans="1:6" ht="72" customHeight="1">
      <c r="A590" s="1" t="s">
        <v>26</v>
      </c>
      <c r="B590" s="1">
        <v>589</v>
      </c>
      <c r="C590" s="1" t="s">
        <v>618</v>
      </c>
      <c r="D590">
        <f>IMAGE("https://raw.githubusercontent.com/stautonico/pokemon-home-pokedex/main/sprites/escavalier.png", 2)</f>
        <v>0</v>
      </c>
      <c r="E590" s="4" t="s">
        <v>13</v>
      </c>
      <c r="F590" s="5"/>
    </row>
    <row r="591" spans="1:6" ht="72" customHeight="1">
      <c r="A591" s="1" t="s">
        <v>26</v>
      </c>
      <c r="B591" s="1">
        <v>590</v>
      </c>
      <c r="C591" s="1" t="s">
        <v>619</v>
      </c>
      <c r="D591">
        <f>IMAGE("https://raw.githubusercontent.com/stautonico/pokemon-home-pokedex/main/sprites/foongus.png", 2)</f>
        <v>0</v>
      </c>
      <c r="E591" s="3" t="s">
        <v>12</v>
      </c>
      <c r="F591" s="23" t="s">
        <v>16</v>
      </c>
    </row>
    <row r="592" spans="1:6" ht="72" customHeight="1">
      <c r="A592" s="1" t="s">
        <v>26</v>
      </c>
      <c r="B592" s="1">
        <v>591</v>
      </c>
      <c r="C592" s="1" t="s">
        <v>620</v>
      </c>
      <c r="D592">
        <f>IMAGE("https://raw.githubusercontent.com/stautonico/pokemon-home-pokedex/main/sprites/amoonguss.png", 2)</f>
        <v>0</v>
      </c>
      <c r="E592" s="3" t="s">
        <v>12</v>
      </c>
      <c r="F592" s="23" t="s">
        <v>16</v>
      </c>
    </row>
    <row r="593" spans="1:6" ht="72" customHeight="1">
      <c r="A593" s="1" t="s">
        <v>26</v>
      </c>
      <c r="B593" s="1">
        <v>592</v>
      </c>
      <c r="C593" s="1" t="s">
        <v>621</v>
      </c>
      <c r="D593">
        <f>IMAGE("https://raw.githubusercontent.com/stautonico/pokemon-home-pokedex/main/sprites/frillish.png", 2)</f>
        <v>0</v>
      </c>
      <c r="E593" s="4" t="s">
        <v>13</v>
      </c>
      <c r="F593" s="5"/>
    </row>
    <row r="594" spans="1:6" ht="72" customHeight="1">
      <c r="A594" s="1" t="s">
        <v>26</v>
      </c>
      <c r="B594" s="1">
        <v>593</v>
      </c>
      <c r="C594" s="1" t="s">
        <v>622</v>
      </c>
      <c r="D594">
        <f>IMAGE("https://raw.githubusercontent.com/stautonico/pokemon-home-pokedex/main/sprites/jellicent.png", 2)</f>
        <v>0</v>
      </c>
      <c r="E594" s="4" t="s">
        <v>13</v>
      </c>
      <c r="F594" s="5"/>
    </row>
    <row r="595" spans="1:6" ht="72" customHeight="1">
      <c r="A595" s="1" t="s">
        <v>26</v>
      </c>
      <c r="B595" s="1">
        <v>594</v>
      </c>
      <c r="C595" s="1" t="s">
        <v>623</v>
      </c>
      <c r="D595">
        <f>IMAGE("https://raw.githubusercontent.com/stautonico/pokemon-home-pokedex/main/sprites/alomomola.png", 2)</f>
        <v>0</v>
      </c>
      <c r="E595" s="23" t="s">
        <v>16</v>
      </c>
      <c r="F595" s="5"/>
    </row>
    <row r="596" spans="1:6" ht="72" customHeight="1">
      <c r="A596" s="1" t="s">
        <v>26</v>
      </c>
      <c r="B596" s="1">
        <v>595</v>
      </c>
      <c r="C596" s="1" t="s">
        <v>624</v>
      </c>
      <c r="D596">
        <f>IMAGE("https://raw.githubusercontent.com/stautonico/pokemon-home-pokedex/main/sprites/joltik.png", 2)</f>
        <v>0</v>
      </c>
      <c r="E596" s="4" t="s">
        <v>13</v>
      </c>
      <c r="F596" s="5"/>
    </row>
    <row r="597" spans="1:6" ht="72" customHeight="1">
      <c r="A597" s="1" t="s">
        <v>26</v>
      </c>
      <c r="B597" s="1">
        <v>596</v>
      </c>
      <c r="C597" s="1" t="s">
        <v>625</v>
      </c>
      <c r="D597">
        <f>IMAGE("https://raw.githubusercontent.com/stautonico/pokemon-home-pokedex/main/sprites/galvantula.png", 2)</f>
        <v>0</v>
      </c>
      <c r="E597" s="4" t="s">
        <v>13</v>
      </c>
      <c r="F597" s="5"/>
    </row>
    <row r="598" spans="1:6" ht="72" customHeight="1">
      <c r="A598" s="1" t="s">
        <v>26</v>
      </c>
      <c r="B598" s="1">
        <v>597</v>
      </c>
      <c r="C598" s="1" t="s">
        <v>626</v>
      </c>
      <c r="D598">
        <f>IMAGE("https://raw.githubusercontent.com/stautonico/pokemon-home-pokedex/main/sprites/ferroseed.png", 2)</f>
        <v>0</v>
      </c>
      <c r="E598" s="4" t="s">
        <v>13</v>
      </c>
      <c r="F598" s="5"/>
    </row>
    <row r="599" spans="1:6" ht="72" customHeight="1">
      <c r="A599" s="1" t="s">
        <v>26</v>
      </c>
      <c r="B599" s="1">
        <v>598</v>
      </c>
      <c r="C599" s="1" t="s">
        <v>627</v>
      </c>
      <c r="D599">
        <f>IMAGE("https://raw.githubusercontent.com/stautonico/pokemon-home-pokedex/main/sprites/ferrothorn.png", 2)</f>
        <v>0</v>
      </c>
      <c r="E599" s="4" t="s">
        <v>13</v>
      </c>
      <c r="F599" s="5"/>
    </row>
    <row r="600" spans="1:6" ht="72" customHeight="1">
      <c r="A600" s="1" t="s">
        <v>26</v>
      </c>
      <c r="B600" s="1">
        <v>599</v>
      </c>
      <c r="C600" s="1" t="s">
        <v>628</v>
      </c>
      <c r="D600">
        <f>IMAGE("https://raw.githubusercontent.com/stautonico/pokemon-home-pokedex/main/sprites/klink.png", 2)</f>
        <v>0</v>
      </c>
      <c r="E600" s="4" t="s">
        <v>13</v>
      </c>
      <c r="F600" s="5"/>
    </row>
    <row r="601" spans="1:6" ht="72" customHeight="1">
      <c r="A601" s="1" t="s">
        <v>26</v>
      </c>
      <c r="B601" s="1">
        <v>600</v>
      </c>
      <c r="C601" s="1" t="s">
        <v>629</v>
      </c>
      <c r="D601">
        <f>IMAGE("https://raw.githubusercontent.com/stautonico/pokemon-home-pokedex/main/sprites/klang.png", 2)</f>
        <v>0</v>
      </c>
      <c r="E601" s="4" t="s">
        <v>13</v>
      </c>
      <c r="F601" s="5"/>
    </row>
    <row r="602" spans="1:6" ht="72" customHeight="1">
      <c r="A602" s="1" t="s">
        <v>26</v>
      </c>
      <c r="B602" s="1">
        <v>601</v>
      </c>
      <c r="C602" s="1" t="s">
        <v>630</v>
      </c>
      <c r="D602">
        <f>IMAGE("https://raw.githubusercontent.com/stautonico/pokemon-home-pokedex/main/sprites/klinklang.png", 2)</f>
        <v>0</v>
      </c>
      <c r="E602" s="4" t="s">
        <v>13</v>
      </c>
      <c r="F602" s="5"/>
    </row>
    <row r="603" spans="1:6" ht="72" customHeight="1">
      <c r="A603" s="1" t="s">
        <v>26</v>
      </c>
      <c r="B603" s="1">
        <v>602</v>
      </c>
      <c r="C603" s="1" t="s">
        <v>631</v>
      </c>
      <c r="D603">
        <f>IMAGE("https://raw.githubusercontent.com/stautonico/pokemon-home-pokedex/main/sprites/tynamo.png", 2)</f>
        <v>0</v>
      </c>
      <c r="E603" s="26" t="s">
        <v>17</v>
      </c>
      <c r="F603" s="5"/>
    </row>
    <row r="604" spans="1:6" ht="72" customHeight="1">
      <c r="A604" s="1" t="s">
        <v>26</v>
      </c>
      <c r="B604" s="1">
        <v>603</v>
      </c>
      <c r="C604" s="1" t="s">
        <v>632</v>
      </c>
      <c r="D604">
        <f>IMAGE("https://raw.githubusercontent.com/stautonico/pokemon-home-pokedex/main/sprites/eelektrik.png", 2)</f>
        <v>0</v>
      </c>
      <c r="E604" s="26" t="s">
        <v>17</v>
      </c>
      <c r="F604" s="5"/>
    </row>
    <row r="605" spans="1:6" ht="72" customHeight="1">
      <c r="A605" s="1" t="s">
        <v>26</v>
      </c>
      <c r="B605" s="1">
        <v>604</v>
      </c>
      <c r="C605" s="1" t="s">
        <v>633</v>
      </c>
      <c r="D605">
        <f>IMAGE("https://raw.githubusercontent.com/stautonico/pokemon-home-pokedex/main/sprites/eelektross.png", 2)</f>
        <v>0</v>
      </c>
      <c r="E605" s="26" t="s">
        <v>17</v>
      </c>
      <c r="F605" s="5"/>
    </row>
    <row r="606" spans="1:6" ht="72" customHeight="1">
      <c r="A606" s="1" t="s">
        <v>26</v>
      </c>
      <c r="B606" s="1">
        <v>605</v>
      </c>
      <c r="C606" s="1" t="s">
        <v>634</v>
      </c>
      <c r="D606">
        <f>IMAGE("https://raw.githubusercontent.com/stautonico/pokemon-home-pokedex/main/sprites/elgyem.png", 2)</f>
        <v>0</v>
      </c>
      <c r="E606" s="4" t="s">
        <v>13</v>
      </c>
      <c r="F606" s="5"/>
    </row>
    <row r="607" spans="1:6" ht="72" customHeight="1">
      <c r="A607" s="1" t="s">
        <v>26</v>
      </c>
      <c r="B607" s="1">
        <v>606</v>
      </c>
      <c r="C607" s="1" t="s">
        <v>635</v>
      </c>
      <c r="D607">
        <f>IMAGE("https://raw.githubusercontent.com/stautonico/pokemon-home-pokedex/main/sprites/beheeyem.png", 2)</f>
        <v>0</v>
      </c>
      <c r="E607" s="4" t="s">
        <v>13</v>
      </c>
      <c r="F607" s="5"/>
    </row>
    <row r="608" spans="1:6" ht="72" customHeight="1">
      <c r="A608" s="1" t="s">
        <v>26</v>
      </c>
      <c r="B608" s="1">
        <v>607</v>
      </c>
      <c r="C608" s="1" t="s">
        <v>636</v>
      </c>
      <c r="D608">
        <f>IMAGE("https://raw.githubusercontent.com/stautonico/pokemon-home-pokedex/main/sprites/litwick.png", 2)</f>
        <v>0</v>
      </c>
      <c r="E608" s="4" t="s">
        <v>13</v>
      </c>
      <c r="F608" s="5"/>
    </row>
    <row r="609" spans="1:6" ht="72" customHeight="1">
      <c r="A609" s="1" t="s">
        <v>26</v>
      </c>
      <c r="B609" s="1">
        <v>608</v>
      </c>
      <c r="C609" s="1" t="s">
        <v>637</v>
      </c>
      <c r="D609">
        <f>IMAGE("https://raw.githubusercontent.com/stautonico/pokemon-home-pokedex/main/sprites/lampent.png", 2)</f>
        <v>0</v>
      </c>
      <c r="E609" s="4" t="s">
        <v>13</v>
      </c>
      <c r="F609" s="5"/>
    </row>
    <row r="610" spans="1:6" ht="72" customHeight="1">
      <c r="A610" s="1" t="s">
        <v>26</v>
      </c>
      <c r="B610" s="1">
        <v>609</v>
      </c>
      <c r="C610" s="1" t="s">
        <v>638</v>
      </c>
      <c r="D610">
        <f>IMAGE("https://raw.githubusercontent.com/stautonico/pokemon-home-pokedex/main/sprites/chandelure.png", 2)</f>
        <v>0</v>
      </c>
      <c r="E610" s="4" t="s">
        <v>13</v>
      </c>
      <c r="F610" s="5"/>
    </row>
    <row r="611" spans="1:6" ht="72" customHeight="1">
      <c r="A611" s="1" t="s">
        <v>26</v>
      </c>
      <c r="B611" s="1">
        <v>610</v>
      </c>
      <c r="C611" s="1" t="s">
        <v>639</v>
      </c>
      <c r="D611">
        <f>IMAGE("https://raw.githubusercontent.com/stautonico/pokemon-home-pokedex/main/sprites/axew.png", 2)</f>
        <v>0</v>
      </c>
      <c r="E611" s="4" t="s">
        <v>13</v>
      </c>
      <c r="F611" s="5"/>
    </row>
    <row r="612" spans="1:6" ht="72" customHeight="1">
      <c r="A612" s="1" t="s">
        <v>26</v>
      </c>
      <c r="B612" s="1">
        <v>611</v>
      </c>
      <c r="C612" s="1" t="s">
        <v>640</v>
      </c>
      <c r="D612">
        <f>IMAGE("https://raw.githubusercontent.com/stautonico/pokemon-home-pokedex/main/sprites/fraxure.png", 2)</f>
        <v>0</v>
      </c>
      <c r="E612" s="4" t="s">
        <v>13</v>
      </c>
      <c r="F612" s="5"/>
    </row>
    <row r="613" spans="1:6" ht="72" customHeight="1">
      <c r="A613" s="1" t="s">
        <v>26</v>
      </c>
      <c r="B613" s="1">
        <v>612</v>
      </c>
      <c r="C613" s="1" t="s">
        <v>641</v>
      </c>
      <c r="D613">
        <f>IMAGE("https://raw.githubusercontent.com/stautonico/pokemon-home-pokedex/main/sprites/haxorus.png", 2)</f>
        <v>0</v>
      </c>
      <c r="E613" s="4" t="s">
        <v>13</v>
      </c>
      <c r="F613" s="5"/>
    </row>
    <row r="614" spans="1:6" ht="72" customHeight="1">
      <c r="A614" s="1" t="s">
        <v>26</v>
      </c>
      <c r="B614" s="1">
        <v>613</v>
      </c>
      <c r="C614" s="1" t="s">
        <v>642</v>
      </c>
      <c r="D614">
        <f>IMAGE("https://raw.githubusercontent.com/stautonico/pokemon-home-pokedex/main/sprites/cubchoo.png", 2)</f>
        <v>0</v>
      </c>
      <c r="E614" s="4" t="s">
        <v>13</v>
      </c>
      <c r="F614" s="5"/>
    </row>
    <row r="615" spans="1:6" ht="72" customHeight="1">
      <c r="A615" s="1" t="s">
        <v>26</v>
      </c>
      <c r="B615" s="1">
        <v>614</v>
      </c>
      <c r="C615" s="1" t="s">
        <v>643</v>
      </c>
      <c r="D615">
        <f>IMAGE("https://raw.githubusercontent.com/stautonico/pokemon-home-pokedex/main/sprites/beartic.png", 2)</f>
        <v>0</v>
      </c>
      <c r="E615" s="4" t="s">
        <v>13</v>
      </c>
      <c r="F615" s="5"/>
    </row>
    <row r="616" spans="1:6" ht="72" customHeight="1">
      <c r="A616" s="1" t="s">
        <v>26</v>
      </c>
      <c r="B616" s="1">
        <v>615</v>
      </c>
      <c r="C616" s="1" t="s">
        <v>644</v>
      </c>
      <c r="D616">
        <f>IMAGE("https://raw.githubusercontent.com/stautonico/pokemon-home-pokedex/main/sprites/cryogonal.png", 2)</f>
        <v>0</v>
      </c>
      <c r="E616" s="23" t="s">
        <v>16</v>
      </c>
      <c r="F616" s="5"/>
    </row>
    <row r="617" spans="1:6" ht="72" customHeight="1">
      <c r="A617" s="1" t="s">
        <v>26</v>
      </c>
      <c r="B617" s="1">
        <v>616</v>
      </c>
      <c r="C617" s="1" t="s">
        <v>645</v>
      </c>
      <c r="D617">
        <f>IMAGE("https://raw.githubusercontent.com/stautonico/pokemon-home-pokedex/main/sprites/shelmet.png", 2)</f>
        <v>0</v>
      </c>
      <c r="E617" s="4" t="s">
        <v>13</v>
      </c>
      <c r="F617" s="5"/>
    </row>
    <row r="618" spans="1:6" ht="72" customHeight="1">
      <c r="A618" s="1" t="s">
        <v>26</v>
      </c>
      <c r="B618" s="1">
        <v>617</v>
      </c>
      <c r="C618" s="1" t="s">
        <v>646</v>
      </c>
      <c r="D618">
        <f>IMAGE("https://raw.githubusercontent.com/stautonico/pokemon-home-pokedex/main/sprites/accelgor.png", 2)</f>
        <v>0</v>
      </c>
      <c r="E618" s="4" t="s">
        <v>13</v>
      </c>
      <c r="F618" s="5"/>
    </row>
    <row r="619" spans="1:6" ht="72" customHeight="1">
      <c r="A619" s="1" t="s">
        <v>26</v>
      </c>
      <c r="B619" s="1">
        <v>618</v>
      </c>
      <c r="C619" s="1" t="s">
        <v>647</v>
      </c>
      <c r="D619">
        <f>IMAGE("https://raw.githubusercontent.com/stautonico/pokemon-home-pokedex/main/sprites/stunfisk.png", 2)</f>
        <v>0</v>
      </c>
      <c r="E619" s="4" t="s">
        <v>13</v>
      </c>
      <c r="F619" s="5"/>
    </row>
    <row r="620" spans="1:6" ht="72" customHeight="1">
      <c r="A620" s="1" t="s">
        <v>26</v>
      </c>
      <c r="B620" s="1">
        <v>619</v>
      </c>
      <c r="C620" s="1" t="s">
        <v>648</v>
      </c>
      <c r="D620">
        <f>IMAGE("https://raw.githubusercontent.com/stautonico/pokemon-home-pokedex/main/sprites/mienfoo.png", 2)</f>
        <v>0</v>
      </c>
      <c r="E620" s="3" t="s">
        <v>12</v>
      </c>
      <c r="F620" s="26" t="s">
        <v>17</v>
      </c>
    </row>
    <row r="621" spans="1:6" ht="72" customHeight="1">
      <c r="A621" s="1" t="s">
        <v>26</v>
      </c>
      <c r="B621" s="1">
        <v>620</v>
      </c>
      <c r="C621" s="1" t="s">
        <v>649</v>
      </c>
      <c r="D621">
        <f>IMAGE("https://raw.githubusercontent.com/stautonico/pokemon-home-pokedex/main/sprites/mienshao.png", 2)</f>
        <v>0</v>
      </c>
      <c r="E621" s="3" t="s">
        <v>12</v>
      </c>
      <c r="F621" s="26" t="s">
        <v>17</v>
      </c>
    </row>
    <row r="622" spans="1:6" ht="72" customHeight="1">
      <c r="A622" s="1" t="s">
        <v>26</v>
      </c>
      <c r="B622" s="1">
        <v>621</v>
      </c>
      <c r="C622" s="1" t="s">
        <v>650</v>
      </c>
      <c r="D622">
        <f>IMAGE("https://raw.githubusercontent.com/stautonico/pokemon-home-pokedex/main/sprites/druddigon.png", 2)</f>
        <v>0</v>
      </c>
      <c r="E622" s="3" t="s">
        <v>12</v>
      </c>
      <c r="F622" s="26" t="s">
        <v>17</v>
      </c>
    </row>
    <row r="623" spans="1:6" ht="72" customHeight="1">
      <c r="A623" s="1" t="s">
        <v>26</v>
      </c>
      <c r="B623" s="1">
        <v>622</v>
      </c>
      <c r="C623" s="1" t="s">
        <v>651</v>
      </c>
      <c r="D623">
        <f>IMAGE("https://raw.githubusercontent.com/stautonico/pokemon-home-pokedex/main/sprites/golett.png", 2)</f>
        <v>0</v>
      </c>
      <c r="E623" s="4" t="s">
        <v>13</v>
      </c>
      <c r="F623" s="5"/>
    </row>
    <row r="624" spans="1:6" ht="72" customHeight="1">
      <c r="A624" s="1" t="s">
        <v>26</v>
      </c>
      <c r="B624" s="1">
        <v>623</v>
      </c>
      <c r="C624" s="1" t="s">
        <v>652</v>
      </c>
      <c r="D624">
        <f>IMAGE("https://raw.githubusercontent.com/stautonico/pokemon-home-pokedex/main/sprites/golurk.png", 2)</f>
        <v>0</v>
      </c>
      <c r="E624" s="4" t="s">
        <v>13</v>
      </c>
      <c r="F624" s="5"/>
    </row>
    <row r="625" spans="1:6" ht="72" customHeight="1">
      <c r="A625" s="1" t="s">
        <v>26</v>
      </c>
      <c r="B625" s="1">
        <v>624</v>
      </c>
      <c r="C625" s="1" t="s">
        <v>653</v>
      </c>
      <c r="D625">
        <f>IMAGE("https://raw.githubusercontent.com/stautonico/pokemon-home-pokedex/main/sprites/pawniard.png", 2)</f>
        <v>0</v>
      </c>
      <c r="E625" s="4" t="s">
        <v>13</v>
      </c>
      <c r="F625" s="5"/>
    </row>
    <row r="626" spans="1:6" ht="72" customHeight="1">
      <c r="A626" s="1" t="s">
        <v>26</v>
      </c>
      <c r="B626" s="1">
        <v>625</v>
      </c>
      <c r="C626" s="1" t="s">
        <v>654</v>
      </c>
      <c r="D626">
        <f>IMAGE("https://raw.githubusercontent.com/stautonico/pokemon-home-pokedex/main/sprites/bisharp.png", 2)</f>
        <v>0</v>
      </c>
      <c r="E626" s="4" t="s">
        <v>13</v>
      </c>
      <c r="F626" s="5"/>
    </row>
    <row r="627" spans="1:6" ht="72" customHeight="1">
      <c r="A627" s="1" t="s">
        <v>26</v>
      </c>
      <c r="B627" s="1">
        <v>626</v>
      </c>
      <c r="C627" s="1" t="s">
        <v>655</v>
      </c>
      <c r="D627">
        <f>IMAGE("https://raw.githubusercontent.com/stautonico/pokemon-home-pokedex/main/sprites/bouffalant.png", 2)</f>
        <v>0</v>
      </c>
      <c r="E627" s="3" t="s">
        <v>12</v>
      </c>
      <c r="F627" s="28" t="s">
        <v>21</v>
      </c>
    </row>
    <row r="628" spans="1:6" ht="72" customHeight="1">
      <c r="A628" s="1" t="s">
        <v>26</v>
      </c>
      <c r="B628" s="1">
        <v>627</v>
      </c>
      <c r="C628" s="1" t="s">
        <v>656</v>
      </c>
      <c r="D628">
        <f>IMAGE("https://raw.githubusercontent.com/stautonico/pokemon-home-pokedex/main/sprites/rufflet.png", 2)</f>
        <v>0</v>
      </c>
      <c r="E628" s="29" t="s">
        <v>14</v>
      </c>
      <c r="F628" s="33" t="s">
        <v>19</v>
      </c>
    </row>
    <row r="629" spans="1:6" ht="72" customHeight="1">
      <c r="A629" s="1" t="s">
        <v>26</v>
      </c>
      <c r="B629" s="1">
        <v>628</v>
      </c>
      <c r="C629" s="1" t="s">
        <v>657</v>
      </c>
      <c r="D629">
        <f>IMAGE("https://raw.githubusercontent.com/stautonico/pokemon-home-pokedex/main/sprites/braviary.png", 2)</f>
        <v>0</v>
      </c>
      <c r="E629" s="29" t="s">
        <v>14</v>
      </c>
      <c r="F629" s="33" t="s">
        <v>19</v>
      </c>
    </row>
    <row r="630" spans="1:6" ht="72" customHeight="1">
      <c r="A630" s="1" t="s">
        <v>26</v>
      </c>
      <c r="B630" s="1">
        <v>629</v>
      </c>
      <c r="C630" s="1" t="s">
        <v>658</v>
      </c>
      <c r="D630">
        <f>IMAGE("https://raw.githubusercontent.com/stautonico/pokemon-home-pokedex/main/sprites/vullaby.png", 2)</f>
        <v>0</v>
      </c>
      <c r="E630" s="27" t="s">
        <v>15</v>
      </c>
      <c r="F630" s="34" t="s">
        <v>20</v>
      </c>
    </row>
    <row r="631" spans="1:6" ht="72" customHeight="1">
      <c r="A631" s="1" t="s">
        <v>26</v>
      </c>
      <c r="B631" s="1">
        <v>630</v>
      </c>
      <c r="C631" s="1" t="s">
        <v>659</v>
      </c>
      <c r="D631">
        <f>IMAGE("https://raw.githubusercontent.com/stautonico/pokemon-home-pokedex/main/sprites/mandibuzz.png", 2)</f>
        <v>0</v>
      </c>
      <c r="E631" s="27" t="s">
        <v>15</v>
      </c>
      <c r="F631" s="34" t="s">
        <v>20</v>
      </c>
    </row>
    <row r="632" spans="1:6" ht="72" customHeight="1">
      <c r="A632" s="1" t="s">
        <v>26</v>
      </c>
      <c r="B632" s="1">
        <v>631</v>
      </c>
      <c r="C632" s="1" t="s">
        <v>660</v>
      </c>
      <c r="D632">
        <f>IMAGE("https://raw.githubusercontent.com/stautonico/pokemon-home-pokedex/main/sprites/heatmor.png", 2)</f>
        <v>0</v>
      </c>
      <c r="E632" s="4" t="s">
        <v>13</v>
      </c>
      <c r="F632" s="5"/>
    </row>
    <row r="633" spans="1:6" ht="72" customHeight="1">
      <c r="A633" s="1" t="s">
        <v>26</v>
      </c>
      <c r="B633" s="1">
        <v>632</v>
      </c>
      <c r="C633" s="1" t="s">
        <v>661</v>
      </c>
      <c r="D633">
        <f>IMAGE("https://raw.githubusercontent.com/stautonico/pokemon-home-pokedex/main/sprites/durant.png", 2)</f>
        <v>0</v>
      </c>
      <c r="E633" s="4" t="s">
        <v>13</v>
      </c>
      <c r="F633" s="5"/>
    </row>
    <row r="634" spans="1:6" ht="72" customHeight="1">
      <c r="A634" s="1" t="s">
        <v>26</v>
      </c>
      <c r="B634" s="1">
        <v>633</v>
      </c>
      <c r="C634" s="1" t="s">
        <v>662</v>
      </c>
      <c r="D634">
        <f>IMAGE("https://raw.githubusercontent.com/stautonico/pokemon-home-pokedex/main/sprites/deino.png", 2)</f>
        <v>0</v>
      </c>
      <c r="E634" s="29" t="s">
        <v>14</v>
      </c>
      <c r="F634" s="28" t="s">
        <v>21</v>
      </c>
    </row>
    <row r="635" spans="1:6" ht="72" customHeight="1">
      <c r="A635" s="1" t="s">
        <v>26</v>
      </c>
      <c r="B635" s="1">
        <v>634</v>
      </c>
      <c r="C635" s="1" t="s">
        <v>663</v>
      </c>
      <c r="D635">
        <f>IMAGE("https://raw.githubusercontent.com/stautonico/pokemon-home-pokedex/main/sprites/zweilous.png", 2)</f>
        <v>0</v>
      </c>
      <c r="E635" s="29" t="s">
        <v>14</v>
      </c>
      <c r="F635" s="28" t="s">
        <v>21</v>
      </c>
    </row>
    <row r="636" spans="1:6" ht="72" customHeight="1">
      <c r="A636" s="1" t="s">
        <v>26</v>
      </c>
      <c r="B636" s="1">
        <v>635</v>
      </c>
      <c r="C636" s="1" t="s">
        <v>664</v>
      </c>
      <c r="D636">
        <f>IMAGE("https://raw.githubusercontent.com/stautonico/pokemon-home-pokedex/main/sprites/hydreigon.png", 2)</f>
        <v>0</v>
      </c>
      <c r="E636" s="29" t="s">
        <v>14</v>
      </c>
      <c r="F636" s="28" t="s">
        <v>21</v>
      </c>
    </row>
    <row r="637" spans="1:6" ht="72" customHeight="1">
      <c r="A637" s="1" t="s">
        <v>26</v>
      </c>
      <c r="B637" s="1">
        <v>636</v>
      </c>
      <c r="C637" s="1" t="s">
        <v>665</v>
      </c>
      <c r="D637">
        <f>IMAGE("https://raw.githubusercontent.com/stautonico/pokemon-home-pokedex/main/sprites/larvesta.png", 2)</f>
        <v>0</v>
      </c>
      <c r="E637" s="3" t="s">
        <v>12</v>
      </c>
      <c r="F637" s="26" t="s">
        <v>17</v>
      </c>
    </row>
    <row r="638" spans="1:6" ht="72" customHeight="1">
      <c r="A638" s="1" t="s">
        <v>26</v>
      </c>
      <c r="B638" s="1">
        <v>637</v>
      </c>
      <c r="C638" s="1" t="s">
        <v>666</v>
      </c>
      <c r="D638">
        <f>IMAGE("https://raw.githubusercontent.com/stautonico/pokemon-home-pokedex/main/sprites/volcarona.png", 2)</f>
        <v>0</v>
      </c>
      <c r="E638" s="3" t="s">
        <v>12</v>
      </c>
      <c r="F638" s="26" t="s">
        <v>17</v>
      </c>
    </row>
    <row r="639" spans="1:6" ht="72" customHeight="1">
      <c r="A639" s="1" t="s">
        <v>26</v>
      </c>
      <c r="B639" s="1">
        <v>638</v>
      </c>
      <c r="C639" s="1" t="s">
        <v>667</v>
      </c>
      <c r="D639">
        <f>IMAGE("https://raw.githubusercontent.com/stautonico/pokemon-home-pokedex/main/sprites/cobalion.png", 2)</f>
        <v>0</v>
      </c>
      <c r="E639" s="26" t="s">
        <v>17</v>
      </c>
      <c r="F639" s="5"/>
    </row>
    <row r="640" spans="1:6" ht="72" customHeight="1">
      <c r="A640" s="1" t="s">
        <v>26</v>
      </c>
      <c r="B640" s="1">
        <v>639</v>
      </c>
      <c r="C640" s="1" t="s">
        <v>668</v>
      </c>
      <c r="D640">
        <f>IMAGE("https://raw.githubusercontent.com/stautonico/pokemon-home-pokedex/main/sprites/terrakion.png", 2)</f>
        <v>0</v>
      </c>
      <c r="E640" s="26" t="s">
        <v>17</v>
      </c>
      <c r="F640" s="5"/>
    </row>
    <row r="641" spans="1:6" ht="72" customHeight="1">
      <c r="A641" s="1" t="s">
        <v>26</v>
      </c>
      <c r="B641" s="1">
        <v>640</v>
      </c>
      <c r="C641" s="1" t="s">
        <v>669</v>
      </c>
      <c r="D641">
        <f>IMAGE("https://raw.githubusercontent.com/stautonico/pokemon-home-pokedex/main/sprites/virizion.png", 2)</f>
        <v>0</v>
      </c>
      <c r="E641" s="26" t="s">
        <v>17</v>
      </c>
      <c r="F641" s="5"/>
    </row>
    <row r="642" spans="1:6" ht="72" customHeight="1">
      <c r="A642" s="1" t="s">
        <v>26</v>
      </c>
      <c r="B642" s="1">
        <v>641</v>
      </c>
      <c r="C642" s="1" t="s">
        <v>670</v>
      </c>
      <c r="D642">
        <f>IMAGE("https://raw.githubusercontent.com/stautonico/pokemon-home-pokedex/main/sprites/tornadus-incarnate.png", 2)</f>
        <v>0</v>
      </c>
      <c r="E642" s="33" t="s">
        <v>19</v>
      </c>
      <c r="F642" s="32" t="s">
        <v>22</v>
      </c>
    </row>
    <row r="643" spans="1:6" ht="72" customHeight="1">
      <c r="A643" s="1" t="s">
        <v>26</v>
      </c>
      <c r="B643" s="1">
        <v>642</v>
      </c>
      <c r="C643" s="1" t="s">
        <v>671</v>
      </c>
      <c r="D643">
        <f>IMAGE("https://raw.githubusercontent.com/stautonico/pokemon-home-pokedex/main/sprites/thundurus-incarnate.png", 2)</f>
        <v>0</v>
      </c>
      <c r="E643" s="34" t="s">
        <v>20</v>
      </c>
      <c r="F643" s="35" t="s">
        <v>23</v>
      </c>
    </row>
    <row r="644" spans="1:6" ht="72" customHeight="1">
      <c r="A644" s="1" t="s">
        <v>26</v>
      </c>
      <c r="B644" s="1">
        <v>643</v>
      </c>
      <c r="C644" s="1" t="s">
        <v>672</v>
      </c>
      <c r="D644">
        <f>IMAGE("https://raw.githubusercontent.com/stautonico/pokemon-home-pokedex/main/sprites/reshiram.png", 2)</f>
        <v>0</v>
      </c>
      <c r="E644" s="33" t="s">
        <v>19</v>
      </c>
      <c r="F644" s="32" t="s">
        <v>22</v>
      </c>
    </row>
    <row r="645" spans="1:6" ht="72" customHeight="1">
      <c r="A645" s="1" t="s">
        <v>26</v>
      </c>
      <c r="B645" s="1">
        <v>644</v>
      </c>
      <c r="C645" s="1" t="s">
        <v>673</v>
      </c>
      <c r="D645">
        <f>IMAGE("https://raw.githubusercontent.com/stautonico/pokemon-home-pokedex/main/sprites/zekrom.png", 2)</f>
        <v>0</v>
      </c>
      <c r="E645" s="34" t="s">
        <v>20</v>
      </c>
      <c r="F645" s="35" t="s">
        <v>23</v>
      </c>
    </row>
    <row r="646" spans="1:6" ht="72" customHeight="1">
      <c r="A646" s="1" t="s">
        <v>26</v>
      </c>
      <c r="B646" s="1">
        <v>645</v>
      </c>
      <c r="C646" s="1" t="s">
        <v>674</v>
      </c>
      <c r="D646">
        <f>IMAGE("https://raw.githubusercontent.com/stautonico/pokemon-home-pokedex/main/sprites/landorus-incarnate.png", 2)</f>
        <v>0</v>
      </c>
      <c r="E646" s="26" t="s">
        <v>17</v>
      </c>
      <c r="F646" s="5"/>
    </row>
    <row r="647" spans="1:6" ht="72" customHeight="1">
      <c r="A647" s="1" t="s">
        <v>26</v>
      </c>
      <c r="B647" s="1">
        <v>646</v>
      </c>
      <c r="C647" s="1" t="s">
        <v>675</v>
      </c>
      <c r="D647">
        <f>IMAGE("https://raw.githubusercontent.com/stautonico/pokemon-home-pokedex/main/sprites/kyurem.png", 2)</f>
        <v>0</v>
      </c>
      <c r="E647" s="26" t="s">
        <v>17</v>
      </c>
      <c r="F647" s="5"/>
    </row>
    <row r="648" spans="1:6" ht="72" customHeight="1">
      <c r="A648" s="1" t="s">
        <v>26</v>
      </c>
      <c r="B648" s="1">
        <v>647</v>
      </c>
      <c r="C648" s="1" t="s">
        <v>676</v>
      </c>
      <c r="D648">
        <f>IMAGE("https://raw.githubusercontent.com/stautonico/pokemon-home-pokedex/main/sprites/keldeo-ordinary.png", 2)</f>
        <v>0</v>
      </c>
      <c r="E648" s="31" t="s">
        <v>24</v>
      </c>
      <c r="F648" s="5"/>
    </row>
    <row r="649" spans="1:6" ht="72" customHeight="1">
      <c r="A649" s="1" t="s">
        <v>26</v>
      </c>
      <c r="B649" s="1">
        <v>648</v>
      </c>
      <c r="C649" s="1" t="s">
        <v>677</v>
      </c>
      <c r="D649">
        <f>IMAGE("https://raw.githubusercontent.com/stautonico/pokemon-home-pokedex/main/sprites/meloetta-aria.png", 2)</f>
        <v>0</v>
      </c>
      <c r="E649" s="31" t="s">
        <v>24</v>
      </c>
      <c r="F649" s="5"/>
    </row>
    <row r="650" spans="1:6" ht="72" customHeight="1">
      <c r="A650" s="1" t="s">
        <v>26</v>
      </c>
      <c r="B650" s="1">
        <v>649</v>
      </c>
      <c r="C650" s="1" t="s">
        <v>678</v>
      </c>
      <c r="D650">
        <f>IMAGE("https://raw.githubusercontent.com/stautonico/pokemon-home-pokedex/main/sprites/genesect.png", 2)</f>
        <v>0</v>
      </c>
      <c r="E650" s="31" t="s">
        <v>24</v>
      </c>
      <c r="F650" s="5"/>
    </row>
    <row r="651" spans="1:6" ht="72" customHeight="1">
      <c r="A651" s="1" t="s">
        <v>26</v>
      </c>
      <c r="B651" s="1">
        <v>650</v>
      </c>
      <c r="C651" s="1" t="s">
        <v>679</v>
      </c>
      <c r="D651">
        <f>IMAGE("https://raw.githubusercontent.com/stautonico/pokemon-home-pokedex/main/sprites/chespin.png", 2)</f>
        <v>0</v>
      </c>
      <c r="E651" s="26" t="s">
        <v>17</v>
      </c>
      <c r="F651" s="23" t="s">
        <v>16</v>
      </c>
    </row>
    <row r="652" spans="1:6" ht="72" customHeight="1">
      <c r="A652" s="1" t="s">
        <v>26</v>
      </c>
      <c r="B652" s="1">
        <v>651</v>
      </c>
      <c r="C652" s="1" t="s">
        <v>680</v>
      </c>
      <c r="D652">
        <f>IMAGE("https://raw.githubusercontent.com/stautonico/pokemon-home-pokedex/main/sprites/quilladin.png", 2)</f>
        <v>0</v>
      </c>
      <c r="E652" s="26" t="s">
        <v>17</v>
      </c>
      <c r="F652" s="23" t="s">
        <v>16</v>
      </c>
    </row>
    <row r="653" spans="1:6" ht="72" customHeight="1">
      <c r="A653" s="1" t="s">
        <v>26</v>
      </c>
      <c r="B653" s="1">
        <v>652</v>
      </c>
      <c r="C653" s="1" t="s">
        <v>681</v>
      </c>
      <c r="D653">
        <f>IMAGE("https://raw.githubusercontent.com/stautonico/pokemon-home-pokedex/main/sprites/chesnaught.png", 2)</f>
        <v>0</v>
      </c>
      <c r="E653" s="26" t="s">
        <v>17</v>
      </c>
      <c r="F653" s="23" t="s">
        <v>16</v>
      </c>
    </row>
    <row r="654" spans="1:6" ht="72" customHeight="1">
      <c r="A654" s="1" t="s">
        <v>26</v>
      </c>
      <c r="B654" s="1">
        <v>653</v>
      </c>
      <c r="C654" s="1" t="s">
        <v>682</v>
      </c>
      <c r="D654">
        <f>IMAGE("https://raw.githubusercontent.com/stautonico/pokemon-home-pokedex/main/sprites/fennekin.png", 2)</f>
        <v>0</v>
      </c>
      <c r="E654" s="26" t="s">
        <v>17</v>
      </c>
      <c r="F654" s="23" t="s">
        <v>16</v>
      </c>
    </row>
    <row r="655" spans="1:6" ht="72" customHeight="1">
      <c r="A655" s="1" t="s">
        <v>26</v>
      </c>
      <c r="B655" s="1">
        <v>654</v>
      </c>
      <c r="C655" s="1" t="s">
        <v>683</v>
      </c>
      <c r="D655">
        <f>IMAGE("https://raw.githubusercontent.com/stautonico/pokemon-home-pokedex/main/sprites/braixen.png", 2)</f>
        <v>0</v>
      </c>
      <c r="E655" s="26" t="s">
        <v>17</v>
      </c>
      <c r="F655" s="23" t="s">
        <v>16</v>
      </c>
    </row>
    <row r="656" spans="1:6" ht="72" customHeight="1">
      <c r="A656" s="1" t="s">
        <v>26</v>
      </c>
      <c r="B656" s="1">
        <v>655</v>
      </c>
      <c r="C656" s="1" t="s">
        <v>684</v>
      </c>
      <c r="D656">
        <f>IMAGE("https://raw.githubusercontent.com/stautonico/pokemon-home-pokedex/main/sprites/delphox.png", 2)</f>
        <v>0</v>
      </c>
      <c r="E656" s="26" t="s">
        <v>17</v>
      </c>
      <c r="F656" s="23" t="s">
        <v>16</v>
      </c>
    </row>
    <row r="657" spans="1:6" ht="72" customHeight="1">
      <c r="A657" s="1" t="s">
        <v>26</v>
      </c>
      <c r="B657" s="1">
        <v>656</v>
      </c>
      <c r="C657" s="1" t="s">
        <v>685</v>
      </c>
      <c r="D657">
        <f>IMAGE("https://raw.githubusercontent.com/stautonico/pokemon-home-pokedex/main/sprites/froakie.png", 2)</f>
        <v>0</v>
      </c>
      <c r="E657" s="26" t="s">
        <v>17</v>
      </c>
      <c r="F657" s="23" t="s">
        <v>16</v>
      </c>
    </row>
    <row r="658" spans="1:6" ht="72" customHeight="1">
      <c r="A658" s="1" t="s">
        <v>26</v>
      </c>
      <c r="B658" s="1">
        <v>657</v>
      </c>
      <c r="C658" s="1" t="s">
        <v>686</v>
      </c>
      <c r="D658">
        <f>IMAGE("https://raw.githubusercontent.com/stautonico/pokemon-home-pokedex/main/sprites/frogadier.png", 2)</f>
        <v>0</v>
      </c>
      <c r="E658" s="26" t="s">
        <v>17</v>
      </c>
      <c r="F658" s="23" t="s">
        <v>16</v>
      </c>
    </row>
    <row r="659" spans="1:6" ht="72" customHeight="1">
      <c r="A659" s="1" t="s">
        <v>26</v>
      </c>
      <c r="B659" s="1">
        <v>658</v>
      </c>
      <c r="C659" s="1" t="s">
        <v>687</v>
      </c>
      <c r="D659">
        <f>IMAGE("https://raw.githubusercontent.com/stautonico/pokemon-home-pokedex/main/sprites/greninja.png", 2)</f>
        <v>0</v>
      </c>
      <c r="E659" s="26" t="s">
        <v>17</v>
      </c>
      <c r="F659" s="23" t="s">
        <v>16</v>
      </c>
    </row>
    <row r="660" spans="1:6" ht="72" customHeight="1">
      <c r="A660" s="1" t="s">
        <v>26</v>
      </c>
      <c r="B660" s="1">
        <v>659</v>
      </c>
      <c r="C660" s="1" t="s">
        <v>688</v>
      </c>
      <c r="D660">
        <f>IMAGE("https://raw.githubusercontent.com/stautonico/pokemon-home-pokedex/main/sprites/bunnelby.png", 2)</f>
        <v>0</v>
      </c>
      <c r="E660" s="4" t="s">
        <v>13</v>
      </c>
      <c r="F660" s="5"/>
    </row>
    <row r="661" spans="1:6" ht="72" customHeight="1">
      <c r="A661" s="1" t="s">
        <v>26</v>
      </c>
      <c r="B661" s="1">
        <v>660</v>
      </c>
      <c r="C661" s="1" t="s">
        <v>689</v>
      </c>
      <c r="D661">
        <f>IMAGE("https://raw.githubusercontent.com/stautonico/pokemon-home-pokedex/main/sprites/diggersby.png", 2)</f>
        <v>0</v>
      </c>
      <c r="E661" s="4" t="s">
        <v>13</v>
      </c>
      <c r="F661" s="5"/>
    </row>
    <row r="662" spans="1:6" ht="72" customHeight="1">
      <c r="A662" s="1" t="s">
        <v>26</v>
      </c>
      <c r="B662" s="1">
        <v>661</v>
      </c>
      <c r="C662" s="1" t="s">
        <v>690</v>
      </c>
      <c r="D662">
        <f>IMAGE("https://raw.githubusercontent.com/stautonico/pokemon-home-pokedex/main/sprites/fletchling.png", 2)</f>
        <v>0</v>
      </c>
      <c r="E662" s="3" t="s">
        <v>12</v>
      </c>
      <c r="F662" s="23" t="s">
        <v>16</v>
      </c>
    </row>
    <row r="663" spans="1:6" ht="72" customHeight="1">
      <c r="A663" s="1" t="s">
        <v>26</v>
      </c>
      <c r="B663" s="1">
        <v>662</v>
      </c>
      <c r="C663" s="1" t="s">
        <v>691</v>
      </c>
      <c r="D663">
        <f>IMAGE("https://raw.githubusercontent.com/stautonico/pokemon-home-pokedex/main/sprites/fletchinder.png", 2)</f>
        <v>0</v>
      </c>
      <c r="E663" s="3" t="s">
        <v>12</v>
      </c>
      <c r="F663" s="23" t="s">
        <v>16</v>
      </c>
    </row>
    <row r="664" spans="1:6" ht="72" customHeight="1">
      <c r="A664" s="1" t="s">
        <v>26</v>
      </c>
      <c r="B664" s="1">
        <v>663</v>
      </c>
      <c r="C664" s="1" t="s">
        <v>692</v>
      </c>
      <c r="D664">
        <f>IMAGE("https://raw.githubusercontent.com/stautonico/pokemon-home-pokedex/main/sprites/talonflame.png", 2)</f>
        <v>0</v>
      </c>
      <c r="E664" s="3" t="s">
        <v>12</v>
      </c>
      <c r="F664" s="23" t="s">
        <v>16</v>
      </c>
    </row>
    <row r="665" spans="1:6" ht="72" customHeight="1">
      <c r="A665" s="1" t="s">
        <v>26</v>
      </c>
      <c r="B665" s="1">
        <v>664</v>
      </c>
      <c r="C665" s="1" t="s">
        <v>693</v>
      </c>
      <c r="D665">
        <f>IMAGE("https://raw.githubusercontent.com/stautonico/pokemon-home-pokedex/main/sprites/scatterbug.png", 2)</f>
        <v>0</v>
      </c>
      <c r="E665" s="23" t="s">
        <v>16</v>
      </c>
      <c r="F665" s="5"/>
    </row>
    <row r="666" spans="1:6" ht="72" customHeight="1">
      <c r="A666" s="1" t="s">
        <v>26</v>
      </c>
      <c r="B666" s="1">
        <v>665</v>
      </c>
      <c r="C666" s="1" t="s">
        <v>694</v>
      </c>
      <c r="D666">
        <f>IMAGE("https://raw.githubusercontent.com/stautonico/pokemon-home-pokedex/main/sprites/spewpa.png", 2)</f>
        <v>0</v>
      </c>
      <c r="E666" s="23" t="s">
        <v>16</v>
      </c>
      <c r="F666" s="5"/>
    </row>
    <row r="667" spans="1:6" ht="72" customHeight="1">
      <c r="A667" s="1" t="s">
        <v>26</v>
      </c>
      <c r="B667" s="1">
        <v>666</v>
      </c>
      <c r="C667" s="1" t="s">
        <v>695</v>
      </c>
      <c r="D667">
        <f>IMAGE("https://raw.githubusercontent.com/stautonico/pokemon-home-pokedex/main/sprites/vivillon.png", 2)</f>
        <v>0</v>
      </c>
      <c r="E667" s="23" t="s">
        <v>16</v>
      </c>
      <c r="F667" s="5"/>
    </row>
    <row r="668" spans="1:6" ht="72" customHeight="1">
      <c r="A668" s="1" t="s">
        <v>26</v>
      </c>
      <c r="B668" s="1">
        <v>667</v>
      </c>
      <c r="C668" s="1" t="s">
        <v>696</v>
      </c>
      <c r="D668">
        <f>IMAGE("https://raw.githubusercontent.com/stautonico/pokemon-home-pokedex/main/sprites/litleo.png", 2)</f>
        <v>0</v>
      </c>
      <c r="E668" s="23" t="s">
        <v>16</v>
      </c>
      <c r="F668" s="5"/>
    </row>
    <row r="669" spans="1:6" ht="72" customHeight="1">
      <c r="A669" s="1" t="s">
        <v>26</v>
      </c>
      <c r="B669" s="1">
        <v>668</v>
      </c>
      <c r="C669" s="1" t="s">
        <v>697</v>
      </c>
      <c r="D669">
        <f>IMAGE("https://raw.githubusercontent.com/stautonico/pokemon-home-pokedex/main/sprites/pyroar.png", 2)</f>
        <v>0</v>
      </c>
      <c r="E669" s="23" t="s">
        <v>16</v>
      </c>
      <c r="F669" s="5"/>
    </row>
    <row r="670" spans="1:6" ht="72" customHeight="1">
      <c r="A670" s="1" t="s">
        <v>26</v>
      </c>
      <c r="B670" s="1">
        <v>669</v>
      </c>
      <c r="C670" s="1" t="s">
        <v>698</v>
      </c>
      <c r="D670">
        <f>IMAGE("https://raw.githubusercontent.com/stautonico/pokemon-home-pokedex/main/sprites/flabebe.png", 2)</f>
        <v>0</v>
      </c>
      <c r="E670" s="23" t="s">
        <v>16</v>
      </c>
      <c r="F670" s="5"/>
    </row>
    <row r="671" spans="1:6" ht="72" customHeight="1">
      <c r="A671" s="1" t="s">
        <v>26</v>
      </c>
      <c r="B671" s="1">
        <v>670</v>
      </c>
      <c r="C671" s="1" t="s">
        <v>699</v>
      </c>
      <c r="D671">
        <f>IMAGE("https://raw.githubusercontent.com/stautonico/pokemon-home-pokedex/main/sprites/floette.png", 2)</f>
        <v>0</v>
      </c>
      <c r="E671" s="23" t="s">
        <v>16</v>
      </c>
      <c r="F671" s="5"/>
    </row>
    <row r="672" spans="1:6" ht="72" customHeight="1">
      <c r="A672" s="1" t="s">
        <v>26</v>
      </c>
      <c r="B672" s="1">
        <v>671</v>
      </c>
      <c r="C672" s="1" t="s">
        <v>700</v>
      </c>
      <c r="D672">
        <f>IMAGE("https://raw.githubusercontent.com/stautonico/pokemon-home-pokedex/main/sprites/florges.png", 2)</f>
        <v>0</v>
      </c>
      <c r="E672" s="23" t="s">
        <v>16</v>
      </c>
      <c r="F672" s="5"/>
    </row>
    <row r="673" spans="1:6" ht="72" customHeight="1">
      <c r="A673" s="1" t="s">
        <v>26</v>
      </c>
      <c r="B673" s="1">
        <v>672</v>
      </c>
      <c r="C673" s="1" t="s">
        <v>701</v>
      </c>
      <c r="D673">
        <f>IMAGE("https://raw.githubusercontent.com/stautonico/pokemon-home-pokedex/main/sprites/skiddo.png", 2)</f>
        <v>0</v>
      </c>
      <c r="E673" s="23" t="s">
        <v>16</v>
      </c>
      <c r="F673" s="5"/>
    </row>
    <row r="674" spans="1:6" ht="72" customHeight="1">
      <c r="A674" s="1" t="s">
        <v>26</v>
      </c>
      <c r="B674" s="1">
        <v>673</v>
      </c>
      <c r="C674" s="1" t="s">
        <v>702</v>
      </c>
      <c r="D674">
        <f>IMAGE("https://raw.githubusercontent.com/stautonico/pokemon-home-pokedex/main/sprites/gogoat.png", 2)</f>
        <v>0</v>
      </c>
      <c r="E674" s="23" t="s">
        <v>16</v>
      </c>
      <c r="F674" s="5"/>
    </row>
    <row r="675" spans="1:6" ht="72" customHeight="1">
      <c r="A675" s="1" t="s">
        <v>26</v>
      </c>
      <c r="B675" s="1">
        <v>674</v>
      </c>
      <c r="C675" s="1" t="s">
        <v>703</v>
      </c>
      <c r="D675">
        <f>IMAGE("https://raw.githubusercontent.com/stautonico/pokemon-home-pokedex/main/sprites/pancham.png", 2)</f>
        <v>0</v>
      </c>
      <c r="E675" s="4" t="s">
        <v>13</v>
      </c>
      <c r="F675" s="5"/>
    </row>
    <row r="676" spans="1:6" ht="72" customHeight="1">
      <c r="A676" s="1" t="s">
        <v>26</v>
      </c>
      <c r="B676" s="1">
        <v>675</v>
      </c>
      <c r="C676" s="1" t="s">
        <v>704</v>
      </c>
      <c r="D676">
        <f>IMAGE("https://raw.githubusercontent.com/stautonico/pokemon-home-pokedex/main/sprites/pangoro.png", 2)</f>
        <v>0</v>
      </c>
      <c r="E676" s="4" t="s">
        <v>13</v>
      </c>
      <c r="F676" s="5"/>
    </row>
    <row r="677" spans="1:6" ht="72" customHeight="1">
      <c r="A677" s="1" t="s">
        <v>26</v>
      </c>
      <c r="B677" s="1">
        <v>676</v>
      </c>
      <c r="C677" s="1" t="s">
        <v>705</v>
      </c>
      <c r="D677">
        <f>IMAGE("https://raw.githubusercontent.com/stautonico/pokemon-home-pokedex/main/sprites/furfrou.png", 2)</f>
        <v>0</v>
      </c>
      <c r="E677" s="23" t="s">
        <v>16</v>
      </c>
      <c r="F677" s="5"/>
    </row>
    <row r="678" spans="1:6" ht="72" customHeight="1">
      <c r="A678" s="1" t="s">
        <v>26</v>
      </c>
      <c r="B678" s="1">
        <v>677</v>
      </c>
      <c r="C678" s="1" t="s">
        <v>706</v>
      </c>
      <c r="D678">
        <f>IMAGE("https://raw.githubusercontent.com/stautonico/pokemon-home-pokedex/main/sprites/espurr.png", 2)</f>
        <v>0</v>
      </c>
      <c r="E678" s="4" t="s">
        <v>13</v>
      </c>
      <c r="F678" s="5"/>
    </row>
    <row r="679" spans="1:6" ht="72" customHeight="1">
      <c r="A679" s="1" t="s">
        <v>26</v>
      </c>
      <c r="B679" s="1">
        <v>678</v>
      </c>
      <c r="C679" s="1" t="s">
        <v>707</v>
      </c>
      <c r="D679">
        <f>IMAGE("https://raw.githubusercontent.com/stautonico/pokemon-home-pokedex/main/sprites/meowstic-male.png", 2)</f>
        <v>0</v>
      </c>
      <c r="E679" s="4" t="s">
        <v>13</v>
      </c>
      <c r="F679" s="5"/>
    </row>
    <row r="680" spans="1:6" ht="72" customHeight="1">
      <c r="A680" s="1" t="s">
        <v>26</v>
      </c>
      <c r="B680" s="1">
        <v>679</v>
      </c>
      <c r="C680" s="1" t="s">
        <v>708</v>
      </c>
      <c r="D680">
        <f>IMAGE("https://raw.githubusercontent.com/stautonico/pokemon-home-pokedex/main/sprites/honedge.png", 2)</f>
        <v>0</v>
      </c>
      <c r="E680" s="4" t="s">
        <v>13</v>
      </c>
      <c r="F680" s="5"/>
    </row>
    <row r="681" spans="1:6" ht="72" customHeight="1">
      <c r="A681" s="1" t="s">
        <v>26</v>
      </c>
      <c r="B681" s="1">
        <v>680</v>
      </c>
      <c r="C681" s="1" t="s">
        <v>709</v>
      </c>
      <c r="D681">
        <f>IMAGE("https://raw.githubusercontent.com/stautonico/pokemon-home-pokedex/main/sprites/doublade.png", 2)</f>
        <v>0</v>
      </c>
      <c r="E681" s="4" t="s">
        <v>13</v>
      </c>
      <c r="F681" s="5"/>
    </row>
    <row r="682" spans="1:6" ht="72" customHeight="1">
      <c r="A682" s="1" t="s">
        <v>26</v>
      </c>
      <c r="B682" s="1">
        <v>681</v>
      </c>
      <c r="C682" s="1" t="s">
        <v>710</v>
      </c>
      <c r="D682">
        <f>IMAGE("https://raw.githubusercontent.com/stautonico/pokemon-home-pokedex/main/sprites/aegislash-shield.png", 2)</f>
        <v>0</v>
      </c>
      <c r="E682" s="4" t="s">
        <v>13</v>
      </c>
      <c r="F682" s="5"/>
    </row>
    <row r="683" spans="1:6" ht="72" customHeight="1">
      <c r="A683" s="1" t="s">
        <v>26</v>
      </c>
      <c r="B683" s="1">
        <v>682</v>
      </c>
      <c r="C683" s="1" t="s">
        <v>711</v>
      </c>
      <c r="D683">
        <f>IMAGE("https://raw.githubusercontent.com/stautonico/pokemon-home-pokedex/main/sprites/spritzee.png", 2)</f>
        <v>0</v>
      </c>
      <c r="E683" s="27" t="s">
        <v>15</v>
      </c>
      <c r="F683" s="5" t="s">
        <v>712</v>
      </c>
    </row>
    <row r="684" spans="1:6" ht="72" customHeight="1">
      <c r="A684" s="1" t="s">
        <v>26</v>
      </c>
      <c r="B684" s="1">
        <v>683</v>
      </c>
      <c r="C684" s="1" t="s">
        <v>713</v>
      </c>
      <c r="D684">
        <f>IMAGE("https://raw.githubusercontent.com/stautonico/pokemon-home-pokedex/main/sprites/aromatisse.png", 2)</f>
        <v>0</v>
      </c>
      <c r="E684" s="27" t="s">
        <v>15</v>
      </c>
      <c r="F684" s="5" t="s">
        <v>712</v>
      </c>
    </row>
    <row r="685" spans="1:6" ht="72" customHeight="1">
      <c r="A685" s="1" t="s">
        <v>26</v>
      </c>
      <c r="B685" s="1">
        <v>684</v>
      </c>
      <c r="C685" s="1" t="s">
        <v>714</v>
      </c>
      <c r="D685">
        <f>IMAGE("https://raw.githubusercontent.com/stautonico/pokemon-home-pokedex/main/sprites/swirlix.png", 2)</f>
        <v>0</v>
      </c>
      <c r="E685" s="29" t="s">
        <v>14</v>
      </c>
      <c r="F685" s="5" t="s">
        <v>372</v>
      </c>
    </row>
    <row r="686" spans="1:6" ht="72" customHeight="1">
      <c r="A686" s="1" t="s">
        <v>26</v>
      </c>
      <c r="B686" s="1">
        <v>685</v>
      </c>
      <c r="C686" s="1" t="s">
        <v>715</v>
      </c>
      <c r="D686">
        <f>IMAGE("https://raw.githubusercontent.com/stautonico/pokemon-home-pokedex/main/sprites/slurpuff.png", 2)</f>
        <v>0</v>
      </c>
      <c r="E686" s="29" t="s">
        <v>14</v>
      </c>
      <c r="F686" s="5" t="s">
        <v>372</v>
      </c>
    </row>
    <row r="687" spans="1:6" ht="72" customHeight="1">
      <c r="A687" s="1" t="s">
        <v>26</v>
      </c>
      <c r="B687" s="1">
        <v>686</v>
      </c>
      <c r="C687" s="1" t="s">
        <v>716</v>
      </c>
      <c r="D687">
        <f>IMAGE("https://raw.githubusercontent.com/stautonico/pokemon-home-pokedex/main/sprites/inkay.png", 2)</f>
        <v>0</v>
      </c>
      <c r="E687" s="4" t="s">
        <v>13</v>
      </c>
      <c r="F687" s="5"/>
    </row>
    <row r="688" spans="1:6" ht="72" customHeight="1">
      <c r="A688" s="1" t="s">
        <v>26</v>
      </c>
      <c r="B688" s="1">
        <v>687</v>
      </c>
      <c r="C688" s="1" t="s">
        <v>717</v>
      </c>
      <c r="D688">
        <f>IMAGE("https://raw.githubusercontent.com/stautonico/pokemon-home-pokedex/main/sprites/malamar.png", 2)</f>
        <v>0</v>
      </c>
      <c r="E688" s="4" t="s">
        <v>13</v>
      </c>
      <c r="F688" s="5"/>
    </row>
    <row r="689" spans="1:6" ht="72" customHeight="1">
      <c r="A689" s="1" t="s">
        <v>26</v>
      </c>
      <c r="B689" s="1">
        <v>688</v>
      </c>
      <c r="C689" s="1" t="s">
        <v>718</v>
      </c>
      <c r="D689">
        <f>IMAGE("https://raw.githubusercontent.com/stautonico/pokemon-home-pokedex/main/sprites/binacle.png", 2)</f>
        <v>0</v>
      </c>
      <c r="E689" s="4" t="s">
        <v>13</v>
      </c>
      <c r="F689" s="5"/>
    </row>
    <row r="690" spans="1:6" ht="72" customHeight="1">
      <c r="A690" s="1" t="s">
        <v>26</v>
      </c>
      <c r="B690" s="1">
        <v>689</v>
      </c>
      <c r="C690" s="1" t="s">
        <v>719</v>
      </c>
      <c r="D690">
        <f>IMAGE("https://raw.githubusercontent.com/stautonico/pokemon-home-pokedex/main/sprites/barbaracle.png", 2)</f>
        <v>0</v>
      </c>
      <c r="E690" s="4" t="s">
        <v>13</v>
      </c>
      <c r="F690" s="5"/>
    </row>
    <row r="691" spans="1:6" ht="72" customHeight="1">
      <c r="A691" s="1" t="s">
        <v>26</v>
      </c>
      <c r="B691" s="1">
        <v>690</v>
      </c>
      <c r="C691" s="1" t="s">
        <v>720</v>
      </c>
      <c r="D691">
        <f>IMAGE("https://raw.githubusercontent.com/stautonico/pokemon-home-pokedex/main/sprites/skrelp.png", 2)</f>
        <v>0</v>
      </c>
      <c r="E691" s="27" t="s">
        <v>15</v>
      </c>
      <c r="F691" s="34" t="s">
        <v>20</v>
      </c>
    </row>
    <row r="692" spans="1:6" ht="72" customHeight="1">
      <c r="A692" s="1" t="s">
        <v>26</v>
      </c>
      <c r="B692" s="1">
        <v>691</v>
      </c>
      <c r="C692" s="1" t="s">
        <v>721</v>
      </c>
      <c r="D692">
        <f>IMAGE("https://raw.githubusercontent.com/stautonico/pokemon-home-pokedex/main/sprites/dragalge.png", 2)</f>
        <v>0</v>
      </c>
      <c r="E692" s="27" t="s">
        <v>15</v>
      </c>
      <c r="F692" s="34" t="s">
        <v>20</v>
      </c>
    </row>
    <row r="693" spans="1:6" ht="72" customHeight="1">
      <c r="A693" s="1" t="s">
        <v>26</v>
      </c>
      <c r="B693" s="1">
        <v>692</v>
      </c>
      <c r="C693" s="1" t="s">
        <v>722</v>
      </c>
      <c r="D693">
        <f>IMAGE("https://raw.githubusercontent.com/stautonico/pokemon-home-pokedex/main/sprites/clauncher.png", 2)</f>
        <v>0</v>
      </c>
      <c r="E693" s="29" t="s">
        <v>14</v>
      </c>
      <c r="F693" s="33" t="s">
        <v>19</v>
      </c>
    </row>
    <row r="694" spans="1:6" ht="72" customHeight="1">
      <c r="A694" s="1" t="s">
        <v>26</v>
      </c>
      <c r="B694" s="1">
        <v>693</v>
      </c>
      <c r="C694" s="1" t="s">
        <v>723</v>
      </c>
      <c r="D694">
        <f>IMAGE("https://raw.githubusercontent.com/stautonico/pokemon-home-pokedex/main/sprites/clawitzer.png", 2)</f>
        <v>0</v>
      </c>
      <c r="E694" s="29" t="s">
        <v>14</v>
      </c>
      <c r="F694" s="33" t="s">
        <v>19</v>
      </c>
    </row>
    <row r="695" spans="1:6" ht="72" customHeight="1">
      <c r="A695" s="1" t="s">
        <v>26</v>
      </c>
      <c r="B695" s="1">
        <v>694</v>
      </c>
      <c r="C695" s="1" t="s">
        <v>724</v>
      </c>
      <c r="D695">
        <f>IMAGE("https://raw.githubusercontent.com/stautonico/pokemon-home-pokedex/main/sprites/helioptile.png", 2)</f>
        <v>0</v>
      </c>
      <c r="E695" s="4" t="s">
        <v>13</v>
      </c>
      <c r="F695" s="5"/>
    </row>
    <row r="696" spans="1:6" ht="72" customHeight="1">
      <c r="A696" s="1" t="s">
        <v>26</v>
      </c>
      <c r="B696" s="1">
        <v>695</v>
      </c>
      <c r="C696" s="1" t="s">
        <v>725</v>
      </c>
      <c r="D696">
        <f>IMAGE("https://raw.githubusercontent.com/stautonico/pokemon-home-pokedex/main/sprites/heliolisk.png", 2)</f>
        <v>0</v>
      </c>
      <c r="E696" s="4" t="s">
        <v>13</v>
      </c>
      <c r="F696" s="5"/>
    </row>
    <row r="697" spans="1:6" ht="72" customHeight="1">
      <c r="A697" s="1" t="s">
        <v>26</v>
      </c>
      <c r="B697" s="1">
        <v>696</v>
      </c>
      <c r="C697" s="1" t="s">
        <v>726</v>
      </c>
      <c r="D697">
        <f>IMAGE("https://raw.githubusercontent.com/stautonico/pokemon-home-pokedex/main/sprites/tyrunt.png", 2)</f>
        <v>0</v>
      </c>
      <c r="E697" s="23" t="s">
        <v>16</v>
      </c>
      <c r="F697" s="26" t="s">
        <v>17</v>
      </c>
    </row>
    <row r="698" spans="1:6" ht="72" customHeight="1">
      <c r="A698" s="1" t="s">
        <v>26</v>
      </c>
      <c r="B698" s="1">
        <v>697</v>
      </c>
      <c r="C698" s="1" t="s">
        <v>727</v>
      </c>
      <c r="D698">
        <f>IMAGE("https://raw.githubusercontent.com/stautonico/pokemon-home-pokedex/main/sprites/tyrantrum.png", 2)</f>
        <v>0</v>
      </c>
      <c r="E698" s="23" t="s">
        <v>16</v>
      </c>
      <c r="F698" s="26" t="s">
        <v>17</v>
      </c>
    </row>
    <row r="699" spans="1:6" ht="72" customHeight="1">
      <c r="A699" s="1" t="s">
        <v>26</v>
      </c>
      <c r="B699" s="1">
        <v>698</v>
      </c>
      <c r="C699" s="1" t="s">
        <v>728</v>
      </c>
      <c r="D699">
        <f>IMAGE("https://raw.githubusercontent.com/stautonico/pokemon-home-pokedex/main/sprites/amaura.png", 2)</f>
        <v>0</v>
      </c>
      <c r="E699" s="23" t="s">
        <v>16</v>
      </c>
      <c r="F699" s="26" t="s">
        <v>17</v>
      </c>
    </row>
    <row r="700" spans="1:6" ht="72" customHeight="1">
      <c r="A700" s="1" t="s">
        <v>26</v>
      </c>
      <c r="B700" s="1">
        <v>699</v>
      </c>
      <c r="C700" s="1" t="s">
        <v>729</v>
      </c>
      <c r="D700">
        <f>IMAGE("https://raw.githubusercontent.com/stautonico/pokemon-home-pokedex/main/sprites/aurorus.png", 2)</f>
        <v>0</v>
      </c>
      <c r="E700" s="23" t="s">
        <v>16</v>
      </c>
      <c r="F700" s="26" t="s">
        <v>17</v>
      </c>
    </row>
    <row r="701" spans="1:6" ht="72" customHeight="1">
      <c r="A701" s="1" t="s">
        <v>26</v>
      </c>
      <c r="B701" s="1">
        <v>700</v>
      </c>
      <c r="C701" s="1" t="s">
        <v>730</v>
      </c>
      <c r="D701">
        <f>IMAGE("https://raw.githubusercontent.com/stautonico/pokemon-home-pokedex/main/sprites/sylveon.png", 2)</f>
        <v>0</v>
      </c>
      <c r="E701" s="4" t="s">
        <v>13</v>
      </c>
      <c r="F701" s="5"/>
    </row>
    <row r="702" spans="1:6" ht="72" customHeight="1">
      <c r="A702" s="1" t="s">
        <v>26</v>
      </c>
      <c r="B702" s="1">
        <v>701</v>
      </c>
      <c r="C702" s="1" t="s">
        <v>731</v>
      </c>
      <c r="D702">
        <f>IMAGE("https://raw.githubusercontent.com/stautonico/pokemon-home-pokedex/main/sprites/hawlucha.png", 2)</f>
        <v>0</v>
      </c>
      <c r="E702" s="4" t="s">
        <v>13</v>
      </c>
      <c r="F702" s="5"/>
    </row>
    <row r="703" spans="1:6" ht="72" customHeight="1">
      <c r="A703" s="1" t="s">
        <v>26</v>
      </c>
      <c r="B703" s="1">
        <v>702</v>
      </c>
      <c r="C703" s="1" t="s">
        <v>732</v>
      </c>
      <c r="D703">
        <f>IMAGE("https://raw.githubusercontent.com/stautonico/pokemon-home-pokedex/main/sprites/dedenne.png", 2)</f>
        <v>0</v>
      </c>
      <c r="E703" s="3" t="s">
        <v>12</v>
      </c>
      <c r="F703" s="23" t="s">
        <v>16</v>
      </c>
    </row>
    <row r="704" spans="1:6" ht="72" customHeight="1">
      <c r="A704" s="1" t="s">
        <v>26</v>
      </c>
      <c r="B704" s="1">
        <v>703</v>
      </c>
      <c r="C704" s="1" t="s">
        <v>733</v>
      </c>
      <c r="D704">
        <f>IMAGE("https://raw.githubusercontent.com/stautonico/pokemon-home-pokedex/main/sprites/carbink.png", 2)</f>
        <v>0</v>
      </c>
      <c r="E704" s="23" t="s">
        <v>16</v>
      </c>
      <c r="F704" s="5"/>
    </row>
    <row r="705" spans="1:6" ht="72" customHeight="1">
      <c r="A705" s="1" t="s">
        <v>26</v>
      </c>
      <c r="B705" s="1">
        <v>704</v>
      </c>
      <c r="C705" s="1" t="s">
        <v>734</v>
      </c>
      <c r="D705">
        <f>IMAGE("https://raw.githubusercontent.com/stautonico/pokemon-home-pokedex/main/sprites/goomy.png", 2)</f>
        <v>0</v>
      </c>
      <c r="E705" s="27" t="s">
        <v>15</v>
      </c>
      <c r="F705" s="23" t="s">
        <v>16</v>
      </c>
    </row>
    <row r="706" spans="1:6" ht="72" customHeight="1">
      <c r="A706" s="1" t="s">
        <v>26</v>
      </c>
      <c r="B706" s="1">
        <v>705</v>
      </c>
      <c r="C706" s="1" t="s">
        <v>735</v>
      </c>
      <c r="D706">
        <f>IMAGE("https://raw.githubusercontent.com/stautonico/pokemon-home-pokedex/main/sprites/sliggoo.png", 2)</f>
        <v>0</v>
      </c>
      <c r="E706" s="27" t="s">
        <v>15</v>
      </c>
      <c r="F706" s="23" t="s">
        <v>16</v>
      </c>
    </row>
    <row r="707" spans="1:6" ht="72" customHeight="1">
      <c r="A707" s="1" t="s">
        <v>26</v>
      </c>
      <c r="B707" s="1">
        <v>706</v>
      </c>
      <c r="C707" s="1" t="s">
        <v>736</v>
      </c>
      <c r="D707">
        <f>IMAGE("https://raw.githubusercontent.com/stautonico/pokemon-home-pokedex/main/sprites/goodra.png", 2)</f>
        <v>0</v>
      </c>
      <c r="E707" s="27" t="s">
        <v>15</v>
      </c>
      <c r="F707" s="23" t="s">
        <v>16</v>
      </c>
    </row>
    <row r="708" spans="1:6" ht="72" customHeight="1">
      <c r="A708" s="1" t="s">
        <v>26</v>
      </c>
      <c r="B708" s="1">
        <v>707</v>
      </c>
      <c r="C708" s="1" t="s">
        <v>737</v>
      </c>
      <c r="D708">
        <f>IMAGE("https://raw.githubusercontent.com/stautonico/pokemon-home-pokedex/main/sprites/klefki.png", 2)</f>
        <v>0</v>
      </c>
      <c r="E708" s="3" t="s">
        <v>12</v>
      </c>
      <c r="F708" s="23" t="s">
        <v>16</v>
      </c>
    </row>
    <row r="709" spans="1:6" ht="72" customHeight="1">
      <c r="A709" s="1" t="s">
        <v>26</v>
      </c>
      <c r="B709" s="1">
        <v>708</v>
      </c>
      <c r="C709" s="1" t="s">
        <v>738</v>
      </c>
      <c r="D709">
        <f>IMAGE("https://raw.githubusercontent.com/stautonico/pokemon-home-pokedex/main/sprites/phantump.png", 2)</f>
        <v>0</v>
      </c>
      <c r="E709" s="4" t="s">
        <v>13</v>
      </c>
      <c r="F709" s="5"/>
    </row>
    <row r="710" spans="1:6" ht="72" customHeight="1">
      <c r="A710" s="1" t="s">
        <v>26</v>
      </c>
      <c r="B710" s="1">
        <v>709</v>
      </c>
      <c r="C710" s="1" t="s">
        <v>739</v>
      </c>
      <c r="D710">
        <f>IMAGE("https://raw.githubusercontent.com/stautonico/pokemon-home-pokedex/main/sprites/trevenant.png", 2)</f>
        <v>0</v>
      </c>
      <c r="E710" s="4" t="s">
        <v>13</v>
      </c>
      <c r="F710" s="5"/>
    </row>
    <row r="711" spans="1:6" ht="72" customHeight="1">
      <c r="A711" s="1" t="s">
        <v>26</v>
      </c>
      <c r="B711" s="1">
        <v>710</v>
      </c>
      <c r="C711" s="1" t="s">
        <v>740</v>
      </c>
      <c r="D711">
        <f>IMAGE("https://raw.githubusercontent.com/stautonico/pokemon-home-pokedex/main/sprites/pumpkaboo-average.png", 2)</f>
        <v>0</v>
      </c>
      <c r="E711" s="4" t="s">
        <v>13</v>
      </c>
      <c r="F711" s="5"/>
    </row>
    <row r="712" spans="1:6" ht="72" customHeight="1">
      <c r="A712" s="1" t="s">
        <v>26</v>
      </c>
      <c r="B712" s="1">
        <v>711</v>
      </c>
      <c r="C712" s="1" t="s">
        <v>741</v>
      </c>
      <c r="D712">
        <f>IMAGE("https://raw.githubusercontent.com/stautonico/pokemon-home-pokedex/main/sprites/gourgeist-average.png", 2)</f>
        <v>0</v>
      </c>
      <c r="E712" s="4" t="s">
        <v>13</v>
      </c>
      <c r="F712" s="5"/>
    </row>
    <row r="713" spans="1:6" ht="72" customHeight="1">
      <c r="A713" s="1" t="s">
        <v>26</v>
      </c>
      <c r="B713" s="1">
        <v>712</v>
      </c>
      <c r="C713" s="1" t="s">
        <v>742</v>
      </c>
      <c r="D713">
        <f>IMAGE("https://raw.githubusercontent.com/stautonico/pokemon-home-pokedex/main/sprites/bergmite.png", 2)</f>
        <v>0</v>
      </c>
      <c r="E713" s="4" t="s">
        <v>13</v>
      </c>
      <c r="F713" s="5"/>
    </row>
    <row r="714" spans="1:6" ht="72" customHeight="1">
      <c r="A714" s="1" t="s">
        <v>26</v>
      </c>
      <c r="B714" s="1">
        <v>713</v>
      </c>
      <c r="C714" s="1" t="s">
        <v>743</v>
      </c>
      <c r="D714">
        <f>IMAGE("https://raw.githubusercontent.com/stautonico/pokemon-home-pokedex/main/sprites/avalugg.png", 2)</f>
        <v>0</v>
      </c>
      <c r="E714" s="4" t="s">
        <v>13</v>
      </c>
      <c r="F714" s="5"/>
    </row>
    <row r="715" spans="1:6" ht="72" customHeight="1">
      <c r="A715" s="1" t="s">
        <v>26</v>
      </c>
      <c r="B715" s="1">
        <v>714</v>
      </c>
      <c r="C715" s="1" t="s">
        <v>744</v>
      </c>
      <c r="D715">
        <f>IMAGE("https://raw.githubusercontent.com/stautonico/pokemon-home-pokedex/main/sprites/noibat.png", 2)</f>
        <v>0</v>
      </c>
      <c r="E715" s="4" t="s">
        <v>13</v>
      </c>
      <c r="F715" s="5"/>
    </row>
    <row r="716" spans="1:6" ht="72" customHeight="1">
      <c r="A716" s="1" t="s">
        <v>26</v>
      </c>
      <c r="B716" s="1">
        <v>715</v>
      </c>
      <c r="C716" s="1" t="s">
        <v>745</v>
      </c>
      <c r="D716">
        <f>IMAGE("https://raw.githubusercontent.com/stautonico/pokemon-home-pokedex/main/sprites/noivern.png", 2)</f>
        <v>0</v>
      </c>
      <c r="E716" s="4" t="s">
        <v>13</v>
      </c>
      <c r="F716" s="5"/>
    </row>
    <row r="717" spans="1:6" ht="72" customHeight="1">
      <c r="A717" s="1" t="s">
        <v>26</v>
      </c>
      <c r="B717" s="1">
        <v>716</v>
      </c>
      <c r="C717" s="1" t="s">
        <v>746</v>
      </c>
      <c r="D717">
        <f>IMAGE("https://raw.githubusercontent.com/stautonico/pokemon-home-pokedex/main/sprites/xerneas.png", 2)</f>
        <v>0</v>
      </c>
      <c r="E717" s="33" t="s">
        <v>19</v>
      </c>
      <c r="F717" s="5" t="s">
        <v>372</v>
      </c>
    </row>
    <row r="718" spans="1:6" ht="72" customHeight="1">
      <c r="A718" s="1" t="s">
        <v>26</v>
      </c>
      <c r="B718" s="1">
        <v>717</v>
      </c>
      <c r="C718" s="1" t="s">
        <v>747</v>
      </c>
      <c r="D718">
        <f>IMAGE("https://raw.githubusercontent.com/stautonico/pokemon-home-pokedex/main/sprites/yveltal.png", 2)</f>
        <v>0</v>
      </c>
      <c r="E718" s="34" t="s">
        <v>20</v>
      </c>
      <c r="F718" s="5" t="s">
        <v>712</v>
      </c>
    </row>
    <row r="719" spans="1:6" ht="72" customHeight="1">
      <c r="A719" s="1" t="s">
        <v>26</v>
      </c>
      <c r="B719" s="1">
        <v>718</v>
      </c>
      <c r="C719" s="1" t="s">
        <v>748</v>
      </c>
      <c r="D719">
        <f>IMAGE("https://raw.githubusercontent.com/stautonico/pokemon-home-pokedex/main/sprites/zygarde-50.png", 2)</f>
        <v>0</v>
      </c>
      <c r="E719" s="23" t="s">
        <v>16</v>
      </c>
      <c r="F719" s="5"/>
    </row>
    <row r="720" spans="1:6" ht="72" customHeight="1">
      <c r="A720" s="1" t="s">
        <v>26</v>
      </c>
      <c r="B720" s="1">
        <v>719</v>
      </c>
      <c r="C720" s="1" t="s">
        <v>749</v>
      </c>
      <c r="D720">
        <f>IMAGE("https://raw.githubusercontent.com/stautonico/pokemon-home-pokedex/main/sprites/diancie.png", 2)</f>
        <v>0</v>
      </c>
      <c r="E720" s="31" t="s">
        <v>24</v>
      </c>
      <c r="F720" s="5"/>
    </row>
    <row r="721" spans="1:6" ht="72" customHeight="1">
      <c r="A721" s="1" t="s">
        <v>26</v>
      </c>
      <c r="B721" s="1">
        <v>720</v>
      </c>
      <c r="C721" s="1" t="s">
        <v>750</v>
      </c>
      <c r="D721">
        <f>IMAGE("https://raw.githubusercontent.com/stautonico/pokemon-home-pokedex/main/sprites/hoopa.png", 2)</f>
        <v>0</v>
      </c>
      <c r="E721" s="31" t="s">
        <v>24</v>
      </c>
      <c r="F721" s="5"/>
    </row>
    <row r="722" spans="1:6" ht="72" customHeight="1">
      <c r="A722" s="1" t="s">
        <v>26</v>
      </c>
      <c r="B722" s="1">
        <v>721</v>
      </c>
      <c r="C722" s="1" t="s">
        <v>751</v>
      </c>
      <c r="D722">
        <f>IMAGE("https://raw.githubusercontent.com/stautonico/pokemon-home-pokedex/main/sprites/volcanion.png", 2)</f>
        <v>0</v>
      </c>
      <c r="E722" s="31" t="s">
        <v>24</v>
      </c>
      <c r="F722" s="5"/>
    </row>
    <row r="723" spans="1:6" ht="72" customHeight="1">
      <c r="A723" s="1" t="s">
        <v>26</v>
      </c>
      <c r="B723" s="1">
        <v>722</v>
      </c>
      <c r="C723" s="1" t="s">
        <v>752</v>
      </c>
      <c r="D723">
        <f>IMAGE("https://raw.githubusercontent.com/stautonico/pokemon-home-pokedex/main/sprites/rowlet.png", 2)</f>
        <v>0</v>
      </c>
      <c r="E723" s="26" t="s">
        <v>17</v>
      </c>
      <c r="F723" s="5" t="s">
        <v>523</v>
      </c>
    </row>
    <row r="724" spans="1:6" ht="72" customHeight="1">
      <c r="A724" s="1" t="s">
        <v>26</v>
      </c>
      <c r="B724" s="1">
        <v>723</v>
      </c>
      <c r="C724" s="1" t="s">
        <v>753</v>
      </c>
      <c r="D724">
        <f>IMAGE("https://raw.githubusercontent.com/stautonico/pokemon-home-pokedex/main/sprites/dartrix.png", 2)</f>
        <v>0</v>
      </c>
      <c r="E724" s="26" t="s">
        <v>17</v>
      </c>
      <c r="F724" s="5" t="s">
        <v>523</v>
      </c>
    </row>
    <row r="725" spans="1:6" ht="72" customHeight="1">
      <c r="A725" s="1" t="s">
        <v>26</v>
      </c>
      <c r="B725" s="1">
        <v>724</v>
      </c>
      <c r="C725" s="1" t="s">
        <v>754</v>
      </c>
      <c r="D725">
        <f>IMAGE("https://raw.githubusercontent.com/stautonico/pokemon-home-pokedex/main/sprites/decidueye.png", 2)</f>
        <v>0</v>
      </c>
      <c r="E725" s="26" t="s">
        <v>17</v>
      </c>
      <c r="F725" s="5" t="s">
        <v>523</v>
      </c>
    </row>
    <row r="726" spans="1:6" ht="72" customHeight="1">
      <c r="A726" s="1" t="s">
        <v>26</v>
      </c>
      <c r="B726" s="1">
        <v>725</v>
      </c>
      <c r="C726" s="1" t="s">
        <v>755</v>
      </c>
      <c r="D726">
        <f>IMAGE("https://raw.githubusercontent.com/stautonico/pokemon-home-pokedex/main/sprites/litten.png", 2)</f>
        <v>0</v>
      </c>
      <c r="E726" s="26" t="s">
        <v>17</v>
      </c>
      <c r="F726" s="5" t="s">
        <v>523</v>
      </c>
    </row>
    <row r="727" spans="1:6" ht="72" customHeight="1">
      <c r="A727" s="1" t="s">
        <v>26</v>
      </c>
      <c r="B727" s="1">
        <v>726</v>
      </c>
      <c r="C727" s="1" t="s">
        <v>756</v>
      </c>
      <c r="D727">
        <f>IMAGE("https://raw.githubusercontent.com/stautonico/pokemon-home-pokedex/main/sprites/torracat.png", 2)</f>
        <v>0</v>
      </c>
      <c r="E727" s="26" t="s">
        <v>17</v>
      </c>
      <c r="F727" s="5" t="s">
        <v>523</v>
      </c>
    </row>
    <row r="728" spans="1:6" ht="72" customHeight="1">
      <c r="A728" s="1" t="s">
        <v>26</v>
      </c>
      <c r="B728" s="1">
        <v>727</v>
      </c>
      <c r="C728" s="1" t="s">
        <v>757</v>
      </c>
      <c r="D728">
        <f>IMAGE("https://raw.githubusercontent.com/stautonico/pokemon-home-pokedex/main/sprites/incineroar.png", 2)</f>
        <v>0</v>
      </c>
      <c r="E728" s="26" t="s">
        <v>17</v>
      </c>
      <c r="F728" s="5" t="s">
        <v>523</v>
      </c>
    </row>
    <row r="729" spans="1:6" ht="72" customHeight="1">
      <c r="A729" s="1" t="s">
        <v>26</v>
      </c>
      <c r="B729" s="1">
        <v>728</v>
      </c>
      <c r="C729" s="1" t="s">
        <v>758</v>
      </c>
      <c r="D729">
        <f>IMAGE("https://raw.githubusercontent.com/stautonico/pokemon-home-pokedex/main/sprites/popplio.png", 2)</f>
        <v>0</v>
      </c>
      <c r="E729" s="26" t="s">
        <v>17</v>
      </c>
      <c r="F729" s="5" t="s">
        <v>523</v>
      </c>
    </row>
    <row r="730" spans="1:6" ht="72" customHeight="1">
      <c r="A730" s="1" t="s">
        <v>26</v>
      </c>
      <c r="B730" s="1">
        <v>729</v>
      </c>
      <c r="C730" s="1" t="s">
        <v>759</v>
      </c>
      <c r="D730">
        <f>IMAGE("https://raw.githubusercontent.com/stautonico/pokemon-home-pokedex/main/sprites/brionne.png", 2)</f>
        <v>0</v>
      </c>
      <c r="E730" s="26" t="s">
        <v>17</v>
      </c>
      <c r="F730" s="5" t="s">
        <v>523</v>
      </c>
    </row>
    <row r="731" spans="1:6" ht="72" customHeight="1">
      <c r="A731" s="1" t="s">
        <v>26</v>
      </c>
      <c r="B731" s="1">
        <v>730</v>
      </c>
      <c r="C731" s="1" t="s">
        <v>760</v>
      </c>
      <c r="D731">
        <f>IMAGE("https://raw.githubusercontent.com/stautonico/pokemon-home-pokedex/main/sprites/primarina.png", 2)</f>
        <v>0</v>
      </c>
      <c r="E731" s="26" t="s">
        <v>17</v>
      </c>
      <c r="F731" s="5" t="s">
        <v>523</v>
      </c>
    </row>
    <row r="732" spans="1:6" ht="72" customHeight="1">
      <c r="A732" s="1" t="s">
        <v>26</v>
      </c>
      <c r="B732" s="1">
        <v>731</v>
      </c>
      <c r="C732" s="1" t="s">
        <v>761</v>
      </c>
      <c r="D732">
        <f>IMAGE("https://raw.githubusercontent.com/stautonico/pokemon-home-pokedex/main/sprites/pikipek.png", 2)</f>
        <v>0</v>
      </c>
      <c r="E732" s="26" t="s">
        <v>17</v>
      </c>
      <c r="F732" s="5"/>
    </row>
    <row r="733" spans="1:6" ht="72" customHeight="1">
      <c r="A733" s="1" t="s">
        <v>26</v>
      </c>
      <c r="B733" s="1">
        <v>732</v>
      </c>
      <c r="C733" s="1" t="s">
        <v>762</v>
      </c>
      <c r="D733">
        <f>IMAGE("https://raw.githubusercontent.com/stautonico/pokemon-home-pokedex/main/sprites/trumbeak.png", 2)</f>
        <v>0</v>
      </c>
      <c r="E733" s="26" t="s">
        <v>17</v>
      </c>
      <c r="F733" s="5"/>
    </row>
    <row r="734" spans="1:6" ht="72" customHeight="1">
      <c r="A734" s="1" t="s">
        <v>26</v>
      </c>
      <c r="B734" s="1">
        <v>733</v>
      </c>
      <c r="C734" s="1" t="s">
        <v>763</v>
      </c>
      <c r="D734">
        <f>IMAGE("https://raw.githubusercontent.com/stautonico/pokemon-home-pokedex/main/sprites/toucannon.png", 2)</f>
        <v>0</v>
      </c>
      <c r="E734" s="26" t="s">
        <v>17</v>
      </c>
      <c r="F734" s="5"/>
    </row>
    <row r="735" spans="1:6" ht="72" customHeight="1">
      <c r="A735" s="1" t="s">
        <v>26</v>
      </c>
      <c r="B735" s="1">
        <v>734</v>
      </c>
      <c r="C735" s="1" t="s">
        <v>764</v>
      </c>
      <c r="D735">
        <f>IMAGE("https://raw.githubusercontent.com/stautonico/pokemon-home-pokedex/main/sprites/yungoos.png", 2)</f>
        <v>0</v>
      </c>
      <c r="E735" s="26" t="s">
        <v>17</v>
      </c>
      <c r="F735" s="5"/>
    </row>
    <row r="736" spans="1:6" ht="72" customHeight="1">
      <c r="A736" s="1" t="s">
        <v>26</v>
      </c>
      <c r="B736" s="1">
        <v>735</v>
      </c>
      <c r="C736" s="1" t="s">
        <v>765</v>
      </c>
      <c r="D736">
        <f>IMAGE("https://raw.githubusercontent.com/stautonico/pokemon-home-pokedex/main/sprites/gumshoos.png", 2)</f>
        <v>0</v>
      </c>
      <c r="E736" s="26" t="s">
        <v>17</v>
      </c>
      <c r="F736" s="5"/>
    </row>
    <row r="737" spans="1:6" ht="72" customHeight="1">
      <c r="A737" s="1" t="s">
        <v>26</v>
      </c>
      <c r="B737" s="1">
        <v>736</v>
      </c>
      <c r="C737" s="1" t="s">
        <v>766</v>
      </c>
      <c r="D737">
        <f>IMAGE("https://raw.githubusercontent.com/stautonico/pokemon-home-pokedex/main/sprites/grubbin.png", 2)</f>
        <v>0</v>
      </c>
      <c r="E737" s="4" t="s">
        <v>13</v>
      </c>
      <c r="F737" s="5"/>
    </row>
    <row r="738" spans="1:6" ht="72" customHeight="1">
      <c r="A738" s="1" t="s">
        <v>26</v>
      </c>
      <c r="B738" s="1">
        <v>737</v>
      </c>
      <c r="C738" s="1" t="s">
        <v>767</v>
      </c>
      <c r="D738">
        <f>IMAGE("https://raw.githubusercontent.com/stautonico/pokemon-home-pokedex/main/sprites/charjabug.png", 2)</f>
        <v>0</v>
      </c>
      <c r="E738" s="4" t="s">
        <v>13</v>
      </c>
      <c r="F738" s="5"/>
    </row>
    <row r="739" spans="1:6" ht="72" customHeight="1">
      <c r="A739" s="1" t="s">
        <v>26</v>
      </c>
      <c r="B739" s="1">
        <v>738</v>
      </c>
      <c r="C739" s="1" t="s">
        <v>768</v>
      </c>
      <c r="D739">
        <f>IMAGE("https://raw.githubusercontent.com/stautonico/pokemon-home-pokedex/main/sprites/vikavolt.png", 2)</f>
        <v>0</v>
      </c>
      <c r="E739" s="4" t="s">
        <v>13</v>
      </c>
      <c r="F739" s="5"/>
    </row>
    <row r="740" spans="1:6" ht="72" customHeight="1">
      <c r="A740" s="1" t="s">
        <v>26</v>
      </c>
      <c r="B740" s="1">
        <v>739</v>
      </c>
      <c r="C740" s="1" t="s">
        <v>769</v>
      </c>
      <c r="D740">
        <f>IMAGE("https://raw.githubusercontent.com/stautonico/pokemon-home-pokedex/main/sprites/crabrawler.png", 2)</f>
        <v>0</v>
      </c>
      <c r="E740" s="26" t="s">
        <v>17</v>
      </c>
      <c r="F740" s="5"/>
    </row>
    <row r="741" spans="1:6" ht="72" customHeight="1">
      <c r="A741" s="1" t="s">
        <v>26</v>
      </c>
      <c r="B741" s="1">
        <v>740</v>
      </c>
      <c r="C741" s="1" t="s">
        <v>770</v>
      </c>
      <c r="D741">
        <f>IMAGE("https://raw.githubusercontent.com/stautonico/pokemon-home-pokedex/main/sprites/crabominable.png", 2)</f>
        <v>0</v>
      </c>
      <c r="E741" s="26" t="s">
        <v>17</v>
      </c>
      <c r="F741" s="5"/>
    </row>
    <row r="742" spans="1:6" ht="72" customHeight="1">
      <c r="A742" s="1" t="s">
        <v>26</v>
      </c>
      <c r="B742" s="1">
        <v>10123</v>
      </c>
      <c r="C742" s="1" t="s">
        <v>771</v>
      </c>
      <c r="D742">
        <f>IMAGE("https://raw.githubusercontent.com/stautonico/pokemon-home-pokedex/main/sprites/oricorio-pom-pom.png", 2)</f>
        <v>0</v>
      </c>
      <c r="E742" s="26" t="s">
        <v>17</v>
      </c>
      <c r="F742" s="5"/>
    </row>
    <row r="743" spans="1:6" ht="72" customHeight="1">
      <c r="A743" s="1" t="s">
        <v>26</v>
      </c>
      <c r="B743" s="1">
        <v>742</v>
      </c>
      <c r="C743" s="1" t="s">
        <v>772</v>
      </c>
      <c r="D743">
        <f>IMAGE("https://raw.githubusercontent.com/stautonico/pokemon-home-pokedex/main/sprites/cutiefly.png", 2)</f>
        <v>0</v>
      </c>
      <c r="E743" s="4" t="s">
        <v>13</v>
      </c>
      <c r="F743" s="5"/>
    </row>
    <row r="744" spans="1:6" ht="72" customHeight="1">
      <c r="A744" s="1" t="s">
        <v>26</v>
      </c>
      <c r="B744" s="1">
        <v>743</v>
      </c>
      <c r="C744" s="1" t="s">
        <v>773</v>
      </c>
      <c r="D744">
        <f>IMAGE("https://raw.githubusercontent.com/stautonico/pokemon-home-pokedex/main/sprites/ribombee.png", 2)</f>
        <v>0</v>
      </c>
      <c r="E744" s="4" t="s">
        <v>13</v>
      </c>
      <c r="F744" s="5"/>
    </row>
    <row r="745" spans="1:6" ht="72" customHeight="1">
      <c r="A745" s="1" t="s">
        <v>26</v>
      </c>
      <c r="B745" s="1">
        <v>744</v>
      </c>
      <c r="C745" s="1" t="s">
        <v>774</v>
      </c>
      <c r="D745">
        <f>IMAGE("https://raw.githubusercontent.com/stautonico/pokemon-home-pokedex/main/sprites/rockruff.png", 2)</f>
        <v>0</v>
      </c>
      <c r="E745" s="3" t="s">
        <v>12</v>
      </c>
      <c r="F745" s="26" t="s">
        <v>17</v>
      </c>
    </row>
    <row r="746" spans="1:6" ht="72" customHeight="1">
      <c r="A746" s="1" t="s">
        <v>26</v>
      </c>
      <c r="B746" s="1">
        <v>745</v>
      </c>
      <c r="C746" s="1" t="s">
        <v>775</v>
      </c>
      <c r="D746">
        <f>IMAGE("https://raw.githubusercontent.com/stautonico/pokemon-home-pokedex/main/sprites/lycanroc-midday.png", 2)</f>
        <v>0</v>
      </c>
      <c r="E746" s="3" t="s">
        <v>12</v>
      </c>
      <c r="F746" s="26" t="s">
        <v>17</v>
      </c>
    </row>
    <row r="747" spans="1:6" ht="72" customHeight="1">
      <c r="A747" s="1" t="s">
        <v>26</v>
      </c>
      <c r="B747" s="1">
        <v>746</v>
      </c>
      <c r="C747" s="1" t="s">
        <v>776</v>
      </c>
      <c r="D747">
        <f>IMAGE("https://raw.githubusercontent.com/stautonico/pokemon-home-pokedex/main/sprites/wishiwashi-solo.png", 2)</f>
        <v>0</v>
      </c>
      <c r="E747" s="4" t="s">
        <v>13</v>
      </c>
      <c r="F747" s="5"/>
    </row>
    <row r="748" spans="1:6" ht="72" customHeight="1">
      <c r="A748" s="1" t="s">
        <v>26</v>
      </c>
      <c r="B748" s="1">
        <v>747</v>
      </c>
      <c r="C748" s="1" t="s">
        <v>777</v>
      </c>
      <c r="D748">
        <f>IMAGE("https://raw.githubusercontent.com/stautonico/pokemon-home-pokedex/main/sprites/mareanie.png", 2)</f>
        <v>0</v>
      </c>
      <c r="E748" s="4" t="s">
        <v>13</v>
      </c>
      <c r="F748" s="5"/>
    </row>
    <row r="749" spans="1:6" ht="72" customHeight="1">
      <c r="A749" s="1" t="s">
        <v>26</v>
      </c>
      <c r="B749" s="1">
        <v>748</v>
      </c>
      <c r="C749" s="1" t="s">
        <v>778</v>
      </c>
      <c r="D749">
        <f>IMAGE("https://raw.githubusercontent.com/stautonico/pokemon-home-pokedex/main/sprites/toxapex.png", 2)</f>
        <v>0</v>
      </c>
      <c r="E749" s="4" t="s">
        <v>13</v>
      </c>
      <c r="F749" s="5"/>
    </row>
    <row r="750" spans="1:6" ht="72" customHeight="1">
      <c r="A750" s="1" t="s">
        <v>26</v>
      </c>
      <c r="B750" s="1">
        <v>749</v>
      </c>
      <c r="C750" s="1" t="s">
        <v>779</v>
      </c>
      <c r="D750">
        <f>IMAGE("https://raw.githubusercontent.com/stautonico/pokemon-home-pokedex/main/sprites/mudbray.png", 2)</f>
        <v>0</v>
      </c>
      <c r="E750" s="4" t="s">
        <v>13</v>
      </c>
      <c r="F750" s="5"/>
    </row>
    <row r="751" spans="1:6" ht="72" customHeight="1">
      <c r="A751" s="1" t="s">
        <v>26</v>
      </c>
      <c r="B751" s="1">
        <v>750</v>
      </c>
      <c r="C751" s="1" t="s">
        <v>780</v>
      </c>
      <c r="D751">
        <f>IMAGE("https://raw.githubusercontent.com/stautonico/pokemon-home-pokedex/main/sprites/mudsdale.png", 2)</f>
        <v>0</v>
      </c>
      <c r="E751" s="4" t="s">
        <v>13</v>
      </c>
      <c r="F751" s="5"/>
    </row>
    <row r="752" spans="1:6" ht="72" customHeight="1">
      <c r="A752" s="1" t="s">
        <v>26</v>
      </c>
      <c r="B752" s="1">
        <v>751</v>
      </c>
      <c r="C752" s="1" t="s">
        <v>781</v>
      </c>
      <c r="D752">
        <f>IMAGE("https://raw.githubusercontent.com/stautonico/pokemon-home-pokedex/main/sprites/dewpider.png", 2)</f>
        <v>0</v>
      </c>
      <c r="E752" s="4" t="s">
        <v>13</v>
      </c>
      <c r="F752" s="5"/>
    </row>
    <row r="753" spans="1:6" ht="72" customHeight="1">
      <c r="A753" s="1" t="s">
        <v>26</v>
      </c>
      <c r="B753" s="1">
        <v>752</v>
      </c>
      <c r="C753" s="1" t="s">
        <v>782</v>
      </c>
      <c r="D753">
        <f>IMAGE("https://raw.githubusercontent.com/stautonico/pokemon-home-pokedex/main/sprites/araquanid.png", 2)</f>
        <v>0</v>
      </c>
      <c r="E753" s="4" t="s">
        <v>13</v>
      </c>
      <c r="F753" s="5"/>
    </row>
    <row r="754" spans="1:6" ht="72" customHeight="1">
      <c r="A754" s="1" t="s">
        <v>26</v>
      </c>
      <c r="B754" s="1">
        <v>753</v>
      </c>
      <c r="C754" s="1" t="s">
        <v>783</v>
      </c>
      <c r="D754">
        <f>IMAGE("https://raw.githubusercontent.com/stautonico/pokemon-home-pokedex/main/sprites/fomantis.png", 2)</f>
        <v>0</v>
      </c>
      <c r="E754" s="3" t="s">
        <v>12</v>
      </c>
      <c r="F754" s="26" t="s">
        <v>17</v>
      </c>
    </row>
    <row r="755" spans="1:6" ht="72" customHeight="1">
      <c r="A755" s="1" t="s">
        <v>26</v>
      </c>
      <c r="B755" s="1">
        <v>754</v>
      </c>
      <c r="C755" s="1" t="s">
        <v>784</v>
      </c>
      <c r="D755">
        <f>IMAGE("https://raw.githubusercontent.com/stautonico/pokemon-home-pokedex/main/sprites/lurantis.png", 2)</f>
        <v>0</v>
      </c>
      <c r="E755" s="3" t="s">
        <v>12</v>
      </c>
      <c r="F755" s="26" t="s">
        <v>17</v>
      </c>
    </row>
    <row r="756" spans="1:6" ht="72" customHeight="1">
      <c r="A756" s="1" t="s">
        <v>26</v>
      </c>
      <c r="B756" s="1">
        <v>755</v>
      </c>
      <c r="C756" s="1" t="s">
        <v>785</v>
      </c>
      <c r="D756">
        <f>IMAGE("https://raw.githubusercontent.com/stautonico/pokemon-home-pokedex/main/sprites/morelull.png", 2)</f>
        <v>0</v>
      </c>
      <c r="E756" s="4" t="s">
        <v>13</v>
      </c>
      <c r="F756" s="5"/>
    </row>
    <row r="757" spans="1:6" ht="72" customHeight="1">
      <c r="A757" s="1" t="s">
        <v>26</v>
      </c>
      <c r="B757" s="1">
        <v>756</v>
      </c>
      <c r="C757" s="1" t="s">
        <v>786</v>
      </c>
      <c r="D757">
        <f>IMAGE("https://raw.githubusercontent.com/stautonico/pokemon-home-pokedex/main/sprites/shiinotic.png", 2)</f>
        <v>0</v>
      </c>
      <c r="E757" s="4" t="s">
        <v>13</v>
      </c>
      <c r="F757" s="5"/>
    </row>
    <row r="758" spans="1:6" ht="72" customHeight="1">
      <c r="A758" s="1" t="s">
        <v>26</v>
      </c>
      <c r="B758" s="1">
        <v>757</v>
      </c>
      <c r="C758" s="1" t="s">
        <v>787</v>
      </c>
      <c r="D758">
        <f>IMAGE("https://raw.githubusercontent.com/stautonico/pokemon-home-pokedex/main/sprites/salandit.png", 2)</f>
        <v>0</v>
      </c>
      <c r="E758" s="4" t="s">
        <v>13</v>
      </c>
      <c r="F758" s="5"/>
    </row>
    <row r="759" spans="1:6" ht="72" customHeight="1">
      <c r="A759" s="1" t="s">
        <v>26</v>
      </c>
      <c r="B759" s="1">
        <v>758</v>
      </c>
      <c r="C759" s="1" t="s">
        <v>788</v>
      </c>
      <c r="D759">
        <f>IMAGE("https://raw.githubusercontent.com/stautonico/pokemon-home-pokedex/main/sprites/salazzle.png", 2)</f>
        <v>0</v>
      </c>
      <c r="E759" s="4" t="s">
        <v>13</v>
      </c>
      <c r="F759" s="5"/>
    </row>
    <row r="760" spans="1:6" ht="72" customHeight="1">
      <c r="A760" s="1" t="s">
        <v>26</v>
      </c>
      <c r="B760" s="1">
        <v>759</v>
      </c>
      <c r="C760" s="1" t="s">
        <v>789</v>
      </c>
      <c r="D760">
        <f>IMAGE("https://raw.githubusercontent.com/stautonico/pokemon-home-pokedex/main/sprites/stufful.png", 2)</f>
        <v>0</v>
      </c>
      <c r="E760" s="4" t="s">
        <v>13</v>
      </c>
      <c r="F760" s="5"/>
    </row>
    <row r="761" spans="1:6" ht="72" customHeight="1">
      <c r="A761" s="1" t="s">
        <v>26</v>
      </c>
      <c r="B761" s="1">
        <v>760</v>
      </c>
      <c r="C761" s="1" t="s">
        <v>790</v>
      </c>
      <c r="D761">
        <f>IMAGE("https://raw.githubusercontent.com/stautonico/pokemon-home-pokedex/main/sprites/bewear.png", 2)</f>
        <v>0</v>
      </c>
      <c r="E761" s="4" t="s">
        <v>13</v>
      </c>
      <c r="F761" s="5"/>
    </row>
    <row r="762" spans="1:6" ht="72" customHeight="1">
      <c r="A762" s="1" t="s">
        <v>26</v>
      </c>
      <c r="B762" s="1">
        <v>761</v>
      </c>
      <c r="C762" s="1" t="s">
        <v>791</v>
      </c>
      <c r="D762">
        <f>IMAGE("https://raw.githubusercontent.com/stautonico/pokemon-home-pokedex/main/sprites/bounsweet.png", 2)</f>
        <v>0</v>
      </c>
      <c r="E762" s="4" t="s">
        <v>13</v>
      </c>
      <c r="F762" s="5"/>
    </row>
    <row r="763" spans="1:6" ht="72" customHeight="1">
      <c r="A763" s="1" t="s">
        <v>26</v>
      </c>
      <c r="B763" s="1">
        <v>762</v>
      </c>
      <c r="C763" s="1" t="s">
        <v>792</v>
      </c>
      <c r="D763">
        <f>IMAGE("https://raw.githubusercontent.com/stautonico/pokemon-home-pokedex/main/sprites/steenee.png", 2)</f>
        <v>0</v>
      </c>
      <c r="E763" s="4" t="s">
        <v>13</v>
      </c>
      <c r="F763" s="5"/>
    </row>
    <row r="764" spans="1:6" ht="72" customHeight="1">
      <c r="A764" s="1" t="s">
        <v>26</v>
      </c>
      <c r="B764" s="1">
        <v>763</v>
      </c>
      <c r="C764" s="1" t="s">
        <v>793</v>
      </c>
      <c r="D764">
        <f>IMAGE("https://raw.githubusercontent.com/stautonico/pokemon-home-pokedex/main/sprites/tsareena.png", 2)</f>
        <v>0</v>
      </c>
      <c r="E764" s="4" t="s">
        <v>13</v>
      </c>
      <c r="F764" s="5"/>
    </row>
    <row r="765" spans="1:6" ht="72" customHeight="1">
      <c r="A765" s="1" t="s">
        <v>26</v>
      </c>
      <c r="B765" s="1">
        <v>764</v>
      </c>
      <c r="C765" s="1" t="s">
        <v>794</v>
      </c>
      <c r="D765">
        <f>IMAGE("https://raw.githubusercontent.com/stautonico/pokemon-home-pokedex/main/sprites/comfey.png", 2)</f>
        <v>0</v>
      </c>
      <c r="E765" s="3" t="s">
        <v>12</v>
      </c>
      <c r="F765" s="26" t="s">
        <v>17</v>
      </c>
    </row>
    <row r="766" spans="1:6" ht="72" customHeight="1">
      <c r="A766" s="1" t="s">
        <v>26</v>
      </c>
      <c r="B766" s="1">
        <v>765</v>
      </c>
      <c r="C766" s="1" t="s">
        <v>795</v>
      </c>
      <c r="D766">
        <f>IMAGE("https://raw.githubusercontent.com/stautonico/pokemon-home-pokedex/main/sprites/oranguru.png", 2)</f>
        <v>0</v>
      </c>
      <c r="E766" s="27" t="s">
        <v>15</v>
      </c>
      <c r="F766" s="34" t="s">
        <v>20</v>
      </c>
    </row>
    <row r="767" spans="1:6" ht="72" customHeight="1">
      <c r="A767" s="1" t="s">
        <v>26</v>
      </c>
      <c r="B767" s="1">
        <v>766</v>
      </c>
      <c r="C767" s="1" t="s">
        <v>796</v>
      </c>
      <c r="D767">
        <f>IMAGE("https://raw.githubusercontent.com/stautonico/pokemon-home-pokedex/main/sprites/passimian.png", 2)</f>
        <v>0</v>
      </c>
      <c r="E767" s="29" t="s">
        <v>14</v>
      </c>
      <c r="F767" s="33" t="s">
        <v>19</v>
      </c>
    </row>
    <row r="768" spans="1:6" ht="72" customHeight="1">
      <c r="A768" s="1" t="s">
        <v>26</v>
      </c>
      <c r="B768" s="1">
        <v>767</v>
      </c>
      <c r="C768" s="1" t="s">
        <v>797</v>
      </c>
      <c r="D768">
        <f>IMAGE("https://raw.githubusercontent.com/stautonico/pokemon-home-pokedex/main/sprites/wimpod.png", 2)</f>
        <v>0</v>
      </c>
      <c r="E768" s="4" t="s">
        <v>13</v>
      </c>
      <c r="F768" s="5"/>
    </row>
    <row r="769" spans="1:6" ht="72" customHeight="1">
      <c r="A769" s="1" t="s">
        <v>26</v>
      </c>
      <c r="B769" s="1">
        <v>768</v>
      </c>
      <c r="C769" s="1" t="s">
        <v>798</v>
      </c>
      <c r="D769">
        <f>IMAGE("https://raw.githubusercontent.com/stautonico/pokemon-home-pokedex/main/sprites/golisopod.png", 2)</f>
        <v>0</v>
      </c>
      <c r="E769" s="4" t="s">
        <v>13</v>
      </c>
      <c r="F769" s="5"/>
    </row>
    <row r="770" spans="1:6" ht="72" customHeight="1">
      <c r="A770" s="1" t="s">
        <v>26</v>
      </c>
      <c r="B770" s="1">
        <v>769</v>
      </c>
      <c r="C770" s="1" t="s">
        <v>799</v>
      </c>
      <c r="D770">
        <f>IMAGE("https://raw.githubusercontent.com/stautonico/pokemon-home-pokedex/main/sprites/sandygast.png", 2)</f>
        <v>0</v>
      </c>
      <c r="E770" s="3" t="s">
        <v>12</v>
      </c>
      <c r="F770" s="26" t="s">
        <v>17</v>
      </c>
    </row>
    <row r="771" spans="1:6" ht="72" customHeight="1">
      <c r="A771" s="1" t="s">
        <v>26</v>
      </c>
      <c r="B771" s="1">
        <v>770</v>
      </c>
      <c r="C771" s="1" t="s">
        <v>800</v>
      </c>
      <c r="D771">
        <f>IMAGE("https://raw.githubusercontent.com/stautonico/pokemon-home-pokedex/main/sprites/palossand.png", 2)</f>
        <v>0</v>
      </c>
      <c r="E771" s="3" t="s">
        <v>12</v>
      </c>
      <c r="F771" s="26" t="s">
        <v>17</v>
      </c>
    </row>
    <row r="772" spans="1:6" ht="72" customHeight="1">
      <c r="A772" s="1" t="s">
        <v>26</v>
      </c>
      <c r="B772" s="1">
        <v>771</v>
      </c>
      <c r="C772" s="1" t="s">
        <v>801</v>
      </c>
      <c r="D772">
        <f>IMAGE("https://raw.githubusercontent.com/stautonico/pokemon-home-pokedex/main/sprites/pyukumuku.png", 2)</f>
        <v>0</v>
      </c>
      <c r="E772" s="4" t="s">
        <v>13</v>
      </c>
      <c r="F772" s="5"/>
    </row>
    <row r="773" spans="1:6" ht="72" customHeight="1">
      <c r="A773" s="1" t="s">
        <v>26</v>
      </c>
      <c r="B773" s="1">
        <v>772</v>
      </c>
      <c r="C773" s="1" t="s">
        <v>802</v>
      </c>
      <c r="D773">
        <f>IMAGE("https://raw.githubusercontent.com/stautonico/pokemon-home-pokedex/main/sprites/type-null.png", 2)</f>
        <v>0</v>
      </c>
      <c r="E773" s="4" t="s">
        <v>13</v>
      </c>
      <c r="F773" s="5"/>
    </row>
    <row r="774" spans="1:6" ht="72" customHeight="1">
      <c r="A774" s="1" t="s">
        <v>26</v>
      </c>
      <c r="B774" s="1">
        <v>773</v>
      </c>
      <c r="C774" s="1" t="s">
        <v>803</v>
      </c>
      <c r="D774">
        <f>IMAGE("https://raw.githubusercontent.com/stautonico/pokemon-home-pokedex/main/sprites/silvally.png", 2)</f>
        <v>0</v>
      </c>
      <c r="E774" s="4" t="s">
        <v>13</v>
      </c>
      <c r="F774" s="5"/>
    </row>
    <row r="775" spans="1:6" ht="72" customHeight="1">
      <c r="A775" s="1" t="s">
        <v>26</v>
      </c>
      <c r="B775" s="1">
        <v>10136</v>
      </c>
      <c r="C775" s="1" t="s">
        <v>804</v>
      </c>
      <c r="D775">
        <f>IMAGE("https://raw.githubusercontent.com/stautonico/pokemon-home-pokedex/main/sprites/minior-red.png", 2)</f>
        <v>0</v>
      </c>
      <c r="E775" s="5" t="s">
        <v>805</v>
      </c>
      <c r="F775" s="5" t="s">
        <v>805</v>
      </c>
    </row>
    <row r="776" spans="1:6" ht="72" customHeight="1">
      <c r="A776" s="1" t="s">
        <v>26</v>
      </c>
      <c r="B776" s="1">
        <v>775</v>
      </c>
      <c r="C776" s="1" t="s">
        <v>806</v>
      </c>
      <c r="D776">
        <f>IMAGE("https://raw.githubusercontent.com/stautonico/pokemon-home-pokedex/main/sprites/komala.png", 2)</f>
        <v>0</v>
      </c>
      <c r="E776" s="26" t="s">
        <v>17</v>
      </c>
      <c r="F776" s="5"/>
    </row>
    <row r="777" spans="1:6" ht="72" customHeight="1">
      <c r="A777" s="1" t="s">
        <v>26</v>
      </c>
      <c r="B777" s="1">
        <v>776</v>
      </c>
      <c r="C777" s="1" t="s">
        <v>807</v>
      </c>
      <c r="D777">
        <f>IMAGE("https://raw.githubusercontent.com/stautonico/pokemon-home-pokedex/main/sprites/turtonator.png", 2)</f>
        <v>0</v>
      </c>
      <c r="E777" s="29" t="s">
        <v>14</v>
      </c>
      <c r="F777" s="33" t="s">
        <v>19</v>
      </c>
    </row>
    <row r="778" spans="1:6" ht="72" customHeight="1">
      <c r="A778" s="1" t="s">
        <v>26</v>
      </c>
      <c r="B778" s="1">
        <v>777</v>
      </c>
      <c r="C778" s="1" t="s">
        <v>808</v>
      </c>
      <c r="D778">
        <f>IMAGE("https://raw.githubusercontent.com/stautonico/pokemon-home-pokedex/main/sprites/togedemaru.png", 2)</f>
        <v>0</v>
      </c>
      <c r="E778" s="4" t="s">
        <v>13</v>
      </c>
      <c r="F778" s="5"/>
    </row>
    <row r="779" spans="1:6" ht="72" customHeight="1">
      <c r="A779" s="1" t="s">
        <v>26</v>
      </c>
      <c r="B779" s="1">
        <v>778</v>
      </c>
      <c r="C779" s="1" t="s">
        <v>809</v>
      </c>
      <c r="D779">
        <f>IMAGE("https://raw.githubusercontent.com/stautonico/pokemon-home-pokedex/main/sprites/mimikyu-disguised.png", 2)</f>
        <v>0</v>
      </c>
      <c r="E779" s="4" t="s">
        <v>13</v>
      </c>
      <c r="F779" s="5"/>
    </row>
    <row r="780" spans="1:6" ht="72" customHeight="1">
      <c r="A780" s="1" t="s">
        <v>26</v>
      </c>
      <c r="B780" s="1">
        <v>779</v>
      </c>
      <c r="C780" s="1" t="s">
        <v>810</v>
      </c>
      <c r="D780">
        <f>IMAGE("https://raw.githubusercontent.com/stautonico/pokemon-home-pokedex/main/sprites/bruxish.png", 2)</f>
        <v>0</v>
      </c>
      <c r="E780" s="26" t="s">
        <v>17</v>
      </c>
      <c r="F780" s="5"/>
    </row>
    <row r="781" spans="1:6" ht="72" customHeight="1">
      <c r="A781" s="1" t="s">
        <v>26</v>
      </c>
      <c r="B781" s="1">
        <v>780</v>
      </c>
      <c r="C781" s="1" t="s">
        <v>811</v>
      </c>
      <c r="D781">
        <f>IMAGE("https://raw.githubusercontent.com/stautonico/pokemon-home-pokedex/main/sprites/drampa.png", 2)</f>
        <v>0</v>
      </c>
      <c r="E781" s="27" t="s">
        <v>15</v>
      </c>
      <c r="F781" s="34" t="s">
        <v>20</v>
      </c>
    </row>
    <row r="782" spans="1:6" ht="72" customHeight="1">
      <c r="A782" s="1" t="s">
        <v>26</v>
      </c>
      <c r="B782" s="1">
        <v>781</v>
      </c>
      <c r="C782" s="1" t="s">
        <v>812</v>
      </c>
      <c r="D782">
        <f>IMAGE("https://raw.githubusercontent.com/stautonico/pokemon-home-pokedex/main/sprites/dhelmise.png", 2)</f>
        <v>0</v>
      </c>
      <c r="E782" s="4" t="s">
        <v>13</v>
      </c>
      <c r="F782" s="5"/>
    </row>
    <row r="783" spans="1:6" ht="72" customHeight="1">
      <c r="A783" s="1" t="s">
        <v>26</v>
      </c>
      <c r="B783" s="1">
        <v>782</v>
      </c>
      <c r="C783" s="1" t="s">
        <v>813</v>
      </c>
      <c r="D783">
        <f>IMAGE("https://raw.githubusercontent.com/stautonico/pokemon-home-pokedex/main/sprites/jangmo-o.png", 2)</f>
        <v>0</v>
      </c>
      <c r="E783" s="29" t="s">
        <v>14</v>
      </c>
      <c r="F783" s="26" t="s">
        <v>17</v>
      </c>
    </row>
    <row r="784" spans="1:6" ht="72" customHeight="1">
      <c r="A784" s="1" t="s">
        <v>26</v>
      </c>
      <c r="B784" s="1">
        <v>783</v>
      </c>
      <c r="C784" s="1" t="s">
        <v>814</v>
      </c>
      <c r="D784">
        <f>IMAGE("https://raw.githubusercontent.com/stautonico/pokemon-home-pokedex/main/sprites/hakamo-o.png", 2)</f>
        <v>0</v>
      </c>
      <c r="E784" s="29" t="s">
        <v>14</v>
      </c>
      <c r="F784" s="26" t="s">
        <v>17</v>
      </c>
    </row>
    <row r="785" spans="1:6" ht="72" customHeight="1">
      <c r="A785" s="1" t="s">
        <v>26</v>
      </c>
      <c r="B785" s="1">
        <v>784</v>
      </c>
      <c r="C785" s="1" t="s">
        <v>815</v>
      </c>
      <c r="D785">
        <f>IMAGE("https://raw.githubusercontent.com/stautonico/pokemon-home-pokedex/main/sprites/kommo-o.png", 2)</f>
        <v>0</v>
      </c>
      <c r="E785" s="29" t="s">
        <v>14</v>
      </c>
      <c r="F785" s="26" t="s">
        <v>17</v>
      </c>
    </row>
    <row r="786" spans="1:6" ht="72" customHeight="1">
      <c r="A786" s="1" t="s">
        <v>26</v>
      </c>
      <c r="B786" s="1">
        <v>785</v>
      </c>
      <c r="C786" s="1" t="s">
        <v>816</v>
      </c>
      <c r="D786">
        <f>IMAGE("https://raw.githubusercontent.com/stautonico/pokemon-home-pokedex/main/sprites/tapu-koko.png", 2)</f>
        <v>0</v>
      </c>
      <c r="E786" s="26" t="s">
        <v>17</v>
      </c>
      <c r="F786" s="5"/>
    </row>
    <row r="787" spans="1:6" ht="72" customHeight="1">
      <c r="A787" s="1" t="s">
        <v>26</v>
      </c>
      <c r="B787" s="1">
        <v>786</v>
      </c>
      <c r="C787" s="1" t="s">
        <v>817</v>
      </c>
      <c r="D787">
        <f>IMAGE("https://raw.githubusercontent.com/stautonico/pokemon-home-pokedex/main/sprites/tapu-lele.png", 2)</f>
        <v>0</v>
      </c>
      <c r="E787" s="26" t="s">
        <v>17</v>
      </c>
      <c r="F787" s="5"/>
    </row>
    <row r="788" spans="1:6" ht="72" customHeight="1">
      <c r="A788" s="1" t="s">
        <v>26</v>
      </c>
      <c r="B788" s="1">
        <v>787</v>
      </c>
      <c r="C788" s="1" t="s">
        <v>818</v>
      </c>
      <c r="D788">
        <f>IMAGE("https://raw.githubusercontent.com/stautonico/pokemon-home-pokedex/main/sprites/tapu-bulu.png", 2)</f>
        <v>0</v>
      </c>
      <c r="E788" s="26" t="s">
        <v>17</v>
      </c>
      <c r="F788" s="5"/>
    </row>
    <row r="789" spans="1:6" ht="72" customHeight="1">
      <c r="A789" s="1" t="s">
        <v>26</v>
      </c>
      <c r="B789" s="1">
        <v>788</v>
      </c>
      <c r="C789" s="1" t="s">
        <v>819</v>
      </c>
      <c r="D789">
        <f>IMAGE("https://raw.githubusercontent.com/stautonico/pokemon-home-pokedex/main/sprites/tapu-fini.png", 2)</f>
        <v>0</v>
      </c>
      <c r="E789" s="26" t="s">
        <v>17</v>
      </c>
      <c r="F789" s="5"/>
    </row>
    <row r="790" spans="1:6" ht="72" customHeight="1">
      <c r="A790" s="1" t="s">
        <v>26</v>
      </c>
      <c r="B790" s="1">
        <v>789</v>
      </c>
      <c r="C790" s="1" t="s">
        <v>820</v>
      </c>
      <c r="D790">
        <f>IMAGE("https://raw.githubusercontent.com/stautonico/pokemon-home-pokedex/main/sprites/cosmog.png", 2)</f>
        <v>0</v>
      </c>
      <c r="E790" s="26" t="s">
        <v>17</v>
      </c>
      <c r="F790" s="5"/>
    </row>
    <row r="791" spans="1:6" ht="72" customHeight="1">
      <c r="A791" s="1" t="s">
        <v>26</v>
      </c>
      <c r="B791" s="1">
        <v>790</v>
      </c>
      <c r="C791" s="1" t="s">
        <v>821</v>
      </c>
      <c r="D791">
        <f>IMAGE("https://raw.githubusercontent.com/stautonico/pokemon-home-pokedex/main/sprites/cosmoem.png", 2)</f>
        <v>0</v>
      </c>
      <c r="E791" s="26" t="s">
        <v>17</v>
      </c>
      <c r="F791" s="5"/>
    </row>
    <row r="792" spans="1:6" ht="72" customHeight="1">
      <c r="A792" s="1" t="s">
        <v>26</v>
      </c>
      <c r="B792" s="1">
        <v>791</v>
      </c>
      <c r="C792" s="1" t="s">
        <v>822</v>
      </c>
      <c r="D792">
        <f>IMAGE("https://raw.githubusercontent.com/stautonico/pokemon-home-pokedex/main/sprites/solgaleo.png", 2)</f>
        <v>0</v>
      </c>
      <c r="E792" s="33" t="s">
        <v>19</v>
      </c>
      <c r="F792" s="5"/>
    </row>
    <row r="793" spans="1:6" ht="72" customHeight="1">
      <c r="A793" s="1" t="s">
        <v>26</v>
      </c>
      <c r="B793" s="1">
        <v>792</v>
      </c>
      <c r="C793" s="1" t="s">
        <v>823</v>
      </c>
      <c r="D793">
        <f>IMAGE("https://raw.githubusercontent.com/stautonico/pokemon-home-pokedex/main/sprites/lunala.png", 2)</f>
        <v>0</v>
      </c>
      <c r="E793" s="34" t="s">
        <v>20</v>
      </c>
      <c r="F793" s="5"/>
    </row>
    <row r="794" spans="1:6" ht="72" customHeight="1">
      <c r="A794" s="1" t="s">
        <v>26</v>
      </c>
      <c r="B794" s="1">
        <v>793</v>
      </c>
      <c r="C794" s="1" t="s">
        <v>824</v>
      </c>
      <c r="D794">
        <f>IMAGE("https://raw.githubusercontent.com/stautonico/pokemon-home-pokedex/main/sprites/nihilego.png", 2)</f>
        <v>0</v>
      </c>
      <c r="E794" s="26" t="s">
        <v>17</v>
      </c>
      <c r="F794" s="5"/>
    </row>
    <row r="795" spans="1:6" ht="72" customHeight="1">
      <c r="A795" s="1" t="s">
        <v>26</v>
      </c>
      <c r="B795" s="1">
        <v>794</v>
      </c>
      <c r="C795" s="1" t="s">
        <v>825</v>
      </c>
      <c r="D795">
        <f>IMAGE("https://raw.githubusercontent.com/stautonico/pokemon-home-pokedex/main/sprites/buzzwole.png", 2)</f>
        <v>0</v>
      </c>
      <c r="E795" s="33" t="s">
        <v>19</v>
      </c>
      <c r="F795" s="5"/>
    </row>
    <row r="796" spans="1:6" ht="72" customHeight="1">
      <c r="A796" s="1" t="s">
        <v>26</v>
      </c>
      <c r="B796" s="1">
        <v>795</v>
      </c>
      <c r="C796" s="1" t="s">
        <v>826</v>
      </c>
      <c r="D796">
        <f>IMAGE("https://raw.githubusercontent.com/stautonico/pokemon-home-pokedex/main/sprites/pheromosa.png", 2)</f>
        <v>0</v>
      </c>
      <c r="E796" s="34" t="s">
        <v>20</v>
      </c>
      <c r="F796" s="5"/>
    </row>
    <row r="797" spans="1:6" ht="72" customHeight="1">
      <c r="A797" s="1" t="s">
        <v>26</v>
      </c>
      <c r="B797" s="1">
        <v>796</v>
      </c>
      <c r="C797" s="1" t="s">
        <v>827</v>
      </c>
      <c r="D797">
        <f>IMAGE("https://raw.githubusercontent.com/stautonico/pokemon-home-pokedex/main/sprites/xurkitree.png", 2)</f>
        <v>0</v>
      </c>
      <c r="E797" s="26" t="s">
        <v>17</v>
      </c>
      <c r="F797" s="5"/>
    </row>
    <row r="798" spans="1:6" ht="72" customHeight="1">
      <c r="A798" s="1" t="s">
        <v>26</v>
      </c>
      <c r="B798" s="1">
        <v>797</v>
      </c>
      <c r="C798" s="1" t="s">
        <v>828</v>
      </c>
      <c r="D798">
        <f>IMAGE("https://raw.githubusercontent.com/stautonico/pokemon-home-pokedex/main/sprites/celesteela.png", 2)</f>
        <v>0</v>
      </c>
      <c r="E798" s="34" t="s">
        <v>20</v>
      </c>
      <c r="F798" s="5"/>
    </row>
    <row r="799" spans="1:6" ht="72" customHeight="1">
      <c r="A799" s="1" t="s">
        <v>26</v>
      </c>
      <c r="B799" s="1">
        <v>798</v>
      </c>
      <c r="C799" s="1" t="s">
        <v>829</v>
      </c>
      <c r="D799">
        <f>IMAGE("https://raw.githubusercontent.com/stautonico/pokemon-home-pokedex/main/sprites/kartana.png", 2)</f>
        <v>0</v>
      </c>
      <c r="E799" s="33" t="s">
        <v>19</v>
      </c>
      <c r="F799" s="5"/>
    </row>
    <row r="800" spans="1:6" ht="72" customHeight="1">
      <c r="A800" s="1" t="s">
        <v>26</v>
      </c>
      <c r="B800" s="1">
        <v>799</v>
      </c>
      <c r="C800" s="1" t="s">
        <v>830</v>
      </c>
      <c r="D800">
        <f>IMAGE("https://raw.githubusercontent.com/stautonico/pokemon-home-pokedex/main/sprites/guzzlord.png", 2)</f>
        <v>0</v>
      </c>
      <c r="E800" s="26" t="s">
        <v>17</v>
      </c>
      <c r="F800" s="5"/>
    </row>
    <row r="801" spans="1:6" ht="72" customHeight="1">
      <c r="A801" s="1" t="s">
        <v>26</v>
      </c>
      <c r="B801" s="1">
        <v>800</v>
      </c>
      <c r="C801" s="1" t="s">
        <v>831</v>
      </c>
      <c r="D801">
        <f>IMAGE("https://raw.githubusercontent.com/stautonico/pokemon-home-pokedex/main/sprites/necrozma.png", 2)</f>
        <v>0</v>
      </c>
      <c r="E801" s="26" t="s">
        <v>17</v>
      </c>
      <c r="F801" s="5"/>
    </row>
    <row r="802" spans="1:6" ht="72" customHeight="1">
      <c r="A802" s="1" t="s">
        <v>26</v>
      </c>
      <c r="B802" s="1">
        <v>801</v>
      </c>
      <c r="C802" s="1" t="s">
        <v>832</v>
      </c>
      <c r="D802">
        <f>IMAGE("https://raw.githubusercontent.com/stautonico/pokemon-home-pokedex/main/sprites/magearna.png", 2)</f>
        <v>0</v>
      </c>
      <c r="E802" s="26" t="s">
        <v>17</v>
      </c>
      <c r="F802" s="5"/>
    </row>
    <row r="803" spans="1:6" ht="72" customHeight="1">
      <c r="A803" s="1" t="s">
        <v>26</v>
      </c>
      <c r="B803" s="1">
        <v>802</v>
      </c>
      <c r="C803" s="1" t="s">
        <v>833</v>
      </c>
      <c r="D803">
        <f>IMAGE("https://raw.githubusercontent.com/stautonico/pokemon-home-pokedex/main/sprites/marshadow.png", 2)</f>
        <v>0</v>
      </c>
      <c r="E803" s="31" t="s">
        <v>24</v>
      </c>
      <c r="F803" s="5"/>
    </row>
    <row r="804" spans="1:6" ht="72" customHeight="1">
      <c r="A804" s="1" t="s">
        <v>26</v>
      </c>
      <c r="B804" s="1">
        <v>803</v>
      </c>
      <c r="C804" s="1" t="s">
        <v>834</v>
      </c>
      <c r="D804">
        <f>IMAGE("https://raw.githubusercontent.com/stautonico/pokemon-home-pokedex/main/sprites/poipole.png", 2)</f>
        <v>0</v>
      </c>
      <c r="E804" s="26" t="s">
        <v>17</v>
      </c>
      <c r="F804" s="5"/>
    </row>
    <row r="805" spans="1:6" ht="72" customHeight="1">
      <c r="A805" s="1" t="s">
        <v>26</v>
      </c>
      <c r="B805" s="1">
        <v>804</v>
      </c>
      <c r="C805" s="1" t="s">
        <v>835</v>
      </c>
      <c r="D805">
        <f>IMAGE("https://raw.githubusercontent.com/stautonico/pokemon-home-pokedex/main/sprites/naganadel.png", 2)</f>
        <v>0</v>
      </c>
      <c r="E805" s="26" t="s">
        <v>17</v>
      </c>
      <c r="F805" s="5"/>
    </row>
    <row r="806" spans="1:6" ht="72" customHeight="1">
      <c r="A806" s="1" t="s">
        <v>26</v>
      </c>
      <c r="B806" s="1">
        <v>805</v>
      </c>
      <c r="C806" s="1" t="s">
        <v>836</v>
      </c>
      <c r="D806">
        <f>IMAGE("https://raw.githubusercontent.com/stautonico/pokemon-home-pokedex/main/sprites/stakataka.png", 2)</f>
        <v>0</v>
      </c>
      <c r="E806" s="34" t="s">
        <v>20</v>
      </c>
      <c r="F806" s="5"/>
    </row>
    <row r="807" spans="1:6" ht="72" customHeight="1">
      <c r="A807" s="1" t="s">
        <v>26</v>
      </c>
      <c r="B807" s="1">
        <v>806</v>
      </c>
      <c r="C807" s="1" t="s">
        <v>837</v>
      </c>
      <c r="D807">
        <f>IMAGE("https://raw.githubusercontent.com/stautonico/pokemon-home-pokedex/main/sprites/blacephalon.png", 2)</f>
        <v>0</v>
      </c>
      <c r="E807" s="33" t="s">
        <v>19</v>
      </c>
      <c r="F807" s="5"/>
    </row>
    <row r="808" spans="1:6" ht="72" customHeight="1">
      <c r="A808" s="1" t="s">
        <v>26</v>
      </c>
      <c r="B808" s="1">
        <v>807</v>
      </c>
      <c r="C808" s="1" t="s">
        <v>838</v>
      </c>
      <c r="D808">
        <f>IMAGE("https://raw.githubusercontent.com/stautonico/pokemon-home-pokedex/main/sprites/zeraora.png", 2)</f>
        <v>0</v>
      </c>
      <c r="E808" s="31" t="s">
        <v>24</v>
      </c>
      <c r="F808" s="5"/>
    </row>
    <row r="809" spans="1:6" ht="72" customHeight="1">
      <c r="A809" s="1" t="s">
        <v>26</v>
      </c>
      <c r="B809" s="1">
        <v>808</v>
      </c>
      <c r="C809" s="1" t="s">
        <v>839</v>
      </c>
      <c r="D809">
        <f>IMAGE("https://raw.githubusercontent.com/stautonico/pokemon-home-pokedex/main/sprites/meltan.png", 2)</f>
        <v>0</v>
      </c>
      <c r="E809" s="36" t="s">
        <v>25</v>
      </c>
      <c r="F809" s="5"/>
    </row>
    <row r="810" spans="1:6" ht="72" customHeight="1">
      <c r="A810" s="1" t="s">
        <v>26</v>
      </c>
      <c r="B810" s="1">
        <v>809</v>
      </c>
      <c r="C810" s="1" t="s">
        <v>840</v>
      </c>
      <c r="D810">
        <f>IMAGE("https://raw.githubusercontent.com/stautonico/pokemon-home-pokedex/main/sprites/melmetal.png", 2)</f>
        <v>0</v>
      </c>
      <c r="E810" s="36" t="s">
        <v>25</v>
      </c>
      <c r="F810" s="5"/>
    </row>
    <row r="811" spans="1:6" ht="72" customHeight="1">
      <c r="A811" s="1" t="s">
        <v>26</v>
      </c>
      <c r="B811" s="1">
        <v>810</v>
      </c>
      <c r="C811" s="1" t="s">
        <v>841</v>
      </c>
      <c r="D811">
        <f>IMAGE("https://raw.githubusercontent.com/stautonico/pokemon-home-pokedex/main/sprites/grookey.png", 2)</f>
        <v>0</v>
      </c>
      <c r="E811" s="4" t="s">
        <v>13</v>
      </c>
      <c r="F811" s="5"/>
    </row>
    <row r="812" spans="1:6" ht="72" customHeight="1">
      <c r="A812" s="1" t="s">
        <v>26</v>
      </c>
      <c r="B812" s="1">
        <v>811</v>
      </c>
      <c r="C812" s="1" t="s">
        <v>842</v>
      </c>
      <c r="D812">
        <f>IMAGE("https://raw.githubusercontent.com/stautonico/pokemon-home-pokedex/main/sprites/thwackey.png", 2)</f>
        <v>0</v>
      </c>
      <c r="E812" s="4" t="s">
        <v>13</v>
      </c>
      <c r="F812" s="5"/>
    </row>
    <row r="813" spans="1:6" ht="72" customHeight="1">
      <c r="A813" s="1" t="s">
        <v>26</v>
      </c>
      <c r="B813" s="1">
        <v>812</v>
      </c>
      <c r="C813" s="1" t="s">
        <v>843</v>
      </c>
      <c r="D813">
        <f>IMAGE("https://raw.githubusercontent.com/stautonico/pokemon-home-pokedex/main/sprites/rillaboom.png", 2)</f>
        <v>0</v>
      </c>
      <c r="E813" s="4" t="s">
        <v>13</v>
      </c>
      <c r="F813" s="5"/>
    </row>
    <row r="814" spans="1:6" ht="72" customHeight="1">
      <c r="A814" s="1" t="s">
        <v>26</v>
      </c>
      <c r="B814" s="1">
        <v>813</v>
      </c>
      <c r="C814" s="1" t="s">
        <v>844</v>
      </c>
      <c r="D814">
        <f>IMAGE("https://raw.githubusercontent.com/stautonico/pokemon-home-pokedex/main/sprites/scorbunny.png", 2)</f>
        <v>0</v>
      </c>
      <c r="E814" s="4" t="s">
        <v>13</v>
      </c>
      <c r="F814" s="5"/>
    </row>
    <row r="815" spans="1:6" ht="72" customHeight="1">
      <c r="A815" s="1" t="s">
        <v>26</v>
      </c>
      <c r="B815" s="1">
        <v>814</v>
      </c>
      <c r="C815" s="1" t="s">
        <v>845</v>
      </c>
      <c r="D815">
        <f>IMAGE("https://raw.githubusercontent.com/stautonico/pokemon-home-pokedex/main/sprites/raboot.png", 2)</f>
        <v>0</v>
      </c>
      <c r="E815" s="4" t="s">
        <v>13</v>
      </c>
      <c r="F815" s="5"/>
    </row>
    <row r="816" spans="1:6" ht="72" customHeight="1">
      <c r="A816" s="1" t="s">
        <v>26</v>
      </c>
      <c r="B816" s="1">
        <v>815</v>
      </c>
      <c r="C816" s="1" t="s">
        <v>846</v>
      </c>
      <c r="D816">
        <f>IMAGE("https://raw.githubusercontent.com/stautonico/pokemon-home-pokedex/main/sprites/cinderace.png", 2)</f>
        <v>0</v>
      </c>
      <c r="E816" s="4" t="s">
        <v>13</v>
      </c>
      <c r="F816" s="5"/>
    </row>
    <row r="817" spans="1:6" ht="72" customHeight="1">
      <c r="A817" s="1" t="s">
        <v>26</v>
      </c>
      <c r="B817" s="1">
        <v>816</v>
      </c>
      <c r="C817" s="1" t="s">
        <v>847</v>
      </c>
      <c r="D817">
        <f>IMAGE("https://raw.githubusercontent.com/stautonico/pokemon-home-pokedex/main/sprites/sobble.png", 2)</f>
        <v>0</v>
      </c>
      <c r="E817" s="4" t="s">
        <v>13</v>
      </c>
      <c r="F817" s="5"/>
    </row>
    <row r="818" spans="1:6" ht="72" customHeight="1">
      <c r="A818" s="1" t="s">
        <v>26</v>
      </c>
      <c r="B818" s="1">
        <v>817</v>
      </c>
      <c r="C818" s="1" t="s">
        <v>848</v>
      </c>
      <c r="D818">
        <f>IMAGE("https://raw.githubusercontent.com/stautonico/pokemon-home-pokedex/main/sprites/drizzile.png", 2)</f>
        <v>0</v>
      </c>
      <c r="E818" s="4" t="s">
        <v>13</v>
      </c>
      <c r="F818" s="5"/>
    </row>
    <row r="819" spans="1:6" ht="72" customHeight="1">
      <c r="A819" s="1" t="s">
        <v>26</v>
      </c>
      <c r="B819" s="1">
        <v>818</v>
      </c>
      <c r="C819" s="1" t="s">
        <v>849</v>
      </c>
      <c r="D819">
        <f>IMAGE("https://raw.githubusercontent.com/stautonico/pokemon-home-pokedex/main/sprites/inteleon.png", 2)</f>
        <v>0</v>
      </c>
      <c r="E819" s="4" t="s">
        <v>13</v>
      </c>
      <c r="F819" s="5"/>
    </row>
    <row r="820" spans="1:6" ht="72" customHeight="1">
      <c r="A820" s="1" t="s">
        <v>26</v>
      </c>
      <c r="B820" s="1">
        <v>819</v>
      </c>
      <c r="C820" s="1" t="s">
        <v>850</v>
      </c>
      <c r="D820">
        <f>IMAGE("https://raw.githubusercontent.com/stautonico/pokemon-home-pokedex/main/sprites/skwovet.png", 2)</f>
        <v>0</v>
      </c>
      <c r="E820" s="4" t="s">
        <v>13</v>
      </c>
      <c r="F820" s="5"/>
    </row>
    <row r="821" spans="1:6" ht="72" customHeight="1">
      <c r="A821" s="1" t="s">
        <v>26</v>
      </c>
      <c r="B821" s="1">
        <v>820</v>
      </c>
      <c r="C821" s="1" t="s">
        <v>851</v>
      </c>
      <c r="D821">
        <f>IMAGE("https://raw.githubusercontent.com/stautonico/pokemon-home-pokedex/main/sprites/greedent.png", 2)</f>
        <v>0</v>
      </c>
      <c r="E821" s="4" t="s">
        <v>13</v>
      </c>
      <c r="F821" s="5"/>
    </row>
    <row r="822" spans="1:6" ht="72" customHeight="1">
      <c r="A822" s="1" t="s">
        <v>26</v>
      </c>
      <c r="B822" s="1">
        <v>821</v>
      </c>
      <c r="C822" s="1" t="s">
        <v>852</v>
      </c>
      <c r="D822">
        <f>IMAGE("https://raw.githubusercontent.com/stautonico/pokemon-home-pokedex/main/sprites/rookidee.png", 2)</f>
        <v>0</v>
      </c>
      <c r="E822" s="4" t="s">
        <v>13</v>
      </c>
      <c r="F822" s="5"/>
    </row>
    <row r="823" spans="1:6" ht="72" customHeight="1">
      <c r="A823" s="1" t="s">
        <v>26</v>
      </c>
      <c r="B823" s="1">
        <v>822</v>
      </c>
      <c r="C823" s="1" t="s">
        <v>853</v>
      </c>
      <c r="D823">
        <f>IMAGE("https://raw.githubusercontent.com/stautonico/pokemon-home-pokedex/main/sprites/corvisquire.png", 2)</f>
        <v>0</v>
      </c>
      <c r="E823" s="4" t="s">
        <v>13</v>
      </c>
      <c r="F823" s="5"/>
    </row>
    <row r="824" spans="1:6" ht="72" customHeight="1">
      <c r="A824" s="1" t="s">
        <v>26</v>
      </c>
      <c r="B824" s="1">
        <v>823</v>
      </c>
      <c r="C824" s="1" t="s">
        <v>854</v>
      </c>
      <c r="D824">
        <f>IMAGE("https://raw.githubusercontent.com/stautonico/pokemon-home-pokedex/main/sprites/corviknight.png", 2)</f>
        <v>0</v>
      </c>
      <c r="E824" s="4" t="s">
        <v>13</v>
      </c>
      <c r="F824" s="5"/>
    </row>
    <row r="825" spans="1:6" ht="72" customHeight="1">
      <c r="A825" s="1" t="s">
        <v>26</v>
      </c>
      <c r="B825" s="1">
        <v>824</v>
      </c>
      <c r="C825" s="1" t="s">
        <v>855</v>
      </c>
      <c r="D825">
        <f>IMAGE("https://raw.githubusercontent.com/stautonico/pokemon-home-pokedex/main/sprites/blipbug.png", 2)</f>
        <v>0</v>
      </c>
      <c r="E825" s="4" t="s">
        <v>13</v>
      </c>
      <c r="F825" s="5"/>
    </row>
    <row r="826" spans="1:6" ht="72" customHeight="1">
      <c r="A826" s="1" t="s">
        <v>26</v>
      </c>
      <c r="B826" s="1">
        <v>825</v>
      </c>
      <c r="C826" s="1" t="s">
        <v>856</v>
      </c>
      <c r="D826">
        <f>IMAGE("https://raw.githubusercontent.com/stautonico/pokemon-home-pokedex/main/sprites/dottler.png", 2)</f>
        <v>0</v>
      </c>
      <c r="E826" s="4" t="s">
        <v>13</v>
      </c>
      <c r="F826" s="5"/>
    </row>
    <row r="827" spans="1:6" ht="72" customHeight="1">
      <c r="A827" s="1" t="s">
        <v>26</v>
      </c>
      <c r="B827" s="1">
        <v>826</v>
      </c>
      <c r="C827" s="1" t="s">
        <v>857</v>
      </c>
      <c r="D827">
        <f>IMAGE("https://raw.githubusercontent.com/stautonico/pokemon-home-pokedex/main/sprites/orbeetle.png", 2)</f>
        <v>0</v>
      </c>
      <c r="E827" s="4" t="s">
        <v>13</v>
      </c>
      <c r="F827" s="5"/>
    </row>
    <row r="828" spans="1:6" ht="72" customHeight="1">
      <c r="A828" s="1" t="s">
        <v>26</v>
      </c>
      <c r="B828" s="1">
        <v>827</v>
      </c>
      <c r="C828" s="1" t="s">
        <v>858</v>
      </c>
      <c r="D828">
        <f>IMAGE("https://raw.githubusercontent.com/stautonico/pokemon-home-pokedex/main/sprites/nickit.png", 2)</f>
        <v>0</v>
      </c>
      <c r="E828" s="4" t="s">
        <v>13</v>
      </c>
      <c r="F828" s="5"/>
    </row>
    <row r="829" spans="1:6" ht="72" customHeight="1">
      <c r="A829" s="1" t="s">
        <v>26</v>
      </c>
      <c r="B829" s="1">
        <v>828</v>
      </c>
      <c r="C829" s="1" t="s">
        <v>859</v>
      </c>
      <c r="D829">
        <f>IMAGE("https://raw.githubusercontent.com/stautonico/pokemon-home-pokedex/main/sprites/thievul.png", 2)</f>
        <v>0</v>
      </c>
      <c r="E829" s="4" t="s">
        <v>13</v>
      </c>
      <c r="F829" s="5"/>
    </row>
    <row r="830" spans="1:6" ht="72" customHeight="1">
      <c r="A830" s="1" t="s">
        <v>26</v>
      </c>
      <c r="B830" s="1">
        <v>829</v>
      </c>
      <c r="C830" s="1" t="s">
        <v>860</v>
      </c>
      <c r="D830">
        <f>IMAGE("https://raw.githubusercontent.com/stautonico/pokemon-home-pokedex/main/sprites/gossifleur.png", 2)</f>
        <v>0</v>
      </c>
      <c r="E830" s="4" t="s">
        <v>13</v>
      </c>
      <c r="F830" s="5"/>
    </row>
    <row r="831" spans="1:6" ht="72" customHeight="1">
      <c r="A831" s="1" t="s">
        <v>26</v>
      </c>
      <c r="B831" s="1">
        <v>830</v>
      </c>
      <c r="C831" s="1" t="s">
        <v>861</v>
      </c>
      <c r="D831">
        <f>IMAGE("https://raw.githubusercontent.com/stautonico/pokemon-home-pokedex/main/sprites/eldegoss.png", 2)</f>
        <v>0</v>
      </c>
      <c r="E831" s="4" t="s">
        <v>13</v>
      </c>
      <c r="F831" s="5"/>
    </row>
    <row r="832" spans="1:6" ht="72" customHeight="1">
      <c r="A832" s="1" t="s">
        <v>26</v>
      </c>
      <c r="B832" s="1">
        <v>831</v>
      </c>
      <c r="C832" s="1" t="s">
        <v>862</v>
      </c>
      <c r="D832">
        <f>IMAGE("https://raw.githubusercontent.com/stautonico/pokemon-home-pokedex/main/sprites/wooloo.png", 2)</f>
        <v>0</v>
      </c>
      <c r="E832" s="4" t="s">
        <v>13</v>
      </c>
      <c r="F832" s="5"/>
    </row>
    <row r="833" spans="1:6" ht="72" customHeight="1">
      <c r="A833" s="1" t="s">
        <v>26</v>
      </c>
      <c r="B833" s="1">
        <v>832</v>
      </c>
      <c r="C833" s="1" t="s">
        <v>863</v>
      </c>
      <c r="D833">
        <f>IMAGE("https://raw.githubusercontent.com/stautonico/pokemon-home-pokedex/main/sprites/dubwool.png", 2)</f>
        <v>0</v>
      </c>
      <c r="E833" s="4" t="s">
        <v>13</v>
      </c>
      <c r="F833" s="5"/>
    </row>
    <row r="834" spans="1:6" ht="72" customHeight="1">
      <c r="A834" s="1" t="s">
        <v>26</v>
      </c>
      <c r="B834" s="1">
        <v>833</v>
      </c>
      <c r="C834" s="1" t="s">
        <v>864</v>
      </c>
      <c r="D834">
        <f>IMAGE("https://raw.githubusercontent.com/stautonico/pokemon-home-pokedex/main/sprites/chewtle.png", 2)</f>
        <v>0</v>
      </c>
      <c r="E834" s="4" t="s">
        <v>13</v>
      </c>
      <c r="F834" s="5"/>
    </row>
    <row r="835" spans="1:6" ht="72" customHeight="1">
      <c r="A835" s="1" t="s">
        <v>26</v>
      </c>
      <c r="B835" s="1">
        <v>834</v>
      </c>
      <c r="C835" s="1" t="s">
        <v>865</v>
      </c>
      <c r="D835">
        <f>IMAGE("https://raw.githubusercontent.com/stautonico/pokemon-home-pokedex/main/sprites/drednaw.png", 2)</f>
        <v>0</v>
      </c>
      <c r="E835" s="4" t="s">
        <v>13</v>
      </c>
      <c r="F835" s="5"/>
    </row>
    <row r="836" spans="1:6" ht="72" customHeight="1">
      <c r="A836" s="1" t="s">
        <v>26</v>
      </c>
      <c r="B836" s="1">
        <v>835</v>
      </c>
      <c r="C836" s="1" t="s">
        <v>866</v>
      </c>
      <c r="D836">
        <f>IMAGE("https://raw.githubusercontent.com/stautonico/pokemon-home-pokedex/main/sprites/yamper.png", 2)</f>
        <v>0</v>
      </c>
      <c r="E836" s="4" t="s">
        <v>13</v>
      </c>
      <c r="F836" s="5"/>
    </row>
    <row r="837" spans="1:6" ht="72" customHeight="1">
      <c r="A837" s="1" t="s">
        <v>26</v>
      </c>
      <c r="B837" s="1">
        <v>836</v>
      </c>
      <c r="C837" s="1" t="s">
        <v>867</v>
      </c>
      <c r="D837">
        <f>IMAGE("https://raw.githubusercontent.com/stautonico/pokemon-home-pokedex/main/sprites/boltund.png", 2)</f>
        <v>0</v>
      </c>
      <c r="E837" s="4" t="s">
        <v>13</v>
      </c>
      <c r="F837" s="5"/>
    </row>
    <row r="838" spans="1:6" ht="72" customHeight="1">
      <c r="A838" s="1" t="s">
        <v>26</v>
      </c>
      <c r="B838" s="1">
        <v>837</v>
      </c>
      <c r="C838" s="1" t="s">
        <v>868</v>
      </c>
      <c r="D838">
        <f>IMAGE("https://raw.githubusercontent.com/stautonico/pokemon-home-pokedex/main/sprites/rolycoly.png", 2)</f>
        <v>0</v>
      </c>
      <c r="E838" s="4" t="s">
        <v>13</v>
      </c>
      <c r="F838" s="5"/>
    </row>
    <row r="839" spans="1:6" ht="72" customHeight="1">
      <c r="A839" s="1" t="s">
        <v>26</v>
      </c>
      <c r="B839" s="1">
        <v>838</v>
      </c>
      <c r="C839" s="1" t="s">
        <v>869</v>
      </c>
      <c r="D839">
        <f>IMAGE("https://raw.githubusercontent.com/stautonico/pokemon-home-pokedex/main/sprites/carkol.png", 2)</f>
        <v>0</v>
      </c>
      <c r="E839" s="4" t="s">
        <v>13</v>
      </c>
      <c r="F839" s="5"/>
    </row>
    <row r="840" spans="1:6" ht="72" customHeight="1">
      <c r="A840" s="1" t="s">
        <v>26</v>
      </c>
      <c r="B840" s="1">
        <v>839</v>
      </c>
      <c r="C840" s="1" t="s">
        <v>870</v>
      </c>
      <c r="D840">
        <f>IMAGE("https://raw.githubusercontent.com/stautonico/pokemon-home-pokedex/main/sprites/coalossal.png", 2)</f>
        <v>0</v>
      </c>
      <c r="E840" s="4" t="s">
        <v>13</v>
      </c>
      <c r="F840" s="5"/>
    </row>
    <row r="841" spans="1:6" ht="72" customHeight="1">
      <c r="A841" s="1" t="s">
        <v>26</v>
      </c>
      <c r="B841" s="1">
        <v>840</v>
      </c>
      <c r="C841" s="1" t="s">
        <v>871</v>
      </c>
      <c r="D841">
        <f>IMAGE("https://raw.githubusercontent.com/stautonico/pokemon-home-pokedex/main/sprites/applin.png", 2)</f>
        <v>0</v>
      </c>
      <c r="E841" s="4" t="s">
        <v>13</v>
      </c>
      <c r="F841" s="5"/>
    </row>
    <row r="842" spans="1:6" ht="72" customHeight="1">
      <c r="A842" s="1" t="s">
        <v>26</v>
      </c>
      <c r="B842" s="1">
        <v>841</v>
      </c>
      <c r="C842" s="1" t="s">
        <v>872</v>
      </c>
      <c r="D842">
        <f>IMAGE("https://raw.githubusercontent.com/stautonico/pokemon-home-pokedex/main/sprites/flapple.png", 2)</f>
        <v>0</v>
      </c>
      <c r="E842" s="29" t="s">
        <v>14</v>
      </c>
      <c r="F842" s="5"/>
    </row>
    <row r="843" spans="1:6" ht="72" customHeight="1">
      <c r="A843" s="1" t="s">
        <v>26</v>
      </c>
      <c r="B843" s="1">
        <v>842</v>
      </c>
      <c r="C843" s="1" t="s">
        <v>873</v>
      </c>
      <c r="D843">
        <f>IMAGE("https://raw.githubusercontent.com/stautonico/pokemon-home-pokedex/main/sprites/appletun.png", 2)</f>
        <v>0</v>
      </c>
      <c r="E843" s="27" t="s">
        <v>15</v>
      </c>
      <c r="F843" s="5"/>
    </row>
    <row r="844" spans="1:6" ht="72" customHeight="1">
      <c r="A844" s="1" t="s">
        <v>26</v>
      </c>
      <c r="B844" s="1">
        <v>843</v>
      </c>
      <c r="C844" s="1" t="s">
        <v>874</v>
      </c>
      <c r="D844">
        <f>IMAGE("https://raw.githubusercontent.com/stautonico/pokemon-home-pokedex/main/sprites/silicobra.png", 2)</f>
        <v>0</v>
      </c>
      <c r="E844" s="4" t="s">
        <v>13</v>
      </c>
      <c r="F844" s="5"/>
    </row>
    <row r="845" spans="1:6" ht="72" customHeight="1">
      <c r="A845" s="1" t="s">
        <v>26</v>
      </c>
      <c r="B845" s="1">
        <v>844</v>
      </c>
      <c r="C845" s="1" t="s">
        <v>875</v>
      </c>
      <c r="D845">
        <f>IMAGE("https://raw.githubusercontent.com/stautonico/pokemon-home-pokedex/main/sprites/sandaconda.png", 2)</f>
        <v>0</v>
      </c>
      <c r="E845" s="4" t="s">
        <v>13</v>
      </c>
      <c r="F845" s="5"/>
    </row>
    <row r="846" spans="1:6" ht="72" customHeight="1">
      <c r="A846" s="1" t="s">
        <v>26</v>
      </c>
      <c r="B846" s="1">
        <v>845</v>
      </c>
      <c r="C846" s="1" t="s">
        <v>876</v>
      </c>
      <c r="D846">
        <f>IMAGE("https://raw.githubusercontent.com/stautonico/pokemon-home-pokedex/main/sprites/cramorant.png", 2)</f>
        <v>0</v>
      </c>
      <c r="E846" s="4" t="s">
        <v>13</v>
      </c>
      <c r="F846" s="5"/>
    </row>
    <row r="847" spans="1:6" ht="72" customHeight="1">
      <c r="A847" s="1" t="s">
        <v>26</v>
      </c>
      <c r="B847" s="1">
        <v>846</v>
      </c>
      <c r="C847" s="1" t="s">
        <v>877</v>
      </c>
      <c r="D847">
        <f>IMAGE("https://raw.githubusercontent.com/stautonico/pokemon-home-pokedex/main/sprites/arrokuda.png", 2)</f>
        <v>0</v>
      </c>
      <c r="E847" s="4" t="s">
        <v>13</v>
      </c>
      <c r="F847" s="5"/>
    </row>
    <row r="848" spans="1:6" ht="72" customHeight="1">
      <c r="A848" s="1" t="s">
        <v>26</v>
      </c>
      <c r="B848" s="1">
        <v>847</v>
      </c>
      <c r="C848" s="1" t="s">
        <v>878</v>
      </c>
      <c r="D848">
        <f>IMAGE("https://raw.githubusercontent.com/stautonico/pokemon-home-pokedex/main/sprites/barraskewda.png", 2)</f>
        <v>0</v>
      </c>
      <c r="E848" s="4" t="s">
        <v>13</v>
      </c>
      <c r="F848" s="5"/>
    </row>
    <row r="849" spans="1:6" ht="72" customHeight="1">
      <c r="A849" s="1" t="s">
        <v>26</v>
      </c>
      <c r="B849" s="1">
        <v>848</v>
      </c>
      <c r="C849" s="1" t="s">
        <v>879</v>
      </c>
      <c r="D849">
        <f>IMAGE("https://raw.githubusercontent.com/stautonico/pokemon-home-pokedex/main/sprites/toxel.png", 2)</f>
        <v>0</v>
      </c>
      <c r="E849" s="4" t="s">
        <v>13</v>
      </c>
      <c r="F849" s="5"/>
    </row>
    <row r="850" spans="1:6" ht="72" customHeight="1">
      <c r="A850" s="1" t="s">
        <v>26</v>
      </c>
      <c r="B850" s="1">
        <v>849</v>
      </c>
      <c r="C850" s="1" t="s">
        <v>880</v>
      </c>
      <c r="D850">
        <f>IMAGE("https://raw.githubusercontent.com/stautonico/pokemon-home-pokedex/main/sprites/toxtricity-amped.png", 2)</f>
        <v>0</v>
      </c>
      <c r="E850" s="4" t="s">
        <v>13</v>
      </c>
      <c r="F850" s="5"/>
    </row>
    <row r="851" spans="1:6" ht="72" customHeight="1">
      <c r="A851" s="1" t="s">
        <v>26</v>
      </c>
      <c r="B851" s="1">
        <v>850</v>
      </c>
      <c r="C851" s="1" t="s">
        <v>881</v>
      </c>
      <c r="D851">
        <f>IMAGE("https://raw.githubusercontent.com/stautonico/pokemon-home-pokedex/main/sprites/sizzlipede.png", 2)</f>
        <v>0</v>
      </c>
      <c r="E851" s="4" t="s">
        <v>13</v>
      </c>
      <c r="F851" s="5"/>
    </row>
    <row r="852" spans="1:6" ht="72" customHeight="1">
      <c r="A852" s="1" t="s">
        <v>26</v>
      </c>
      <c r="B852" s="1">
        <v>851</v>
      </c>
      <c r="C852" s="1" t="s">
        <v>882</v>
      </c>
      <c r="D852">
        <f>IMAGE("https://raw.githubusercontent.com/stautonico/pokemon-home-pokedex/main/sprites/centiskorch.png", 2)</f>
        <v>0</v>
      </c>
      <c r="E852" s="4" t="s">
        <v>13</v>
      </c>
      <c r="F852" s="5"/>
    </row>
    <row r="853" spans="1:6" ht="72" customHeight="1">
      <c r="A853" s="1" t="s">
        <v>26</v>
      </c>
      <c r="B853" s="1">
        <v>852</v>
      </c>
      <c r="C853" s="1" t="s">
        <v>883</v>
      </c>
      <c r="D853">
        <f>IMAGE("https://raw.githubusercontent.com/stautonico/pokemon-home-pokedex/main/sprites/clobbopus.png", 2)</f>
        <v>0</v>
      </c>
      <c r="E853" s="4" t="s">
        <v>13</v>
      </c>
      <c r="F853" s="5"/>
    </row>
    <row r="854" spans="1:6" ht="72" customHeight="1">
      <c r="A854" s="1" t="s">
        <v>26</v>
      </c>
      <c r="B854" s="1">
        <v>853</v>
      </c>
      <c r="C854" s="1" t="s">
        <v>884</v>
      </c>
      <c r="D854">
        <f>IMAGE("https://raw.githubusercontent.com/stautonico/pokemon-home-pokedex/main/sprites/grapploct.png", 2)</f>
        <v>0</v>
      </c>
      <c r="E854" s="4" t="s">
        <v>13</v>
      </c>
      <c r="F854" s="5"/>
    </row>
    <row r="855" spans="1:6" ht="72" customHeight="1">
      <c r="A855" s="1" t="s">
        <v>26</v>
      </c>
      <c r="B855" s="1">
        <v>854</v>
      </c>
      <c r="C855" s="1" t="s">
        <v>885</v>
      </c>
      <c r="D855">
        <f>IMAGE("https://raw.githubusercontent.com/stautonico/pokemon-home-pokedex/main/sprites/sinistea.png", 2)</f>
        <v>0</v>
      </c>
      <c r="E855" s="4" t="s">
        <v>13</v>
      </c>
      <c r="F855" s="5"/>
    </row>
    <row r="856" spans="1:6" ht="72" customHeight="1">
      <c r="A856" s="1" t="s">
        <v>26</v>
      </c>
      <c r="B856" s="1">
        <v>855</v>
      </c>
      <c r="C856" s="1" t="s">
        <v>886</v>
      </c>
      <c r="D856">
        <f>IMAGE("https://raw.githubusercontent.com/stautonico/pokemon-home-pokedex/main/sprites/polteageist.png", 2)</f>
        <v>0</v>
      </c>
      <c r="E856" s="4" t="s">
        <v>13</v>
      </c>
      <c r="F856" s="5"/>
    </row>
    <row r="857" spans="1:6" ht="72" customHeight="1">
      <c r="A857" s="1" t="s">
        <v>26</v>
      </c>
      <c r="B857" s="1">
        <v>856</v>
      </c>
      <c r="C857" s="1" t="s">
        <v>887</v>
      </c>
      <c r="D857">
        <f>IMAGE("https://raw.githubusercontent.com/stautonico/pokemon-home-pokedex/main/sprites/hatenna.png", 2)</f>
        <v>0</v>
      </c>
      <c r="E857" s="4" t="s">
        <v>13</v>
      </c>
      <c r="F857" s="5"/>
    </row>
    <row r="858" spans="1:6" ht="72" customHeight="1">
      <c r="A858" s="1" t="s">
        <v>26</v>
      </c>
      <c r="B858" s="1">
        <v>857</v>
      </c>
      <c r="C858" s="1" t="s">
        <v>888</v>
      </c>
      <c r="D858">
        <f>IMAGE("https://raw.githubusercontent.com/stautonico/pokemon-home-pokedex/main/sprites/hattrem.png", 2)</f>
        <v>0</v>
      </c>
      <c r="E858" s="4" t="s">
        <v>13</v>
      </c>
      <c r="F858" s="5"/>
    </row>
    <row r="859" spans="1:6" ht="72" customHeight="1">
      <c r="A859" s="1" t="s">
        <v>26</v>
      </c>
      <c r="B859" s="1">
        <v>858</v>
      </c>
      <c r="C859" s="1" t="s">
        <v>889</v>
      </c>
      <c r="D859">
        <f>IMAGE("https://raw.githubusercontent.com/stautonico/pokemon-home-pokedex/main/sprites/hatterene.png", 2)</f>
        <v>0</v>
      </c>
      <c r="E859" s="4" t="s">
        <v>13</v>
      </c>
      <c r="F859" s="5"/>
    </row>
    <row r="860" spans="1:6" ht="72" customHeight="1">
      <c r="A860" s="1" t="s">
        <v>26</v>
      </c>
      <c r="B860" s="1">
        <v>859</v>
      </c>
      <c r="C860" s="1" t="s">
        <v>890</v>
      </c>
      <c r="D860">
        <f>IMAGE("https://raw.githubusercontent.com/stautonico/pokemon-home-pokedex/main/sprites/impidimp.png", 2)</f>
        <v>0</v>
      </c>
      <c r="E860" s="4" t="s">
        <v>13</v>
      </c>
      <c r="F860" s="5"/>
    </row>
    <row r="861" spans="1:6" ht="72" customHeight="1">
      <c r="A861" s="1" t="s">
        <v>26</v>
      </c>
      <c r="B861" s="1">
        <v>860</v>
      </c>
      <c r="C861" s="1" t="s">
        <v>891</v>
      </c>
      <c r="D861">
        <f>IMAGE("https://raw.githubusercontent.com/stautonico/pokemon-home-pokedex/main/sprites/morgrem.png", 2)</f>
        <v>0</v>
      </c>
      <c r="E861" s="4" t="s">
        <v>13</v>
      </c>
      <c r="F861" s="5"/>
    </row>
    <row r="862" spans="1:6" ht="72" customHeight="1">
      <c r="A862" s="1" t="s">
        <v>26</v>
      </c>
      <c r="B862" s="1">
        <v>861</v>
      </c>
      <c r="C862" s="1" t="s">
        <v>892</v>
      </c>
      <c r="D862">
        <f>IMAGE("https://raw.githubusercontent.com/stautonico/pokemon-home-pokedex/main/sprites/grimmsnarl.png", 2)</f>
        <v>0</v>
      </c>
      <c r="E862" s="4" t="s">
        <v>13</v>
      </c>
      <c r="F862" s="5"/>
    </row>
    <row r="863" spans="1:6" ht="72" customHeight="1">
      <c r="A863" s="1" t="s">
        <v>26</v>
      </c>
      <c r="B863" s="1">
        <v>862</v>
      </c>
      <c r="C863" s="1" t="s">
        <v>893</v>
      </c>
      <c r="D863">
        <f>IMAGE("https://raw.githubusercontent.com/stautonico/pokemon-home-pokedex/main/sprites/obstagoon.png", 2)</f>
        <v>0</v>
      </c>
      <c r="E863" s="4" t="s">
        <v>13</v>
      </c>
      <c r="F863" s="5"/>
    </row>
    <row r="864" spans="1:6" ht="72" customHeight="1">
      <c r="A864" s="1" t="s">
        <v>26</v>
      </c>
      <c r="B864" s="1">
        <v>863</v>
      </c>
      <c r="C864" s="1" t="s">
        <v>894</v>
      </c>
      <c r="D864">
        <f>IMAGE("https://raw.githubusercontent.com/stautonico/pokemon-home-pokedex/main/sprites/perrserker.png", 2)</f>
        <v>0</v>
      </c>
      <c r="E864" s="4" t="s">
        <v>13</v>
      </c>
      <c r="F864" s="5"/>
    </row>
    <row r="865" spans="1:6" ht="72" customHeight="1">
      <c r="A865" s="1" t="s">
        <v>26</v>
      </c>
      <c r="B865" s="1">
        <v>864</v>
      </c>
      <c r="C865" s="1" t="s">
        <v>895</v>
      </c>
      <c r="D865">
        <f>IMAGE("https://raw.githubusercontent.com/stautonico/pokemon-home-pokedex/main/sprites/cursola.png", 2)</f>
        <v>0</v>
      </c>
      <c r="E865" s="27" t="s">
        <v>15</v>
      </c>
      <c r="F865" s="5"/>
    </row>
    <row r="866" spans="1:6" ht="72" customHeight="1">
      <c r="A866" s="1" t="s">
        <v>26</v>
      </c>
      <c r="B866" s="1">
        <v>865</v>
      </c>
      <c r="C866" s="1" t="s">
        <v>896</v>
      </c>
      <c r="D866">
        <f>IMAGE("https://raw.githubusercontent.com/stautonico/pokemon-home-pokedex/main/sprites/sirfetchd.png", 2)</f>
        <v>0</v>
      </c>
      <c r="E866" s="29" t="s">
        <v>14</v>
      </c>
      <c r="F866" s="5"/>
    </row>
    <row r="867" spans="1:6" ht="72" customHeight="1">
      <c r="A867" s="1" t="s">
        <v>26</v>
      </c>
      <c r="B867" s="1">
        <v>866</v>
      </c>
      <c r="C867" s="1" t="s">
        <v>897</v>
      </c>
      <c r="D867">
        <f>IMAGE("https://raw.githubusercontent.com/stautonico/pokemon-home-pokedex/main/sprites/mrrime.png", 2)</f>
        <v>0</v>
      </c>
      <c r="E867" s="4" t="s">
        <v>13</v>
      </c>
      <c r="F867" s="5"/>
    </row>
    <row r="868" spans="1:6" ht="72" customHeight="1">
      <c r="A868" s="1" t="s">
        <v>26</v>
      </c>
      <c r="B868" s="1">
        <v>867</v>
      </c>
      <c r="C868" s="1" t="s">
        <v>898</v>
      </c>
      <c r="D868">
        <f>IMAGE("https://raw.githubusercontent.com/stautonico/pokemon-home-pokedex/main/sprites/runerigus.png", 2)</f>
        <v>0</v>
      </c>
      <c r="E868" s="4" t="s">
        <v>13</v>
      </c>
      <c r="F868" s="5"/>
    </row>
    <row r="869" spans="1:6" ht="72" customHeight="1">
      <c r="A869" s="1" t="s">
        <v>26</v>
      </c>
      <c r="B869" s="1">
        <v>868</v>
      </c>
      <c r="C869" s="1" t="s">
        <v>899</v>
      </c>
      <c r="D869">
        <f>IMAGE("https://raw.githubusercontent.com/stautonico/pokemon-home-pokedex/main/sprites/milcery.png", 2)</f>
        <v>0</v>
      </c>
      <c r="E869" s="4" t="s">
        <v>13</v>
      </c>
      <c r="F869" s="5"/>
    </row>
    <row r="870" spans="1:6" ht="72" customHeight="1">
      <c r="A870" s="1" t="s">
        <v>26</v>
      </c>
      <c r="B870" s="1">
        <v>869</v>
      </c>
      <c r="C870" s="1" t="s">
        <v>900</v>
      </c>
      <c r="D870">
        <f>IMAGE("https://raw.githubusercontent.com/stautonico/pokemon-home-pokedex/main/sprites/alcremie.png", 2)</f>
        <v>0</v>
      </c>
      <c r="E870" s="4" t="s">
        <v>13</v>
      </c>
      <c r="F870" s="5"/>
    </row>
    <row r="871" spans="1:6" ht="72" customHeight="1">
      <c r="A871" s="1" t="s">
        <v>26</v>
      </c>
      <c r="B871" s="1">
        <v>870</v>
      </c>
      <c r="C871" s="1" t="s">
        <v>901</v>
      </c>
      <c r="D871">
        <f>IMAGE("https://raw.githubusercontent.com/stautonico/pokemon-home-pokedex/main/sprites/falinks.png", 2)</f>
        <v>0</v>
      </c>
      <c r="E871" s="4" t="s">
        <v>13</v>
      </c>
      <c r="F871" s="5"/>
    </row>
    <row r="872" spans="1:6" ht="72" customHeight="1">
      <c r="A872" s="1" t="s">
        <v>26</v>
      </c>
      <c r="B872" s="1">
        <v>871</v>
      </c>
      <c r="C872" s="1" t="s">
        <v>902</v>
      </c>
      <c r="D872">
        <f>IMAGE("https://raw.githubusercontent.com/stautonico/pokemon-home-pokedex/main/sprites/pincurchin.png", 2)</f>
        <v>0</v>
      </c>
      <c r="E872" s="4" t="s">
        <v>13</v>
      </c>
      <c r="F872" s="5"/>
    </row>
    <row r="873" spans="1:6" ht="72" customHeight="1">
      <c r="A873" s="1" t="s">
        <v>26</v>
      </c>
      <c r="B873" s="1">
        <v>872</v>
      </c>
      <c r="C873" s="1" t="s">
        <v>903</v>
      </c>
      <c r="D873">
        <f>IMAGE("https://raw.githubusercontent.com/stautonico/pokemon-home-pokedex/main/sprites/snom.png", 2)</f>
        <v>0</v>
      </c>
      <c r="E873" s="4" t="s">
        <v>13</v>
      </c>
      <c r="F873" s="5"/>
    </row>
    <row r="874" spans="1:6" ht="72" customHeight="1">
      <c r="A874" s="1" t="s">
        <v>26</v>
      </c>
      <c r="B874" s="1">
        <v>873</v>
      </c>
      <c r="C874" s="1" t="s">
        <v>904</v>
      </c>
      <c r="D874">
        <f>IMAGE("https://raw.githubusercontent.com/stautonico/pokemon-home-pokedex/main/sprites/frosmoth.png", 2)</f>
        <v>0</v>
      </c>
      <c r="E874" s="4" t="s">
        <v>13</v>
      </c>
      <c r="F874" s="5"/>
    </row>
    <row r="875" spans="1:6" ht="72" customHeight="1">
      <c r="A875" s="1" t="s">
        <v>26</v>
      </c>
      <c r="B875" s="1">
        <v>874</v>
      </c>
      <c r="C875" s="1" t="s">
        <v>905</v>
      </c>
      <c r="D875">
        <f>IMAGE("https://raw.githubusercontent.com/stautonico/pokemon-home-pokedex/main/sprites/stonjourner.png", 2)</f>
        <v>0</v>
      </c>
      <c r="E875" s="29" t="s">
        <v>14</v>
      </c>
      <c r="F875" s="5"/>
    </row>
    <row r="876" spans="1:6" ht="72" customHeight="1">
      <c r="A876" s="1" t="s">
        <v>26</v>
      </c>
      <c r="B876" s="1">
        <v>875</v>
      </c>
      <c r="C876" s="1" t="s">
        <v>906</v>
      </c>
      <c r="D876">
        <f>IMAGE("https://raw.githubusercontent.com/stautonico/pokemon-home-pokedex/main/sprites/eiscue-ice.png", 2)</f>
        <v>0</v>
      </c>
      <c r="E876" s="27" t="s">
        <v>15</v>
      </c>
      <c r="F876" s="5"/>
    </row>
    <row r="877" spans="1:6" ht="72" customHeight="1">
      <c r="A877" s="1" t="s">
        <v>26</v>
      </c>
      <c r="B877" s="1">
        <v>876</v>
      </c>
      <c r="C877" s="1" t="s">
        <v>907</v>
      </c>
      <c r="D877">
        <f>IMAGE("https://raw.githubusercontent.com/stautonico/pokemon-home-pokedex/main/sprites/indeedee-male.png", 2)</f>
        <v>0</v>
      </c>
      <c r="E877" s="4" t="s">
        <v>13</v>
      </c>
      <c r="F877" s="5"/>
    </row>
    <row r="878" spans="1:6" ht="72" customHeight="1">
      <c r="A878" s="1" t="s">
        <v>26</v>
      </c>
      <c r="B878" s="1">
        <v>877</v>
      </c>
      <c r="C878" s="1" t="s">
        <v>908</v>
      </c>
      <c r="D878">
        <f>IMAGE("https://raw.githubusercontent.com/stautonico/pokemon-home-pokedex/main/sprites/morpeko-full-belly.png", 2)</f>
        <v>0</v>
      </c>
      <c r="E878" s="4" t="s">
        <v>13</v>
      </c>
      <c r="F878" s="5"/>
    </row>
    <row r="879" spans="1:6" ht="72" customHeight="1">
      <c r="A879" s="1" t="s">
        <v>26</v>
      </c>
      <c r="B879" s="1">
        <v>878</v>
      </c>
      <c r="C879" s="1" t="s">
        <v>909</v>
      </c>
      <c r="D879">
        <f>IMAGE("https://raw.githubusercontent.com/stautonico/pokemon-home-pokedex/main/sprites/cufant.png", 2)</f>
        <v>0</v>
      </c>
      <c r="E879" s="4" t="s">
        <v>13</v>
      </c>
      <c r="F879" s="5"/>
    </row>
    <row r="880" spans="1:6" ht="72" customHeight="1">
      <c r="A880" s="1" t="s">
        <v>26</v>
      </c>
      <c r="B880" s="1">
        <v>879</v>
      </c>
      <c r="C880" s="1" t="s">
        <v>910</v>
      </c>
      <c r="D880">
        <f>IMAGE("https://raw.githubusercontent.com/stautonico/pokemon-home-pokedex/main/sprites/copperajah.png", 2)</f>
        <v>0</v>
      </c>
      <c r="E880" s="4" t="s">
        <v>13</v>
      </c>
      <c r="F880" s="5"/>
    </row>
    <row r="881" spans="1:6" ht="72" customHeight="1">
      <c r="A881" s="1" t="s">
        <v>26</v>
      </c>
      <c r="B881" s="1">
        <v>880</v>
      </c>
      <c r="C881" s="1" t="s">
        <v>911</v>
      </c>
      <c r="D881">
        <f>IMAGE("https://raw.githubusercontent.com/stautonico/pokemon-home-pokedex/main/sprites/dracozolt.png", 2)</f>
        <v>0</v>
      </c>
      <c r="E881" s="4" t="s">
        <v>13</v>
      </c>
      <c r="F881" s="5"/>
    </row>
    <row r="882" spans="1:6" ht="72" customHeight="1">
      <c r="A882" s="1" t="s">
        <v>26</v>
      </c>
      <c r="B882" s="1">
        <v>881</v>
      </c>
      <c r="C882" s="1" t="s">
        <v>912</v>
      </c>
      <c r="D882">
        <f>IMAGE("https://raw.githubusercontent.com/stautonico/pokemon-home-pokedex/main/sprites/arctozolt.png", 2)</f>
        <v>0</v>
      </c>
      <c r="E882" s="4" t="s">
        <v>13</v>
      </c>
      <c r="F882" s="5"/>
    </row>
    <row r="883" spans="1:6" ht="72" customHeight="1">
      <c r="A883" s="1" t="s">
        <v>26</v>
      </c>
      <c r="B883" s="1">
        <v>882</v>
      </c>
      <c r="C883" s="1" t="s">
        <v>913</v>
      </c>
      <c r="D883">
        <f>IMAGE("https://raw.githubusercontent.com/stautonico/pokemon-home-pokedex/main/sprites/dracovish.png", 2)</f>
        <v>0</v>
      </c>
      <c r="E883" s="4" t="s">
        <v>13</v>
      </c>
      <c r="F883" s="5"/>
    </row>
    <row r="884" spans="1:6" ht="72" customHeight="1">
      <c r="A884" s="1" t="s">
        <v>26</v>
      </c>
      <c r="B884" s="1">
        <v>883</v>
      </c>
      <c r="C884" s="1" t="s">
        <v>914</v>
      </c>
      <c r="D884">
        <f>IMAGE("https://raw.githubusercontent.com/stautonico/pokemon-home-pokedex/main/sprites/arctovish.png", 2)</f>
        <v>0</v>
      </c>
      <c r="E884" s="4" t="s">
        <v>13</v>
      </c>
      <c r="F884" s="5"/>
    </row>
    <row r="885" spans="1:6" ht="72" customHeight="1">
      <c r="A885" s="1" t="s">
        <v>26</v>
      </c>
      <c r="B885" s="1">
        <v>884</v>
      </c>
      <c r="C885" s="1" t="s">
        <v>915</v>
      </c>
      <c r="D885">
        <f>IMAGE("https://raw.githubusercontent.com/stautonico/pokemon-home-pokedex/main/sprites/duraludon.png", 2)</f>
        <v>0</v>
      </c>
      <c r="E885" s="4" t="s">
        <v>13</v>
      </c>
      <c r="F885" s="5"/>
    </row>
    <row r="886" spans="1:6" ht="72" customHeight="1">
      <c r="A886" s="1" t="s">
        <v>26</v>
      </c>
      <c r="B886" s="1">
        <v>885</v>
      </c>
      <c r="C886" s="1" t="s">
        <v>916</v>
      </c>
      <c r="D886">
        <f>IMAGE("https://raw.githubusercontent.com/stautonico/pokemon-home-pokedex/main/sprites/dreepy.png", 2)</f>
        <v>0</v>
      </c>
      <c r="E886" s="4" t="s">
        <v>13</v>
      </c>
      <c r="F886" s="5"/>
    </row>
    <row r="887" spans="1:6" ht="72" customHeight="1">
      <c r="A887" s="1" t="s">
        <v>26</v>
      </c>
      <c r="B887" s="1">
        <v>886</v>
      </c>
      <c r="C887" s="1" t="s">
        <v>917</v>
      </c>
      <c r="D887">
        <f>IMAGE("https://raw.githubusercontent.com/stautonico/pokemon-home-pokedex/main/sprites/drakloak.png", 2)</f>
        <v>0</v>
      </c>
      <c r="E887" s="4" t="s">
        <v>13</v>
      </c>
      <c r="F887" s="5"/>
    </row>
    <row r="888" spans="1:6" ht="72" customHeight="1">
      <c r="A888" s="1" t="s">
        <v>26</v>
      </c>
      <c r="B888" s="1">
        <v>887</v>
      </c>
      <c r="C888" s="1" t="s">
        <v>918</v>
      </c>
      <c r="D888">
        <f>IMAGE("https://raw.githubusercontent.com/stautonico/pokemon-home-pokedex/main/sprites/dragapult.png", 2)</f>
        <v>0</v>
      </c>
      <c r="E888" s="4" t="s">
        <v>13</v>
      </c>
      <c r="F888" s="5"/>
    </row>
    <row r="889" spans="1:6" ht="72" customHeight="1">
      <c r="A889" s="1" t="s">
        <v>26</v>
      </c>
      <c r="B889" s="1">
        <v>888</v>
      </c>
      <c r="C889" s="1" t="s">
        <v>919</v>
      </c>
      <c r="D889">
        <f>IMAGE("https://raw.githubusercontent.com/stautonico/pokemon-home-pokedex/main/sprites/zacian.png", 2)</f>
        <v>0</v>
      </c>
      <c r="E889" s="29" t="s">
        <v>14</v>
      </c>
      <c r="F889" s="5"/>
    </row>
    <row r="890" spans="1:6" ht="72" customHeight="1">
      <c r="A890" s="1" t="s">
        <v>26</v>
      </c>
      <c r="B890" s="1">
        <v>889</v>
      </c>
      <c r="C890" s="1" t="s">
        <v>920</v>
      </c>
      <c r="D890">
        <f>IMAGE("https://raw.githubusercontent.com/stautonico/pokemon-home-pokedex/main/sprites/zamazenta.png", 2)</f>
        <v>0</v>
      </c>
      <c r="E890" s="27" t="s">
        <v>15</v>
      </c>
      <c r="F890" s="5"/>
    </row>
    <row r="891" spans="1:6" ht="72" customHeight="1">
      <c r="A891" s="1" t="s">
        <v>26</v>
      </c>
      <c r="B891" s="1">
        <v>890</v>
      </c>
      <c r="C891" s="1" t="s">
        <v>921</v>
      </c>
      <c r="D891">
        <f>IMAGE("https://raw.githubusercontent.com/stautonico/pokemon-home-pokedex/main/sprites/eternatus.png", 2)</f>
        <v>0</v>
      </c>
      <c r="E891" s="4" t="s">
        <v>13</v>
      </c>
      <c r="F891" s="5"/>
    </row>
    <row r="892" spans="1:6" ht="72" customHeight="1">
      <c r="A892" s="1" t="s">
        <v>26</v>
      </c>
      <c r="B892" s="1">
        <v>891</v>
      </c>
      <c r="C892" s="1" t="s">
        <v>922</v>
      </c>
      <c r="D892">
        <f>IMAGE("https://raw.githubusercontent.com/stautonico/pokemon-home-pokedex/main/sprites/kubfu.png", 2)</f>
        <v>0</v>
      </c>
      <c r="E892" s="5" t="s">
        <v>805</v>
      </c>
      <c r="F892" s="5" t="s">
        <v>805</v>
      </c>
    </row>
    <row r="893" spans="1:6" ht="72" customHeight="1">
      <c r="A893" s="1" t="s">
        <v>26</v>
      </c>
      <c r="B893" s="1">
        <v>892</v>
      </c>
      <c r="C893" s="1" t="s">
        <v>923</v>
      </c>
      <c r="D893">
        <f>IMAGE("https://raw.githubusercontent.com/stautonico/pokemon-home-pokedex/main/sprites/urshifu-single-strike.png", 2)</f>
        <v>0</v>
      </c>
      <c r="E893" s="5" t="s">
        <v>805</v>
      </c>
      <c r="F893" s="5" t="s">
        <v>805</v>
      </c>
    </row>
    <row r="894" spans="1:6" ht="72" customHeight="1">
      <c r="A894" s="1" t="s">
        <v>26</v>
      </c>
      <c r="B894" s="1">
        <v>893</v>
      </c>
      <c r="C894" s="1" t="s">
        <v>924</v>
      </c>
      <c r="D894">
        <f>IMAGE("https://raw.githubusercontent.com/stautonico/pokemon-home-pokedex/main/sprites/zarude.png", 2)</f>
        <v>0</v>
      </c>
      <c r="E894" s="5" t="s">
        <v>805</v>
      </c>
      <c r="F894" s="5" t="s">
        <v>805</v>
      </c>
    </row>
    <row r="895" spans="1:6" ht="72" customHeight="1">
      <c r="A895" s="1" t="s">
        <v>26</v>
      </c>
      <c r="B895" s="1">
        <v>894</v>
      </c>
      <c r="C895" s="1" t="s">
        <v>925</v>
      </c>
      <c r="D895">
        <f>IMAGE("https://raw.githubusercontent.com/stautonico/pokemon-home-pokedex/main/sprites/regieleki.png", 2)</f>
        <v>0</v>
      </c>
      <c r="E895" s="5" t="s">
        <v>805</v>
      </c>
      <c r="F895" s="5" t="s">
        <v>805</v>
      </c>
    </row>
    <row r="896" spans="1:6" ht="72" customHeight="1">
      <c r="A896" s="1" t="s">
        <v>26</v>
      </c>
      <c r="B896" s="1">
        <v>895</v>
      </c>
      <c r="C896" s="1" t="s">
        <v>926</v>
      </c>
      <c r="D896">
        <f>IMAGE("https://raw.githubusercontent.com/stautonico/pokemon-home-pokedex/main/sprites/regidrago.png", 2)</f>
        <v>0</v>
      </c>
      <c r="E896" s="5" t="s">
        <v>805</v>
      </c>
      <c r="F896" s="5" t="s">
        <v>805</v>
      </c>
    </row>
    <row r="897" spans="1:6" ht="72" customHeight="1">
      <c r="A897" s="1" t="s">
        <v>26</v>
      </c>
      <c r="B897" s="1">
        <v>896</v>
      </c>
      <c r="C897" s="1" t="s">
        <v>927</v>
      </c>
      <c r="D897">
        <f>IMAGE("https://raw.githubusercontent.com/stautonico/pokemon-home-pokedex/main/sprites/glastrier.png", 2)</f>
        <v>0</v>
      </c>
      <c r="E897" s="5" t="s">
        <v>805</v>
      </c>
      <c r="F897" s="5" t="s">
        <v>805</v>
      </c>
    </row>
    <row r="898" spans="1:6" ht="72" customHeight="1">
      <c r="A898" s="1" t="s">
        <v>26</v>
      </c>
      <c r="B898" s="1">
        <v>897</v>
      </c>
      <c r="C898" s="1" t="s">
        <v>928</v>
      </c>
      <c r="D898">
        <f>IMAGE("https://raw.githubusercontent.com/stautonico/pokemon-home-pokedex/main/sprites/spectrier.png", 2)</f>
        <v>0</v>
      </c>
      <c r="E898" s="5" t="s">
        <v>805</v>
      </c>
      <c r="F898" s="5" t="s">
        <v>805</v>
      </c>
    </row>
    <row r="899" spans="1:6" ht="72" customHeight="1">
      <c r="A899" s="1" t="s">
        <v>26</v>
      </c>
      <c r="B899" s="1">
        <v>898</v>
      </c>
      <c r="C899" s="1" t="s">
        <v>929</v>
      </c>
      <c r="D899">
        <f>IMAGE("https://raw.githubusercontent.com/stautonico/pokemon-home-pokedex/main/sprites/calyrex.png", 2)</f>
        <v>0</v>
      </c>
      <c r="E899" s="5" t="s">
        <v>805</v>
      </c>
      <c r="F899" s="5" t="s">
        <v>805</v>
      </c>
    </row>
    <row r="900" spans="1:6" ht="72" customHeight="1">
      <c r="A900" s="1" t="s">
        <v>26</v>
      </c>
      <c r="B900" s="1">
        <v>899</v>
      </c>
      <c r="C900" s="1" t="s">
        <v>930</v>
      </c>
      <c r="D900">
        <f>IMAGE("https://raw.githubusercontent.com/stautonico/pokemon-home-pokedex/main/sprites/wyrdeer.png", 2)</f>
        <v>0</v>
      </c>
      <c r="E900" s="5" t="s">
        <v>805</v>
      </c>
      <c r="F900" s="5" t="s">
        <v>805</v>
      </c>
    </row>
    <row r="901" spans="1:6" ht="72" customHeight="1">
      <c r="A901" s="1" t="s">
        <v>26</v>
      </c>
      <c r="B901" s="1">
        <v>900</v>
      </c>
      <c r="C901" s="1" t="s">
        <v>931</v>
      </c>
      <c r="D901">
        <f>IMAGE("https://raw.githubusercontent.com/stautonico/pokemon-home-pokedex/main/sprites/kleavor.png", 2)</f>
        <v>0</v>
      </c>
      <c r="E901" s="5" t="s">
        <v>805</v>
      </c>
      <c r="F901" s="5" t="s">
        <v>805</v>
      </c>
    </row>
    <row r="902" spans="1:6" ht="72" customHeight="1">
      <c r="A902" s="1" t="s">
        <v>26</v>
      </c>
      <c r="B902" s="1">
        <v>901</v>
      </c>
      <c r="C902" s="1" t="s">
        <v>932</v>
      </c>
      <c r="D902">
        <f>IMAGE("https://raw.githubusercontent.com/stautonico/pokemon-home-pokedex/main/sprites/ursaluna.png", 2)</f>
        <v>0</v>
      </c>
      <c r="E902" s="5" t="s">
        <v>805</v>
      </c>
      <c r="F902" s="5" t="s">
        <v>805</v>
      </c>
    </row>
    <row r="903" spans="1:6" ht="72" customHeight="1">
      <c r="A903" s="1" t="s">
        <v>26</v>
      </c>
      <c r="B903" s="1">
        <v>902</v>
      </c>
      <c r="C903" s="1" t="s">
        <v>933</v>
      </c>
      <c r="D903">
        <f>IMAGE("https://raw.githubusercontent.com/stautonico/pokemon-home-pokedex/main/sprites/basculegion-male.png", 2)</f>
        <v>0</v>
      </c>
      <c r="E903" s="5" t="s">
        <v>805</v>
      </c>
      <c r="F903" s="5" t="s">
        <v>805</v>
      </c>
    </row>
    <row r="904" spans="1:6" ht="72" customHeight="1">
      <c r="A904" s="1" t="s">
        <v>26</v>
      </c>
      <c r="B904" s="1">
        <v>903</v>
      </c>
      <c r="C904" s="1" t="s">
        <v>934</v>
      </c>
      <c r="D904">
        <f>IMAGE("https://raw.githubusercontent.com/stautonico/pokemon-home-pokedex/main/sprites/sneasler.png", 2)</f>
        <v>0</v>
      </c>
      <c r="E904" s="5" t="s">
        <v>805</v>
      </c>
      <c r="F904" s="5" t="s">
        <v>805</v>
      </c>
    </row>
    <row r="905" spans="1:6" ht="72" customHeight="1">
      <c r="A905" s="1" t="s">
        <v>26</v>
      </c>
      <c r="B905" s="1">
        <v>904</v>
      </c>
      <c r="C905" s="1" t="s">
        <v>935</v>
      </c>
      <c r="D905">
        <f>IMAGE("https://raw.githubusercontent.com/stautonico/pokemon-home-pokedex/main/sprites/overqwil.png", 2)</f>
        <v>0</v>
      </c>
      <c r="E905" s="5" t="s">
        <v>805</v>
      </c>
      <c r="F905" s="5" t="s">
        <v>805</v>
      </c>
    </row>
    <row r="906" spans="1:6" ht="72" customHeight="1">
      <c r="A906" s="1" t="s">
        <v>26</v>
      </c>
      <c r="B906" s="1">
        <v>905</v>
      </c>
      <c r="C906" s="1" t="s">
        <v>936</v>
      </c>
      <c r="D906">
        <f>IMAGE("https://raw.githubusercontent.com/stautonico/pokemon-home-pokedex/main/sprites/enamorus-incarnate.png", 2)</f>
        <v>0</v>
      </c>
      <c r="E906" s="5" t="s">
        <v>805</v>
      </c>
      <c r="F906" s="5" t="s">
        <v>805</v>
      </c>
    </row>
    <row r="907" spans="1:6" ht="72" customHeight="1">
      <c r="A907" s="1" t="s">
        <v>26</v>
      </c>
      <c r="B907" s="1">
        <v>0</v>
      </c>
      <c r="C907" s="1" t="s">
        <v>937</v>
      </c>
      <c r="D907">
        <f>IMAGE("https://raw.githubusercontent.com/stautonico/pokemon-home-pokedex/main/sprites/venusaur-f.png", 2)</f>
        <v>0</v>
      </c>
      <c r="E907" s="5" t="s">
        <v>805</v>
      </c>
      <c r="F907" s="5" t="s">
        <v>805</v>
      </c>
    </row>
    <row r="908" spans="1:6" ht="72" customHeight="1">
      <c r="A908" s="1" t="s">
        <v>26</v>
      </c>
      <c r="B908" s="1">
        <v>0</v>
      </c>
      <c r="C908" s="1" t="s">
        <v>938</v>
      </c>
      <c r="D908">
        <f>IMAGE("https://raw.githubusercontent.com/stautonico/pokemon-home-pokedex/main/sprites/butterfree-f.png", 2)</f>
        <v>0</v>
      </c>
      <c r="E908" s="5" t="s">
        <v>805</v>
      </c>
      <c r="F908" s="5" t="s">
        <v>805</v>
      </c>
    </row>
    <row r="909" spans="1:6" ht="72" customHeight="1">
      <c r="A909" s="1" t="s">
        <v>26</v>
      </c>
      <c r="B909" s="1">
        <v>0</v>
      </c>
      <c r="C909" s="1" t="s">
        <v>939</v>
      </c>
      <c r="D909">
        <f>IMAGE("https://raw.githubusercontent.com/stautonico/pokemon-home-pokedex/main/sprites/rattata-f.png", 2)</f>
        <v>0</v>
      </c>
      <c r="E909" s="5" t="s">
        <v>805</v>
      </c>
      <c r="F909" s="5" t="s">
        <v>805</v>
      </c>
    </row>
    <row r="910" spans="1:6" ht="72" customHeight="1">
      <c r="A910" s="1" t="s">
        <v>26</v>
      </c>
      <c r="B910" s="1">
        <v>0</v>
      </c>
      <c r="C910" s="1" t="s">
        <v>940</v>
      </c>
      <c r="D910">
        <f>IMAGE("https://raw.githubusercontent.com/stautonico/pokemon-home-pokedex/main/sprites/raticate-f.png", 2)</f>
        <v>0</v>
      </c>
      <c r="E910" s="5" t="s">
        <v>805</v>
      </c>
      <c r="F910" s="5" t="s">
        <v>805</v>
      </c>
    </row>
    <row r="911" spans="1:6" ht="72" customHeight="1">
      <c r="A911" s="1" t="s">
        <v>26</v>
      </c>
      <c r="B911" s="1">
        <v>0</v>
      </c>
      <c r="C911" s="1" t="s">
        <v>941</v>
      </c>
      <c r="D911">
        <f>IMAGE("https://raw.githubusercontent.com/stautonico/pokemon-home-pokedex/main/sprites/pikachu-f.png", 2)</f>
        <v>0</v>
      </c>
      <c r="E911" s="5" t="s">
        <v>805</v>
      </c>
      <c r="F911" s="5" t="s">
        <v>805</v>
      </c>
    </row>
    <row r="912" spans="1:6" ht="72" customHeight="1">
      <c r="A912" s="1" t="s">
        <v>26</v>
      </c>
      <c r="B912" s="1">
        <v>0</v>
      </c>
      <c r="C912" s="1" t="s">
        <v>942</v>
      </c>
      <c r="D912">
        <f>IMAGE("https://raw.githubusercontent.com/stautonico/pokemon-home-pokedex/main/sprites/raichu-f.png", 2)</f>
        <v>0</v>
      </c>
      <c r="E912" s="5" t="s">
        <v>805</v>
      </c>
      <c r="F912" s="5" t="s">
        <v>805</v>
      </c>
    </row>
    <row r="913" spans="1:6" ht="72" customHeight="1">
      <c r="A913" s="1" t="s">
        <v>26</v>
      </c>
      <c r="B913" s="1">
        <v>0</v>
      </c>
      <c r="C913" s="1" t="s">
        <v>943</v>
      </c>
      <c r="D913">
        <f>IMAGE("https://raw.githubusercontent.com/stautonico/pokemon-home-pokedex/main/sprites/zubat-f.png", 2)</f>
        <v>0</v>
      </c>
      <c r="E913" s="5" t="s">
        <v>805</v>
      </c>
      <c r="F913" s="5" t="s">
        <v>805</v>
      </c>
    </row>
    <row r="914" spans="1:6" ht="72" customHeight="1">
      <c r="A914" s="1" t="s">
        <v>26</v>
      </c>
      <c r="B914" s="1">
        <v>0</v>
      </c>
      <c r="C914" s="1" t="s">
        <v>944</v>
      </c>
      <c r="D914">
        <f>IMAGE("https://raw.githubusercontent.com/stautonico/pokemon-home-pokedex/main/sprites/golbat-f.png", 2)</f>
        <v>0</v>
      </c>
      <c r="E914" s="5" t="s">
        <v>805</v>
      </c>
      <c r="F914" s="5" t="s">
        <v>805</v>
      </c>
    </row>
    <row r="915" spans="1:6" ht="72" customHeight="1">
      <c r="A915" s="1" t="s">
        <v>26</v>
      </c>
      <c r="B915" s="1">
        <v>0</v>
      </c>
      <c r="C915" s="1" t="s">
        <v>945</v>
      </c>
      <c r="D915">
        <f>IMAGE("https://raw.githubusercontent.com/stautonico/pokemon-home-pokedex/main/sprites/gloom-f.png", 2)</f>
        <v>0</v>
      </c>
      <c r="E915" s="5" t="s">
        <v>805</v>
      </c>
      <c r="F915" s="5" t="s">
        <v>805</v>
      </c>
    </row>
    <row r="916" spans="1:6" ht="72" customHeight="1">
      <c r="A916" s="1" t="s">
        <v>26</v>
      </c>
      <c r="B916" s="1">
        <v>0</v>
      </c>
      <c r="C916" s="1" t="s">
        <v>946</v>
      </c>
      <c r="D916">
        <f>IMAGE("https://raw.githubusercontent.com/stautonico/pokemon-home-pokedex/main/sprites/vileplume-f.png", 2)</f>
        <v>0</v>
      </c>
      <c r="E916" s="5" t="s">
        <v>805</v>
      </c>
      <c r="F916" s="5" t="s">
        <v>805</v>
      </c>
    </row>
    <row r="917" spans="1:6" ht="72" customHeight="1">
      <c r="A917" s="1" t="s">
        <v>26</v>
      </c>
      <c r="B917" s="1">
        <v>0</v>
      </c>
      <c r="C917" s="1" t="s">
        <v>947</v>
      </c>
      <c r="D917">
        <f>IMAGE("https://raw.githubusercontent.com/stautonico/pokemon-home-pokedex/main/sprites/kadabra-f.png", 2)</f>
        <v>0</v>
      </c>
      <c r="E917" s="5" t="s">
        <v>805</v>
      </c>
      <c r="F917" s="5" t="s">
        <v>805</v>
      </c>
    </row>
    <row r="918" spans="1:6" ht="72" customHeight="1">
      <c r="A918" s="1" t="s">
        <v>26</v>
      </c>
      <c r="B918" s="1">
        <v>0</v>
      </c>
      <c r="C918" s="1" t="s">
        <v>948</v>
      </c>
      <c r="D918">
        <f>IMAGE("https://raw.githubusercontent.com/stautonico/pokemon-home-pokedex/main/sprites/alakazam-f.png", 2)</f>
        <v>0</v>
      </c>
      <c r="E918" s="5" t="s">
        <v>805</v>
      </c>
      <c r="F918" s="5" t="s">
        <v>805</v>
      </c>
    </row>
    <row r="919" spans="1:6" ht="72" customHeight="1">
      <c r="A919" s="1" t="s">
        <v>26</v>
      </c>
      <c r="B919" s="1">
        <v>0</v>
      </c>
      <c r="C919" s="1" t="s">
        <v>949</v>
      </c>
      <c r="D919">
        <f>IMAGE("https://raw.githubusercontent.com/stautonico/pokemon-home-pokedex/main/sprites/doduo-f.png", 2)</f>
        <v>0</v>
      </c>
      <c r="E919" s="5" t="s">
        <v>805</v>
      </c>
      <c r="F919" s="5" t="s">
        <v>805</v>
      </c>
    </row>
    <row r="920" spans="1:6" ht="72" customHeight="1">
      <c r="A920" s="1" t="s">
        <v>26</v>
      </c>
      <c r="B920" s="1">
        <v>0</v>
      </c>
      <c r="C920" s="1" t="s">
        <v>950</v>
      </c>
      <c r="D920">
        <f>IMAGE("https://raw.githubusercontent.com/stautonico/pokemon-home-pokedex/main/sprites/dodrio-f.png", 2)</f>
        <v>0</v>
      </c>
      <c r="E920" s="5" t="s">
        <v>805</v>
      </c>
      <c r="F920" s="5" t="s">
        <v>805</v>
      </c>
    </row>
    <row r="921" spans="1:6" ht="72" customHeight="1">
      <c r="A921" s="1" t="s">
        <v>26</v>
      </c>
      <c r="B921" s="1">
        <v>0</v>
      </c>
      <c r="C921" s="1" t="s">
        <v>951</v>
      </c>
      <c r="D921">
        <f>IMAGE("https://raw.githubusercontent.com/stautonico/pokemon-home-pokedex/main/sprites/hypno-f.png", 2)</f>
        <v>0</v>
      </c>
      <c r="E921" s="5" t="s">
        <v>805</v>
      </c>
      <c r="F921" s="5" t="s">
        <v>805</v>
      </c>
    </row>
    <row r="922" spans="1:6" ht="72" customHeight="1">
      <c r="A922" s="1" t="s">
        <v>26</v>
      </c>
      <c r="B922" s="1">
        <v>0</v>
      </c>
      <c r="C922" s="1" t="s">
        <v>952</v>
      </c>
      <c r="D922">
        <f>IMAGE("https://raw.githubusercontent.com/stautonico/pokemon-home-pokedex/main/sprites/rhyhorn-f.png", 2)</f>
        <v>0</v>
      </c>
      <c r="E922" s="5" t="s">
        <v>805</v>
      </c>
      <c r="F922" s="5" t="s">
        <v>805</v>
      </c>
    </row>
    <row r="923" spans="1:6" ht="72" customHeight="1">
      <c r="A923" s="1" t="s">
        <v>26</v>
      </c>
      <c r="B923" s="1">
        <v>0</v>
      </c>
      <c r="C923" s="1" t="s">
        <v>953</v>
      </c>
      <c r="D923">
        <f>IMAGE("https://raw.githubusercontent.com/stautonico/pokemon-home-pokedex/main/sprites/rhydon-f.png", 2)</f>
        <v>0</v>
      </c>
      <c r="E923" s="5" t="s">
        <v>805</v>
      </c>
      <c r="F923" s="5" t="s">
        <v>805</v>
      </c>
    </row>
    <row r="924" spans="1:6" ht="72" customHeight="1">
      <c r="A924" s="1" t="s">
        <v>26</v>
      </c>
      <c r="B924" s="1">
        <v>0</v>
      </c>
      <c r="C924" s="1" t="s">
        <v>954</v>
      </c>
      <c r="D924">
        <f>IMAGE("https://raw.githubusercontent.com/stautonico/pokemon-home-pokedex/main/sprites/goldeen-f.png", 2)</f>
        <v>0</v>
      </c>
      <c r="E924" s="5" t="s">
        <v>805</v>
      </c>
      <c r="F924" s="5" t="s">
        <v>805</v>
      </c>
    </row>
    <row r="925" spans="1:6" ht="72" customHeight="1">
      <c r="A925" s="1" t="s">
        <v>26</v>
      </c>
      <c r="B925" s="1">
        <v>0</v>
      </c>
      <c r="C925" s="1" t="s">
        <v>955</v>
      </c>
      <c r="D925">
        <f>IMAGE("https://raw.githubusercontent.com/stautonico/pokemon-home-pokedex/main/sprites/seaking-f.png", 2)</f>
        <v>0</v>
      </c>
      <c r="E925" s="5" t="s">
        <v>805</v>
      </c>
      <c r="F925" s="5" t="s">
        <v>805</v>
      </c>
    </row>
    <row r="926" spans="1:6" ht="72" customHeight="1">
      <c r="A926" s="1" t="s">
        <v>26</v>
      </c>
      <c r="B926" s="1">
        <v>0</v>
      </c>
      <c r="C926" s="1" t="s">
        <v>956</v>
      </c>
      <c r="D926">
        <f>IMAGE("https://raw.githubusercontent.com/stautonico/pokemon-home-pokedex/main/sprites/scyther-f.png", 2)</f>
        <v>0</v>
      </c>
      <c r="E926" s="5" t="s">
        <v>805</v>
      </c>
      <c r="F926" s="5" t="s">
        <v>805</v>
      </c>
    </row>
    <row r="927" spans="1:6" ht="72" customHeight="1">
      <c r="A927" s="1" t="s">
        <v>26</v>
      </c>
      <c r="B927" s="1">
        <v>0</v>
      </c>
      <c r="C927" s="1" t="s">
        <v>957</v>
      </c>
      <c r="D927">
        <f>IMAGE("https://raw.githubusercontent.com/stautonico/pokemon-home-pokedex/main/sprites/magikarp-f.png", 2)</f>
        <v>0</v>
      </c>
      <c r="E927" s="5" t="s">
        <v>805</v>
      </c>
      <c r="F927" s="5" t="s">
        <v>805</v>
      </c>
    </row>
    <row r="928" spans="1:6" ht="72" customHeight="1">
      <c r="A928" s="1" t="s">
        <v>26</v>
      </c>
      <c r="B928" s="1">
        <v>0</v>
      </c>
      <c r="C928" s="1" t="s">
        <v>958</v>
      </c>
      <c r="D928">
        <f>IMAGE("https://raw.githubusercontent.com/stautonico/pokemon-home-pokedex/main/sprites/gyarados-f.png", 2)</f>
        <v>0</v>
      </c>
      <c r="E928" s="5" t="s">
        <v>805</v>
      </c>
      <c r="F928" s="5" t="s">
        <v>805</v>
      </c>
    </row>
    <row r="929" spans="1:6" ht="72" customHeight="1">
      <c r="A929" s="1" t="s">
        <v>26</v>
      </c>
      <c r="B929" s="1">
        <v>0</v>
      </c>
      <c r="C929" s="1" t="s">
        <v>959</v>
      </c>
      <c r="D929">
        <f>IMAGE("https://raw.githubusercontent.com/stautonico/pokemon-home-pokedex/main/sprites/eevee-f.png", 2)</f>
        <v>0</v>
      </c>
      <c r="E929" s="5" t="s">
        <v>805</v>
      </c>
      <c r="F929" s="5" t="s">
        <v>805</v>
      </c>
    </row>
    <row r="930" spans="1:6" ht="72" customHeight="1">
      <c r="A930" s="1" t="s">
        <v>26</v>
      </c>
      <c r="B930" s="1">
        <v>0</v>
      </c>
      <c r="C930" s="1" t="s">
        <v>960</v>
      </c>
      <c r="D930">
        <f>IMAGE("https://raw.githubusercontent.com/stautonico/pokemon-home-pokedex/main/sprites/meganium-f.png", 2)</f>
        <v>0</v>
      </c>
      <c r="E930" s="5" t="s">
        <v>805</v>
      </c>
      <c r="F930" s="5" t="s">
        <v>805</v>
      </c>
    </row>
    <row r="931" spans="1:6" ht="72" customHeight="1">
      <c r="A931" s="1" t="s">
        <v>26</v>
      </c>
      <c r="B931" s="1">
        <v>0</v>
      </c>
      <c r="C931" s="1" t="s">
        <v>961</v>
      </c>
      <c r="D931">
        <f>IMAGE("https://raw.githubusercontent.com/stautonico/pokemon-home-pokedex/main/sprites/ledyba-f.png", 2)</f>
        <v>0</v>
      </c>
      <c r="E931" s="5" t="s">
        <v>805</v>
      </c>
      <c r="F931" s="5" t="s">
        <v>805</v>
      </c>
    </row>
    <row r="932" spans="1:6" ht="72" customHeight="1">
      <c r="A932" s="1" t="s">
        <v>26</v>
      </c>
      <c r="B932" s="1">
        <v>0</v>
      </c>
      <c r="C932" s="1" t="s">
        <v>962</v>
      </c>
      <c r="D932">
        <f>IMAGE("https://raw.githubusercontent.com/stautonico/pokemon-home-pokedex/main/sprites/ledian-f.png", 2)</f>
        <v>0</v>
      </c>
      <c r="E932" s="5" t="s">
        <v>805</v>
      </c>
      <c r="F932" s="5" t="s">
        <v>805</v>
      </c>
    </row>
    <row r="933" spans="1:6" ht="72" customHeight="1">
      <c r="A933" s="1" t="s">
        <v>26</v>
      </c>
      <c r="B933" s="1">
        <v>0</v>
      </c>
      <c r="C933" s="1" t="s">
        <v>963</v>
      </c>
      <c r="D933">
        <f>IMAGE("https://raw.githubusercontent.com/stautonico/pokemon-home-pokedex/main/sprites/xatu-f.png", 2)</f>
        <v>0</v>
      </c>
      <c r="E933" s="5" t="s">
        <v>805</v>
      </c>
      <c r="F933" s="5" t="s">
        <v>805</v>
      </c>
    </row>
    <row r="934" spans="1:6" ht="72" customHeight="1">
      <c r="A934" s="1" t="s">
        <v>26</v>
      </c>
      <c r="B934" s="1">
        <v>0</v>
      </c>
      <c r="C934" s="1" t="s">
        <v>964</v>
      </c>
      <c r="D934">
        <f>IMAGE("https://raw.githubusercontent.com/stautonico/pokemon-home-pokedex/main/sprites/sudowoodo-f.png", 2)</f>
        <v>0</v>
      </c>
      <c r="E934" s="5" t="s">
        <v>805</v>
      </c>
      <c r="F934" s="5" t="s">
        <v>805</v>
      </c>
    </row>
    <row r="935" spans="1:6" ht="72" customHeight="1">
      <c r="A935" s="1" t="s">
        <v>26</v>
      </c>
      <c r="B935" s="1">
        <v>0</v>
      </c>
      <c r="C935" s="1" t="s">
        <v>965</v>
      </c>
      <c r="D935">
        <f>IMAGE("https://raw.githubusercontent.com/stautonico/pokemon-home-pokedex/main/sprites/politoed-f.png", 2)</f>
        <v>0</v>
      </c>
      <c r="E935" s="5" t="s">
        <v>805</v>
      </c>
      <c r="F935" s="5" t="s">
        <v>805</v>
      </c>
    </row>
    <row r="936" spans="1:6" ht="72" customHeight="1">
      <c r="A936" s="1" t="s">
        <v>26</v>
      </c>
      <c r="B936" s="1">
        <v>0</v>
      </c>
      <c r="C936" s="1" t="s">
        <v>966</v>
      </c>
      <c r="D936">
        <f>IMAGE("https://raw.githubusercontent.com/stautonico/pokemon-home-pokedex/main/sprites/aipom-f.png", 2)</f>
        <v>0</v>
      </c>
      <c r="E936" s="5" t="s">
        <v>805</v>
      </c>
      <c r="F936" s="5" t="s">
        <v>805</v>
      </c>
    </row>
    <row r="937" spans="1:6" ht="72" customHeight="1">
      <c r="A937" s="1" t="s">
        <v>26</v>
      </c>
      <c r="B937" s="1">
        <v>0</v>
      </c>
      <c r="C937" s="1" t="s">
        <v>967</v>
      </c>
      <c r="D937">
        <f>IMAGE("https://raw.githubusercontent.com/stautonico/pokemon-home-pokedex/main/sprites/wooper-f.png", 2)</f>
        <v>0</v>
      </c>
      <c r="E937" s="5" t="s">
        <v>805</v>
      </c>
      <c r="F937" s="5" t="s">
        <v>805</v>
      </c>
    </row>
    <row r="938" spans="1:6" ht="72" customHeight="1">
      <c r="A938" s="1" t="s">
        <v>26</v>
      </c>
      <c r="B938" s="1">
        <v>0</v>
      </c>
      <c r="C938" s="1" t="s">
        <v>968</v>
      </c>
      <c r="D938">
        <f>IMAGE("https://raw.githubusercontent.com/stautonico/pokemon-home-pokedex/main/sprites/quagsire-f.png", 2)</f>
        <v>0</v>
      </c>
      <c r="E938" s="5" t="s">
        <v>805</v>
      </c>
      <c r="F938" s="5" t="s">
        <v>805</v>
      </c>
    </row>
    <row r="939" spans="1:6" ht="72" customHeight="1">
      <c r="A939" s="1" t="s">
        <v>26</v>
      </c>
      <c r="B939" s="1">
        <v>0</v>
      </c>
      <c r="C939" s="1" t="s">
        <v>969</v>
      </c>
      <c r="D939">
        <f>IMAGE("https://raw.githubusercontent.com/stautonico/pokemon-home-pokedex/main/sprites/murkrow-f.png", 2)</f>
        <v>0</v>
      </c>
      <c r="E939" s="5" t="s">
        <v>805</v>
      </c>
      <c r="F939" s="5" t="s">
        <v>805</v>
      </c>
    </row>
    <row r="940" spans="1:6" ht="72" customHeight="1">
      <c r="A940" s="1" t="s">
        <v>26</v>
      </c>
      <c r="B940" s="1">
        <v>0</v>
      </c>
      <c r="C940" s="1" t="s">
        <v>970</v>
      </c>
      <c r="D940">
        <f>IMAGE("https://raw.githubusercontent.com/stautonico/pokemon-home-pokedex/main/sprites/wobbuffet-f.png", 2)</f>
        <v>0</v>
      </c>
      <c r="E940" s="5" t="s">
        <v>805</v>
      </c>
      <c r="F940" s="5" t="s">
        <v>805</v>
      </c>
    </row>
    <row r="941" spans="1:6" ht="72" customHeight="1">
      <c r="A941" s="1" t="s">
        <v>26</v>
      </c>
      <c r="B941" s="1">
        <v>0</v>
      </c>
      <c r="C941" s="1" t="s">
        <v>971</v>
      </c>
      <c r="D941">
        <f>IMAGE("https://raw.githubusercontent.com/stautonico/pokemon-home-pokedex/main/sprites/girafarig-f.png", 2)</f>
        <v>0</v>
      </c>
      <c r="E941" s="5" t="s">
        <v>805</v>
      </c>
      <c r="F941" s="5" t="s">
        <v>805</v>
      </c>
    </row>
    <row r="942" spans="1:6" ht="72" customHeight="1">
      <c r="A942" s="1" t="s">
        <v>26</v>
      </c>
      <c r="B942" s="1">
        <v>0</v>
      </c>
      <c r="C942" s="1" t="s">
        <v>972</v>
      </c>
      <c r="D942">
        <f>IMAGE("https://raw.githubusercontent.com/stautonico/pokemon-home-pokedex/main/sprites/gligar-f.png", 2)</f>
        <v>0</v>
      </c>
      <c r="E942" s="5" t="s">
        <v>805</v>
      </c>
      <c r="F942" s="5" t="s">
        <v>805</v>
      </c>
    </row>
    <row r="943" spans="1:6" ht="72" customHeight="1">
      <c r="A943" s="1" t="s">
        <v>26</v>
      </c>
      <c r="B943" s="1">
        <v>0</v>
      </c>
      <c r="C943" s="1" t="s">
        <v>973</v>
      </c>
      <c r="D943">
        <f>IMAGE("https://raw.githubusercontent.com/stautonico/pokemon-home-pokedex/main/sprites/steelix-f.png", 2)</f>
        <v>0</v>
      </c>
      <c r="E943" s="5" t="s">
        <v>805</v>
      </c>
      <c r="F943" s="5" t="s">
        <v>805</v>
      </c>
    </row>
    <row r="944" spans="1:6" ht="72" customHeight="1">
      <c r="A944" s="1" t="s">
        <v>26</v>
      </c>
      <c r="B944" s="1">
        <v>0</v>
      </c>
      <c r="C944" s="1" t="s">
        <v>974</v>
      </c>
      <c r="D944">
        <f>IMAGE("https://raw.githubusercontent.com/stautonico/pokemon-home-pokedex/main/sprites/scizor-f.png", 2)</f>
        <v>0</v>
      </c>
      <c r="E944" s="5" t="s">
        <v>805</v>
      </c>
      <c r="F944" s="5" t="s">
        <v>805</v>
      </c>
    </row>
    <row r="945" spans="1:6" ht="72" customHeight="1">
      <c r="A945" s="1" t="s">
        <v>26</v>
      </c>
      <c r="B945" s="1">
        <v>0</v>
      </c>
      <c r="C945" s="1" t="s">
        <v>975</v>
      </c>
      <c r="D945">
        <f>IMAGE("https://raw.githubusercontent.com/stautonico/pokemon-home-pokedex/main/sprites/heracross-f.png", 2)</f>
        <v>0</v>
      </c>
      <c r="E945" s="5" t="s">
        <v>805</v>
      </c>
      <c r="F945" s="5" t="s">
        <v>805</v>
      </c>
    </row>
    <row r="946" spans="1:6" ht="72" customHeight="1">
      <c r="A946" s="1" t="s">
        <v>26</v>
      </c>
      <c r="B946" s="1">
        <v>0</v>
      </c>
      <c r="C946" s="1" t="s">
        <v>976</v>
      </c>
      <c r="D946">
        <f>IMAGE("https://raw.githubusercontent.com/stautonico/pokemon-home-pokedex/main/sprites/sneasel-f.png", 2)</f>
        <v>0</v>
      </c>
      <c r="E946" s="5" t="s">
        <v>805</v>
      </c>
      <c r="F946" s="5" t="s">
        <v>805</v>
      </c>
    </row>
    <row r="947" spans="1:6" ht="72" customHeight="1">
      <c r="A947" s="1" t="s">
        <v>26</v>
      </c>
      <c r="B947" s="1">
        <v>0</v>
      </c>
      <c r="C947" s="1" t="s">
        <v>977</v>
      </c>
      <c r="D947" t="s">
        <v>978</v>
      </c>
      <c r="E947" s="5" t="s">
        <v>805</v>
      </c>
      <c r="F947" s="5" t="s">
        <v>805</v>
      </c>
    </row>
    <row r="948" spans="1:6" ht="72" customHeight="1">
      <c r="A948" s="1" t="s">
        <v>26</v>
      </c>
      <c r="B948" s="1">
        <v>0</v>
      </c>
      <c r="C948" s="1" t="s">
        <v>979</v>
      </c>
      <c r="D948">
        <f>IMAGE("https://raw.githubusercontent.com/stautonico/pokemon-home-pokedex/main/sprites/ursaring-f.png", 2)</f>
        <v>0</v>
      </c>
      <c r="E948" s="5" t="s">
        <v>805</v>
      </c>
      <c r="F948" s="5" t="s">
        <v>805</v>
      </c>
    </row>
    <row r="949" spans="1:6" ht="72" customHeight="1">
      <c r="A949" s="1" t="s">
        <v>26</v>
      </c>
      <c r="B949" s="1">
        <v>0</v>
      </c>
      <c r="C949" s="1" t="s">
        <v>980</v>
      </c>
      <c r="D949">
        <f>IMAGE("https://raw.githubusercontent.com/stautonico/pokemon-home-pokedex/main/sprites/piloswine-f.png", 2)</f>
        <v>0</v>
      </c>
      <c r="E949" s="5" t="s">
        <v>805</v>
      </c>
      <c r="F949" s="5" t="s">
        <v>805</v>
      </c>
    </row>
    <row r="950" spans="1:6" ht="72" customHeight="1">
      <c r="A950" s="1" t="s">
        <v>26</v>
      </c>
      <c r="B950" s="1">
        <v>0</v>
      </c>
      <c r="C950" s="1" t="s">
        <v>981</v>
      </c>
      <c r="D950">
        <f>IMAGE("https://raw.githubusercontent.com/stautonico/pokemon-home-pokedex/main/sprites/octillery-f.png", 2)</f>
        <v>0</v>
      </c>
      <c r="E950" s="5" t="s">
        <v>805</v>
      </c>
      <c r="F950" s="5" t="s">
        <v>805</v>
      </c>
    </row>
    <row r="951" spans="1:6" ht="72" customHeight="1">
      <c r="A951" s="1" t="s">
        <v>26</v>
      </c>
      <c r="B951" s="1">
        <v>0</v>
      </c>
      <c r="C951" s="1" t="s">
        <v>982</v>
      </c>
      <c r="D951">
        <f>IMAGE("https://raw.githubusercontent.com/stautonico/pokemon-home-pokedex/main/sprites/houndoom-f.png", 2)</f>
        <v>0</v>
      </c>
      <c r="E951" s="5" t="s">
        <v>805</v>
      </c>
      <c r="F951" s="5" t="s">
        <v>805</v>
      </c>
    </row>
    <row r="952" spans="1:6" ht="72" customHeight="1">
      <c r="A952" s="1" t="s">
        <v>26</v>
      </c>
      <c r="B952" s="1">
        <v>0</v>
      </c>
      <c r="C952" s="1" t="s">
        <v>983</v>
      </c>
      <c r="D952">
        <f>IMAGE("https://raw.githubusercontent.com/stautonico/pokemon-home-pokedex/main/sprites/donphan-f.png", 2)</f>
        <v>0</v>
      </c>
      <c r="E952" s="5" t="s">
        <v>805</v>
      </c>
      <c r="F952" s="5" t="s">
        <v>805</v>
      </c>
    </row>
    <row r="953" spans="1:6" ht="72" customHeight="1">
      <c r="A953" s="1" t="s">
        <v>26</v>
      </c>
      <c r="B953" s="1">
        <v>0</v>
      </c>
      <c r="C953" s="1" t="s">
        <v>984</v>
      </c>
      <c r="D953">
        <f>IMAGE("https://raw.githubusercontent.com/stautonico/pokemon-home-pokedex/main/sprites/torchic-f.png", 2)</f>
        <v>0</v>
      </c>
      <c r="E953" s="5" t="s">
        <v>805</v>
      </c>
      <c r="F953" s="5" t="s">
        <v>805</v>
      </c>
    </row>
    <row r="954" spans="1:6" ht="72" customHeight="1">
      <c r="A954" s="1" t="s">
        <v>26</v>
      </c>
      <c r="B954" s="1">
        <v>0</v>
      </c>
      <c r="C954" s="1" t="s">
        <v>985</v>
      </c>
      <c r="D954">
        <f>IMAGE("https://raw.githubusercontent.com/stautonico/pokemon-home-pokedex/main/sprites/combusken-f.png", 2)</f>
        <v>0</v>
      </c>
      <c r="E954" s="5" t="s">
        <v>805</v>
      </c>
      <c r="F954" s="5" t="s">
        <v>805</v>
      </c>
    </row>
    <row r="955" spans="1:6" ht="72" customHeight="1">
      <c r="A955" s="1" t="s">
        <v>26</v>
      </c>
      <c r="B955" s="1">
        <v>0</v>
      </c>
      <c r="C955" s="1" t="s">
        <v>986</v>
      </c>
      <c r="D955">
        <f>IMAGE("https://raw.githubusercontent.com/stautonico/pokemon-home-pokedex/main/sprites/blaziken-f.png", 2)</f>
        <v>0</v>
      </c>
      <c r="E955" s="5" t="s">
        <v>805</v>
      </c>
      <c r="F955" s="5" t="s">
        <v>805</v>
      </c>
    </row>
    <row r="956" spans="1:6" ht="72" customHeight="1">
      <c r="A956" s="1" t="s">
        <v>26</v>
      </c>
      <c r="B956" s="1">
        <v>0</v>
      </c>
      <c r="C956" s="1" t="s">
        <v>987</v>
      </c>
      <c r="D956">
        <f>IMAGE("https://raw.githubusercontent.com/stautonico/pokemon-home-pokedex/main/sprites/beautifly-f.png", 2)</f>
        <v>0</v>
      </c>
      <c r="E956" s="5" t="s">
        <v>805</v>
      </c>
      <c r="F956" s="5" t="s">
        <v>805</v>
      </c>
    </row>
    <row r="957" spans="1:6" ht="72" customHeight="1">
      <c r="A957" s="1" t="s">
        <v>26</v>
      </c>
      <c r="B957" s="1">
        <v>0</v>
      </c>
      <c r="C957" s="1" t="s">
        <v>988</v>
      </c>
      <c r="D957">
        <f>IMAGE("https://raw.githubusercontent.com/stautonico/pokemon-home-pokedex/main/sprites/dustox-f.png", 2)</f>
        <v>0</v>
      </c>
      <c r="E957" s="5" t="s">
        <v>805</v>
      </c>
      <c r="F957" s="5" t="s">
        <v>805</v>
      </c>
    </row>
    <row r="958" spans="1:6" ht="72" customHeight="1">
      <c r="A958" s="1" t="s">
        <v>26</v>
      </c>
      <c r="B958" s="1">
        <v>0</v>
      </c>
      <c r="C958" s="1" t="s">
        <v>989</v>
      </c>
      <c r="D958">
        <f>IMAGE("https://raw.githubusercontent.com/stautonico/pokemon-home-pokedex/main/sprites/ludicolo-f.png", 2)</f>
        <v>0</v>
      </c>
      <c r="E958" s="5" t="s">
        <v>805</v>
      </c>
      <c r="F958" s="5" t="s">
        <v>805</v>
      </c>
    </row>
    <row r="959" spans="1:6" ht="72" customHeight="1">
      <c r="A959" s="1" t="s">
        <v>26</v>
      </c>
      <c r="B959" s="1">
        <v>0</v>
      </c>
      <c r="C959" s="1" t="s">
        <v>990</v>
      </c>
      <c r="D959">
        <f>IMAGE("https://raw.githubusercontent.com/stautonico/pokemon-home-pokedex/main/sprites/nuzleaf-f.png", 2)</f>
        <v>0</v>
      </c>
      <c r="E959" s="5" t="s">
        <v>805</v>
      </c>
      <c r="F959" s="5" t="s">
        <v>805</v>
      </c>
    </row>
    <row r="960" spans="1:6" ht="72" customHeight="1">
      <c r="A960" s="1" t="s">
        <v>26</v>
      </c>
      <c r="B960" s="1">
        <v>0</v>
      </c>
      <c r="C960" s="1" t="s">
        <v>991</v>
      </c>
      <c r="D960">
        <f>IMAGE("https://raw.githubusercontent.com/stautonico/pokemon-home-pokedex/main/sprites/shiftry-f.png", 2)</f>
        <v>0</v>
      </c>
      <c r="E960" s="5" t="s">
        <v>805</v>
      </c>
      <c r="F960" s="5" t="s">
        <v>805</v>
      </c>
    </row>
    <row r="961" spans="1:6" ht="72" customHeight="1">
      <c r="A961" s="1" t="s">
        <v>26</v>
      </c>
      <c r="B961" s="1">
        <v>0</v>
      </c>
      <c r="C961" s="1" t="s">
        <v>992</v>
      </c>
      <c r="D961">
        <f>IMAGE("https://raw.githubusercontent.com/stautonico/pokemon-home-pokedex/main/sprites/meditite-f.png", 2)</f>
        <v>0</v>
      </c>
      <c r="E961" s="5" t="s">
        <v>805</v>
      </c>
      <c r="F961" s="5" t="s">
        <v>805</v>
      </c>
    </row>
    <row r="962" spans="1:6" ht="72" customHeight="1">
      <c r="A962" s="1" t="s">
        <v>26</v>
      </c>
      <c r="B962" s="1">
        <v>0</v>
      </c>
      <c r="C962" s="1" t="s">
        <v>993</v>
      </c>
      <c r="D962">
        <f>IMAGE("https://raw.githubusercontent.com/stautonico/pokemon-home-pokedex/main/sprites/medicham-f.png", 2)</f>
        <v>0</v>
      </c>
      <c r="E962" s="5" t="s">
        <v>805</v>
      </c>
      <c r="F962" s="5" t="s">
        <v>805</v>
      </c>
    </row>
    <row r="963" spans="1:6" ht="72" customHeight="1">
      <c r="A963" s="1" t="s">
        <v>26</v>
      </c>
      <c r="B963" s="1">
        <v>0</v>
      </c>
      <c r="C963" s="1" t="s">
        <v>994</v>
      </c>
      <c r="D963">
        <f>IMAGE("https://raw.githubusercontent.com/stautonico/pokemon-home-pokedex/main/sprites/roselia-f.png", 2)</f>
        <v>0</v>
      </c>
      <c r="E963" s="5" t="s">
        <v>805</v>
      </c>
      <c r="F963" s="5" t="s">
        <v>805</v>
      </c>
    </row>
    <row r="964" spans="1:6" ht="72" customHeight="1">
      <c r="A964" s="1" t="s">
        <v>26</v>
      </c>
      <c r="B964" s="1">
        <v>0</v>
      </c>
      <c r="C964" s="1" t="s">
        <v>995</v>
      </c>
      <c r="D964">
        <f>IMAGE("https://raw.githubusercontent.com/stautonico/pokemon-home-pokedex/main/sprites/gulpin-f.png", 2)</f>
        <v>0</v>
      </c>
      <c r="E964" s="5" t="s">
        <v>805</v>
      </c>
      <c r="F964" s="5" t="s">
        <v>805</v>
      </c>
    </row>
    <row r="965" spans="1:6" ht="72" customHeight="1">
      <c r="A965" s="1" t="s">
        <v>26</v>
      </c>
      <c r="B965" s="1">
        <v>0</v>
      </c>
      <c r="C965" s="1" t="s">
        <v>996</v>
      </c>
      <c r="D965">
        <f>IMAGE("https://raw.githubusercontent.com/stautonico/pokemon-home-pokedex/main/sprites/swalot-f.png", 2)</f>
        <v>0</v>
      </c>
      <c r="E965" s="5" t="s">
        <v>805</v>
      </c>
      <c r="F965" s="5" t="s">
        <v>805</v>
      </c>
    </row>
    <row r="966" spans="1:6" ht="72" customHeight="1">
      <c r="A966" s="1" t="s">
        <v>26</v>
      </c>
      <c r="B966" s="1">
        <v>0</v>
      </c>
      <c r="C966" s="1" t="s">
        <v>997</v>
      </c>
      <c r="D966">
        <f>IMAGE("https://raw.githubusercontent.com/stautonico/pokemon-home-pokedex/main/sprites/numel-f.png", 2)</f>
        <v>0</v>
      </c>
      <c r="E966" s="5" t="s">
        <v>805</v>
      </c>
      <c r="F966" s="5" t="s">
        <v>805</v>
      </c>
    </row>
    <row r="967" spans="1:6" ht="72" customHeight="1">
      <c r="A967" s="1" t="s">
        <v>26</v>
      </c>
      <c r="B967" s="1">
        <v>0</v>
      </c>
      <c r="C967" s="1" t="s">
        <v>998</v>
      </c>
      <c r="D967">
        <f>IMAGE("https://raw.githubusercontent.com/stautonico/pokemon-home-pokedex/main/sprites/camerupt-f.png", 2)</f>
        <v>0</v>
      </c>
      <c r="E967" s="5" t="s">
        <v>805</v>
      </c>
      <c r="F967" s="5" t="s">
        <v>805</v>
      </c>
    </row>
    <row r="968" spans="1:6" ht="72" customHeight="1">
      <c r="A968" s="1" t="s">
        <v>26</v>
      </c>
      <c r="B968" s="1">
        <v>0</v>
      </c>
      <c r="C968" s="1" t="s">
        <v>999</v>
      </c>
      <c r="D968">
        <f>IMAGE("https://raw.githubusercontent.com/stautonico/pokemon-home-pokedex/main/sprites/cacturne-f.png", 2)</f>
        <v>0</v>
      </c>
      <c r="E968" s="5" t="s">
        <v>805</v>
      </c>
      <c r="F968" s="5" t="s">
        <v>805</v>
      </c>
    </row>
    <row r="969" spans="1:6" ht="72" customHeight="1">
      <c r="A969" s="1" t="s">
        <v>26</v>
      </c>
      <c r="B969" s="1">
        <v>0</v>
      </c>
      <c r="C969" s="1" t="s">
        <v>1000</v>
      </c>
      <c r="D969">
        <f>IMAGE("https://raw.githubusercontent.com/stautonico/pokemon-home-pokedex/main/sprites/milotic-f.png", 2)</f>
        <v>0</v>
      </c>
      <c r="E969" s="5" t="s">
        <v>805</v>
      </c>
      <c r="F969" s="5" t="s">
        <v>805</v>
      </c>
    </row>
    <row r="970" spans="1:6" ht="72" customHeight="1">
      <c r="A970" s="1" t="s">
        <v>26</v>
      </c>
      <c r="B970" s="1">
        <v>0</v>
      </c>
      <c r="C970" s="1" t="s">
        <v>1001</v>
      </c>
      <c r="D970">
        <f>IMAGE("https://raw.githubusercontent.com/stautonico/pokemon-home-pokedex/main/sprites/relicanth-f.png", 2)</f>
        <v>0</v>
      </c>
      <c r="E970" s="5" t="s">
        <v>805</v>
      </c>
      <c r="F970" s="5" t="s">
        <v>805</v>
      </c>
    </row>
    <row r="971" spans="1:6" ht="72" customHeight="1">
      <c r="A971" s="1" t="s">
        <v>26</v>
      </c>
      <c r="B971" s="1">
        <v>0</v>
      </c>
      <c r="C971" s="1" t="s">
        <v>1002</v>
      </c>
      <c r="D971">
        <f>IMAGE("https://raw.githubusercontent.com/stautonico/pokemon-home-pokedex/main/sprites/starly-f.png", 2)</f>
        <v>0</v>
      </c>
      <c r="E971" s="5" t="s">
        <v>805</v>
      </c>
      <c r="F971" s="5" t="s">
        <v>805</v>
      </c>
    </row>
    <row r="972" spans="1:6" ht="72" customHeight="1">
      <c r="A972" s="1" t="s">
        <v>26</v>
      </c>
      <c r="B972" s="1">
        <v>0</v>
      </c>
      <c r="C972" s="1" t="s">
        <v>1003</v>
      </c>
      <c r="D972">
        <f>IMAGE("https://raw.githubusercontent.com/stautonico/pokemon-home-pokedex/main/sprites/staravia-f.png", 2)</f>
        <v>0</v>
      </c>
      <c r="E972" s="5" t="s">
        <v>805</v>
      </c>
      <c r="F972" s="5" t="s">
        <v>805</v>
      </c>
    </row>
    <row r="973" spans="1:6" ht="72" customHeight="1">
      <c r="A973" s="1" t="s">
        <v>26</v>
      </c>
      <c r="B973" s="1">
        <v>0</v>
      </c>
      <c r="C973" s="1" t="s">
        <v>1004</v>
      </c>
      <c r="D973">
        <f>IMAGE("https://raw.githubusercontent.com/stautonico/pokemon-home-pokedex/main/sprites/staraptor-f.png", 2)</f>
        <v>0</v>
      </c>
      <c r="E973" s="5" t="s">
        <v>805</v>
      </c>
      <c r="F973" s="5" t="s">
        <v>805</v>
      </c>
    </row>
    <row r="974" spans="1:6" ht="72" customHeight="1">
      <c r="A974" s="1" t="s">
        <v>26</v>
      </c>
      <c r="B974" s="1">
        <v>0</v>
      </c>
      <c r="C974" s="1" t="s">
        <v>1005</v>
      </c>
      <c r="D974">
        <f>IMAGE("https://raw.githubusercontent.com/stautonico/pokemon-home-pokedex/main/sprites/bidoof-f.png", 2)</f>
        <v>0</v>
      </c>
      <c r="E974" s="5" t="s">
        <v>805</v>
      </c>
      <c r="F974" s="5" t="s">
        <v>805</v>
      </c>
    </row>
    <row r="975" spans="1:6" ht="72" customHeight="1">
      <c r="A975" s="1" t="s">
        <v>26</v>
      </c>
      <c r="B975" s="1">
        <v>0</v>
      </c>
      <c r="C975" s="1" t="s">
        <v>1006</v>
      </c>
      <c r="D975">
        <f>IMAGE("https://raw.githubusercontent.com/stautonico/pokemon-home-pokedex/main/sprites/bibarel-f.png", 2)</f>
        <v>0</v>
      </c>
      <c r="E975" s="5" t="s">
        <v>805</v>
      </c>
      <c r="F975" s="5" t="s">
        <v>805</v>
      </c>
    </row>
    <row r="976" spans="1:6" ht="72" customHeight="1">
      <c r="A976" s="1" t="s">
        <v>26</v>
      </c>
      <c r="B976" s="1">
        <v>0</v>
      </c>
      <c r="C976" s="1" t="s">
        <v>1007</v>
      </c>
      <c r="D976">
        <f>IMAGE("https://raw.githubusercontent.com/stautonico/pokemon-home-pokedex/main/sprites/kricketot-f.png", 2)</f>
        <v>0</v>
      </c>
      <c r="E976" s="5" t="s">
        <v>805</v>
      </c>
      <c r="F976" s="5" t="s">
        <v>805</v>
      </c>
    </row>
    <row r="977" spans="1:6" ht="72" customHeight="1">
      <c r="A977" s="1" t="s">
        <v>26</v>
      </c>
      <c r="B977" s="1">
        <v>0</v>
      </c>
      <c r="C977" s="1" t="s">
        <v>1008</v>
      </c>
      <c r="D977">
        <f>IMAGE("https://raw.githubusercontent.com/stautonico/pokemon-home-pokedex/main/sprites/kricketune-f.png", 2)</f>
        <v>0</v>
      </c>
      <c r="E977" s="5" t="s">
        <v>805</v>
      </c>
      <c r="F977" s="5" t="s">
        <v>805</v>
      </c>
    </row>
    <row r="978" spans="1:6" ht="72" customHeight="1">
      <c r="A978" s="1" t="s">
        <v>26</v>
      </c>
      <c r="B978" s="1">
        <v>0</v>
      </c>
      <c r="C978" s="1" t="s">
        <v>1009</v>
      </c>
      <c r="D978">
        <f>IMAGE("https://raw.githubusercontent.com/stautonico/pokemon-home-pokedex/main/sprites/shinx-f.png", 2)</f>
        <v>0</v>
      </c>
      <c r="E978" s="5" t="s">
        <v>805</v>
      </c>
      <c r="F978" s="5" t="s">
        <v>805</v>
      </c>
    </row>
    <row r="979" spans="1:6" ht="72" customHeight="1">
      <c r="A979" s="1" t="s">
        <v>26</v>
      </c>
      <c r="B979" s="1">
        <v>0</v>
      </c>
      <c r="C979" s="1" t="s">
        <v>1010</v>
      </c>
      <c r="D979">
        <f>IMAGE("https://raw.githubusercontent.com/stautonico/pokemon-home-pokedex/main/sprites/luxio-f.png", 2)</f>
        <v>0</v>
      </c>
      <c r="E979" s="5" t="s">
        <v>805</v>
      </c>
      <c r="F979" s="5" t="s">
        <v>805</v>
      </c>
    </row>
    <row r="980" spans="1:6" ht="72" customHeight="1">
      <c r="A980" s="1" t="s">
        <v>26</v>
      </c>
      <c r="B980" s="1">
        <v>0</v>
      </c>
      <c r="C980" s="1" t="s">
        <v>1011</v>
      </c>
      <c r="D980">
        <f>IMAGE("https://raw.githubusercontent.com/stautonico/pokemon-home-pokedex/main/sprites/luxray-f.png", 2)</f>
        <v>0</v>
      </c>
      <c r="E980" s="5" t="s">
        <v>805</v>
      </c>
      <c r="F980" s="5" t="s">
        <v>805</v>
      </c>
    </row>
    <row r="981" spans="1:6" ht="72" customHeight="1">
      <c r="A981" s="1" t="s">
        <v>26</v>
      </c>
      <c r="B981" s="1">
        <v>0</v>
      </c>
      <c r="C981" s="1" t="s">
        <v>1012</v>
      </c>
      <c r="D981">
        <f>IMAGE("https://raw.githubusercontent.com/stautonico/pokemon-home-pokedex/main/sprites/roserade-f.png", 2)</f>
        <v>0</v>
      </c>
      <c r="E981" s="5" t="s">
        <v>805</v>
      </c>
      <c r="F981" s="5" t="s">
        <v>805</v>
      </c>
    </row>
    <row r="982" spans="1:6" ht="72" customHeight="1">
      <c r="A982" s="1" t="s">
        <v>26</v>
      </c>
      <c r="B982" s="1">
        <v>0</v>
      </c>
      <c r="C982" s="1" t="s">
        <v>1013</v>
      </c>
      <c r="D982">
        <f>IMAGE("https://raw.githubusercontent.com/stautonico/pokemon-home-pokedex/main/sprites/combee-f.png", 2)</f>
        <v>0</v>
      </c>
      <c r="E982" s="5" t="s">
        <v>805</v>
      </c>
      <c r="F982" s="5" t="s">
        <v>805</v>
      </c>
    </row>
    <row r="983" spans="1:6" ht="72" customHeight="1">
      <c r="A983" s="1" t="s">
        <v>26</v>
      </c>
      <c r="B983" s="1">
        <v>0</v>
      </c>
      <c r="C983" s="1" t="s">
        <v>1014</v>
      </c>
      <c r="D983">
        <f>IMAGE("https://raw.githubusercontent.com/stautonico/pokemon-home-pokedex/main/sprites/pachirisu-f.png", 2)</f>
        <v>0</v>
      </c>
      <c r="E983" s="5" t="s">
        <v>805</v>
      </c>
      <c r="F983" s="5" t="s">
        <v>805</v>
      </c>
    </row>
    <row r="984" spans="1:6" ht="72" customHeight="1">
      <c r="A984" s="1" t="s">
        <v>26</v>
      </c>
      <c r="B984" s="1">
        <v>0</v>
      </c>
      <c r="C984" s="1" t="s">
        <v>1015</v>
      </c>
      <c r="D984">
        <f>IMAGE("https://raw.githubusercontent.com/stautonico/pokemon-home-pokedex/main/sprites/buizel-f.png", 2)</f>
        <v>0</v>
      </c>
      <c r="E984" s="5" t="s">
        <v>805</v>
      </c>
      <c r="F984" s="5" t="s">
        <v>805</v>
      </c>
    </row>
    <row r="985" spans="1:6" ht="72" customHeight="1">
      <c r="A985" s="1" t="s">
        <v>26</v>
      </c>
      <c r="B985" s="1">
        <v>0</v>
      </c>
      <c r="C985" s="1" t="s">
        <v>1016</v>
      </c>
      <c r="D985">
        <f>IMAGE("https://raw.githubusercontent.com/stautonico/pokemon-home-pokedex/main/sprites/floatzel-f.png", 2)</f>
        <v>0</v>
      </c>
      <c r="E985" s="5" t="s">
        <v>805</v>
      </c>
      <c r="F985" s="5" t="s">
        <v>805</v>
      </c>
    </row>
    <row r="986" spans="1:6" ht="72" customHeight="1">
      <c r="A986" s="1" t="s">
        <v>26</v>
      </c>
      <c r="B986" s="1">
        <v>0</v>
      </c>
      <c r="C986" s="1" t="s">
        <v>1017</v>
      </c>
      <c r="D986">
        <f>IMAGE("https://raw.githubusercontent.com/stautonico/pokemon-home-pokedex/main/sprites/ambipom-f.png", 2)</f>
        <v>0</v>
      </c>
      <c r="E986" s="5" t="s">
        <v>805</v>
      </c>
      <c r="F986" s="5" t="s">
        <v>805</v>
      </c>
    </row>
    <row r="987" spans="1:6" ht="72" customHeight="1">
      <c r="A987" s="1" t="s">
        <v>26</v>
      </c>
      <c r="B987" s="1">
        <v>0</v>
      </c>
      <c r="C987" s="1" t="s">
        <v>1018</v>
      </c>
      <c r="D987">
        <f>IMAGE("https://raw.githubusercontent.com/stautonico/pokemon-home-pokedex/main/sprites/gible-f.png", 2)</f>
        <v>0</v>
      </c>
      <c r="E987" s="5" t="s">
        <v>805</v>
      </c>
      <c r="F987" s="5" t="s">
        <v>805</v>
      </c>
    </row>
    <row r="988" spans="1:6" ht="72" customHeight="1">
      <c r="A988" s="1" t="s">
        <v>26</v>
      </c>
      <c r="B988" s="1">
        <v>0</v>
      </c>
      <c r="C988" s="1" t="s">
        <v>1019</v>
      </c>
      <c r="D988">
        <f>IMAGE("https://raw.githubusercontent.com/stautonico/pokemon-home-pokedex/main/sprites/gabite-f.png", 2)</f>
        <v>0</v>
      </c>
      <c r="E988" s="5" t="s">
        <v>805</v>
      </c>
      <c r="F988" s="5" t="s">
        <v>805</v>
      </c>
    </row>
    <row r="989" spans="1:6" ht="72" customHeight="1">
      <c r="A989" s="1" t="s">
        <v>26</v>
      </c>
      <c r="B989" s="1">
        <v>0</v>
      </c>
      <c r="C989" s="1" t="s">
        <v>1020</v>
      </c>
      <c r="D989">
        <f>IMAGE("https://raw.githubusercontent.com/stautonico/pokemon-home-pokedex/main/sprites/garchomp-f.png", 2)</f>
        <v>0</v>
      </c>
      <c r="E989" s="5" t="s">
        <v>805</v>
      </c>
      <c r="F989" s="5" t="s">
        <v>805</v>
      </c>
    </row>
    <row r="990" spans="1:6" ht="72" customHeight="1">
      <c r="A990" s="1" t="s">
        <v>26</v>
      </c>
      <c r="B990" s="1">
        <v>0</v>
      </c>
      <c r="C990" s="1" t="s">
        <v>1021</v>
      </c>
      <c r="D990">
        <f>IMAGE("https://raw.githubusercontent.com/stautonico/pokemon-home-pokedex/main/sprites/hippopotas-f.png", 2)</f>
        <v>0</v>
      </c>
      <c r="E990" s="5" t="s">
        <v>805</v>
      </c>
      <c r="F990" s="5" t="s">
        <v>805</v>
      </c>
    </row>
    <row r="991" spans="1:6" ht="72" customHeight="1">
      <c r="A991" s="1" t="s">
        <v>26</v>
      </c>
      <c r="B991" s="1">
        <v>0</v>
      </c>
      <c r="C991" s="1" t="s">
        <v>1022</v>
      </c>
      <c r="D991">
        <f>IMAGE("https://raw.githubusercontent.com/stautonico/pokemon-home-pokedex/main/sprites/hippowdon-f.png", 2)</f>
        <v>0</v>
      </c>
      <c r="E991" s="5" t="s">
        <v>805</v>
      </c>
      <c r="F991" s="5" t="s">
        <v>805</v>
      </c>
    </row>
    <row r="992" spans="1:6" ht="72" customHeight="1">
      <c r="A992" s="1" t="s">
        <v>26</v>
      </c>
      <c r="B992" s="1">
        <v>0</v>
      </c>
      <c r="C992" s="1" t="s">
        <v>1023</v>
      </c>
      <c r="D992">
        <f>IMAGE("https://raw.githubusercontent.com/stautonico/pokemon-home-pokedex/main/sprites/croagunk-f.png", 2)</f>
        <v>0</v>
      </c>
      <c r="E992" s="5" t="s">
        <v>805</v>
      </c>
      <c r="F992" s="5" t="s">
        <v>805</v>
      </c>
    </row>
    <row r="993" spans="1:6" ht="72" customHeight="1">
      <c r="A993" s="1" t="s">
        <v>26</v>
      </c>
      <c r="B993" s="1">
        <v>0</v>
      </c>
      <c r="C993" s="1" t="s">
        <v>1024</v>
      </c>
      <c r="D993">
        <f>IMAGE("https://raw.githubusercontent.com/stautonico/pokemon-home-pokedex/main/sprites/toxicroak-f.png", 2)</f>
        <v>0</v>
      </c>
      <c r="E993" s="5" t="s">
        <v>805</v>
      </c>
      <c r="F993" s="5" t="s">
        <v>805</v>
      </c>
    </row>
    <row r="994" spans="1:6" ht="72" customHeight="1">
      <c r="A994" s="1" t="s">
        <v>26</v>
      </c>
      <c r="B994" s="1">
        <v>0</v>
      </c>
      <c r="C994" s="1" t="s">
        <v>1025</v>
      </c>
      <c r="D994">
        <f>IMAGE("https://raw.githubusercontent.com/stautonico/pokemon-home-pokedex/main/sprites/finneon-f.png", 2)</f>
        <v>0</v>
      </c>
      <c r="E994" s="5" t="s">
        <v>805</v>
      </c>
      <c r="F994" s="5" t="s">
        <v>805</v>
      </c>
    </row>
    <row r="995" spans="1:6" ht="72" customHeight="1">
      <c r="A995" s="1" t="s">
        <v>26</v>
      </c>
      <c r="B995" s="1">
        <v>0</v>
      </c>
      <c r="C995" s="1" t="s">
        <v>1026</v>
      </c>
      <c r="D995">
        <f>IMAGE("https://raw.githubusercontent.com/stautonico/pokemon-home-pokedex/main/sprites/lumineon-f.png", 2)</f>
        <v>0</v>
      </c>
      <c r="E995" s="5" t="s">
        <v>805</v>
      </c>
      <c r="F995" s="5" t="s">
        <v>805</v>
      </c>
    </row>
    <row r="996" spans="1:6" ht="72" customHeight="1">
      <c r="A996" s="1" t="s">
        <v>26</v>
      </c>
      <c r="B996" s="1">
        <v>0</v>
      </c>
      <c r="C996" s="1" t="s">
        <v>1027</v>
      </c>
      <c r="D996">
        <f>IMAGE("https://raw.githubusercontent.com/stautonico/pokemon-home-pokedex/main/sprites/snover-f.png", 2)</f>
        <v>0</v>
      </c>
      <c r="E996" s="5" t="s">
        <v>805</v>
      </c>
      <c r="F996" s="5" t="s">
        <v>805</v>
      </c>
    </row>
    <row r="997" spans="1:6" ht="72" customHeight="1">
      <c r="A997" s="1" t="s">
        <v>26</v>
      </c>
      <c r="B997" s="1">
        <v>0</v>
      </c>
      <c r="C997" s="1" t="s">
        <v>1028</v>
      </c>
      <c r="D997">
        <f>IMAGE("https://raw.githubusercontent.com/stautonico/pokemon-home-pokedex/main/sprites/abomasnow-f.png", 2)</f>
        <v>0</v>
      </c>
      <c r="E997" s="5" t="s">
        <v>805</v>
      </c>
      <c r="F997" s="5" t="s">
        <v>805</v>
      </c>
    </row>
    <row r="998" spans="1:6" ht="72" customHeight="1">
      <c r="A998" s="1" t="s">
        <v>26</v>
      </c>
      <c r="B998" s="1">
        <v>0</v>
      </c>
      <c r="C998" s="1" t="s">
        <v>1029</v>
      </c>
      <c r="D998">
        <f>IMAGE("https://raw.githubusercontent.com/stautonico/pokemon-home-pokedex/main/sprites/weavile-f.png", 2)</f>
        <v>0</v>
      </c>
      <c r="E998" s="5" t="s">
        <v>805</v>
      </c>
      <c r="F998" s="5" t="s">
        <v>805</v>
      </c>
    </row>
    <row r="999" spans="1:6" ht="72" customHeight="1">
      <c r="A999" s="1" t="s">
        <v>26</v>
      </c>
      <c r="B999" s="1">
        <v>0</v>
      </c>
      <c r="C999" s="1" t="s">
        <v>1030</v>
      </c>
      <c r="D999">
        <f>IMAGE("https://raw.githubusercontent.com/stautonico/pokemon-home-pokedex/main/sprites/rhyperior-f.png", 2)</f>
        <v>0</v>
      </c>
      <c r="E999" s="5" t="s">
        <v>805</v>
      </c>
      <c r="F999" s="5" t="s">
        <v>805</v>
      </c>
    </row>
    <row r="1000" spans="1:6" ht="72" customHeight="1">
      <c r="A1000" s="1" t="s">
        <v>26</v>
      </c>
      <c r="B1000" s="1">
        <v>0</v>
      </c>
      <c r="C1000" s="1" t="s">
        <v>1031</v>
      </c>
      <c r="D1000">
        <f>IMAGE("https://raw.githubusercontent.com/stautonico/pokemon-home-pokedex/main/sprites/tangrowth-f.png", 2)</f>
        <v>0</v>
      </c>
      <c r="E1000" s="5" t="s">
        <v>805</v>
      </c>
      <c r="F1000" s="5" t="s">
        <v>805</v>
      </c>
    </row>
    <row r="1001" spans="1:6" ht="72" customHeight="1">
      <c r="A1001" s="1" t="s">
        <v>26</v>
      </c>
      <c r="B1001" s="1">
        <v>0</v>
      </c>
      <c r="C1001" s="1" t="s">
        <v>1032</v>
      </c>
      <c r="D1001">
        <f>IMAGE("https://raw.githubusercontent.com/stautonico/pokemon-home-pokedex/main/sprites/mamoswine-f.png", 2)</f>
        <v>0</v>
      </c>
      <c r="E1001" s="5" t="s">
        <v>805</v>
      </c>
      <c r="F1001" s="5" t="s">
        <v>805</v>
      </c>
    </row>
    <row r="1002" spans="1:6" ht="72" customHeight="1">
      <c r="A1002" s="1" t="s">
        <v>26</v>
      </c>
      <c r="B1002" s="1">
        <v>0</v>
      </c>
      <c r="C1002" s="1" t="s">
        <v>1033</v>
      </c>
      <c r="D1002">
        <f>IMAGE("https://raw.githubusercontent.com/stautonico/pokemon-home-pokedex/main/sprites/unfezant-f.png", 2)</f>
        <v>0</v>
      </c>
      <c r="E1002" s="5" t="s">
        <v>805</v>
      </c>
      <c r="F1002" s="5" t="s">
        <v>805</v>
      </c>
    </row>
    <row r="1003" spans="1:6" ht="72" customHeight="1">
      <c r="A1003" s="1" t="s">
        <v>26</v>
      </c>
      <c r="B1003" s="1">
        <v>0</v>
      </c>
      <c r="C1003" s="1" t="s">
        <v>1034</v>
      </c>
      <c r="D1003">
        <f>IMAGE("https://raw.githubusercontent.com/stautonico/pokemon-home-pokedex/main/sprites/frillish-f.png", 2)</f>
        <v>0</v>
      </c>
      <c r="E1003" s="5" t="s">
        <v>805</v>
      </c>
      <c r="F1003" s="5" t="s">
        <v>805</v>
      </c>
    </row>
    <row r="1004" spans="1:6" ht="72" customHeight="1">
      <c r="A1004" s="1" t="s">
        <v>26</v>
      </c>
      <c r="B1004" s="1">
        <v>0</v>
      </c>
      <c r="C1004" s="1" t="s">
        <v>1035</v>
      </c>
      <c r="D1004">
        <f>IMAGE("https://raw.githubusercontent.com/stautonico/pokemon-home-pokedex/main/sprites/jellicent-f.png", 2)</f>
        <v>0</v>
      </c>
      <c r="E1004" s="5" t="s">
        <v>805</v>
      </c>
      <c r="F1004" s="5" t="s">
        <v>805</v>
      </c>
    </row>
    <row r="1005" spans="1:6" ht="72" customHeight="1">
      <c r="A1005" s="1" t="s">
        <v>26</v>
      </c>
      <c r="B1005" s="1">
        <v>0</v>
      </c>
      <c r="C1005" s="1" t="s">
        <v>1036</v>
      </c>
      <c r="D1005">
        <f>IMAGE("https://raw.githubusercontent.com/stautonico/pokemon-home-pokedex/main/sprites/pyroar-f.png", 2)</f>
        <v>0</v>
      </c>
      <c r="E1005" s="5" t="s">
        <v>805</v>
      </c>
      <c r="F1005" s="5" t="s">
        <v>805</v>
      </c>
    </row>
    <row r="1006" spans="1:6" ht="72" customHeight="1">
      <c r="A1006" s="1" t="s">
        <v>26</v>
      </c>
      <c r="B1006" s="1">
        <v>0</v>
      </c>
      <c r="C1006" s="1" t="s">
        <v>1037</v>
      </c>
      <c r="D1006">
        <f>IMAGE("https://raw.githubusercontent.com/stautonico/pokemon-home-pokedex/main/sprites/meowstic-f.png", 2)</f>
        <v>0</v>
      </c>
      <c r="E1006" s="5" t="s">
        <v>805</v>
      </c>
      <c r="F1006" s="5" t="s">
        <v>805</v>
      </c>
    </row>
    <row r="1007" spans="1:6" ht="72" customHeight="1">
      <c r="A1007" s="1" t="s">
        <v>26</v>
      </c>
      <c r="B1007" s="1">
        <v>0</v>
      </c>
      <c r="C1007" s="1" t="s">
        <v>1038</v>
      </c>
      <c r="D1007">
        <f>IMAGE("https://raw.githubusercontent.com/stautonico/pokemon-home-pokedex/main/sprites/indeedee-f.png", 2)</f>
        <v>0</v>
      </c>
      <c r="E1007" s="5" t="s">
        <v>805</v>
      </c>
      <c r="F1007" s="5" t="s">
        <v>805</v>
      </c>
    </row>
    <row r="1008" spans="1:6" ht="72" customHeight="1">
      <c r="A1008" s="1" t="s">
        <v>26</v>
      </c>
      <c r="B1008" s="1">
        <v>0</v>
      </c>
      <c r="C1008" s="1" t="s">
        <v>1039</v>
      </c>
      <c r="D1008">
        <f>IMAGE("https://raw.githubusercontent.com/stautonico/pokemon-home-pokedex/main/sprites/basculegion-f.png", 2)</f>
        <v>0</v>
      </c>
      <c r="E1008" s="5" t="s">
        <v>805</v>
      </c>
      <c r="F1008" s="5" t="s">
        <v>805</v>
      </c>
    </row>
    <row r="1009" spans="1:6" ht="72" customHeight="1">
      <c r="A1009" s="1" t="s">
        <v>26</v>
      </c>
      <c r="B1009" s="1">
        <v>0</v>
      </c>
      <c r="C1009" s="1" t="s">
        <v>1040</v>
      </c>
      <c r="D1009" t="s">
        <v>1041</v>
      </c>
      <c r="E1009" s="5" t="s">
        <v>805</v>
      </c>
      <c r="F1009" s="5" t="s">
        <v>805</v>
      </c>
    </row>
    <row r="1010" spans="1:6" ht="72" customHeight="1">
      <c r="A1010" s="1" t="s">
        <v>26</v>
      </c>
      <c r="B1010" s="1">
        <v>0</v>
      </c>
      <c r="C1010" s="1" t="s">
        <v>1042</v>
      </c>
      <c r="D1010" t="s">
        <v>1043</v>
      </c>
      <c r="E1010" s="5" t="s">
        <v>805</v>
      </c>
      <c r="F1010" s="5" t="s">
        <v>805</v>
      </c>
    </row>
    <row r="1011" spans="1:6" ht="72" customHeight="1">
      <c r="A1011" s="1" t="s">
        <v>26</v>
      </c>
      <c r="B1011" s="1">
        <v>0</v>
      </c>
      <c r="C1011" s="1" t="s">
        <v>1044</v>
      </c>
      <c r="D1011" t="s">
        <v>1045</v>
      </c>
      <c r="E1011" s="5" t="s">
        <v>805</v>
      </c>
      <c r="F1011" s="5" t="s">
        <v>805</v>
      </c>
    </row>
    <row r="1012" spans="1:6" ht="72" customHeight="1">
      <c r="A1012" s="1" t="s">
        <v>26</v>
      </c>
      <c r="B1012" s="1">
        <v>0</v>
      </c>
      <c r="C1012" s="1" t="s">
        <v>1046</v>
      </c>
      <c r="D1012" t="s">
        <v>1047</v>
      </c>
      <c r="E1012" s="5" t="s">
        <v>805</v>
      </c>
      <c r="F1012" s="5" t="s">
        <v>805</v>
      </c>
    </row>
    <row r="1013" spans="1:6" ht="72" customHeight="1">
      <c r="A1013" s="1" t="s">
        <v>26</v>
      </c>
      <c r="B1013" s="1">
        <v>0</v>
      </c>
      <c r="C1013" s="1" t="s">
        <v>1048</v>
      </c>
      <c r="D1013" t="s">
        <v>1049</v>
      </c>
      <c r="E1013" s="5" t="s">
        <v>805</v>
      </c>
      <c r="F1013" s="5" t="s">
        <v>805</v>
      </c>
    </row>
    <row r="1014" spans="1:6" ht="72" customHeight="1">
      <c r="A1014" s="1" t="s">
        <v>26</v>
      </c>
      <c r="B1014" s="1">
        <v>0</v>
      </c>
      <c r="C1014" s="1" t="s">
        <v>1050</v>
      </c>
      <c r="D1014" t="s">
        <v>1051</v>
      </c>
      <c r="E1014" s="5" t="s">
        <v>805</v>
      </c>
      <c r="F1014" s="5" t="s">
        <v>805</v>
      </c>
    </row>
    <row r="1015" spans="1:6" ht="72" customHeight="1">
      <c r="A1015" s="1" t="s">
        <v>26</v>
      </c>
      <c r="B1015" s="1">
        <v>0</v>
      </c>
      <c r="C1015" s="1" t="s">
        <v>1052</v>
      </c>
      <c r="D1015" t="s">
        <v>1053</v>
      </c>
      <c r="E1015" s="5" t="s">
        <v>805</v>
      </c>
      <c r="F1015" s="5" t="s">
        <v>805</v>
      </c>
    </row>
    <row r="1016" spans="1:6" ht="72" customHeight="1">
      <c r="A1016" s="1" t="s">
        <v>26</v>
      </c>
      <c r="B1016" s="1">
        <v>0</v>
      </c>
      <c r="C1016" s="1" t="s">
        <v>1054</v>
      </c>
      <c r="D1016" t="s">
        <v>1055</v>
      </c>
      <c r="E1016" s="5" t="s">
        <v>805</v>
      </c>
      <c r="F1016" s="5" t="s">
        <v>805</v>
      </c>
    </row>
    <row r="1017" spans="1:6" ht="72" customHeight="1">
      <c r="A1017" s="1" t="s">
        <v>26</v>
      </c>
      <c r="B1017" s="1">
        <v>0</v>
      </c>
      <c r="C1017" s="1" t="s">
        <v>1056</v>
      </c>
      <c r="D1017">
        <f>IMAGE("https://raw.githubusercontent.com/stautonico/pokemon-home-pokedex/main/sprites/unown-b.png", 2)</f>
        <v>0</v>
      </c>
      <c r="E1017" s="5" t="s">
        <v>805</v>
      </c>
      <c r="F1017" s="5" t="s">
        <v>805</v>
      </c>
    </row>
    <row r="1018" spans="1:6" ht="72" customHeight="1">
      <c r="A1018" s="1" t="s">
        <v>26</v>
      </c>
      <c r="B1018" s="1">
        <v>0</v>
      </c>
      <c r="C1018" s="1" t="s">
        <v>1057</v>
      </c>
      <c r="D1018">
        <f>IMAGE("https://raw.githubusercontent.com/stautonico/pokemon-home-pokedex/main/sprites/unown-c.png", 2)</f>
        <v>0</v>
      </c>
      <c r="E1018" s="5" t="s">
        <v>805</v>
      </c>
      <c r="F1018" s="5" t="s">
        <v>805</v>
      </c>
    </row>
    <row r="1019" spans="1:6" ht="72" customHeight="1">
      <c r="A1019" s="1" t="s">
        <v>26</v>
      </c>
      <c r="B1019" s="1">
        <v>0</v>
      </c>
      <c r="C1019" s="1" t="s">
        <v>1058</v>
      </c>
      <c r="D1019">
        <f>IMAGE("https://raw.githubusercontent.com/stautonico/pokemon-home-pokedex/main/sprites/unown-d.png", 2)</f>
        <v>0</v>
      </c>
      <c r="E1019" s="5" t="s">
        <v>805</v>
      </c>
      <c r="F1019" s="5" t="s">
        <v>805</v>
      </c>
    </row>
    <row r="1020" spans="1:6" ht="72" customHeight="1">
      <c r="A1020" s="1" t="s">
        <v>26</v>
      </c>
      <c r="B1020" s="1">
        <v>0</v>
      </c>
      <c r="C1020" s="1" t="s">
        <v>1059</v>
      </c>
      <c r="D1020">
        <f>IMAGE("https://raw.githubusercontent.com/stautonico/pokemon-home-pokedex/main/sprites/unown-e.png", 2)</f>
        <v>0</v>
      </c>
      <c r="E1020" s="5" t="s">
        <v>805</v>
      </c>
      <c r="F1020" s="5" t="s">
        <v>805</v>
      </c>
    </row>
    <row r="1021" spans="1:6" ht="72" customHeight="1">
      <c r="A1021" s="1" t="s">
        <v>26</v>
      </c>
      <c r="B1021" s="1">
        <v>0</v>
      </c>
      <c r="C1021" s="1" t="s">
        <v>1060</v>
      </c>
      <c r="D1021">
        <f>IMAGE("https://raw.githubusercontent.com/stautonico/pokemon-home-pokedex/main/sprites/unown-f.png", 2)</f>
        <v>0</v>
      </c>
      <c r="E1021" s="5" t="s">
        <v>805</v>
      </c>
      <c r="F1021" s="5" t="s">
        <v>805</v>
      </c>
    </row>
    <row r="1022" spans="1:6" ht="72" customHeight="1">
      <c r="A1022" s="1" t="s">
        <v>26</v>
      </c>
      <c r="B1022" s="1">
        <v>0</v>
      </c>
      <c r="C1022" s="1" t="s">
        <v>1061</v>
      </c>
      <c r="D1022">
        <f>IMAGE("https://raw.githubusercontent.com/stautonico/pokemon-home-pokedex/main/sprites/unown-g.png", 2)</f>
        <v>0</v>
      </c>
      <c r="E1022" s="5" t="s">
        <v>805</v>
      </c>
      <c r="F1022" s="5" t="s">
        <v>805</v>
      </c>
    </row>
    <row r="1023" spans="1:6" ht="72" customHeight="1">
      <c r="A1023" s="1" t="s">
        <v>26</v>
      </c>
      <c r="B1023" s="1">
        <v>0</v>
      </c>
      <c r="C1023" s="1" t="s">
        <v>1062</v>
      </c>
      <c r="D1023">
        <f>IMAGE("https://raw.githubusercontent.com/stautonico/pokemon-home-pokedex/main/sprites/unown-h.png", 2)</f>
        <v>0</v>
      </c>
      <c r="E1023" s="5" t="s">
        <v>805</v>
      </c>
      <c r="F1023" s="5" t="s">
        <v>805</v>
      </c>
    </row>
    <row r="1024" spans="1:6" ht="72" customHeight="1">
      <c r="A1024" s="1" t="s">
        <v>26</v>
      </c>
      <c r="B1024" s="1">
        <v>0</v>
      </c>
      <c r="C1024" s="1" t="s">
        <v>1063</v>
      </c>
      <c r="D1024">
        <f>IMAGE("https://raw.githubusercontent.com/stautonico/pokemon-home-pokedex/main/sprites/unown-i.png", 2)</f>
        <v>0</v>
      </c>
      <c r="E1024" s="5" t="s">
        <v>805</v>
      </c>
      <c r="F1024" s="5" t="s">
        <v>805</v>
      </c>
    </row>
    <row r="1025" spans="1:6" ht="72" customHeight="1">
      <c r="A1025" s="1" t="s">
        <v>26</v>
      </c>
      <c r="B1025" s="1">
        <v>0</v>
      </c>
      <c r="C1025" s="1" t="s">
        <v>1064</v>
      </c>
      <c r="D1025">
        <f>IMAGE("https://raw.githubusercontent.com/stautonico/pokemon-home-pokedex/main/sprites/unown-j.png", 2)</f>
        <v>0</v>
      </c>
      <c r="E1025" s="5" t="s">
        <v>805</v>
      </c>
      <c r="F1025" s="5" t="s">
        <v>805</v>
      </c>
    </row>
    <row r="1026" spans="1:6" ht="72" customHeight="1">
      <c r="A1026" s="1" t="s">
        <v>26</v>
      </c>
      <c r="B1026" s="1">
        <v>0</v>
      </c>
      <c r="C1026" s="1" t="s">
        <v>1065</v>
      </c>
      <c r="D1026">
        <f>IMAGE("https://raw.githubusercontent.com/stautonico/pokemon-home-pokedex/main/sprites/unown-k.png", 2)</f>
        <v>0</v>
      </c>
      <c r="E1026" s="5" t="s">
        <v>805</v>
      </c>
      <c r="F1026" s="5" t="s">
        <v>805</v>
      </c>
    </row>
    <row r="1027" spans="1:6" ht="72" customHeight="1">
      <c r="A1027" s="1" t="s">
        <v>26</v>
      </c>
      <c r="B1027" s="1">
        <v>0</v>
      </c>
      <c r="C1027" s="1" t="s">
        <v>1066</v>
      </c>
      <c r="D1027">
        <f>IMAGE("https://raw.githubusercontent.com/stautonico/pokemon-home-pokedex/main/sprites/unown-l.png", 2)</f>
        <v>0</v>
      </c>
      <c r="E1027" s="5" t="s">
        <v>805</v>
      </c>
      <c r="F1027" s="5" t="s">
        <v>805</v>
      </c>
    </row>
    <row r="1028" spans="1:6" ht="72" customHeight="1">
      <c r="A1028" s="1" t="s">
        <v>26</v>
      </c>
      <c r="B1028" s="1">
        <v>0</v>
      </c>
      <c r="C1028" s="1" t="s">
        <v>1067</v>
      </c>
      <c r="D1028">
        <f>IMAGE("https://raw.githubusercontent.com/stautonico/pokemon-home-pokedex/main/sprites/unown-m.png", 2)</f>
        <v>0</v>
      </c>
      <c r="E1028" s="5" t="s">
        <v>805</v>
      </c>
      <c r="F1028" s="5" t="s">
        <v>805</v>
      </c>
    </row>
    <row r="1029" spans="1:6" ht="72" customHeight="1">
      <c r="A1029" s="1" t="s">
        <v>26</v>
      </c>
      <c r="B1029" s="1">
        <v>0</v>
      </c>
      <c r="C1029" s="1" t="s">
        <v>1068</v>
      </c>
      <c r="D1029">
        <f>IMAGE("https://raw.githubusercontent.com/stautonico/pokemon-home-pokedex/main/sprites/unown-n.png", 2)</f>
        <v>0</v>
      </c>
      <c r="E1029" s="5" t="s">
        <v>805</v>
      </c>
      <c r="F1029" s="5" t="s">
        <v>805</v>
      </c>
    </row>
    <row r="1030" spans="1:6" ht="72" customHeight="1">
      <c r="A1030" s="1" t="s">
        <v>26</v>
      </c>
      <c r="B1030" s="1">
        <v>0</v>
      </c>
      <c r="C1030" s="1" t="s">
        <v>1069</v>
      </c>
      <c r="D1030">
        <f>IMAGE("https://raw.githubusercontent.com/stautonico/pokemon-home-pokedex/main/sprites/unown-o.png", 2)</f>
        <v>0</v>
      </c>
      <c r="E1030" s="5" t="s">
        <v>805</v>
      </c>
      <c r="F1030" s="5" t="s">
        <v>805</v>
      </c>
    </row>
    <row r="1031" spans="1:6" ht="72" customHeight="1">
      <c r="A1031" s="1" t="s">
        <v>26</v>
      </c>
      <c r="B1031" s="1">
        <v>0</v>
      </c>
      <c r="C1031" s="1" t="s">
        <v>1070</v>
      </c>
      <c r="D1031">
        <f>IMAGE("https://raw.githubusercontent.com/stautonico/pokemon-home-pokedex/main/sprites/unown-p.png", 2)</f>
        <v>0</v>
      </c>
      <c r="E1031" s="5" t="s">
        <v>805</v>
      </c>
      <c r="F1031" s="5" t="s">
        <v>805</v>
      </c>
    </row>
    <row r="1032" spans="1:6" ht="72" customHeight="1">
      <c r="A1032" s="1" t="s">
        <v>26</v>
      </c>
      <c r="B1032" s="1">
        <v>0</v>
      </c>
      <c r="C1032" s="1" t="s">
        <v>1071</v>
      </c>
      <c r="D1032">
        <f>IMAGE("https://raw.githubusercontent.com/stautonico/pokemon-home-pokedex/main/sprites/unown-q.png", 2)</f>
        <v>0</v>
      </c>
      <c r="E1032" s="5" t="s">
        <v>805</v>
      </c>
      <c r="F1032" s="5" t="s">
        <v>805</v>
      </c>
    </row>
    <row r="1033" spans="1:6" ht="72" customHeight="1">
      <c r="A1033" s="1" t="s">
        <v>26</v>
      </c>
      <c r="B1033" s="1">
        <v>0</v>
      </c>
      <c r="C1033" s="1" t="s">
        <v>1072</v>
      </c>
      <c r="D1033">
        <f>IMAGE("https://raw.githubusercontent.com/stautonico/pokemon-home-pokedex/main/sprites/unown-r.png", 2)</f>
        <v>0</v>
      </c>
      <c r="E1033" s="5" t="s">
        <v>805</v>
      </c>
      <c r="F1033" s="5" t="s">
        <v>805</v>
      </c>
    </row>
    <row r="1034" spans="1:6" ht="72" customHeight="1">
      <c r="A1034" s="1" t="s">
        <v>26</v>
      </c>
      <c r="B1034" s="1">
        <v>0</v>
      </c>
      <c r="C1034" s="1" t="s">
        <v>1073</v>
      </c>
      <c r="D1034">
        <f>IMAGE("https://raw.githubusercontent.com/stautonico/pokemon-home-pokedex/main/sprites/unown-s.png", 2)</f>
        <v>0</v>
      </c>
      <c r="E1034" s="5" t="s">
        <v>805</v>
      </c>
      <c r="F1034" s="5" t="s">
        <v>805</v>
      </c>
    </row>
    <row r="1035" spans="1:6" ht="72" customHeight="1">
      <c r="A1035" s="1" t="s">
        <v>26</v>
      </c>
      <c r="B1035" s="1">
        <v>0</v>
      </c>
      <c r="C1035" s="1" t="s">
        <v>1074</v>
      </c>
      <c r="D1035">
        <f>IMAGE("https://raw.githubusercontent.com/stautonico/pokemon-home-pokedex/main/sprites/unown-t.png", 2)</f>
        <v>0</v>
      </c>
      <c r="E1035" s="5" t="s">
        <v>805</v>
      </c>
      <c r="F1035" s="5" t="s">
        <v>805</v>
      </c>
    </row>
    <row r="1036" spans="1:6" ht="72" customHeight="1">
      <c r="A1036" s="1" t="s">
        <v>26</v>
      </c>
      <c r="B1036" s="1">
        <v>0</v>
      </c>
      <c r="C1036" s="1" t="s">
        <v>1075</v>
      </c>
      <c r="D1036">
        <f>IMAGE("https://raw.githubusercontent.com/stautonico/pokemon-home-pokedex/main/sprites/unown-u.png", 2)</f>
        <v>0</v>
      </c>
      <c r="E1036" s="5" t="s">
        <v>805</v>
      </c>
      <c r="F1036" s="5" t="s">
        <v>805</v>
      </c>
    </row>
    <row r="1037" spans="1:6" ht="72" customHeight="1">
      <c r="A1037" s="1" t="s">
        <v>26</v>
      </c>
      <c r="B1037" s="1">
        <v>0</v>
      </c>
      <c r="C1037" s="1" t="s">
        <v>1076</v>
      </c>
      <c r="D1037">
        <f>IMAGE("https://raw.githubusercontent.com/stautonico/pokemon-home-pokedex/main/sprites/unown-v.png", 2)</f>
        <v>0</v>
      </c>
      <c r="E1037" s="5" t="s">
        <v>805</v>
      </c>
      <c r="F1037" s="5" t="s">
        <v>805</v>
      </c>
    </row>
    <row r="1038" spans="1:6" ht="72" customHeight="1">
      <c r="A1038" s="1" t="s">
        <v>26</v>
      </c>
      <c r="B1038" s="1">
        <v>0</v>
      </c>
      <c r="C1038" s="1" t="s">
        <v>1077</v>
      </c>
      <c r="D1038">
        <f>IMAGE("https://raw.githubusercontent.com/stautonico/pokemon-home-pokedex/main/sprites/unown-w.png", 2)</f>
        <v>0</v>
      </c>
      <c r="E1038" s="5" t="s">
        <v>805</v>
      </c>
      <c r="F1038" s="5" t="s">
        <v>805</v>
      </c>
    </row>
    <row r="1039" spans="1:6" ht="72" customHeight="1">
      <c r="A1039" s="1" t="s">
        <v>26</v>
      </c>
      <c r="B1039" s="1">
        <v>0</v>
      </c>
      <c r="C1039" s="1" t="s">
        <v>1078</v>
      </c>
      <c r="D1039">
        <f>IMAGE("https://raw.githubusercontent.com/stautonico/pokemon-home-pokedex/main/sprites/unown-x.png", 2)</f>
        <v>0</v>
      </c>
      <c r="E1039" s="5" t="s">
        <v>805</v>
      </c>
      <c r="F1039" s="5" t="s">
        <v>805</v>
      </c>
    </row>
    <row r="1040" spans="1:6" ht="72" customHeight="1">
      <c r="A1040" s="1" t="s">
        <v>26</v>
      </c>
      <c r="B1040" s="1">
        <v>0</v>
      </c>
      <c r="C1040" s="1" t="s">
        <v>1079</v>
      </c>
      <c r="D1040">
        <f>IMAGE("https://raw.githubusercontent.com/stautonico/pokemon-home-pokedex/main/sprites/unown-y.png", 2)</f>
        <v>0</v>
      </c>
      <c r="E1040" s="5" t="s">
        <v>805</v>
      </c>
      <c r="F1040" s="5" t="s">
        <v>805</v>
      </c>
    </row>
    <row r="1041" spans="1:6" ht="72" customHeight="1">
      <c r="A1041" s="1" t="s">
        <v>26</v>
      </c>
      <c r="B1041" s="1">
        <v>0</v>
      </c>
      <c r="C1041" s="1" t="s">
        <v>1080</v>
      </c>
      <c r="D1041">
        <f>IMAGE("https://raw.githubusercontent.com/stautonico/pokemon-home-pokedex/main/sprites/unown-z.png", 2)</f>
        <v>0</v>
      </c>
      <c r="E1041" s="5" t="s">
        <v>805</v>
      </c>
      <c r="F1041" s="5" t="s">
        <v>805</v>
      </c>
    </row>
    <row r="1042" spans="1:6" ht="72" customHeight="1">
      <c r="A1042" s="1" t="s">
        <v>26</v>
      </c>
      <c r="B1042" s="1">
        <v>0</v>
      </c>
      <c r="C1042" s="1" t="s">
        <v>1081</v>
      </c>
      <c r="D1042">
        <f>IMAGE("https://raw.githubusercontent.com/stautonico/pokemon-home-pokedex/main/sprites/unown-exclamation.png", 2)</f>
        <v>0</v>
      </c>
      <c r="E1042" s="5" t="s">
        <v>805</v>
      </c>
      <c r="F1042" s="5" t="s">
        <v>805</v>
      </c>
    </row>
    <row r="1043" spans="1:6" ht="72" customHeight="1">
      <c r="A1043" s="1" t="s">
        <v>26</v>
      </c>
      <c r="B1043" s="1">
        <v>0</v>
      </c>
      <c r="C1043" s="1" t="s">
        <v>1082</v>
      </c>
      <c r="D1043">
        <f>IMAGE("https://raw.githubusercontent.com/stautonico/pokemon-home-pokedex/main/sprites/unown-question.png", 2)</f>
        <v>0</v>
      </c>
      <c r="E1043" s="5" t="s">
        <v>805</v>
      </c>
      <c r="F1043" s="5" t="s">
        <v>805</v>
      </c>
    </row>
    <row r="1044" spans="1:6" ht="72" customHeight="1">
      <c r="A1044" s="1" t="s">
        <v>26</v>
      </c>
      <c r="B1044" s="1">
        <v>10001</v>
      </c>
      <c r="C1044" s="1" t="s">
        <v>1083</v>
      </c>
      <c r="D1044">
        <f>IMAGE("https://raw.githubusercontent.com/stautonico/pokemon-home-pokedex/main/sprites/deoxys-attack.png", 2)</f>
        <v>0</v>
      </c>
      <c r="E1044" s="5" t="s">
        <v>805</v>
      </c>
      <c r="F1044" s="5" t="s">
        <v>805</v>
      </c>
    </row>
    <row r="1045" spans="1:6" ht="72" customHeight="1">
      <c r="A1045" s="1" t="s">
        <v>26</v>
      </c>
      <c r="B1045" s="1">
        <v>10002</v>
      </c>
      <c r="C1045" s="1" t="s">
        <v>1084</v>
      </c>
      <c r="D1045">
        <f>IMAGE("https://raw.githubusercontent.com/stautonico/pokemon-home-pokedex/main/sprites/deoxys-defense.png", 2)</f>
        <v>0</v>
      </c>
      <c r="E1045" s="5" t="s">
        <v>805</v>
      </c>
      <c r="F1045" s="5" t="s">
        <v>805</v>
      </c>
    </row>
    <row r="1046" spans="1:6" ht="72" customHeight="1">
      <c r="A1046" s="1" t="s">
        <v>26</v>
      </c>
      <c r="B1046" s="1">
        <v>10003</v>
      </c>
      <c r="C1046" s="1" t="s">
        <v>1085</v>
      </c>
      <c r="D1046">
        <f>IMAGE("https://raw.githubusercontent.com/stautonico/pokemon-home-pokedex/main/sprites/deoxys-speed.png", 2)</f>
        <v>0</v>
      </c>
      <c r="E1046" s="5" t="s">
        <v>805</v>
      </c>
      <c r="F1046" s="5" t="s">
        <v>805</v>
      </c>
    </row>
    <row r="1047" spans="1:6" ht="72" customHeight="1">
      <c r="A1047" s="1" t="s">
        <v>26</v>
      </c>
      <c r="B1047" s="1">
        <v>0</v>
      </c>
      <c r="C1047" s="1" t="s">
        <v>1086</v>
      </c>
      <c r="D1047">
        <f>IMAGE("https://raw.githubusercontent.com/stautonico/pokemon-home-pokedex/main/sprites/burmy-sandy.png", 2)</f>
        <v>0</v>
      </c>
      <c r="E1047" s="5" t="s">
        <v>805</v>
      </c>
      <c r="F1047" s="5" t="s">
        <v>805</v>
      </c>
    </row>
    <row r="1048" spans="1:6" ht="72" customHeight="1">
      <c r="A1048" s="1" t="s">
        <v>26</v>
      </c>
      <c r="B1048" s="1">
        <v>0</v>
      </c>
      <c r="C1048" s="1" t="s">
        <v>1087</v>
      </c>
      <c r="D1048">
        <f>IMAGE("https://raw.githubusercontent.com/stautonico/pokemon-home-pokedex/main/sprites/burmy-trash.png", 2)</f>
        <v>0</v>
      </c>
      <c r="E1048" s="5" t="s">
        <v>805</v>
      </c>
      <c r="F1048" s="5" t="s">
        <v>805</v>
      </c>
    </row>
    <row r="1049" spans="1:6" ht="72" customHeight="1">
      <c r="A1049" s="1" t="s">
        <v>26</v>
      </c>
      <c r="B1049" s="1">
        <v>10004</v>
      </c>
      <c r="C1049" s="1" t="s">
        <v>1088</v>
      </c>
      <c r="D1049">
        <f>IMAGE("https://raw.githubusercontent.com/stautonico/pokemon-home-pokedex/main/sprites/wormadam-sandy.png", 2)</f>
        <v>0</v>
      </c>
      <c r="E1049" s="5" t="s">
        <v>805</v>
      </c>
      <c r="F1049" s="5" t="s">
        <v>805</v>
      </c>
    </row>
    <row r="1050" spans="1:6" ht="72" customHeight="1">
      <c r="A1050" s="1" t="s">
        <v>26</v>
      </c>
      <c r="B1050" s="1">
        <v>10005</v>
      </c>
      <c r="C1050" s="1" t="s">
        <v>1089</v>
      </c>
      <c r="D1050">
        <f>IMAGE("https://raw.githubusercontent.com/stautonico/pokemon-home-pokedex/main/sprites/wormadam-trash.png", 2)</f>
        <v>0</v>
      </c>
      <c r="E1050" s="5" t="s">
        <v>805</v>
      </c>
      <c r="F1050" s="5" t="s">
        <v>805</v>
      </c>
    </row>
    <row r="1051" spans="1:6" ht="72" customHeight="1">
      <c r="A1051" s="1" t="s">
        <v>26</v>
      </c>
      <c r="B1051" s="1">
        <v>0</v>
      </c>
      <c r="C1051" s="1" t="s">
        <v>1090</v>
      </c>
      <c r="D1051">
        <f>IMAGE("https://raw.githubusercontent.com/stautonico/pokemon-home-pokedex/main/sprites/shellos-east.png", 2)</f>
        <v>0</v>
      </c>
      <c r="E1051" s="5" t="s">
        <v>805</v>
      </c>
      <c r="F1051" s="5" t="s">
        <v>805</v>
      </c>
    </row>
    <row r="1052" spans="1:6" ht="72" customHeight="1">
      <c r="A1052" s="1" t="s">
        <v>26</v>
      </c>
      <c r="B1052" s="1">
        <v>0</v>
      </c>
      <c r="C1052" s="1" t="s">
        <v>1091</v>
      </c>
      <c r="D1052">
        <f>IMAGE("https://raw.githubusercontent.com/stautonico/pokemon-home-pokedex/main/sprites/gastrodon-east.png", 2)</f>
        <v>0</v>
      </c>
      <c r="E1052" s="5" t="s">
        <v>805</v>
      </c>
      <c r="F1052" s="5" t="s">
        <v>805</v>
      </c>
    </row>
    <row r="1053" spans="1:6" ht="72" customHeight="1">
      <c r="A1053" s="1" t="s">
        <v>26</v>
      </c>
      <c r="B1053" s="1">
        <v>10008</v>
      </c>
      <c r="C1053" s="1" t="s">
        <v>1092</v>
      </c>
      <c r="D1053">
        <f>IMAGE("https://raw.githubusercontent.com/stautonico/pokemon-home-pokedex/main/sprites/rotom-heat.png", 2)</f>
        <v>0</v>
      </c>
      <c r="E1053" s="5" t="s">
        <v>805</v>
      </c>
      <c r="F1053" s="5" t="s">
        <v>805</v>
      </c>
    </row>
    <row r="1054" spans="1:6" ht="72" customHeight="1">
      <c r="A1054" s="1" t="s">
        <v>26</v>
      </c>
      <c r="B1054" s="1">
        <v>10009</v>
      </c>
      <c r="C1054" s="1" t="s">
        <v>1093</v>
      </c>
      <c r="D1054">
        <f>IMAGE("https://raw.githubusercontent.com/stautonico/pokemon-home-pokedex/main/sprites/rotom-wash.png", 2)</f>
        <v>0</v>
      </c>
      <c r="E1054" s="5" t="s">
        <v>805</v>
      </c>
      <c r="F1054" s="5" t="s">
        <v>805</v>
      </c>
    </row>
    <row r="1055" spans="1:6" ht="72" customHeight="1">
      <c r="A1055" s="1" t="s">
        <v>26</v>
      </c>
      <c r="B1055" s="1">
        <v>10010</v>
      </c>
      <c r="C1055" s="1" t="s">
        <v>1094</v>
      </c>
      <c r="D1055">
        <f>IMAGE("https://raw.githubusercontent.com/stautonico/pokemon-home-pokedex/main/sprites/rotom-frost.png", 2)</f>
        <v>0</v>
      </c>
      <c r="E1055" s="5" t="s">
        <v>805</v>
      </c>
      <c r="F1055" s="5" t="s">
        <v>805</v>
      </c>
    </row>
    <row r="1056" spans="1:6" ht="72" customHeight="1">
      <c r="A1056" s="1" t="s">
        <v>26</v>
      </c>
      <c r="B1056" s="1">
        <v>10011</v>
      </c>
      <c r="C1056" s="1" t="s">
        <v>1095</v>
      </c>
      <c r="D1056">
        <f>IMAGE("https://raw.githubusercontent.com/stautonico/pokemon-home-pokedex/main/sprites/rotom-fan.png", 2)</f>
        <v>0</v>
      </c>
      <c r="E1056" s="5" t="s">
        <v>805</v>
      </c>
      <c r="F1056" s="5" t="s">
        <v>805</v>
      </c>
    </row>
    <row r="1057" spans="1:6" ht="72" customHeight="1">
      <c r="A1057" s="1" t="s">
        <v>26</v>
      </c>
      <c r="B1057" s="1">
        <v>10012</v>
      </c>
      <c r="C1057" s="1" t="s">
        <v>1096</v>
      </c>
      <c r="D1057">
        <f>IMAGE("https://raw.githubusercontent.com/stautonico/pokemon-home-pokedex/main/sprites/rotom-mow.png", 2)</f>
        <v>0</v>
      </c>
      <c r="E1057" s="5" t="s">
        <v>805</v>
      </c>
      <c r="F1057" s="5" t="s">
        <v>805</v>
      </c>
    </row>
    <row r="1058" spans="1:6" ht="72" customHeight="1">
      <c r="A1058" s="1" t="s">
        <v>26</v>
      </c>
      <c r="B1058" s="1">
        <v>10006</v>
      </c>
      <c r="C1058" s="1" t="s">
        <v>1097</v>
      </c>
      <c r="D1058">
        <f>IMAGE("https://raw.githubusercontent.com/stautonico/pokemon-home-pokedex/main/sprites/shaymin-sky.png", 2)</f>
        <v>0</v>
      </c>
      <c r="E1058" s="5" t="s">
        <v>805</v>
      </c>
      <c r="F1058" s="5" t="s">
        <v>805</v>
      </c>
    </row>
    <row r="1059" spans="1:6" ht="72" customHeight="1">
      <c r="A1059" s="1" t="s">
        <v>26</v>
      </c>
      <c r="B1059" s="1">
        <v>0</v>
      </c>
      <c r="C1059" s="1" t="s">
        <v>1098</v>
      </c>
      <c r="D1059">
        <f>IMAGE("https://raw.githubusercontent.com/stautonico/pokemon-home-pokedex/main/sprites/deerling-summer.png", 2)</f>
        <v>0</v>
      </c>
      <c r="E1059" s="5" t="s">
        <v>805</v>
      </c>
      <c r="F1059" s="5" t="s">
        <v>805</v>
      </c>
    </row>
    <row r="1060" spans="1:6" ht="72" customHeight="1">
      <c r="A1060" s="1" t="s">
        <v>26</v>
      </c>
      <c r="B1060" s="1">
        <v>0</v>
      </c>
      <c r="C1060" s="1" t="s">
        <v>1099</v>
      </c>
      <c r="D1060">
        <f>IMAGE("https://raw.githubusercontent.com/stautonico/pokemon-home-pokedex/main/sprites/deerling-autumn.png", 2)</f>
        <v>0</v>
      </c>
      <c r="E1060" s="5" t="s">
        <v>805</v>
      </c>
      <c r="F1060" s="5" t="s">
        <v>805</v>
      </c>
    </row>
    <row r="1061" spans="1:6" ht="72" customHeight="1">
      <c r="A1061" s="1" t="s">
        <v>26</v>
      </c>
      <c r="B1061" s="1">
        <v>0</v>
      </c>
      <c r="C1061" s="1" t="s">
        <v>1100</v>
      </c>
      <c r="D1061">
        <f>IMAGE("https://raw.githubusercontent.com/stautonico/pokemon-home-pokedex/main/sprites/deerling-winter.png", 2)</f>
        <v>0</v>
      </c>
      <c r="E1061" s="5" t="s">
        <v>805</v>
      </c>
      <c r="F1061" s="5" t="s">
        <v>805</v>
      </c>
    </row>
    <row r="1062" spans="1:6" ht="72" customHeight="1">
      <c r="A1062" s="1" t="s">
        <v>26</v>
      </c>
      <c r="B1062" s="1">
        <v>0</v>
      </c>
      <c r="C1062" s="1" t="s">
        <v>1101</v>
      </c>
      <c r="D1062">
        <f>IMAGE("https://raw.githubusercontent.com/stautonico/pokemon-home-pokedex/main/sprites/sawsbuck-summer.png", 2)</f>
        <v>0</v>
      </c>
      <c r="E1062" s="5" t="s">
        <v>805</v>
      </c>
      <c r="F1062" s="5" t="s">
        <v>805</v>
      </c>
    </row>
    <row r="1063" spans="1:6" ht="72" customHeight="1">
      <c r="A1063" s="1" t="s">
        <v>26</v>
      </c>
      <c r="B1063" s="1">
        <v>0</v>
      </c>
      <c r="C1063" s="1" t="s">
        <v>1102</v>
      </c>
      <c r="D1063">
        <f>IMAGE("https://raw.githubusercontent.com/stautonico/pokemon-home-pokedex/main/sprites/sawsbuck-autumn.png", 2)</f>
        <v>0</v>
      </c>
      <c r="E1063" s="5" t="s">
        <v>805</v>
      </c>
      <c r="F1063" s="5" t="s">
        <v>805</v>
      </c>
    </row>
    <row r="1064" spans="1:6" ht="72" customHeight="1">
      <c r="A1064" s="1" t="s">
        <v>26</v>
      </c>
      <c r="B1064" s="1">
        <v>0</v>
      </c>
      <c r="C1064" s="1" t="s">
        <v>1103</v>
      </c>
      <c r="D1064">
        <f>IMAGE("https://raw.githubusercontent.com/stautonico/pokemon-home-pokedex/main/sprites/sawsbuck-winter.png", 2)</f>
        <v>0</v>
      </c>
      <c r="E1064" s="5" t="s">
        <v>805</v>
      </c>
      <c r="F1064" s="5" t="s">
        <v>805</v>
      </c>
    </row>
    <row r="1065" spans="1:6" ht="72" customHeight="1">
      <c r="A1065" s="1" t="s">
        <v>26</v>
      </c>
      <c r="B1065" s="1">
        <v>10016</v>
      </c>
      <c r="C1065" s="1" t="s">
        <v>1104</v>
      </c>
      <c r="D1065">
        <f>IMAGE("https://raw.githubusercontent.com/stautonico/pokemon-home-pokedex/main/sprites/basculin-blue-striped.png", 2)</f>
        <v>0</v>
      </c>
      <c r="E1065" s="5" t="s">
        <v>805</v>
      </c>
      <c r="F1065" s="5" t="s">
        <v>805</v>
      </c>
    </row>
    <row r="1066" spans="1:6" ht="72" customHeight="1">
      <c r="A1066" s="1" t="s">
        <v>26</v>
      </c>
      <c r="B1066" s="1">
        <v>10019</v>
      </c>
      <c r="C1066" s="1" t="s">
        <v>1105</v>
      </c>
      <c r="D1066">
        <f>IMAGE("https://raw.githubusercontent.com/stautonico/pokemon-home-pokedex/main/sprites/tornadus-therian.png", 2)</f>
        <v>0</v>
      </c>
      <c r="E1066" s="5" t="s">
        <v>805</v>
      </c>
      <c r="F1066" s="5" t="s">
        <v>805</v>
      </c>
    </row>
    <row r="1067" spans="1:6" ht="72" customHeight="1">
      <c r="A1067" s="1" t="s">
        <v>26</v>
      </c>
      <c r="B1067" s="1">
        <v>10020</v>
      </c>
      <c r="C1067" s="1" t="s">
        <v>1106</v>
      </c>
      <c r="D1067">
        <f>IMAGE("https://raw.githubusercontent.com/stautonico/pokemon-home-pokedex/main/sprites/thundurus-therian.png", 2)</f>
        <v>0</v>
      </c>
      <c r="E1067" s="5" t="s">
        <v>805</v>
      </c>
      <c r="F1067" s="5" t="s">
        <v>805</v>
      </c>
    </row>
    <row r="1068" spans="1:6" ht="72" customHeight="1">
      <c r="A1068" s="1" t="s">
        <v>26</v>
      </c>
      <c r="B1068" s="1">
        <v>10021</v>
      </c>
      <c r="C1068" s="1" t="s">
        <v>1107</v>
      </c>
      <c r="D1068">
        <f>IMAGE("https://raw.githubusercontent.com/stautonico/pokemon-home-pokedex/main/sprites/landorus-therian.png", 2)</f>
        <v>0</v>
      </c>
      <c r="E1068" s="5" t="s">
        <v>805</v>
      </c>
      <c r="F1068" s="5" t="s">
        <v>805</v>
      </c>
    </row>
    <row r="1069" spans="1:6" ht="72" customHeight="1">
      <c r="A1069" s="1" t="s">
        <v>26</v>
      </c>
      <c r="B1069" s="1">
        <v>10024</v>
      </c>
      <c r="C1069" s="1" t="s">
        <v>1108</v>
      </c>
      <c r="D1069">
        <f>IMAGE("https://raw.githubusercontent.com/stautonico/pokemon-home-pokedex/main/sprites/keldeo-resolute.png", 2)</f>
        <v>0</v>
      </c>
      <c r="E1069" s="5" t="s">
        <v>805</v>
      </c>
      <c r="F1069" s="5" t="s">
        <v>805</v>
      </c>
    </row>
    <row r="1070" spans="1:6" ht="72" customHeight="1">
      <c r="A1070" s="1" t="s">
        <v>26</v>
      </c>
      <c r="B1070" s="1">
        <v>10027</v>
      </c>
      <c r="C1070" s="1" t="s">
        <v>1109</v>
      </c>
      <c r="D1070">
        <f>IMAGE("https://raw.githubusercontent.com/stautonico/pokemon-home-pokedex/main/sprites/pumpkaboo-small.png", 2)</f>
        <v>0</v>
      </c>
      <c r="E1070" s="5" t="s">
        <v>805</v>
      </c>
      <c r="F1070" s="5" t="s">
        <v>805</v>
      </c>
    </row>
    <row r="1071" spans="1:6" ht="72" customHeight="1">
      <c r="A1071" s="1" t="s">
        <v>26</v>
      </c>
      <c r="B1071" s="1">
        <v>10028</v>
      </c>
      <c r="C1071" s="1" t="s">
        <v>1110</v>
      </c>
      <c r="D1071">
        <f>IMAGE("https://raw.githubusercontent.com/stautonico/pokemon-home-pokedex/main/sprites/pumpkaboo-large.png", 2)</f>
        <v>0</v>
      </c>
      <c r="E1071" s="5" t="s">
        <v>805</v>
      </c>
      <c r="F1071" s="5" t="s">
        <v>805</v>
      </c>
    </row>
    <row r="1072" spans="1:6" ht="72" customHeight="1">
      <c r="A1072" s="1" t="s">
        <v>26</v>
      </c>
      <c r="B1072" s="1">
        <v>10029</v>
      </c>
      <c r="C1072" s="1" t="s">
        <v>1111</v>
      </c>
      <c r="D1072">
        <f>IMAGE("https://raw.githubusercontent.com/stautonico/pokemon-home-pokedex/main/sprites/pumpkaboo-super.png", 2)</f>
        <v>0</v>
      </c>
      <c r="E1072" s="5" t="s">
        <v>805</v>
      </c>
      <c r="F1072" s="5" t="s">
        <v>805</v>
      </c>
    </row>
    <row r="1073" spans="1:6" ht="72" customHeight="1">
      <c r="A1073" s="1" t="s">
        <v>26</v>
      </c>
      <c r="B1073" s="1">
        <v>10030</v>
      </c>
      <c r="C1073" s="1" t="s">
        <v>1112</v>
      </c>
      <c r="D1073">
        <f>IMAGE("https://raw.githubusercontent.com/stautonico/pokemon-home-pokedex/main/sprites/gourgeist-small.png", 2)</f>
        <v>0</v>
      </c>
      <c r="E1073" s="5" t="s">
        <v>805</v>
      </c>
      <c r="F1073" s="5" t="s">
        <v>805</v>
      </c>
    </row>
    <row r="1074" spans="1:6" ht="72" customHeight="1">
      <c r="A1074" s="1" t="s">
        <v>26</v>
      </c>
      <c r="B1074" s="1">
        <v>10031</v>
      </c>
      <c r="C1074" s="1" t="s">
        <v>1113</v>
      </c>
      <c r="D1074">
        <f>IMAGE("https://raw.githubusercontent.com/stautonico/pokemon-home-pokedex/main/sprites/gourgeist-large.png", 2)</f>
        <v>0</v>
      </c>
      <c r="E1074" s="5" t="s">
        <v>805</v>
      </c>
      <c r="F1074" s="5" t="s">
        <v>805</v>
      </c>
    </row>
    <row r="1075" spans="1:6" ht="72" customHeight="1">
      <c r="A1075" s="1" t="s">
        <v>26</v>
      </c>
      <c r="B1075" s="1">
        <v>10032</v>
      </c>
      <c r="C1075" s="1" t="s">
        <v>1114</v>
      </c>
      <c r="D1075">
        <f>IMAGE("https://raw.githubusercontent.com/stautonico/pokemon-home-pokedex/main/sprites/gourgeist-super.png", 2)</f>
        <v>0</v>
      </c>
      <c r="E1075" s="5" t="s">
        <v>805</v>
      </c>
      <c r="F1075" s="5" t="s">
        <v>805</v>
      </c>
    </row>
    <row r="1076" spans="1:6" ht="72" customHeight="1">
      <c r="A1076" s="1" t="s">
        <v>26</v>
      </c>
      <c r="B1076" s="1">
        <v>0</v>
      </c>
      <c r="C1076" s="1" t="s">
        <v>1115</v>
      </c>
      <c r="D1076">
        <f>IMAGE("https://raw.githubusercontent.com/stautonico/pokemon-home-pokedex/main/sprites/furfrou-heart.png", 2)</f>
        <v>0</v>
      </c>
      <c r="E1076" s="5" t="s">
        <v>805</v>
      </c>
      <c r="F1076" s="5" t="s">
        <v>805</v>
      </c>
    </row>
    <row r="1077" spans="1:6" ht="72" customHeight="1">
      <c r="A1077" s="1" t="s">
        <v>26</v>
      </c>
      <c r="B1077" s="1">
        <v>0</v>
      </c>
      <c r="C1077" s="1" t="s">
        <v>1116</v>
      </c>
      <c r="D1077">
        <f>IMAGE("https://raw.githubusercontent.com/stautonico/pokemon-home-pokedex/main/sprites/furfrou-star.png", 2)</f>
        <v>0</v>
      </c>
      <c r="E1077" s="5" t="s">
        <v>805</v>
      </c>
      <c r="F1077" s="5" t="s">
        <v>805</v>
      </c>
    </row>
    <row r="1078" spans="1:6" ht="72" customHeight="1">
      <c r="A1078" s="1" t="s">
        <v>26</v>
      </c>
      <c r="B1078" s="1">
        <v>0</v>
      </c>
      <c r="C1078" s="1" t="s">
        <v>1117</v>
      </c>
      <c r="D1078">
        <f>IMAGE("https://raw.githubusercontent.com/stautonico/pokemon-home-pokedex/main/sprites/furfrou-diamond.png", 2)</f>
        <v>0</v>
      </c>
      <c r="E1078" s="5" t="s">
        <v>805</v>
      </c>
      <c r="F1078" s="5" t="s">
        <v>805</v>
      </c>
    </row>
    <row r="1079" spans="1:6" ht="72" customHeight="1">
      <c r="A1079" s="1" t="s">
        <v>26</v>
      </c>
      <c r="B1079" s="1">
        <v>0</v>
      </c>
      <c r="C1079" s="1" t="s">
        <v>1118</v>
      </c>
      <c r="D1079">
        <f>IMAGE("https://raw.githubusercontent.com/stautonico/pokemon-home-pokedex/main/sprites/furfrou-debutante.png", 2)</f>
        <v>0</v>
      </c>
      <c r="E1079" s="5" t="s">
        <v>805</v>
      </c>
      <c r="F1079" s="5" t="s">
        <v>805</v>
      </c>
    </row>
    <row r="1080" spans="1:6" ht="72" customHeight="1">
      <c r="A1080" s="1" t="s">
        <v>26</v>
      </c>
      <c r="B1080" s="1">
        <v>0</v>
      </c>
      <c r="C1080" s="1" t="s">
        <v>1119</v>
      </c>
      <c r="D1080">
        <f>IMAGE("https://raw.githubusercontent.com/stautonico/pokemon-home-pokedex/main/sprites/furfrou-matron.png", 2)</f>
        <v>0</v>
      </c>
      <c r="E1080" s="5" t="s">
        <v>805</v>
      </c>
      <c r="F1080" s="5" t="s">
        <v>805</v>
      </c>
    </row>
    <row r="1081" spans="1:6" ht="72" customHeight="1">
      <c r="A1081" s="1" t="s">
        <v>26</v>
      </c>
      <c r="B1081" s="1">
        <v>0</v>
      </c>
      <c r="C1081" s="1" t="s">
        <v>1120</v>
      </c>
      <c r="D1081">
        <f>IMAGE("https://raw.githubusercontent.com/stautonico/pokemon-home-pokedex/main/sprites/furfrou-dandy.png", 2)</f>
        <v>0</v>
      </c>
      <c r="E1081" s="5" t="s">
        <v>805</v>
      </c>
      <c r="F1081" s="5" t="s">
        <v>805</v>
      </c>
    </row>
    <row r="1082" spans="1:6" ht="72" customHeight="1">
      <c r="A1082" s="1" t="s">
        <v>26</v>
      </c>
      <c r="B1082" s="1">
        <v>0</v>
      </c>
      <c r="C1082" s="1" t="s">
        <v>1121</v>
      </c>
      <c r="D1082">
        <f>IMAGE("https://raw.githubusercontent.com/stautonico/pokemon-home-pokedex/main/sprites/furfrou-la-reine.png", 2)</f>
        <v>0</v>
      </c>
      <c r="E1082" s="5" t="s">
        <v>805</v>
      </c>
      <c r="F1082" s="5" t="s">
        <v>805</v>
      </c>
    </row>
    <row r="1083" spans="1:6" ht="72" customHeight="1">
      <c r="A1083" s="1" t="s">
        <v>26</v>
      </c>
      <c r="B1083" s="1">
        <v>0</v>
      </c>
      <c r="C1083" s="1" t="s">
        <v>1122</v>
      </c>
      <c r="D1083">
        <f>IMAGE("https://raw.githubusercontent.com/stautonico/pokemon-home-pokedex/main/sprites/furfrou-kabuki.png", 2)</f>
        <v>0</v>
      </c>
      <c r="E1083" s="5" t="s">
        <v>805</v>
      </c>
      <c r="F1083" s="5" t="s">
        <v>805</v>
      </c>
    </row>
    <row r="1084" spans="1:6" ht="72" customHeight="1">
      <c r="A1084" s="1" t="s">
        <v>26</v>
      </c>
      <c r="B1084" s="1">
        <v>0</v>
      </c>
      <c r="C1084" s="1" t="s">
        <v>1123</v>
      </c>
      <c r="D1084">
        <f>IMAGE("https://raw.githubusercontent.com/stautonico/pokemon-home-pokedex/main/sprites/furfrou-pharaoh.png", 2)</f>
        <v>0</v>
      </c>
      <c r="E1084" s="5" t="s">
        <v>805</v>
      </c>
      <c r="F1084" s="5" t="s">
        <v>805</v>
      </c>
    </row>
    <row r="1085" spans="1:6" ht="72" customHeight="1">
      <c r="A1085" s="1" t="s">
        <v>26</v>
      </c>
      <c r="B1085" s="1">
        <v>0</v>
      </c>
      <c r="C1085" s="1" t="s">
        <v>1124</v>
      </c>
      <c r="D1085">
        <f>IMAGE("https://raw.githubusercontent.com/stautonico/pokemon-home-pokedex/main/sprites/flabebe-yellow.png", 2)</f>
        <v>0</v>
      </c>
      <c r="E1085" s="5" t="s">
        <v>805</v>
      </c>
      <c r="F1085" s="5" t="s">
        <v>805</v>
      </c>
    </row>
    <row r="1086" spans="1:6" ht="72" customHeight="1">
      <c r="A1086" s="1" t="s">
        <v>26</v>
      </c>
      <c r="B1086" s="1">
        <v>0</v>
      </c>
      <c r="C1086" s="1" t="s">
        <v>1125</v>
      </c>
      <c r="D1086">
        <f>IMAGE("https://raw.githubusercontent.com/stautonico/pokemon-home-pokedex/main/sprites/flabebe-orange.png", 2)</f>
        <v>0</v>
      </c>
      <c r="E1086" s="5" t="s">
        <v>805</v>
      </c>
      <c r="F1086" s="5" t="s">
        <v>805</v>
      </c>
    </row>
    <row r="1087" spans="1:6" ht="72" customHeight="1">
      <c r="A1087" s="1" t="s">
        <v>26</v>
      </c>
      <c r="B1087" s="1">
        <v>0</v>
      </c>
      <c r="C1087" s="1" t="s">
        <v>1126</v>
      </c>
      <c r="D1087">
        <f>IMAGE("https://raw.githubusercontent.com/stautonico/pokemon-home-pokedex/main/sprites/flabebe-blue.png", 2)</f>
        <v>0</v>
      </c>
      <c r="E1087" s="5" t="s">
        <v>805</v>
      </c>
      <c r="F1087" s="5" t="s">
        <v>805</v>
      </c>
    </row>
    <row r="1088" spans="1:6" ht="72" customHeight="1">
      <c r="A1088" s="1" t="s">
        <v>26</v>
      </c>
      <c r="B1088" s="1">
        <v>0</v>
      </c>
      <c r="C1088" s="1" t="s">
        <v>1127</v>
      </c>
      <c r="D1088">
        <f>IMAGE("https://raw.githubusercontent.com/stautonico/pokemon-home-pokedex/main/sprites/flabebe-white.png", 2)</f>
        <v>0</v>
      </c>
      <c r="E1088" s="5" t="s">
        <v>805</v>
      </c>
      <c r="F1088" s="5" t="s">
        <v>805</v>
      </c>
    </row>
    <row r="1089" spans="1:6" ht="72" customHeight="1">
      <c r="A1089" s="1" t="s">
        <v>26</v>
      </c>
      <c r="B1089" s="1">
        <v>0</v>
      </c>
      <c r="C1089" s="1" t="s">
        <v>1128</v>
      </c>
      <c r="D1089">
        <f>IMAGE("https://raw.githubusercontent.com/stautonico/pokemon-home-pokedex/main/sprites/floette-yellow.png", 2)</f>
        <v>0</v>
      </c>
      <c r="E1089" s="5" t="s">
        <v>805</v>
      </c>
      <c r="F1089" s="5" t="s">
        <v>805</v>
      </c>
    </row>
    <row r="1090" spans="1:6" ht="72" customHeight="1">
      <c r="A1090" s="1" t="s">
        <v>26</v>
      </c>
      <c r="B1090" s="1">
        <v>0</v>
      </c>
      <c r="C1090" s="1" t="s">
        <v>1129</v>
      </c>
      <c r="D1090">
        <f>IMAGE("https://raw.githubusercontent.com/stautonico/pokemon-home-pokedex/main/sprites/floette-orange.png", 2)</f>
        <v>0</v>
      </c>
      <c r="E1090" s="5" t="s">
        <v>805</v>
      </c>
      <c r="F1090" s="5" t="s">
        <v>805</v>
      </c>
    </row>
    <row r="1091" spans="1:6" ht="72" customHeight="1">
      <c r="A1091" s="1" t="s">
        <v>26</v>
      </c>
      <c r="B1091" s="1">
        <v>0</v>
      </c>
      <c r="C1091" s="1" t="s">
        <v>1130</v>
      </c>
      <c r="D1091">
        <f>IMAGE("https://raw.githubusercontent.com/stautonico/pokemon-home-pokedex/main/sprites/floette-blue.png", 2)</f>
        <v>0</v>
      </c>
      <c r="E1091" s="5" t="s">
        <v>805</v>
      </c>
      <c r="F1091" s="5" t="s">
        <v>805</v>
      </c>
    </row>
    <row r="1092" spans="1:6" ht="72" customHeight="1">
      <c r="A1092" s="1" t="s">
        <v>26</v>
      </c>
      <c r="B1092" s="1">
        <v>0</v>
      </c>
      <c r="C1092" s="1" t="s">
        <v>1131</v>
      </c>
      <c r="D1092">
        <f>IMAGE("https://raw.githubusercontent.com/stautonico/pokemon-home-pokedex/main/sprites/floette-white.png", 2)</f>
        <v>0</v>
      </c>
      <c r="E1092" s="5" t="s">
        <v>805</v>
      </c>
      <c r="F1092" s="5" t="s">
        <v>805</v>
      </c>
    </row>
    <row r="1093" spans="1:6" ht="72" customHeight="1">
      <c r="A1093" s="1" t="s">
        <v>26</v>
      </c>
      <c r="B1093" s="1">
        <v>0</v>
      </c>
      <c r="C1093" s="1" t="s">
        <v>1132</v>
      </c>
      <c r="D1093">
        <f>IMAGE("https://raw.githubusercontent.com/stautonico/pokemon-home-pokedex/main/sprites/florges-yellow.png", 2)</f>
        <v>0</v>
      </c>
      <c r="E1093" s="5" t="s">
        <v>805</v>
      </c>
      <c r="F1093" s="5" t="s">
        <v>805</v>
      </c>
    </row>
    <row r="1094" spans="1:6" ht="72" customHeight="1">
      <c r="A1094" s="1" t="s">
        <v>26</v>
      </c>
      <c r="B1094" s="1">
        <v>0</v>
      </c>
      <c r="C1094" s="1" t="s">
        <v>1133</v>
      </c>
      <c r="D1094">
        <f>IMAGE("https://raw.githubusercontent.com/stautonico/pokemon-home-pokedex/main/sprites/florges-orange.png", 2)</f>
        <v>0</v>
      </c>
      <c r="E1094" s="5" t="s">
        <v>805</v>
      </c>
      <c r="F1094" s="5" t="s">
        <v>805</v>
      </c>
    </row>
    <row r="1095" spans="1:6" ht="72" customHeight="1">
      <c r="A1095" s="1" t="s">
        <v>26</v>
      </c>
      <c r="B1095" s="1">
        <v>0</v>
      </c>
      <c r="C1095" s="1" t="s">
        <v>1134</v>
      </c>
      <c r="D1095">
        <f>IMAGE("https://raw.githubusercontent.com/stautonico/pokemon-home-pokedex/main/sprites/florges-blue.png", 2)</f>
        <v>0</v>
      </c>
      <c r="E1095" s="5" t="s">
        <v>805</v>
      </c>
      <c r="F1095" s="5" t="s">
        <v>805</v>
      </c>
    </row>
    <row r="1096" spans="1:6" ht="72" customHeight="1">
      <c r="A1096" s="1" t="s">
        <v>26</v>
      </c>
      <c r="B1096" s="1">
        <v>0</v>
      </c>
      <c r="C1096" s="1" t="s">
        <v>1135</v>
      </c>
      <c r="D1096">
        <f>IMAGE("https://raw.githubusercontent.com/stautonico/pokemon-home-pokedex/main/sprites/florges-white.png", 2)</f>
        <v>0</v>
      </c>
      <c r="E1096" s="5" t="s">
        <v>805</v>
      </c>
      <c r="F1096" s="5" t="s">
        <v>805</v>
      </c>
    </row>
    <row r="1097" spans="1:6" ht="72" customHeight="1">
      <c r="A1097" s="1" t="s">
        <v>26</v>
      </c>
      <c r="B1097" s="1">
        <v>10086</v>
      </c>
      <c r="C1097" s="1" t="s">
        <v>1136</v>
      </c>
      <c r="D1097">
        <f>IMAGE("https://raw.githubusercontent.com/stautonico/pokemon-home-pokedex/main/sprites/hoopa-unbound.png", 2)</f>
        <v>0</v>
      </c>
      <c r="E1097" s="5" t="s">
        <v>805</v>
      </c>
      <c r="F1097" s="5" t="s">
        <v>805</v>
      </c>
    </row>
    <row r="1098" spans="1:6" ht="72" customHeight="1">
      <c r="A1098" s="1" t="s">
        <v>26</v>
      </c>
      <c r="B1098" s="1">
        <v>10116</v>
      </c>
      <c r="C1098" s="1" t="s">
        <v>1137</v>
      </c>
      <c r="D1098">
        <f>IMAGE("https://raw.githubusercontent.com/stautonico/pokemon-home-pokedex/main/sprites/greninja-battle-bond.png", 2)</f>
        <v>0</v>
      </c>
      <c r="E1098" s="5" t="s">
        <v>805</v>
      </c>
      <c r="F1098" s="5" t="s">
        <v>805</v>
      </c>
    </row>
    <row r="1099" spans="1:6" ht="72" customHeight="1">
      <c r="A1099" s="1" t="s">
        <v>26</v>
      </c>
      <c r="B1099" s="1">
        <v>10181</v>
      </c>
      <c r="C1099" s="1" t="s">
        <v>1138</v>
      </c>
      <c r="D1099">
        <f>IMAGE("https://raw.githubusercontent.com/stautonico/pokemon-home-pokedex/main/sprites/zygarde-10.png", 2)</f>
        <v>0</v>
      </c>
      <c r="E1099" s="5" t="s">
        <v>805</v>
      </c>
      <c r="F1099" s="5" t="s">
        <v>805</v>
      </c>
    </row>
    <row r="1100" spans="1:6" ht="72" customHeight="1">
      <c r="A1100" s="1" t="s">
        <v>26</v>
      </c>
      <c r="B1100" s="1">
        <v>0</v>
      </c>
      <c r="C1100" s="1" t="s">
        <v>1139</v>
      </c>
      <c r="D1100">
        <f>IMAGE("https://raw.githubusercontent.com/stautonico/pokemon-home-pokedex/main/sprites/zygarde-power-construct.png", 2)</f>
        <v>0</v>
      </c>
      <c r="E1100" s="5" t="s">
        <v>805</v>
      </c>
      <c r="F1100" s="5" t="s">
        <v>805</v>
      </c>
    </row>
    <row r="1101" spans="1:6" ht="72" customHeight="1">
      <c r="A1101" s="1" t="s">
        <v>26</v>
      </c>
      <c r="B1101" s="1">
        <v>10118</v>
      </c>
      <c r="C1101" s="1" t="s">
        <v>1140</v>
      </c>
      <c r="D1101">
        <f>IMAGE("https://raw.githubusercontent.com/stautonico/pokemon-home-pokedex/main/sprites/zygarde-10-power-construct.png", 2)</f>
        <v>0</v>
      </c>
      <c r="E1101" s="5" t="s">
        <v>805</v>
      </c>
      <c r="F1101" s="5" t="s">
        <v>805</v>
      </c>
    </row>
    <row r="1102" spans="1:6" ht="72" customHeight="1">
      <c r="A1102" s="1" t="s">
        <v>26</v>
      </c>
      <c r="B1102" s="1">
        <v>0</v>
      </c>
      <c r="C1102" s="1" t="s">
        <v>1141</v>
      </c>
      <c r="D1102">
        <f>IMAGE("https://raw.githubusercontent.com/stautonico/pokemon-home-pokedex/main/sprites/vivillon-polar.png", 2)</f>
        <v>0</v>
      </c>
      <c r="E1102" s="5" t="s">
        <v>805</v>
      </c>
      <c r="F1102" s="5" t="s">
        <v>805</v>
      </c>
    </row>
    <row r="1103" spans="1:6" ht="72" customHeight="1">
      <c r="A1103" s="1" t="s">
        <v>26</v>
      </c>
      <c r="B1103" s="1">
        <v>0</v>
      </c>
      <c r="C1103" s="1" t="s">
        <v>1142</v>
      </c>
      <c r="D1103">
        <f>IMAGE("https://raw.githubusercontent.com/stautonico/pokemon-home-pokedex/main/sprites/vivillon-tundra.png", 2)</f>
        <v>0</v>
      </c>
      <c r="E1103" s="5" t="s">
        <v>805</v>
      </c>
      <c r="F1103" s="5" t="s">
        <v>805</v>
      </c>
    </row>
    <row r="1104" spans="1:6" ht="72" customHeight="1">
      <c r="A1104" s="1" t="s">
        <v>26</v>
      </c>
      <c r="B1104" s="1">
        <v>0</v>
      </c>
      <c r="C1104" s="1" t="s">
        <v>1143</v>
      </c>
      <c r="D1104">
        <f>IMAGE("https://raw.githubusercontent.com/stautonico/pokemon-home-pokedex/main/sprites/vivillon-continental.png", 2)</f>
        <v>0</v>
      </c>
      <c r="E1104" s="5" t="s">
        <v>805</v>
      </c>
      <c r="F1104" s="5" t="s">
        <v>805</v>
      </c>
    </row>
    <row r="1105" spans="1:6" ht="72" customHeight="1">
      <c r="A1105" s="1" t="s">
        <v>26</v>
      </c>
      <c r="B1105" s="1">
        <v>0</v>
      </c>
      <c r="C1105" s="1" t="s">
        <v>1144</v>
      </c>
      <c r="D1105">
        <f>IMAGE("https://raw.githubusercontent.com/stautonico/pokemon-home-pokedex/main/sprites/vivillon-garden.png", 2)</f>
        <v>0</v>
      </c>
      <c r="E1105" s="5" t="s">
        <v>805</v>
      </c>
      <c r="F1105" s="5" t="s">
        <v>805</v>
      </c>
    </row>
    <row r="1106" spans="1:6" ht="72" customHeight="1">
      <c r="A1106" s="1" t="s">
        <v>26</v>
      </c>
      <c r="B1106" s="1">
        <v>0</v>
      </c>
      <c r="C1106" s="1" t="s">
        <v>1145</v>
      </c>
      <c r="D1106">
        <f>IMAGE("https://raw.githubusercontent.com/stautonico/pokemon-home-pokedex/main/sprites/vivillon-elegant.png", 2)</f>
        <v>0</v>
      </c>
      <c r="E1106" s="5" t="s">
        <v>805</v>
      </c>
      <c r="F1106" s="5" t="s">
        <v>805</v>
      </c>
    </row>
    <row r="1107" spans="1:6" ht="72" customHeight="1">
      <c r="A1107" s="1" t="s">
        <v>26</v>
      </c>
      <c r="B1107" s="1">
        <v>0</v>
      </c>
      <c r="C1107" s="1" t="s">
        <v>1146</v>
      </c>
      <c r="D1107">
        <f>IMAGE("https://raw.githubusercontent.com/stautonico/pokemon-home-pokedex/main/sprites/vivillon-meadow.png", 2)</f>
        <v>0</v>
      </c>
      <c r="E1107" s="5" t="s">
        <v>805</v>
      </c>
      <c r="F1107" s="5" t="s">
        <v>805</v>
      </c>
    </row>
    <row r="1108" spans="1:6" ht="72" customHeight="1">
      <c r="A1108" s="1" t="s">
        <v>26</v>
      </c>
      <c r="B1108" s="1">
        <v>0</v>
      </c>
      <c r="C1108" s="1" t="s">
        <v>1147</v>
      </c>
      <c r="D1108">
        <f>IMAGE("https://raw.githubusercontent.com/stautonico/pokemon-home-pokedex/main/sprites/vivillon-modern.png", 2)</f>
        <v>0</v>
      </c>
      <c r="E1108" s="5" t="s">
        <v>805</v>
      </c>
      <c r="F1108" s="5" t="s">
        <v>805</v>
      </c>
    </row>
    <row r="1109" spans="1:6" ht="72" customHeight="1">
      <c r="A1109" s="1" t="s">
        <v>26</v>
      </c>
      <c r="B1109" s="1">
        <v>0</v>
      </c>
      <c r="C1109" s="1" t="s">
        <v>1148</v>
      </c>
      <c r="D1109">
        <f>IMAGE("https://raw.githubusercontent.com/stautonico/pokemon-home-pokedex/main/sprites/vivillon-marine.png", 2)</f>
        <v>0</v>
      </c>
      <c r="E1109" s="5" t="s">
        <v>805</v>
      </c>
      <c r="F1109" s="5" t="s">
        <v>805</v>
      </c>
    </row>
    <row r="1110" spans="1:6" ht="72" customHeight="1">
      <c r="A1110" s="1" t="s">
        <v>26</v>
      </c>
      <c r="B1110" s="1">
        <v>0</v>
      </c>
      <c r="C1110" s="1" t="s">
        <v>1149</v>
      </c>
      <c r="D1110">
        <f>IMAGE("https://raw.githubusercontent.com/stautonico/pokemon-home-pokedex/main/sprites/vivillon-archipelago.png", 2)</f>
        <v>0</v>
      </c>
      <c r="E1110" s="5" t="s">
        <v>805</v>
      </c>
      <c r="F1110" s="5" t="s">
        <v>805</v>
      </c>
    </row>
    <row r="1111" spans="1:6" ht="72" customHeight="1">
      <c r="A1111" s="1" t="s">
        <v>26</v>
      </c>
      <c r="B1111" s="1">
        <v>0</v>
      </c>
      <c r="C1111" s="1" t="s">
        <v>1150</v>
      </c>
      <c r="D1111">
        <f>IMAGE("https://raw.githubusercontent.com/stautonico/pokemon-home-pokedex/main/sprites/vivillon-high-plains.png", 2)</f>
        <v>0</v>
      </c>
      <c r="E1111" s="5" t="s">
        <v>805</v>
      </c>
      <c r="F1111" s="5" t="s">
        <v>805</v>
      </c>
    </row>
    <row r="1112" spans="1:6" ht="72" customHeight="1">
      <c r="A1112" s="1" t="s">
        <v>26</v>
      </c>
      <c r="B1112" s="1">
        <v>0</v>
      </c>
      <c r="C1112" s="1" t="s">
        <v>1151</v>
      </c>
      <c r="D1112">
        <f>IMAGE("https://raw.githubusercontent.com/stautonico/pokemon-home-pokedex/main/sprites/vivillon-sandstorm.png", 2)</f>
        <v>0</v>
      </c>
      <c r="E1112" s="5" t="s">
        <v>805</v>
      </c>
      <c r="F1112" s="5" t="s">
        <v>805</v>
      </c>
    </row>
    <row r="1113" spans="1:6" ht="72" customHeight="1">
      <c r="A1113" s="1" t="s">
        <v>26</v>
      </c>
      <c r="B1113" s="1">
        <v>0</v>
      </c>
      <c r="C1113" s="1" t="s">
        <v>1152</v>
      </c>
      <c r="D1113">
        <f>IMAGE("https://raw.githubusercontent.com/stautonico/pokemon-home-pokedex/main/sprites/vivillon-river.png", 2)</f>
        <v>0</v>
      </c>
      <c r="E1113" s="5" t="s">
        <v>805</v>
      </c>
      <c r="F1113" s="5" t="s">
        <v>805</v>
      </c>
    </row>
    <row r="1114" spans="1:6" ht="72" customHeight="1">
      <c r="A1114" s="1" t="s">
        <v>26</v>
      </c>
      <c r="B1114" s="1">
        <v>0</v>
      </c>
      <c r="C1114" s="1" t="s">
        <v>1153</v>
      </c>
      <c r="D1114">
        <f>IMAGE("https://raw.githubusercontent.com/stautonico/pokemon-home-pokedex/main/sprites/vivillon-monsoon.png", 2)</f>
        <v>0</v>
      </c>
      <c r="E1114" s="5" t="s">
        <v>805</v>
      </c>
      <c r="F1114" s="5" t="s">
        <v>805</v>
      </c>
    </row>
    <row r="1115" spans="1:6" ht="72" customHeight="1">
      <c r="A1115" s="1" t="s">
        <v>26</v>
      </c>
      <c r="B1115" s="1">
        <v>0</v>
      </c>
      <c r="C1115" s="1" t="s">
        <v>1154</v>
      </c>
      <c r="D1115">
        <f>IMAGE("https://raw.githubusercontent.com/stautonico/pokemon-home-pokedex/main/sprites/vivillon-savanna.png", 2)</f>
        <v>0</v>
      </c>
      <c r="E1115" s="5" t="s">
        <v>805</v>
      </c>
      <c r="F1115" s="5" t="s">
        <v>805</v>
      </c>
    </row>
    <row r="1116" spans="1:6" ht="72" customHeight="1">
      <c r="A1116" s="1" t="s">
        <v>26</v>
      </c>
      <c r="B1116" s="1">
        <v>0</v>
      </c>
      <c r="C1116" s="1" t="s">
        <v>1155</v>
      </c>
      <c r="D1116">
        <f>IMAGE("https://raw.githubusercontent.com/stautonico/pokemon-home-pokedex/main/sprites/vivillon-sun.png", 2)</f>
        <v>0</v>
      </c>
      <c r="E1116" s="5" t="s">
        <v>805</v>
      </c>
      <c r="F1116" s="5" t="s">
        <v>805</v>
      </c>
    </row>
    <row r="1117" spans="1:6" ht="72" customHeight="1">
      <c r="A1117" s="1" t="s">
        <v>26</v>
      </c>
      <c r="B1117" s="1">
        <v>0</v>
      </c>
      <c r="C1117" s="1" t="s">
        <v>1156</v>
      </c>
      <c r="D1117">
        <f>IMAGE("https://raw.githubusercontent.com/stautonico/pokemon-home-pokedex/main/sprites/vivillon-ocean.png", 2)</f>
        <v>0</v>
      </c>
      <c r="E1117" s="5" t="s">
        <v>805</v>
      </c>
      <c r="F1117" s="5" t="s">
        <v>805</v>
      </c>
    </row>
    <row r="1118" spans="1:6" ht="72" customHeight="1">
      <c r="A1118" s="1" t="s">
        <v>26</v>
      </c>
      <c r="B1118" s="1">
        <v>0</v>
      </c>
      <c r="C1118" s="1" t="s">
        <v>1157</v>
      </c>
      <c r="D1118">
        <f>IMAGE("https://raw.githubusercontent.com/stautonico/pokemon-home-pokedex/main/sprites/vivillon-jungle.png", 2)</f>
        <v>0</v>
      </c>
      <c r="E1118" s="5" t="s">
        <v>805</v>
      </c>
      <c r="F1118" s="5" t="s">
        <v>805</v>
      </c>
    </row>
    <row r="1119" spans="1:6" ht="72" customHeight="1">
      <c r="A1119" s="1" t="s">
        <v>26</v>
      </c>
      <c r="B1119" s="1">
        <v>0</v>
      </c>
      <c r="C1119" s="1" t="s">
        <v>1158</v>
      </c>
      <c r="D1119">
        <f>IMAGE("https://raw.githubusercontent.com/stautonico/pokemon-home-pokedex/main/sprites/vivillon-fancy.png", 2)</f>
        <v>0</v>
      </c>
      <c r="E1119" s="5" t="s">
        <v>805</v>
      </c>
      <c r="F1119" s="5" t="s">
        <v>805</v>
      </c>
    </row>
    <row r="1120" spans="1:6" ht="72" customHeight="1">
      <c r="A1120" s="1" t="s">
        <v>26</v>
      </c>
      <c r="B1120" s="1">
        <v>0</v>
      </c>
      <c r="C1120" s="1" t="s">
        <v>1159</v>
      </c>
      <c r="D1120">
        <f>IMAGE("https://raw.githubusercontent.com/stautonico/pokemon-home-pokedex/main/sprites/vivillon-pokeball.png", 2)</f>
        <v>0</v>
      </c>
      <c r="E1120" s="5" t="s">
        <v>805</v>
      </c>
      <c r="F1120" s="5" t="s">
        <v>805</v>
      </c>
    </row>
    <row r="1121" spans="1:6" ht="72" customHeight="1">
      <c r="A1121" s="1" t="s">
        <v>26</v>
      </c>
      <c r="B1121" s="1">
        <v>10123</v>
      </c>
      <c r="C1121" s="1" t="s">
        <v>771</v>
      </c>
      <c r="D1121">
        <f>IMAGE("https://raw.githubusercontent.com/stautonico/pokemon-home-pokedex/main/sprites/oricorio-pom-pom.png", 2)</f>
        <v>0</v>
      </c>
      <c r="E1121" s="5" t="s">
        <v>805</v>
      </c>
      <c r="F1121" s="5" t="s">
        <v>805</v>
      </c>
    </row>
    <row r="1122" spans="1:6" ht="72" customHeight="1">
      <c r="A1122" s="1" t="s">
        <v>26</v>
      </c>
      <c r="B1122" s="1">
        <v>10124</v>
      </c>
      <c r="C1122" s="1" t="s">
        <v>1160</v>
      </c>
      <c r="D1122">
        <f>IMAGE("https://raw.githubusercontent.com/stautonico/pokemon-home-pokedex/main/sprites/oricorio-pau.png", 2)</f>
        <v>0</v>
      </c>
      <c r="E1122" s="5" t="s">
        <v>805</v>
      </c>
      <c r="F1122" s="5" t="s">
        <v>805</v>
      </c>
    </row>
    <row r="1123" spans="1:6" ht="72" customHeight="1">
      <c r="A1123" s="1" t="s">
        <v>26</v>
      </c>
      <c r="B1123" s="1">
        <v>10125</v>
      </c>
      <c r="C1123" s="1" t="s">
        <v>1161</v>
      </c>
      <c r="D1123">
        <f>IMAGE("https://raw.githubusercontent.com/stautonico/pokemon-home-pokedex/main/sprites/oricorio-sensu.png", 2)</f>
        <v>0</v>
      </c>
      <c r="E1123" s="5" t="s">
        <v>805</v>
      </c>
      <c r="F1123" s="5" t="s">
        <v>805</v>
      </c>
    </row>
    <row r="1124" spans="1:6" ht="72" customHeight="1">
      <c r="A1124" s="1" t="s">
        <v>26</v>
      </c>
      <c r="B1124" s="1">
        <v>10151</v>
      </c>
      <c r="C1124" s="1" t="s">
        <v>1162</v>
      </c>
      <c r="D1124">
        <f>IMAGE("https://raw.githubusercontent.com/stautonico/pokemon-home-pokedex/main/sprites/rockruff-own-tempo.png", 2)</f>
        <v>0</v>
      </c>
      <c r="E1124" s="5" t="s">
        <v>805</v>
      </c>
      <c r="F1124" s="5" t="s">
        <v>805</v>
      </c>
    </row>
    <row r="1125" spans="1:6" ht="72" customHeight="1">
      <c r="A1125" s="1" t="s">
        <v>26</v>
      </c>
      <c r="B1125" s="1">
        <v>10126</v>
      </c>
      <c r="C1125" s="1" t="s">
        <v>1163</v>
      </c>
      <c r="D1125">
        <f>IMAGE("https://raw.githubusercontent.com/stautonico/pokemon-home-pokedex/main/sprites/lycanroc-midnight.png", 2)</f>
        <v>0</v>
      </c>
      <c r="E1125" s="5" t="s">
        <v>805</v>
      </c>
      <c r="F1125" s="5" t="s">
        <v>805</v>
      </c>
    </row>
    <row r="1126" spans="1:6" ht="72" customHeight="1">
      <c r="A1126" s="1" t="s">
        <v>26</v>
      </c>
      <c r="B1126" s="1">
        <v>10152</v>
      </c>
      <c r="C1126" s="1" t="s">
        <v>1164</v>
      </c>
      <c r="D1126">
        <f>IMAGE("https://raw.githubusercontent.com/stautonico/pokemon-home-pokedex/main/sprites/lycanroc-dusk.png", 2)</f>
        <v>0</v>
      </c>
      <c r="E1126" s="5" t="s">
        <v>805</v>
      </c>
      <c r="F1126" s="5" t="s">
        <v>805</v>
      </c>
    </row>
    <row r="1127" spans="1:6" ht="72" customHeight="1">
      <c r="A1127" s="1" t="s">
        <v>26</v>
      </c>
      <c r="B1127" s="1">
        <v>10137</v>
      </c>
      <c r="C1127" s="1" t="s">
        <v>1165</v>
      </c>
      <c r="D1127">
        <f>IMAGE("https://raw.githubusercontent.com/stautonico/pokemon-home-pokedex/main/sprites/minior-orange.png", 2)</f>
        <v>0</v>
      </c>
      <c r="E1127" s="5" t="s">
        <v>805</v>
      </c>
      <c r="F1127" s="5" t="s">
        <v>805</v>
      </c>
    </row>
    <row r="1128" spans="1:6" ht="72" customHeight="1">
      <c r="A1128" s="1" t="s">
        <v>26</v>
      </c>
      <c r="B1128" s="1">
        <v>10138</v>
      </c>
      <c r="C1128" s="1" t="s">
        <v>1166</v>
      </c>
      <c r="D1128">
        <f>IMAGE("https://raw.githubusercontent.com/stautonico/pokemon-home-pokedex/main/sprites/minior-yellow.png", 2)</f>
        <v>0</v>
      </c>
      <c r="E1128" s="5" t="s">
        <v>805</v>
      </c>
      <c r="F1128" s="5" t="s">
        <v>805</v>
      </c>
    </row>
    <row r="1129" spans="1:6" ht="72" customHeight="1">
      <c r="A1129" s="1" t="s">
        <v>26</v>
      </c>
      <c r="B1129" s="1">
        <v>10139</v>
      </c>
      <c r="C1129" s="1" t="s">
        <v>1167</v>
      </c>
      <c r="D1129">
        <f>IMAGE("https://raw.githubusercontent.com/stautonico/pokemon-home-pokedex/main/sprites/minior-green.png", 2)</f>
        <v>0</v>
      </c>
      <c r="E1129" s="5" t="s">
        <v>805</v>
      </c>
      <c r="F1129" s="5" t="s">
        <v>805</v>
      </c>
    </row>
    <row r="1130" spans="1:6" ht="72" customHeight="1">
      <c r="A1130" s="1" t="s">
        <v>26</v>
      </c>
      <c r="B1130" s="1">
        <v>10140</v>
      </c>
      <c r="C1130" s="1" t="s">
        <v>1168</v>
      </c>
      <c r="D1130">
        <f>IMAGE("https://raw.githubusercontent.com/stautonico/pokemon-home-pokedex/main/sprites/minior-blue.png", 2)</f>
        <v>0</v>
      </c>
      <c r="E1130" s="5" t="s">
        <v>805</v>
      </c>
      <c r="F1130" s="5" t="s">
        <v>805</v>
      </c>
    </row>
    <row r="1131" spans="1:6" ht="72" customHeight="1">
      <c r="A1131" s="1" t="s">
        <v>26</v>
      </c>
      <c r="B1131" s="1">
        <v>10141</v>
      </c>
      <c r="C1131" s="1" t="s">
        <v>1169</v>
      </c>
      <c r="D1131">
        <f>IMAGE("https://raw.githubusercontent.com/stautonico/pokemon-home-pokedex/main/sprites/minior-indigo.png", 2)</f>
        <v>0</v>
      </c>
      <c r="E1131" s="5" t="s">
        <v>805</v>
      </c>
      <c r="F1131" s="5" t="s">
        <v>805</v>
      </c>
    </row>
    <row r="1132" spans="1:6" ht="72" customHeight="1">
      <c r="A1132" s="1" t="s">
        <v>26</v>
      </c>
      <c r="B1132" s="1">
        <v>10142</v>
      </c>
      <c r="C1132" s="1" t="s">
        <v>1170</v>
      </c>
      <c r="D1132">
        <f>IMAGE("https://raw.githubusercontent.com/stautonico/pokemon-home-pokedex/main/sprites/minior-violet.png", 2)</f>
        <v>0</v>
      </c>
      <c r="E1132" s="5" t="s">
        <v>805</v>
      </c>
      <c r="F1132" s="5" t="s">
        <v>805</v>
      </c>
    </row>
    <row r="1133" spans="1:6" ht="72" customHeight="1">
      <c r="A1133" s="1" t="s">
        <v>26</v>
      </c>
      <c r="B1133" s="1">
        <v>10147</v>
      </c>
      <c r="C1133" s="1" t="s">
        <v>1171</v>
      </c>
      <c r="D1133">
        <f>IMAGE("https://raw.githubusercontent.com/stautonico/pokemon-home-pokedex/main/sprites/magearna-original.png", 2)</f>
        <v>0</v>
      </c>
      <c r="E1133" s="5" t="s">
        <v>805</v>
      </c>
      <c r="F1133" s="5" t="s">
        <v>805</v>
      </c>
    </row>
    <row r="1134" spans="1:6" ht="72" customHeight="1">
      <c r="A1134" s="1" t="s">
        <v>26</v>
      </c>
      <c r="B1134" s="1">
        <v>10184</v>
      </c>
      <c r="C1134" s="1" t="s">
        <v>1172</v>
      </c>
      <c r="D1134">
        <f>IMAGE("https://raw.githubusercontent.com/stautonico/pokemon-home-pokedex/main/sprites/toxtricity-low-key.png", 2)</f>
        <v>0</v>
      </c>
      <c r="E1134" s="5" t="s">
        <v>805</v>
      </c>
      <c r="F1134" s="5" t="s">
        <v>805</v>
      </c>
    </row>
    <row r="1135" spans="1:6" ht="72" customHeight="1">
      <c r="A1135" s="1" t="s">
        <v>26</v>
      </c>
      <c r="B1135" s="1">
        <v>0</v>
      </c>
      <c r="C1135" s="1" t="s">
        <v>1173</v>
      </c>
      <c r="D1135">
        <f>IMAGE("https://raw.githubusercontent.com/stautonico/pokemon-home-pokedex/main/sprites/sinistea-antique.png", 2)</f>
        <v>0</v>
      </c>
      <c r="E1135" s="5" t="s">
        <v>805</v>
      </c>
      <c r="F1135" s="5" t="s">
        <v>805</v>
      </c>
    </row>
    <row r="1136" spans="1:6" ht="72" customHeight="1">
      <c r="A1136" s="1" t="s">
        <v>26</v>
      </c>
      <c r="B1136" s="1">
        <v>0</v>
      </c>
      <c r="C1136" s="1" t="s">
        <v>1174</v>
      </c>
      <c r="D1136">
        <f>IMAGE("https://raw.githubusercontent.com/stautonico/pokemon-home-pokedex/main/sprites/polteageist-antique.png", 2)</f>
        <v>0</v>
      </c>
      <c r="E1136" s="5" t="s">
        <v>805</v>
      </c>
      <c r="F1136" s="5" t="s">
        <v>805</v>
      </c>
    </row>
    <row r="1137" spans="1:6" ht="72" customHeight="1">
      <c r="A1137" s="1" t="s">
        <v>26</v>
      </c>
      <c r="B1137" s="1">
        <v>10191</v>
      </c>
      <c r="C1137" s="1" t="s">
        <v>1175</v>
      </c>
      <c r="D1137">
        <f>IMAGE("https://raw.githubusercontent.com/stautonico/pokemon-home-pokedex/main/sprites/urshifu-rapid-strike.png", 2)</f>
        <v>0</v>
      </c>
      <c r="E1137" s="5" t="s">
        <v>805</v>
      </c>
      <c r="F1137" s="5" t="s">
        <v>805</v>
      </c>
    </row>
    <row r="1138" spans="1:6" ht="72" customHeight="1">
      <c r="A1138" s="1" t="s">
        <v>26</v>
      </c>
      <c r="B1138" s="1">
        <v>10192</v>
      </c>
      <c r="C1138" s="1" t="s">
        <v>1176</v>
      </c>
      <c r="D1138">
        <f>IMAGE("https://raw.githubusercontent.com/stautonico/pokemon-home-pokedex/main/sprites/zarude-dada.png", 2)</f>
        <v>0</v>
      </c>
      <c r="E1138" s="5" t="s">
        <v>805</v>
      </c>
      <c r="F1138" s="5" t="s">
        <v>805</v>
      </c>
    </row>
    <row r="1139" spans="1:6" ht="72" customHeight="1">
      <c r="A1139" s="1" t="s">
        <v>26</v>
      </c>
      <c r="B1139" s="1">
        <v>10249</v>
      </c>
      <c r="C1139" s="1" t="s">
        <v>1177</v>
      </c>
      <c r="D1139">
        <f>IMAGE("https://raw.githubusercontent.com/stautonico/pokemon-home-pokedex/main/sprites/enamorus-therian.png", 2)</f>
        <v>0</v>
      </c>
      <c r="E1139" s="5" t="s">
        <v>805</v>
      </c>
      <c r="F1139" s="5" t="s">
        <v>805</v>
      </c>
    </row>
    <row r="1140" spans="1:6" ht="72" customHeight="1">
      <c r="A1140" s="1" t="s">
        <v>26</v>
      </c>
      <c r="B1140" s="1">
        <v>0</v>
      </c>
      <c r="C1140" s="1" t="s">
        <v>1178</v>
      </c>
      <c r="D1140">
        <f>IMAGE("https://raw.githubusercontent.com/stautonico/pokemon-home-pokedex/main/sprites/alcremie-vanilla-cream-berry.png", 2)</f>
        <v>0</v>
      </c>
      <c r="E1140" s="5" t="s">
        <v>805</v>
      </c>
      <c r="F1140" s="5" t="s">
        <v>805</v>
      </c>
    </row>
    <row r="1141" spans="1:6" ht="72" customHeight="1">
      <c r="A1141" s="1" t="s">
        <v>26</v>
      </c>
      <c r="B1141" s="1">
        <v>0</v>
      </c>
      <c r="C1141" s="1" t="s">
        <v>1179</v>
      </c>
      <c r="D1141">
        <f>IMAGE("https://raw.githubusercontent.com/stautonico/pokemon-home-pokedex/main/sprites/alcremie-vanilla-cream-love.png", 2)</f>
        <v>0</v>
      </c>
      <c r="E1141" s="5" t="s">
        <v>805</v>
      </c>
      <c r="F1141" s="5" t="s">
        <v>805</v>
      </c>
    </row>
    <row r="1142" spans="1:6" ht="72" customHeight="1">
      <c r="A1142" s="1" t="s">
        <v>26</v>
      </c>
      <c r="B1142" s="1">
        <v>0</v>
      </c>
      <c r="C1142" s="1" t="s">
        <v>1180</v>
      </c>
      <c r="D1142">
        <f>IMAGE("https://raw.githubusercontent.com/stautonico/pokemon-home-pokedex/main/sprites/alcremie-vanilla-cream-star.png", 2)</f>
        <v>0</v>
      </c>
      <c r="E1142" s="5" t="s">
        <v>805</v>
      </c>
      <c r="F1142" s="5" t="s">
        <v>805</v>
      </c>
    </row>
    <row r="1143" spans="1:6" ht="72" customHeight="1">
      <c r="A1143" s="1" t="s">
        <v>26</v>
      </c>
      <c r="B1143" s="1">
        <v>0</v>
      </c>
      <c r="C1143" s="1" t="s">
        <v>1181</v>
      </c>
      <c r="D1143">
        <f>IMAGE("https://raw.githubusercontent.com/stautonico/pokemon-home-pokedex/main/sprites/alcremie-vanilla-cream-clover.png", 2)</f>
        <v>0</v>
      </c>
      <c r="E1143" s="5" t="s">
        <v>805</v>
      </c>
      <c r="F1143" s="5" t="s">
        <v>805</v>
      </c>
    </row>
    <row r="1144" spans="1:6" ht="72" customHeight="1">
      <c r="A1144" s="1" t="s">
        <v>26</v>
      </c>
      <c r="B1144" s="1">
        <v>0</v>
      </c>
      <c r="C1144" s="1" t="s">
        <v>1182</v>
      </c>
      <c r="D1144">
        <f>IMAGE("https://raw.githubusercontent.com/stautonico/pokemon-home-pokedex/main/sprites/alcremie-vanilla-cream-flower.png", 2)</f>
        <v>0</v>
      </c>
      <c r="E1144" s="5" t="s">
        <v>805</v>
      </c>
      <c r="F1144" s="5" t="s">
        <v>805</v>
      </c>
    </row>
    <row r="1145" spans="1:6" ht="72" customHeight="1">
      <c r="A1145" s="1" t="s">
        <v>26</v>
      </c>
      <c r="B1145" s="1">
        <v>0</v>
      </c>
      <c r="C1145" s="1" t="s">
        <v>1183</v>
      </c>
      <c r="D1145">
        <f>IMAGE("https://raw.githubusercontent.com/stautonico/pokemon-home-pokedex/main/sprites/alcremie-vanilla-cream-ribbon.png", 2)</f>
        <v>0</v>
      </c>
      <c r="E1145" s="5" t="s">
        <v>805</v>
      </c>
      <c r="F1145" s="5" t="s">
        <v>805</v>
      </c>
    </row>
    <row r="1146" spans="1:6" ht="72" customHeight="1">
      <c r="A1146" s="1" t="s">
        <v>26</v>
      </c>
      <c r="B1146" s="1">
        <v>0</v>
      </c>
      <c r="C1146" s="1" t="s">
        <v>1184</v>
      </c>
      <c r="D1146">
        <f>IMAGE("https://raw.githubusercontent.com/stautonico/pokemon-home-pokedex/main/sprites/alcremie-ruby-cream-strawberry.png", 2)</f>
        <v>0</v>
      </c>
      <c r="E1146" s="5" t="s">
        <v>805</v>
      </c>
      <c r="F1146" s="5" t="s">
        <v>805</v>
      </c>
    </row>
    <row r="1147" spans="1:6" ht="72" customHeight="1">
      <c r="A1147" s="1" t="s">
        <v>26</v>
      </c>
      <c r="B1147" s="1">
        <v>0</v>
      </c>
      <c r="C1147" s="1" t="s">
        <v>1185</v>
      </c>
      <c r="D1147">
        <f>IMAGE("https://raw.githubusercontent.com/stautonico/pokemon-home-pokedex/main/sprites/alcremie-ruby-cream-berry.png", 2)</f>
        <v>0</v>
      </c>
      <c r="E1147" s="5" t="s">
        <v>805</v>
      </c>
      <c r="F1147" s="5" t="s">
        <v>805</v>
      </c>
    </row>
    <row r="1148" spans="1:6" ht="72" customHeight="1">
      <c r="A1148" s="1" t="s">
        <v>26</v>
      </c>
      <c r="B1148" s="1">
        <v>0</v>
      </c>
      <c r="C1148" s="1" t="s">
        <v>1186</v>
      </c>
      <c r="D1148">
        <f>IMAGE("https://raw.githubusercontent.com/stautonico/pokemon-home-pokedex/main/sprites/alcremie-ruby-cream-love.png", 2)</f>
        <v>0</v>
      </c>
      <c r="E1148" s="5" t="s">
        <v>805</v>
      </c>
      <c r="F1148" s="5" t="s">
        <v>805</v>
      </c>
    </row>
    <row r="1149" spans="1:6" ht="72" customHeight="1">
      <c r="A1149" s="1" t="s">
        <v>26</v>
      </c>
      <c r="B1149" s="1">
        <v>0</v>
      </c>
      <c r="C1149" s="1" t="s">
        <v>1187</v>
      </c>
      <c r="D1149">
        <f>IMAGE("https://raw.githubusercontent.com/stautonico/pokemon-home-pokedex/main/sprites/alcremie-ruby-cream-star.png", 2)</f>
        <v>0</v>
      </c>
      <c r="E1149" s="5" t="s">
        <v>805</v>
      </c>
      <c r="F1149" s="5" t="s">
        <v>805</v>
      </c>
    </row>
    <row r="1150" spans="1:6" ht="72" customHeight="1">
      <c r="A1150" s="1" t="s">
        <v>26</v>
      </c>
      <c r="B1150" s="1">
        <v>0</v>
      </c>
      <c r="C1150" s="1" t="s">
        <v>1188</v>
      </c>
      <c r="D1150">
        <f>IMAGE("https://raw.githubusercontent.com/stautonico/pokemon-home-pokedex/main/sprites/alcremie-ruby-cream-clover.png", 2)</f>
        <v>0</v>
      </c>
      <c r="E1150" s="5" t="s">
        <v>805</v>
      </c>
      <c r="F1150" s="5" t="s">
        <v>805</v>
      </c>
    </row>
    <row r="1151" spans="1:6" ht="72" customHeight="1">
      <c r="A1151" s="1" t="s">
        <v>26</v>
      </c>
      <c r="B1151" s="1">
        <v>0</v>
      </c>
      <c r="C1151" s="1" t="s">
        <v>1189</v>
      </c>
      <c r="D1151">
        <f>IMAGE("https://raw.githubusercontent.com/stautonico/pokemon-home-pokedex/main/sprites/alcremie-ruby-cream-flower.png", 2)</f>
        <v>0</v>
      </c>
      <c r="E1151" s="5" t="s">
        <v>805</v>
      </c>
      <c r="F1151" s="5" t="s">
        <v>805</v>
      </c>
    </row>
    <row r="1152" spans="1:6" ht="72" customHeight="1">
      <c r="A1152" s="1" t="s">
        <v>26</v>
      </c>
      <c r="B1152" s="1">
        <v>0</v>
      </c>
      <c r="C1152" s="1" t="s">
        <v>1190</v>
      </c>
      <c r="D1152">
        <f>IMAGE("https://raw.githubusercontent.com/stautonico/pokemon-home-pokedex/main/sprites/alcremie-ruby-cream-ribbon.png", 2)</f>
        <v>0</v>
      </c>
      <c r="E1152" s="5" t="s">
        <v>805</v>
      </c>
      <c r="F1152" s="5" t="s">
        <v>805</v>
      </c>
    </row>
    <row r="1153" spans="1:6" ht="72" customHeight="1">
      <c r="A1153" s="1" t="s">
        <v>26</v>
      </c>
      <c r="B1153" s="1">
        <v>0</v>
      </c>
      <c r="C1153" s="1" t="s">
        <v>1191</v>
      </c>
      <c r="D1153">
        <f>IMAGE("https://raw.githubusercontent.com/stautonico/pokemon-home-pokedex/main/sprites/alcremie-matcha-cream-strawberry.png", 2)</f>
        <v>0</v>
      </c>
      <c r="E1153" s="5" t="s">
        <v>805</v>
      </c>
      <c r="F1153" s="5" t="s">
        <v>805</v>
      </c>
    </row>
    <row r="1154" spans="1:6" ht="72" customHeight="1">
      <c r="A1154" s="1" t="s">
        <v>26</v>
      </c>
      <c r="B1154" s="1">
        <v>0</v>
      </c>
      <c r="C1154" s="1" t="s">
        <v>1192</v>
      </c>
      <c r="D1154">
        <f>IMAGE("https://raw.githubusercontent.com/stautonico/pokemon-home-pokedex/main/sprites/alcremie-matcha-cream-berry.png", 2)</f>
        <v>0</v>
      </c>
      <c r="E1154" s="5" t="s">
        <v>805</v>
      </c>
      <c r="F1154" s="5" t="s">
        <v>805</v>
      </c>
    </row>
    <row r="1155" spans="1:6" ht="72" customHeight="1">
      <c r="A1155" s="1" t="s">
        <v>26</v>
      </c>
      <c r="B1155" s="1">
        <v>0</v>
      </c>
      <c r="C1155" s="1" t="s">
        <v>1193</v>
      </c>
      <c r="D1155">
        <f>IMAGE("https://raw.githubusercontent.com/stautonico/pokemon-home-pokedex/main/sprites/alcremie-matcha-cream-love.png", 2)</f>
        <v>0</v>
      </c>
      <c r="E1155" s="5" t="s">
        <v>805</v>
      </c>
      <c r="F1155" s="5" t="s">
        <v>805</v>
      </c>
    </row>
    <row r="1156" spans="1:6" ht="72" customHeight="1">
      <c r="A1156" s="1" t="s">
        <v>26</v>
      </c>
      <c r="B1156" s="1">
        <v>0</v>
      </c>
      <c r="C1156" s="1" t="s">
        <v>1194</v>
      </c>
      <c r="D1156">
        <f>IMAGE("https://raw.githubusercontent.com/stautonico/pokemon-home-pokedex/main/sprites/alcremie-matcha-cream-star.png", 2)</f>
        <v>0</v>
      </c>
      <c r="E1156" s="5" t="s">
        <v>805</v>
      </c>
      <c r="F1156" s="5" t="s">
        <v>805</v>
      </c>
    </row>
    <row r="1157" spans="1:6" ht="72" customHeight="1">
      <c r="A1157" s="1" t="s">
        <v>26</v>
      </c>
      <c r="B1157" s="1">
        <v>0</v>
      </c>
      <c r="C1157" s="1" t="s">
        <v>1195</v>
      </c>
      <c r="D1157">
        <f>IMAGE("https://raw.githubusercontent.com/stautonico/pokemon-home-pokedex/main/sprites/alcremie-matcha-cream-clover.png", 2)</f>
        <v>0</v>
      </c>
      <c r="E1157" s="5" t="s">
        <v>805</v>
      </c>
      <c r="F1157" s="5" t="s">
        <v>805</v>
      </c>
    </row>
    <row r="1158" spans="1:6" ht="72" customHeight="1">
      <c r="A1158" s="1" t="s">
        <v>26</v>
      </c>
      <c r="B1158" s="1">
        <v>0</v>
      </c>
      <c r="C1158" s="1" t="s">
        <v>1196</v>
      </c>
      <c r="D1158">
        <f>IMAGE("https://raw.githubusercontent.com/stautonico/pokemon-home-pokedex/main/sprites/alcremie-matcha-cream-flower.png", 2)</f>
        <v>0</v>
      </c>
      <c r="E1158" s="5" t="s">
        <v>805</v>
      </c>
      <c r="F1158" s="5" t="s">
        <v>805</v>
      </c>
    </row>
    <row r="1159" spans="1:6" ht="72" customHeight="1">
      <c r="A1159" s="1" t="s">
        <v>26</v>
      </c>
      <c r="B1159" s="1">
        <v>0</v>
      </c>
      <c r="C1159" s="1" t="s">
        <v>1197</v>
      </c>
      <c r="D1159">
        <f>IMAGE("https://raw.githubusercontent.com/stautonico/pokemon-home-pokedex/main/sprites/alcremie-matcha-cream-ribbon.png", 2)</f>
        <v>0</v>
      </c>
      <c r="E1159" s="5" t="s">
        <v>805</v>
      </c>
      <c r="F1159" s="5" t="s">
        <v>805</v>
      </c>
    </row>
    <row r="1160" spans="1:6" ht="72" customHeight="1">
      <c r="A1160" s="1" t="s">
        <v>26</v>
      </c>
      <c r="B1160" s="1">
        <v>0</v>
      </c>
      <c r="C1160" s="1" t="s">
        <v>1198</v>
      </c>
      <c r="D1160">
        <f>IMAGE("https://raw.githubusercontent.com/stautonico/pokemon-home-pokedex/main/sprites/alcremie-mint-cream-strawberry.png", 2)</f>
        <v>0</v>
      </c>
      <c r="E1160" s="5" t="s">
        <v>805</v>
      </c>
      <c r="F1160" s="5" t="s">
        <v>805</v>
      </c>
    </row>
    <row r="1161" spans="1:6" ht="72" customHeight="1">
      <c r="A1161" s="1" t="s">
        <v>26</v>
      </c>
      <c r="B1161" s="1">
        <v>0</v>
      </c>
      <c r="C1161" s="1" t="s">
        <v>1199</v>
      </c>
      <c r="D1161">
        <f>IMAGE("https://raw.githubusercontent.com/stautonico/pokemon-home-pokedex/main/sprites/alcremie-mint-cream-berry.png", 2)</f>
        <v>0</v>
      </c>
      <c r="E1161" s="5" t="s">
        <v>805</v>
      </c>
      <c r="F1161" s="5" t="s">
        <v>805</v>
      </c>
    </row>
    <row r="1162" spans="1:6" ht="72" customHeight="1">
      <c r="A1162" s="1" t="s">
        <v>26</v>
      </c>
      <c r="B1162" s="1">
        <v>0</v>
      </c>
      <c r="C1162" s="1" t="s">
        <v>1200</v>
      </c>
      <c r="D1162">
        <f>IMAGE("https://raw.githubusercontent.com/stautonico/pokemon-home-pokedex/main/sprites/alcremie-mint-cream-love.png", 2)</f>
        <v>0</v>
      </c>
      <c r="E1162" s="5" t="s">
        <v>805</v>
      </c>
      <c r="F1162" s="5" t="s">
        <v>805</v>
      </c>
    </row>
    <row r="1163" spans="1:6" ht="72" customHeight="1">
      <c r="A1163" s="1" t="s">
        <v>26</v>
      </c>
      <c r="B1163" s="1">
        <v>0</v>
      </c>
      <c r="C1163" s="1" t="s">
        <v>1201</v>
      </c>
      <c r="D1163">
        <f>IMAGE("https://raw.githubusercontent.com/stautonico/pokemon-home-pokedex/main/sprites/alcremie-mint-cream-star.png", 2)</f>
        <v>0</v>
      </c>
      <c r="E1163" s="5" t="s">
        <v>805</v>
      </c>
      <c r="F1163" s="5" t="s">
        <v>805</v>
      </c>
    </row>
    <row r="1164" spans="1:6" ht="72" customHeight="1">
      <c r="A1164" s="1" t="s">
        <v>26</v>
      </c>
      <c r="B1164" s="1">
        <v>0</v>
      </c>
      <c r="C1164" s="1" t="s">
        <v>1202</v>
      </c>
      <c r="D1164">
        <f>IMAGE("https://raw.githubusercontent.com/stautonico/pokemon-home-pokedex/main/sprites/alcremie-mint-cream-clover.png", 2)</f>
        <v>0</v>
      </c>
      <c r="E1164" s="5" t="s">
        <v>805</v>
      </c>
      <c r="F1164" s="5" t="s">
        <v>805</v>
      </c>
    </row>
    <row r="1165" spans="1:6" ht="72" customHeight="1">
      <c r="A1165" s="1" t="s">
        <v>26</v>
      </c>
      <c r="B1165" s="1">
        <v>0</v>
      </c>
      <c r="C1165" s="1" t="s">
        <v>1203</v>
      </c>
      <c r="D1165">
        <f>IMAGE("https://raw.githubusercontent.com/stautonico/pokemon-home-pokedex/main/sprites/alcremie-mint-cream-flower.png", 2)</f>
        <v>0</v>
      </c>
      <c r="E1165" s="5" t="s">
        <v>805</v>
      </c>
      <c r="F1165" s="5" t="s">
        <v>805</v>
      </c>
    </row>
    <row r="1166" spans="1:6" ht="72" customHeight="1">
      <c r="A1166" s="1" t="s">
        <v>26</v>
      </c>
      <c r="B1166" s="1">
        <v>0</v>
      </c>
      <c r="C1166" s="1" t="s">
        <v>1204</v>
      </c>
      <c r="D1166">
        <f>IMAGE("https://raw.githubusercontent.com/stautonico/pokemon-home-pokedex/main/sprites/alcremie-mint-cream-ribbon.png", 2)</f>
        <v>0</v>
      </c>
      <c r="E1166" s="5" t="s">
        <v>805</v>
      </c>
      <c r="F1166" s="5" t="s">
        <v>805</v>
      </c>
    </row>
    <row r="1167" spans="1:6" ht="72" customHeight="1">
      <c r="A1167" s="1" t="s">
        <v>26</v>
      </c>
      <c r="B1167" s="1">
        <v>0</v>
      </c>
      <c r="C1167" s="1" t="s">
        <v>1205</v>
      </c>
      <c r="D1167">
        <f>IMAGE("https://raw.githubusercontent.com/stautonico/pokemon-home-pokedex/main/sprites/alcremie-lemon-cream-strawberry.png", 2)</f>
        <v>0</v>
      </c>
      <c r="E1167" s="5" t="s">
        <v>805</v>
      </c>
      <c r="F1167" s="5" t="s">
        <v>805</v>
      </c>
    </row>
    <row r="1168" spans="1:6" ht="72" customHeight="1">
      <c r="A1168" s="1" t="s">
        <v>26</v>
      </c>
      <c r="B1168" s="1">
        <v>0</v>
      </c>
      <c r="C1168" s="1" t="s">
        <v>1206</v>
      </c>
      <c r="D1168">
        <f>IMAGE("https://raw.githubusercontent.com/stautonico/pokemon-home-pokedex/main/sprites/alcremie-lemon-cream-berry.png", 2)</f>
        <v>0</v>
      </c>
      <c r="E1168" s="5" t="s">
        <v>805</v>
      </c>
      <c r="F1168" s="5" t="s">
        <v>805</v>
      </c>
    </row>
    <row r="1169" spans="1:6" ht="72" customHeight="1">
      <c r="A1169" s="1" t="s">
        <v>26</v>
      </c>
      <c r="B1169" s="1">
        <v>0</v>
      </c>
      <c r="C1169" s="1" t="s">
        <v>1207</v>
      </c>
      <c r="D1169">
        <f>IMAGE("https://raw.githubusercontent.com/stautonico/pokemon-home-pokedex/main/sprites/alcremie-lemon-cream-love.png", 2)</f>
        <v>0</v>
      </c>
      <c r="E1169" s="5" t="s">
        <v>805</v>
      </c>
      <c r="F1169" s="5" t="s">
        <v>805</v>
      </c>
    </row>
    <row r="1170" spans="1:6" ht="72" customHeight="1">
      <c r="A1170" s="1" t="s">
        <v>26</v>
      </c>
      <c r="B1170" s="1">
        <v>0</v>
      </c>
      <c r="C1170" s="1" t="s">
        <v>1208</v>
      </c>
      <c r="D1170">
        <f>IMAGE("https://raw.githubusercontent.com/stautonico/pokemon-home-pokedex/main/sprites/alcremie-lemon-cream-star.png", 2)</f>
        <v>0</v>
      </c>
      <c r="E1170" s="5" t="s">
        <v>805</v>
      </c>
      <c r="F1170" s="5" t="s">
        <v>805</v>
      </c>
    </row>
    <row r="1171" spans="1:6" ht="72" customHeight="1">
      <c r="A1171" s="1" t="s">
        <v>26</v>
      </c>
      <c r="B1171" s="1">
        <v>0</v>
      </c>
      <c r="C1171" s="1" t="s">
        <v>1209</v>
      </c>
      <c r="D1171">
        <f>IMAGE("https://raw.githubusercontent.com/stautonico/pokemon-home-pokedex/main/sprites/alcremie-lemon-cream-clover.png", 2)</f>
        <v>0</v>
      </c>
      <c r="E1171" s="5" t="s">
        <v>805</v>
      </c>
      <c r="F1171" s="5" t="s">
        <v>805</v>
      </c>
    </row>
    <row r="1172" spans="1:6" ht="72" customHeight="1">
      <c r="A1172" s="1" t="s">
        <v>26</v>
      </c>
      <c r="B1172" s="1">
        <v>0</v>
      </c>
      <c r="C1172" s="1" t="s">
        <v>1210</v>
      </c>
      <c r="D1172">
        <f>IMAGE("https://raw.githubusercontent.com/stautonico/pokemon-home-pokedex/main/sprites/alcremie-lemon-cream-flower.png", 2)</f>
        <v>0</v>
      </c>
      <c r="E1172" s="5" t="s">
        <v>805</v>
      </c>
      <c r="F1172" s="5" t="s">
        <v>805</v>
      </c>
    </row>
    <row r="1173" spans="1:6" ht="72" customHeight="1">
      <c r="A1173" s="1" t="s">
        <v>26</v>
      </c>
      <c r="B1173" s="1">
        <v>0</v>
      </c>
      <c r="C1173" s="1" t="s">
        <v>1211</v>
      </c>
      <c r="D1173">
        <f>IMAGE("https://raw.githubusercontent.com/stautonico/pokemon-home-pokedex/main/sprites/alcremie-lemon-cream-ribbon.png", 2)</f>
        <v>0</v>
      </c>
      <c r="E1173" s="5" t="s">
        <v>805</v>
      </c>
      <c r="F1173" s="5" t="s">
        <v>805</v>
      </c>
    </row>
    <row r="1174" spans="1:6" ht="72" customHeight="1">
      <c r="A1174" s="1" t="s">
        <v>26</v>
      </c>
      <c r="B1174" s="1">
        <v>0</v>
      </c>
      <c r="C1174" s="1" t="s">
        <v>1212</v>
      </c>
      <c r="D1174">
        <f>IMAGE("https://raw.githubusercontent.com/stautonico/pokemon-home-pokedex/main/sprites/alcremie-salted-cream-strawberry.png", 2)</f>
        <v>0</v>
      </c>
      <c r="E1174" s="5" t="s">
        <v>805</v>
      </c>
      <c r="F1174" s="5" t="s">
        <v>805</v>
      </c>
    </row>
    <row r="1175" spans="1:6" ht="72" customHeight="1">
      <c r="A1175" s="1" t="s">
        <v>26</v>
      </c>
      <c r="B1175" s="1">
        <v>0</v>
      </c>
      <c r="C1175" s="1" t="s">
        <v>1213</v>
      </c>
      <c r="D1175">
        <f>IMAGE("https://raw.githubusercontent.com/stautonico/pokemon-home-pokedex/main/sprites/alcremie-salted-cream-berry.png", 2)</f>
        <v>0</v>
      </c>
      <c r="E1175" s="5" t="s">
        <v>805</v>
      </c>
      <c r="F1175" s="5" t="s">
        <v>805</v>
      </c>
    </row>
    <row r="1176" spans="1:6" ht="72" customHeight="1">
      <c r="A1176" s="1" t="s">
        <v>26</v>
      </c>
      <c r="B1176" s="1">
        <v>0</v>
      </c>
      <c r="C1176" s="1" t="s">
        <v>1214</v>
      </c>
      <c r="D1176">
        <f>IMAGE("https://raw.githubusercontent.com/stautonico/pokemon-home-pokedex/main/sprites/alcremie-salted-cream-love.png", 2)</f>
        <v>0</v>
      </c>
      <c r="E1176" s="5" t="s">
        <v>805</v>
      </c>
      <c r="F1176" s="5" t="s">
        <v>805</v>
      </c>
    </row>
    <row r="1177" spans="1:6" ht="72" customHeight="1">
      <c r="A1177" s="1" t="s">
        <v>26</v>
      </c>
      <c r="B1177" s="1">
        <v>0</v>
      </c>
      <c r="C1177" s="1" t="s">
        <v>1215</v>
      </c>
      <c r="D1177">
        <f>IMAGE("https://raw.githubusercontent.com/stautonico/pokemon-home-pokedex/main/sprites/alcremie-salted-cream-star.png", 2)</f>
        <v>0</v>
      </c>
      <c r="E1177" s="5" t="s">
        <v>805</v>
      </c>
      <c r="F1177" s="5" t="s">
        <v>805</v>
      </c>
    </row>
    <row r="1178" spans="1:6" ht="72" customHeight="1">
      <c r="A1178" s="1" t="s">
        <v>26</v>
      </c>
      <c r="B1178" s="1">
        <v>0</v>
      </c>
      <c r="C1178" s="1" t="s">
        <v>1216</v>
      </c>
      <c r="D1178">
        <f>IMAGE("https://raw.githubusercontent.com/stautonico/pokemon-home-pokedex/main/sprites/alcremie-salted-cream-clover.png", 2)</f>
        <v>0</v>
      </c>
      <c r="E1178" s="5" t="s">
        <v>805</v>
      </c>
      <c r="F1178" s="5" t="s">
        <v>805</v>
      </c>
    </row>
    <row r="1179" spans="1:6" ht="72" customHeight="1">
      <c r="A1179" s="1" t="s">
        <v>26</v>
      </c>
      <c r="B1179" s="1">
        <v>0</v>
      </c>
      <c r="C1179" s="1" t="s">
        <v>1217</v>
      </c>
      <c r="D1179">
        <f>IMAGE("https://raw.githubusercontent.com/stautonico/pokemon-home-pokedex/main/sprites/alcremie-salted-cream-flower.png", 2)</f>
        <v>0</v>
      </c>
      <c r="E1179" s="5" t="s">
        <v>805</v>
      </c>
      <c r="F1179" s="5" t="s">
        <v>805</v>
      </c>
    </row>
    <row r="1180" spans="1:6" ht="72" customHeight="1">
      <c r="A1180" s="1" t="s">
        <v>26</v>
      </c>
      <c r="B1180" s="1">
        <v>0</v>
      </c>
      <c r="C1180" s="1" t="s">
        <v>1218</v>
      </c>
      <c r="D1180">
        <f>IMAGE("https://raw.githubusercontent.com/stautonico/pokemon-home-pokedex/main/sprites/alcremie-salted-cream-ribbon.png", 2)</f>
        <v>0</v>
      </c>
      <c r="E1180" s="5" t="s">
        <v>805</v>
      </c>
      <c r="F1180" s="5" t="s">
        <v>805</v>
      </c>
    </row>
    <row r="1181" spans="1:6" ht="72" customHeight="1">
      <c r="A1181" s="1" t="s">
        <v>26</v>
      </c>
      <c r="B1181" s="1">
        <v>0</v>
      </c>
      <c r="C1181" s="1" t="s">
        <v>1219</v>
      </c>
      <c r="D1181">
        <f>IMAGE("https://raw.githubusercontent.com/stautonico/pokemon-home-pokedex/main/sprites/alcremie-ruby-swirl-strawberry.png", 2)</f>
        <v>0</v>
      </c>
      <c r="E1181" s="5" t="s">
        <v>805</v>
      </c>
      <c r="F1181" s="5" t="s">
        <v>805</v>
      </c>
    </row>
    <row r="1182" spans="1:6" ht="72" customHeight="1">
      <c r="A1182" s="1" t="s">
        <v>26</v>
      </c>
      <c r="B1182" s="1">
        <v>0</v>
      </c>
      <c r="C1182" s="1" t="s">
        <v>1220</v>
      </c>
      <c r="D1182">
        <f>IMAGE("https://raw.githubusercontent.com/stautonico/pokemon-home-pokedex/main/sprites/alcremie-ruby-swirl-berry.png", 2)</f>
        <v>0</v>
      </c>
      <c r="E1182" s="5" t="s">
        <v>805</v>
      </c>
      <c r="F1182" s="5" t="s">
        <v>805</v>
      </c>
    </row>
    <row r="1183" spans="1:6" ht="72" customHeight="1">
      <c r="A1183" s="1" t="s">
        <v>26</v>
      </c>
      <c r="B1183" s="1">
        <v>0</v>
      </c>
      <c r="C1183" s="1" t="s">
        <v>1221</v>
      </c>
      <c r="D1183">
        <f>IMAGE("https://raw.githubusercontent.com/stautonico/pokemon-home-pokedex/main/sprites/alcremie-ruby-swirl-love.png", 2)</f>
        <v>0</v>
      </c>
      <c r="E1183" s="5" t="s">
        <v>805</v>
      </c>
      <c r="F1183" s="5" t="s">
        <v>805</v>
      </c>
    </row>
    <row r="1184" spans="1:6" ht="72" customHeight="1">
      <c r="A1184" s="1" t="s">
        <v>26</v>
      </c>
      <c r="B1184" s="1">
        <v>0</v>
      </c>
      <c r="C1184" s="1" t="s">
        <v>1222</v>
      </c>
      <c r="D1184">
        <f>IMAGE("https://raw.githubusercontent.com/stautonico/pokemon-home-pokedex/main/sprites/alcremie-ruby-swirl-star.png", 2)</f>
        <v>0</v>
      </c>
      <c r="E1184" s="5" t="s">
        <v>805</v>
      </c>
      <c r="F1184" s="5" t="s">
        <v>805</v>
      </c>
    </row>
    <row r="1185" spans="1:6" ht="72" customHeight="1">
      <c r="A1185" s="1" t="s">
        <v>26</v>
      </c>
      <c r="B1185" s="1">
        <v>0</v>
      </c>
      <c r="C1185" s="1" t="s">
        <v>1223</v>
      </c>
      <c r="D1185">
        <f>IMAGE("https://raw.githubusercontent.com/stautonico/pokemon-home-pokedex/main/sprites/alcremie-ruby-swirl-clover.png", 2)</f>
        <v>0</v>
      </c>
      <c r="E1185" s="5" t="s">
        <v>805</v>
      </c>
      <c r="F1185" s="5" t="s">
        <v>805</v>
      </c>
    </row>
    <row r="1186" spans="1:6" ht="72" customHeight="1">
      <c r="A1186" s="1" t="s">
        <v>26</v>
      </c>
      <c r="B1186" s="1">
        <v>0</v>
      </c>
      <c r="C1186" s="1" t="s">
        <v>1224</v>
      </c>
      <c r="D1186">
        <f>IMAGE("https://raw.githubusercontent.com/stautonico/pokemon-home-pokedex/main/sprites/alcremie-ruby-swirl-flower.png", 2)</f>
        <v>0</v>
      </c>
      <c r="E1186" s="5" t="s">
        <v>805</v>
      </c>
      <c r="F1186" s="5" t="s">
        <v>805</v>
      </c>
    </row>
    <row r="1187" spans="1:6" ht="72" customHeight="1">
      <c r="A1187" s="1" t="s">
        <v>26</v>
      </c>
      <c r="B1187" s="1">
        <v>0</v>
      </c>
      <c r="C1187" s="1" t="s">
        <v>1225</v>
      </c>
      <c r="D1187">
        <f>IMAGE("https://raw.githubusercontent.com/stautonico/pokemon-home-pokedex/main/sprites/alcremie-ruby-swirl-ribbon.png", 2)</f>
        <v>0</v>
      </c>
      <c r="E1187" s="5" t="s">
        <v>805</v>
      </c>
      <c r="F1187" s="5" t="s">
        <v>805</v>
      </c>
    </row>
    <row r="1188" spans="1:6" ht="72" customHeight="1">
      <c r="A1188" s="1" t="s">
        <v>26</v>
      </c>
      <c r="B1188" s="1">
        <v>0</v>
      </c>
      <c r="C1188" s="1" t="s">
        <v>1226</v>
      </c>
      <c r="D1188">
        <f>IMAGE("https://raw.githubusercontent.com/stautonico/pokemon-home-pokedex/main/sprites/alcremie-caramel-swirl-strawberry.png", 2)</f>
        <v>0</v>
      </c>
      <c r="E1188" s="5" t="s">
        <v>805</v>
      </c>
      <c r="F1188" s="5" t="s">
        <v>805</v>
      </c>
    </row>
    <row r="1189" spans="1:6" ht="72" customHeight="1">
      <c r="A1189" s="1" t="s">
        <v>26</v>
      </c>
      <c r="B1189" s="1">
        <v>0</v>
      </c>
      <c r="C1189" s="1" t="s">
        <v>1227</v>
      </c>
      <c r="D1189">
        <f>IMAGE("https://raw.githubusercontent.com/stautonico/pokemon-home-pokedex/main/sprites/alcremie-caramel-swirl-berry.png", 2)</f>
        <v>0</v>
      </c>
      <c r="E1189" s="5" t="s">
        <v>805</v>
      </c>
      <c r="F1189" s="5" t="s">
        <v>805</v>
      </c>
    </row>
    <row r="1190" spans="1:6" ht="72" customHeight="1">
      <c r="A1190" s="1" t="s">
        <v>26</v>
      </c>
      <c r="B1190" s="1">
        <v>0</v>
      </c>
      <c r="C1190" s="1" t="s">
        <v>1228</v>
      </c>
      <c r="D1190">
        <f>IMAGE("https://raw.githubusercontent.com/stautonico/pokemon-home-pokedex/main/sprites/alcremie-caramel-swirl-love.png", 2)</f>
        <v>0</v>
      </c>
      <c r="E1190" s="5" t="s">
        <v>805</v>
      </c>
      <c r="F1190" s="5" t="s">
        <v>805</v>
      </c>
    </row>
    <row r="1191" spans="1:6" ht="72" customHeight="1">
      <c r="A1191" s="1" t="s">
        <v>26</v>
      </c>
      <c r="B1191" s="1">
        <v>0</v>
      </c>
      <c r="C1191" s="1" t="s">
        <v>1229</v>
      </c>
      <c r="D1191">
        <f>IMAGE("https://raw.githubusercontent.com/stautonico/pokemon-home-pokedex/main/sprites/alcremie-caramel-swirl-star.png", 2)</f>
        <v>0</v>
      </c>
      <c r="E1191" s="5" t="s">
        <v>805</v>
      </c>
      <c r="F1191" s="5" t="s">
        <v>805</v>
      </c>
    </row>
    <row r="1192" spans="1:6" ht="72" customHeight="1">
      <c r="A1192" s="1" t="s">
        <v>26</v>
      </c>
      <c r="B1192" s="1">
        <v>0</v>
      </c>
      <c r="C1192" s="1" t="s">
        <v>1230</v>
      </c>
      <c r="D1192">
        <f>IMAGE("https://raw.githubusercontent.com/stautonico/pokemon-home-pokedex/main/sprites/alcremie-caramel-swirl-clover.png", 2)</f>
        <v>0</v>
      </c>
      <c r="E1192" s="5" t="s">
        <v>805</v>
      </c>
      <c r="F1192" s="5" t="s">
        <v>805</v>
      </c>
    </row>
    <row r="1193" spans="1:6" ht="72" customHeight="1">
      <c r="A1193" s="1" t="s">
        <v>26</v>
      </c>
      <c r="B1193" s="1">
        <v>0</v>
      </c>
      <c r="C1193" s="1" t="s">
        <v>1231</v>
      </c>
      <c r="D1193">
        <f>IMAGE("https://raw.githubusercontent.com/stautonico/pokemon-home-pokedex/main/sprites/alcremie-caramel-swirl-flower.png", 2)</f>
        <v>0</v>
      </c>
      <c r="E1193" s="5" t="s">
        <v>805</v>
      </c>
      <c r="F1193" s="5" t="s">
        <v>805</v>
      </c>
    </row>
    <row r="1194" spans="1:6" ht="72" customHeight="1">
      <c r="A1194" s="1" t="s">
        <v>26</v>
      </c>
      <c r="B1194" s="1">
        <v>0</v>
      </c>
      <c r="C1194" s="1" t="s">
        <v>1232</v>
      </c>
      <c r="D1194">
        <f>IMAGE("https://raw.githubusercontent.com/stautonico/pokemon-home-pokedex/main/sprites/alcremie-caramel-swirl-ribbon.png", 2)</f>
        <v>0</v>
      </c>
      <c r="E1194" s="5" t="s">
        <v>805</v>
      </c>
      <c r="F1194" s="5" t="s">
        <v>805</v>
      </c>
    </row>
    <row r="1195" spans="1:6" ht="72" customHeight="1">
      <c r="A1195" s="1" t="s">
        <v>26</v>
      </c>
      <c r="B1195" s="1">
        <v>0</v>
      </c>
      <c r="C1195" s="1" t="s">
        <v>1233</v>
      </c>
      <c r="D1195">
        <f>IMAGE("https://raw.githubusercontent.com/stautonico/pokemon-home-pokedex/main/sprites/alcremie-rainbow-swirl-strawberry.png", 2)</f>
        <v>0</v>
      </c>
      <c r="E1195" s="5" t="s">
        <v>805</v>
      </c>
      <c r="F1195" s="5" t="s">
        <v>805</v>
      </c>
    </row>
    <row r="1196" spans="1:6" ht="72" customHeight="1">
      <c r="A1196" s="1" t="s">
        <v>26</v>
      </c>
      <c r="B1196" s="1">
        <v>0</v>
      </c>
      <c r="C1196" s="1" t="s">
        <v>1234</v>
      </c>
      <c r="D1196">
        <f>IMAGE("https://raw.githubusercontent.com/stautonico/pokemon-home-pokedex/main/sprites/alcremie-rainbow-swirl-berry.png", 2)</f>
        <v>0</v>
      </c>
      <c r="E1196" s="5" t="s">
        <v>805</v>
      </c>
      <c r="F1196" s="5" t="s">
        <v>805</v>
      </c>
    </row>
    <row r="1197" spans="1:6" ht="72" customHeight="1">
      <c r="A1197" s="1" t="s">
        <v>26</v>
      </c>
      <c r="B1197" s="1">
        <v>0</v>
      </c>
      <c r="C1197" s="1" t="s">
        <v>1235</v>
      </c>
      <c r="D1197">
        <f>IMAGE("https://raw.githubusercontent.com/stautonico/pokemon-home-pokedex/main/sprites/alcremie-rainbow-swirl-love.png", 2)</f>
        <v>0</v>
      </c>
      <c r="E1197" s="5" t="s">
        <v>805</v>
      </c>
      <c r="F1197" s="5" t="s">
        <v>805</v>
      </c>
    </row>
    <row r="1198" spans="1:6" ht="72" customHeight="1">
      <c r="A1198" s="1" t="s">
        <v>26</v>
      </c>
      <c r="B1198" s="1">
        <v>0</v>
      </c>
      <c r="C1198" s="1" t="s">
        <v>1236</v>
      </c>
      <c r="D1198">
        <f>IMAGE("https://raw.githubusercontent.com/stautonico/pokemon-home-pokedex/main/sprites/alcremie-rainbow-swirl-star.png", 2)</f>
        <v>0</v>
      </c>
      <c r="E1198" s="5" t="s">
        <v>805</v>
      </c>
      <c r="F1198" s="5" t="s">
        <v>805</v>
      </c>
    </row>
    <row r="1199" spans="1:6" ht="72" customHeight="1">
      <c r="A1199" s="1" t="s">
        <v>26</v>
      </c>
      <c r="B1199" s="1">
        <v>0</v>
      </c>
      <c r="C1199" s="1" t="s">
        <v>1237</v>
      </c>
      <c r="D1199">
        <f>IMAGE("https://raw.githubusercontent.com/stautonico/pokemon-home-pokedex/main/sprites/alcremie-rainbow-swirl-clover.png", 2)</f>
        <v>0</v>
      </c>
      <c r="E1199" s="5" t="s">
        <v>805</v>
      </c>
      <c r="F1199" s="5" t="s">
        <v>805</v>
      </c>
    </row>
    <row r="1200" spans="1:6" ht="72" customHeight="1">
      <c r="A1200" s="1" t="s">
        <v>26</v>
      </c>
      <c r="B1200" s="1">
        <v>0</v>
      </c>
      <c r="C1200" s="1" t="s">
        <v>1238</v>
      </c>
      <c r="D1200">
        <f>IMAGE("https://raw.githubusercontent.com/stautonico/pokemon-home-pokedex/main/sprites/alcremie-rainbow-swirl-flower.png", 2)</f>
        <v>0</v>
      </c>
      <c r="E1200" s="5" t="s">
        <v>805</v>
      </c>
      <c r="F1200" s="5" t="s">
        <v>805</v>
      </c>
    </row>
    <row r="1201" spans="1:6" ht="72" customHeight="1">
      <c r="A1201" s="1" t="s">
        <v>26</v>
      </c>
      <c r="B1201" s="1">
        <v>0</v>
      </c>
      <c r="C1201" s="1" t="s">
        <v>1239</v>
      </c>
      <c r="D1201">
        <f>IMAGE("https://raw.githubusercontent.com/stautonico/pokemon-home-pokedex/main/sprites/alcremie-rainbow-swirl-ribbon.png", 2)</f>
        <v>0</v>
      </c>
      <c r="E1201" s="5" t="s">
        <v>805</v>
      </c>
      <c r="F1201" s="5" t="s">
        <v>805</v>
      </c>
    </row>
    <row r="1202" spans="1:6" ht="72" customHeight="1">
      <c r="A1202" s="1" t="s">
        <v>26</v>
      </c>
      <c r="B1202" s="1">
        <v>3</v>
      </c>
      <c r="C1202" s="1" t="s">
        <v>1240</v>
      </c>
      <c r="D1202">
        <f>IMAGE("https://raw.githubusercontent.com/stautonico/pokemon-home-pokedex/main/sprites/venusaur.png", 2)</f>
        <v>0</v>
      </c>
      <c r="E1202" s="2" t="s">
        <v>9</v>
      </c>
      <c r="F1202" s="3" t="s">
        <v>12</v>
      </c>
    </row>
    <row r="1203" spans="1:6" ht="72" customHeight="1">
      <c r="A1203" s="1" t="s">
        <v>26</v>
      </c>
      <c r="B1203" s="1">
        <v>0</v>
      </c>
      <c r="C1203" s="1" t="s">
        <v>1241</v>
      </c>
      <c r="D1203">
        <f>IMAGE("https://raw.githubusercontent.com/stautonico/pokemon-home-pokedex/main/sprites/venusaur-f.png", 2)</f>
        <v>0</v>
      </c>
      <c r="E1203" s="5" t="s">
        <v>805</v>
      </c>
      <c r="F1203" s="5" t="s">
        <v>805</v>
      </c>
    </row>
    <row r="1204" spans="1:6" ht="72" customHeight="1">
      <c r="A1204" s="1" t="s">
        <v>26</v>
      </c>
      <c r="B1204" s="1">
        <v>6</v>
      </c>
      <c r="C1204" s="1" t="s">
        <v>1242</v>
      </c>
      <c r="D1204">
        <f>IMAGE("https://raw.githubusercontent.com/stautonico/pokemon-home-pokedex/main/sprites/charizard.png", 2)</f>
        <v>0</v>
      </c>
      <c r="E1204" s="4" t="s">
        <v>13</v>
      </c>
      <c r="F1204" s="5"/>
    </row>
    <row r="1205" spans="1:6" ht="72" customHeight="1">
      <c r="A1205" s="1" t="s">
        <v>26</v>
      </c>
      <c r="B1205" s="1">
        <v>9</v>
      </c>
      <c r="C1205" s="1" t="s">
        <v>1243</v>
      </c>
      <c r="D1205">
        <f>IMAGE("https://raw.githubusercontent.com/stautonico/pokemon-home-pokedex/main/sprites/blastoise.png", 2)</f>
        <v>0</v>
      </c>
      <c r="E1205" s="2" t="s">
        <v>9</v>
      </c>
      <c r="F1205" s="3" t="s">
        <v>12</v>
      </c>
    </row>
    <row r="1206" spans="1:6" ht="72" customHeight="1">
      <c r="A1206" s="1" t="s">
        <v>26</v>
      </c>
      <c r="B1206" s="1">
        <v>12</v>
      </c>
      <c r="C1206" s="1" t="s">
        <v>1244</v>
      </c>
      <c r="D1206">
        <f>IMAGE("https://raw.githubusercontent.com/stautonico/pokemon-home-pokedex/main/sprites/butterfree.png", 2)</f>
        <v>0</v>
      </c>
      <c r="E1206" s="4" t="s">
        <v>13</v>
      </c>
      <c r="F1206" s="5"/>
    </row>
    <row r="1207" spans="1:6" ht="72" customHeight="1">
      <c r="A1207" s="1" t="s">
        <v>26</v>
      </c>
      <c r="B1207" s="1">
        <v>0</v>
      </c>
      <c r="C1207" s="1" t="s">
        <v>1245</v>
      </c>
      <c r="D1207">
        <f>IMAGE("https://raw.githubusercontent.com/stautonico/pokemon-home-pokedex/main/sprites/butterfree-f.png", 2)</f>
        <v>0</v>
      </c>
      <c r="E1207" s="5" t="s">
        <v>805</v>
      </c>
      <c r="F1207" s="5" t="s">
        <v>805</v>
      </c>
    </row>
    <row r="1208" spans="1:6" ht="72" customHeight="1">
      <c r="A1208" s="1" t="s">
        <v>26</v>
      </c>
      <c r="B1208" s="1">
        <v>25</v>
      </c>
      <c r="C1208" s="1" t="s">
        <v>1246</v>
      </c>
      <c r="D1208">
        <f>IMAGE("https://raw.githubusercontent.com/stautonico/pokemon-home-pokedex/main/sprites/pikachu.png", 2)</f>
        <v>0</v>
      </c>
      <c r="E1208" s="4" t="s">
        <v>13</v>
      </c>
      <c r="F1208" s="5"/>
    </row>
    <row r="1209" spans="1:6" ht="72" customHeight="1">
      <c r="A1209" s="1" t="s">
        <v>26</v>
      </c>
      <c r="B1209" s="1">
        <v>0</v>
      </c>
      <c r="C1209" s="1" t="s">
        <v>1247</v>
      </c>
      <c r="D1209">
        <f>IMAGE("https://raw.githubusercontent.com/stautonico/pokemon-home-pokedex/main/sprites/pikachu-f.png", 2)</f>
        <v>0</v>
      </c>
      <c r="E1209" s="5" t="s">
        <v>805</v>
      </c>
      <c r="F1209" s="5" t="s">
        <v>805</v>
      </c>
    </row>
    <row r="1210" spans="1:6" ht="72" customHeight="1">
      <c r="A1210" s="1" t="s">
        <v>26</v>
      </c>
      <c r="B1210" s="1">
        <v>52</v>
      </c>
      <c r="C1210" s="1" t="s">
        <v>1248</v>
      </c>
      <c r="D1210">
        <f>IMAGE("https://raw.githubusercontent.com/stautonico/pokemon-home-pokedex/main/sprites/meowth.png", 2)</f>
        <v>0</v>
      </c>
      <c r="E1210" s="4" t="s">
        <v>13</v>
      </c>
      <c r="F1210" s="5"/>
    </row>
    <row r="1211" spans="1:6" ht="72" customHeight="1">
      <c r="A1211" s="1" t="s">
        <v>26</v>
      </c>
      <c r="B1211" s="1">
        <v>68</v>
      </c>
      <c r="C1211" s="1" t="s">
        <v>1249</v>
      </c>
      <c r="D1211">
        <f>IMAGE("https://raw.githubusercontent.com/stautonico/pokemon-home-pokedex/main/sprites/machamp.png", 2)</f>
        <v>0</v>
      </c>
      <c r="E1211" s="4" t="s">
        <v>13</v>
      </c>
      <c r="F1211" s="5"/>
    </row>
    <row r="1212" spans="1:6" ht="72" customHeight="1">
      <c r="A1212" s="1" t="s">
        <v>26</v>
      </c>
      <c r="B1212" s="1">
        <v>94</v>
      </c>
      <c r="C1212" s="1" t="s">
        <v>1250</v>
      </c>
      <c r="D1212">
        <f>IMAGE("https://raw.githubusercontent.com/stautonico/pokemon-home-pokedex/main/sprites/gengar.png", 2)</f>
        <v>0</v>
      </c>
      <c r="E1212" s="4" t="s">
        <v>13</v>
      </c>
      <c r="F1212" s="5"/>
    </row>
    <row r="1213" spans="1:6" ht="72" customHeight="1">
      <c r="A1213" s="1" t="s">
        <v>26</v>
      </c>
      <c r="B1213" s="1">
        <v>99</v>
      </c>
      <c r="C1213" s="1" t="s">
        <v>1251</v>
      </c>
      <c r="D1213">
        <f>IMAGE("https://raw.githubusercontent.com/stautonico/pokemon-home-pokedex/main/sprites/kingler.png", 2)</f>
        <v>0</v>
      </c>
      <c r="E1213" s="4" t="s">
        <v>13</v>
      </c>
      <c r="F1213" s="5"/>
    </row>
    <row r="1214" spans="1:6" ht="72" customHeight="1">
      <c r="A1214" s="1" t="s">
        <v>26</v>
      </c>
      <c r="B1214" s="1">
        <v>131</v>
      </c>
      <c r="C1214" s="1" t="s">
        <v>1252</v>
      </c>
      <c r="D1214">
        <f>IMAGE("https://raw.githubusercontent.com/stautonico/pokemon-home-pokedex/main/sprites/lapras.png", 2)</f>
        <v>0</v>
      </c>
      <c r="E1214" s="4" t="s">
        <v>13</v>
      </c>
      <c r="F1214" s="5"/>
    </row>
    <row r="1215" spans="1:6" ht="72" customHeight="1">
      <c r="A1215" s="1" t="s">
        <v>26</v>
      </c>
      <c r="B1215" s="1">
        <v>133</v>
      </c>
      <c r="C1215" s="1" t="s">
        <v>1253</v>
      </c>
      <c r="D1215">
        <f>IMAGE("https://raw.githubusercontent.com/stautonico/pokemon-home-pokedex/main/sprites/eevee.png", 2)</f>
        <v>0</v>
      </c>
      <c r="E1215" s="4" t="s">
        <v>13</v>
      </c>
      <c r="F1215" s="5"/>
    </row>
    <row r="1216" spans="1:6" ht="72" customHeight="1">
      <c r="A1216" s="1" t="s">
        <v>26</v>
      </c>
      <c r="B1216" s="1">
        <v>0</v>
      </c>
      <c r="C1216" s="1" t="s">
        <v>1254</v>
      </c>
      <c r="D1216">
        <f>IMAGE("https://raw.githubusercontent.com/stautonico/pokemon-home-pokedex/main/sprites/eevee-f.png", 2)</f>
        <v>0</v>
      </c>
      <c r="E1216" s="5" t="s">
        <v>805</v>
      </c>
      <c r="F1216" s="5" t="s">
        <v>805</v>
      </c>
    </row>
    <row r="1217" spans="1:6" ht="72" customHeight="1">
      <c r="A1217" s="1" t="s">
        <v>26</v>
      </c>
      <c r="B1217" s="1">
        <v>143</v>
      </c>
      <c r="C1217" s="1" t="s">
        <v>1255</v>
      </c>
      <c r="D1217">
        <f>IMAGE("https://raw.githubusercontent.com/stautonico/pokemon-home-pokedex/main/sprites/snorlax.png", 2)</f>
        <v>0</v>
      </c>
      <c r="E1217" s="4" t="s">
        <v>13</v>
      </c>
      <c r="F1217" s="5"/>
    </row>
    <row r="1218" spans="1:6" ht="72" customHeight="1">
      <c r="A1218" s="1" t="s">
        <v>26</v>
      </c>
      <c r="B1218" s="1">
        <v>569</v>
      </c>
      <c r="C1218" s="1" t="s">
        <v>1256</v>
      </c>
      <c r="D1218">
        <f>IMAGE("https://raw.githubusercontent.com/stautonico/pokemon-home-pokedex/main/sprites/garbodor.png", 2)</f>
        <v>0</v>
      </c>
      <c r="E1218" s="4" t="s">
        <v>13</v>
      </c>
      <c r="F1218" s="5"/>
    </row>
    <row r="1219" spans="1:6" ht="72" customHeight="1">
      <c r="A1219" s="1" t="s">
        <v>26</v>
      </c>
      <c r="B1219" s="1">
        <v>809</v>
      </c>
      <c r="C1219" s="1" t="s">
        <v>1257</v>
      </c>
      <c r="D1219">
        <f>IMAGE("https://raw.githubusercontent.com/stautonico/pokemon-home-pokedex/main/sprites/melmetal.png", 2)</f>
        <v>0</v>
      </c>
      <c r="E1219" s="36" t="s">
        <v>25</v>
      </c>
      <c r="F1219" s="5"/>
    </row>
    <row r="1220" spans="1:6" ht="72" customHeight="1">
      <c r="A1220" s="1" t="s">
        <v>26</v>
      </c>
      <c r="B1220" s="1">
        <v>812</v>
      </c>
      <c r="C1220" s="1" t="s">
        <v>1258</v>
      </c>
      <c r="D1220">
        <f>IMAGE("https://raw.githubusercontent.com/stautonico/pokemon-home-pokedex/main/sprites/rillaboom.png", 2)</f>
        <v>0</v>
      </c>
      <c r="E1220" s="4" t="s">
        <v>13</v>
      </c>
      <c r="F1220" s="5"/>
    </row>
    <row r="1221" spans="1:6" ht="72" customHeight="1">
      <c r="A1221" s="1" t="s">
        <v>26</v>
      </c>
      <c r="B1221" s="1">
        <v>815</v>
      </c>
      <c r="C1221" s="1" t="s">
        <v>1259</v>
      </c>
      <c r="D1221">
        <f>IMAGE("https://raw.githubusercontent.com/stautonico/pokemon-home-pokedex/main/sprites/cinderace.png", 2)</f>
        <v>0</v>
      </c>
      <c r="E1221" s="4" t="s">
        <v>13</v>
      </c>
      <c r="F1221" s="5"/>
    </row>
    <row r="1222" spans="1:6" ht="72" customHeight="1">
      <c r="A1222" s="1" t="s">
        <v>26</v>
      </c>
      <c r="B1222" s="1">
        <v>818</v>
      </c>
      <c r="C1222" s="1" t="s">
        <v>1260</v>
      </c>
      <c r="D1222">
        <f>IMAGE("https://raw.githubusercontent.com/stautonico/pokemon-home-pokedex/main/sprites/inteleon.png", 2)</f>
        <v>0</v>
      </c>
      <c r="E1222" s="4" t="s">
        <v>13</v>
      </c>
      <c r="F1222" s="5"/>
    </row>
    <row r="1223" spans="1:6" ht="72" customHeight="1">
      <c r="A1223" s="1" t="s">
        <v>26</v>
      </c>
      <c r="B1223" s="1">
        <v>823</v>
      </c>
      <c r="C1223" s="1" t="s">
        <v>1261</v>
      </c>
      <c r="D1223">
        <f>IMAGE("https://raw.githubusercontent.com/stautonico/pokemon-home-pokedex/main/sprites/corviknight.png", 2)</f>
        <v>0</v>
      </c>
      <c r="E1223" s="4" t="s">
        <v>13</v>
      </c>
      <c r="F1223" s="5"/>
    </row>
    <row r="1224" spans="1:6" ht="72" customHeight="1">
      <c r="A1224" s="1" t="s">
        <v>26</v>
      </c>
      <c r="B1224" s="1">
        <v>826</v>
      </c>
      <c r="C1224" s="1" t="s">
        <v>1262</v>
      </c>
      <c r="D1224">
        <f>IMAGE("https://raw.githubusercontent.com/stautonico/pokemon-home-pokedex/main/sprites/orbeetle.png", 2)</f>
        <v>0</v>
      </c>
      <c r="E1224" s="4" t="s">
        <v>13</v>
      </c>
      <c r="F1224" s="5"/>
    </row>
    <row r="1225" spans="1:6" ht="72" customHeight="1">
      <c r="A1225" s="1" t="s">
        <v>26</v>
      </c>
      <c r="B1225" s="1">
        <v>834</v>
      </c>
      <c r="C1225" s="1" t="s">
        <v>1263</v>
      </c>
      <c r="D1225">
        <f>IMAGE("https://raw.githubusercontent.com/stautonico/pokemon-home-pokedex/main/sprites/drednaw.png", 2)</f>
        <v>0</v>
      </c>
      <c r="E1225" s="4" t="s">
        <v>13</v>
      </c>
      <c r="F1225" s="5"/>
    </row>
    <row r="1226" spans="1:6" ht="72" customHeight="1">
      <c r="A1226" s="1" t="s">
        <v>26</v>
      </c>
      <c r="B1226" s="1">
        <v>839</v>
      </c>
      <c r="C1226" s="1" t="s">
        <v>1264</v>
      </c>
      <c r="D1226">
        <f>IMAGE("https://raw.githubusercontent.com/stautonico/pokemon-home-pokedex/main/sprites/coalossal.png", 2)</f>
        <v>0</v>
      </c>
      <c r="E1226" s="4" t="s">
        <v>13</v>
      </c>
      <c r="F1226" s="5"/>
    </row>
    <row r="1227" spans="1:6" ht="72" customHeight="1">
      <c r="A1227" s="1" t="s">
        <v>26</v>
      </c>
      <c r="B1227" s="1">
        <v>841</v>
      </c>
      <c r="C1227" s="1" t="s">
        <v>1265</v>
      </c>
      <c r="D1227">
        <f>IMAGE("https://raw.githubusercontent.com/stautonico/pokemon-home-pokedex/main/sprites/flapple.png", 2)</f>
        <v>0</v>
      </c>
      <c r="E1227" s="29" t="s">
        <v>14</v>
      </c>
      <c r="F1227" s="5"/>
    </row>
    <row r="1228" spans="1:6" ht="72" customHeight="1">
      <c r="A1228" s="1" t="s">
        <v>26</v>
      </c>
      <c r="B1228" s="1">
        <v>842</v>
      </c>
      <c r="C1228" s="1" t="s">
        <v>1266</v>
      </c>
      <c r="D1228">
        <f>IMAGE("https://raw.githubusercontent.com/stautonico/pokemon-home-pokedex/main/sprites/appletun.png", 2)</f>
        <v>0</v>
      </c>
      <c r="E1228" s="27" t="s">
        <v>15</v>
      </c>
      <c r="F1228" s="5"/>
    </row>
    <row r="1229" spans="1:6" ht="72" customHeight="1">
      <c r="A1229" s="1" t="s">
        <v>26</v>
      </c>
      <c r="B1229" s="1">
        <v>844</v>
      </c>
      <c r="C1229" s="1" t="s">
        <v>1267</v>
      </c>
      <c r="D1229">
        <f>IMAGE("https://raw.githubusercontent.com/stautonico/pokemon-home-pokedex/main/sprites/sandaconda.png", 2)</f>
        <v>0</v>
      </c>
      <c r="E1229" s="4" t="s">
        <v>13</v>
      </c>
      <c r="F1229" s="5"/>
    </row>
    <row r="1230" spans="1:6" ht="72" customHeight="1">
      <c r="A1230" s="1" t="s">
        <v>26</v>
      </c>
      <c r="B1230" s="1">
        <v>849</v>
      </c>
      <c r="C1230" s="1" t="s">
        <v>1268</v>
      </c>
      <c r="D1230">
        <f>IMAGE("https://raw.githubusercontent.com/stautonico/pokemon-home-pokedex/main/sprites/toxtricity-amped.png", 2)</f>
        <v>0</v>
      </c>
      <c r="E1230" s="4" t="s">
        <v>13</v>
      </c>
      <c r="F1230" s="5"/>
    </row>
    <row r="1231" spans="1:6" ht="72" customHeight="1">
      <c r="A1231" s="1" t="s">
        <v>26</v>
      </c>
      <c r="B1231" s="1">
        <v>10184</v>
      </c>
      <c r="C1231" s="1" t="s">
        <v>1269</v>
      </c>
      <c r="D1231">
        <f>IMAGE("https://raw.githubusercontent.com/stautonico/pokemon-home-pokedex/main/sprites/toxtricity-low-key.png", 2)</f>
        <v>0</v>
      </c>
      <c r="E1231" s="5" t="s">
        <v>805</v>
      </c>
      <c r="F1231" s="5" t="s">
        <v>805</v>
      </c>
    </row>
    <row r="1232" spans="1:6" ht="72" customHeight="1">
      <c r="A1232" s="1" t="s">
        <v>26</v>
      </c>
      <c r="B1232" s="1">
        <v>851</v>
      </c>
      <c r="C1232" s="1" t="s">
        <v>1270</v>
      </c>
      <c r="D1232">
        <f>IMAGE("https://raw.githubusercontent.com/stautonico/pokemon-home-pokedex/main/sprites/centiskorch.png", 2)</f>
        <v>0</v>
      </c>
      <c r="E1232" s="4" t="s">
        <v>13</v>
      </c>
      <c r="F1232" s="5"/>
    </row>
    <row r="1233" spans="1:6" ht="72" customHeight="1">
      <c r="A1233" s="1" t="s">
        <v>26</v>
      </c>
      <c r="B1233" s="1">
        <v>858</v>
      </c>
      <c r="C1233" s="1" t="s">
        <v>1271</v>
      </c>
      <c r="D1233">
        <f>IMAGE("https://raw.githubusercontent.com/stautonico/pokemon-home-pokedex/main/sprites/hatterene.png", 2)</f>
        <v>0</v>
      </c>
      <c r="E1233" s="4" t="s">
        <v>13</v>
      </c>
      <c r="F1233" s="5"/>
    </row>
    <row r="1234" spans="1:6" ht="72" customHeight="1">
      <c r="A1234" s="1" t="s">
        <v>26</v>
      </c>
      <c r="B1234" s="1">
        <v>861</v>
      </c>
      <c r="C1234" s="1" t="s">
        <v>1272</v>
      </c>
      <c r="D1234">
        <f>IMAGE("https://raw.githubusercontent.com/stautonico/pokemon-home-pokedex/main/sprites/grimmsnarl.png", 2)</f>
        <v>0</v>
      </c>
      <c r="E1234" s="4" t="s">
        <v>13</v>
      </c>
      <c r="F1234" s="5"/>
    </row>
    <row r="1235" spans="1:6" ht="72" customHeight="1">
      <c r="A1235" s="1" t="s">
        <v>26</v>
      </c>
      <c r="B1235" s="1">
        <v>869</v>
      </c>
      <c r="C1235" s="1" t="s">
        <v>1273</v>
      </c>
      <c r="D1235">
        <f>IMAGE("https://raw.githubusercontent.com/stautonico/pokemon-home-pokedex/main/sprites/alcremie.png", 2)</f>
        <v>0</v>
      </c>
      <c r="E1235" s="4" t="s">
        <v>13</v>
      </c>
      <c r="F1235" s="5"/>
    </row>
    <row r="1236" spans="1:6" ht="72" customHeight="1">
      <c r="A1236" s="1" t="s">
        <v>26</v>
      </c>
      <c r="B1236" s="1">
        <v>879</v>
      </c>
      <c r="C1236" s="1" t="s">
        <v>1274</v>
      </c>
      <c r="D1236">
        <f>IMAGE("https://raw.githubusercontent.com/stautonico/pokemon-home-pokedex/main/sprites/copperajah.png", 2)</f>
        <v>0</v>
      </c>
      <c r="E1236" s="4" t="s">
        <v>13</v>
      </c>
      <c r="F1236" s="5"/>
    </row>
    <row r="1237" spans="1:6" ht="72" customHeight="1">
      <c r="A1237" s="1" t="s">
        <v>26</v>
      </c>
      <c r="B1237" s="1">
        <v>884</v>
      </c>
      <c r="C1237" s="1" t="s">
        <v>1275</v>
      </c>
      <c r="D1237">
        <f>IMAGE("https://raw.githubusercontent.com/stautonico/pokemon-home-pokedex/main/sprites/duraludon.png", 2)</f>
        <v>0</v>
      </c>
      <c r="E1237" s="4" t="s">
        <v>13</v>
      </c>
      <c r="F1237" s="5"/>
    </row>
    <row r="1238" spans="1:6" ht="72" customHeight="1">
      <c r="A1238" s="1" t="s">
        <v>26</v>
      </c>
      <c r="B1238" s="1">
        <v>892</v>
      </c>
      <c r="C1238" s="1" t="s">
        <v>1276</v>
      </c>
      <c r="D1238">
        <f>IMAGE("https://raw.githubusercontent.com/stautonico/pokemon-home-pokedex/main/sprites/urshifu-single-strike.png", 2)</f>
        <v>0</v>
      </c>
      <c r="E1238" s="5" t="s">
        <v>805</v>
      </c>
      <c r="F1238" s="5" t="s">
        <v>805</v>
      </c>
    </row>
    <row r="1239" spans="1:6" ht="72" customHeight="1">
      <c r="A1239" s="1" t="s">
        <v>26</v>
      </c>
      <c r="B1239" s="1">
        <v>10191</v>
      </c>
      <c r="C1239" s="1" t="s">
        <v>1277</v>
      </c>
      <c r="D1239">
        <f>IMAGE("https://raw.githubusercontent.com/stautonico/pokemon-home-pokedex/main/sprites/urshifu-rapid-strike.png", 2)</f>
        <v>0</v>
      </c>
      <c r="E1239" s="5" t="s">
        <v>805</v>
      </c>
      <c r="F1239" s="5" t="s">
        <v>805</v>
      </c>
    </row>
    <row r="1240" spans="1:6" ht="72" customHeight="1">
      <c r="A1240" s="1" t="s">
        <v>26</v>
      </c>
      <c r="B1240" s="1">
        <v>10091</v>
      </c>
      <c r="C1240" s="1" t="s">
        <v>1278</v>
      </c>
      <c r="D1240">
        <f>IMAGE("https://raw.githubusercontent.com/stautonico/pokemon-home-pokedex/main/sprites/rattata-alola.png", 2)</f>
        <v>0</v>
      </c>
      <c r="E1240" s="5" t="s">
        <v>805</v>
      </c>
      <c r="F1240" s="5" t="s">
        <v>805</v>
      </c>
    </row>
    <row r="1241" spans="1:6" ht="72" customHeight="1">
      <c r="A1241" s="1" t="s">
        <v>26</v>
      </c>
      <c r="B1241" s="1">
        <v>10092</v>
      </c>
      <c r="C1241" s="1" t="s">
        <v>1279</v>
      </c>
      <c r="D1241">
        <f>IMAGE("https://raw.githubusercontent.com/stautonico/pokemon-home-pokedex/main/sprites/raticate-alola.png", 2)</f>
        <v>0</v>
      </c>
      <c r="E1241" s="5" t="s">
        <v>805</v>
      </c>
      <c r="F1241" s="5" t="s">
        <v>805</v>
      </c>
    </row>
    <row r="1242" spans="1:6" ht="72" customHeight="1">
      <c r="A1242" s="1" t="s">
        <v>26</v>
      </c>
      <c r="B1242" s="1">
        <v>10100</v>
      </c>
      <c r="C1242" s="1" t="s">
        <v>1280</v>
      </c>
      <c r="D1242">
        <f>IMAGE("https://raw.githubusercontent.com/stautonico/pokemon-home-pokedex/main/sprites/raichu-alola.png", 2)</f>
        <v>0</v>
      </c>
      <c r="E1242" s="5" t="s">
        <v>805</v>
      </c>
      <c r="F1242" s="5" t="s">
        <v>805</v>
      </c>
    </row>
    <row r="1243" spans="1:6" ht="72" customHeight="1">
      <c r="A1243" s="1" t="s">
        <v>26</v>
      </c>
      <c r="B1243" s="1">
        <v>10101</v>
      </c>
      <c r="C1243" s="1" t="s">
        <v>1281</v>
      </c>
      <c r="D1243">
        <f>IMAGE("https://raw.githubusercontent.com/stautonico/pokemon-home-pokedex/main/sprites/sandshrew-alola.png", 2)</f>
        <v>0</v>
      </c>
      <c r="E1243" s="5" t="s">
        <v>805</v>
      </c>
      <c r="F1243" s="5" t="s">
        <v>805</v>
      </c>
    </row>
    <row r="1244" spans="1:6" ht="72" customHeight="1">
      <c r="A1244" s="1" t="s">
        <v>26</v>
      </c>
      <c r="B1244" s="1">
        <v>10102</v>
      </c>
      <c r="C1244" s="1" t="s">
        <v>1282</v>
      </c>
      <c r="D1244">
        <f>IMAGE("https://raw.githubusercontent.com/stautonico/pokemon-home-pokedex/main/sprites/sandslash-alola.png", 2)</f>
        <v>0</v>
      </c>
      <c r="E1244" s="5" t="s">
        <v>805</v>
      </c>
      <c r="F1244" s="5" t="s">
        <v>805</v>
      </c>
    </row>
    <row r="1245" spans="1:6" ht="72" customHeight="1">
      <c r="A1245" s="1" t="s">
        <v>26</v>
      </c>
      <c r="B1245" s="1">
        <v>10103</v>
      </c>
      <c r="C1245" s="1" t="s">
        <v>1283</v>
      </c>
      <c r="D1245">
        <f>IMAGE("https://raw.githubusercontent.com/stautonico/pokemon-home-pokedex/main/sprites/vulpix-alola.png", 2)</f>
        <v>0</v>
      </c>
      <c r="E1245" s="5" t="s">
        <v>805</v>
      </c>
      <c r="F1245" s="5" t="s">
        <v>805</v>
      </c>
    </row>
    <row r="1246" spans="1:6" ht="72" customHeight="1">
      <c r="A1246" s="1" t="s">
        <v>26</v>
      </c>
      <c r="B1246" s="1">
        <v>10104</v>
      </c>
      <c r="C1246" s="1" t="s">
        <v>1284</v>
      </c>
      <c r="D1246">
        <f>IMAGE("https://raw.githubusercontent.com/stautonico/pokemon-home-pokedex/main/sprites/ninetales-alola.png", 2)</f>
        <v>0</v>
      </c>
      <c r="E1246" s="5" t="s">
        <v>805</v>
      </c>
      <c r="F1246" s="5" t="s">
        <v>805</v>
      </c>
    </row>
    <row r="1247" spans="1:6" ht="72" customHeight="1">
      <c r="A1247" s="1" t="s">
        <v>26</v>
      </c>
      <c r="B1247" s="1">
        <v>10105</v>
      </c>
      <c r="C1247" s="1" t="s">
        <v>1285</v>
      </c>
      <c r="D1247">
        <f>IMAGE("https://raw.githubusercontent.com/stautonico/pokemon-home-pokedex/main/sprites/diglett-alola.png", 2)</f>
        <v>0</v>
      </c>
      <c r="E1247" s="5" t="s">
        <v>805</v>
      </c>
      <c r="F1247" s="5" t="s">
        <v>805</v>
      </c>
    </row>
    <row r="1248" spans="1:6" ht="72" customHeight="1">
      <c r="A1248" s="1" t="s">
        <v>26</v>
      </c>
      <c r="B1248" s="1">
        <v>10106</v>
      </c>
      <c r="C1248" s="1" t="s">
        <v>1286</v>
      </c>
      <c r="D1248">
        <f>IMAGE("https://raw.githubusercontent.com/stautonico/pokemon-home-pokedex/main/sprites/dugtrio-alola.png", 2)</f>
        <v>0</v>
      </c>
      <c r="E1248" s="5" t="s">
        <v>805</v>
      </c>
      <c r="F1248" s="5" t="s">
        <v>805</v>
      </c>
    </row>
    <row r="1249" spans="1:6" ht="72" customHeight="1">
      <c r="A1249" s="1" t="s">
        <v>26</v>
      </c>
      <c r="B1249" s="1">
        <v>10107</v>
      </c>
      <c r="C1249" s="1" t="s">
        <v>1287</v>
      </c>
      <c r="D1249">
        <f>IMAGE("https://raw.githubusercontent.com/stautonico/pokemon-home-pokedex/main/sprites/meowth-alola.png", 2)</f>
        <v>0</v>
      </c>
      <c r="E1249" s="5" t="s">
        <v>805</v>
      </c>
      <c r="F1249" s="5" t="s">
        <v>805</v>
      </c>
    </row>
    <row r="1250" spans="1:6" ht="72" customHeight="1">
      <c r="A1250" s="1" t="s">
        <v>26</v>
      </c>
      <c r="B1250" s="1">
        <v>10108</v>
      </c>
      <c r="C1250" s="1" t="s">
        <v>1288</v>
      </c>
      <c r="D1250">
        <f>IMAGE("https://raw.githubusercontent.com/stautonico/pokemon-home-pokedex/main/sprites/persian-alola.png", 2)</f>
        <v>0</v>
      </c>
      <c r="E1250" s="5" t="s">
        <v>805</v>
      </c>
      <c r="F1250" s="5" t="s">
        <v>805</v>
      </c>
    </row>
    <row r="1251" spans="1:6" ht="72" customHeight="1">
      <c r="A1251" s="1" t="s">
        <v>26</v>
      </c>
      <c r="B1251" s="1">
        <v>10109</v>
      </c>
      <c r="C1251" s="1" t="s">
        <v>1289</v>
      </c>
      <c r="D1251">
        <f>IMAGE("https://raw.githubusercontent.com/stautonico/pokemon-home-pokedex/main/sprites/geodude-alola.png", 2)</f>
        <v>0</v>
      </c>
      <c r="E1251" s="5" t="s">
        <v>805</v>
      </c>
      <c r="F1251" s="5" t="s">
        <v>805</v>
      </c>
    </row>
    <row r="1252" spans="1:6" ht="72" customHeight="1">
      <c r="A1252" s="1" t="s">
        <v>26</v>
      </c>
      <c r="B1252" s="1">
        <v>10110</v>
      </c>
      <c r="C1252" s="1" t="s">
        <v>1290</v>
      </c>
      <c r="D1252">
        <f>IMAGE("https://raw.githubusercontent.com/stautonico/pokemon-home-pokedex/main/sprites/graveler-alola.png", 2)</f>
        <v>0</v>
      </c>
      <c r="E1252" s="5" t="s">
        <v>805</v>
      </c>
      <c r="F1252" s="5" t="s">
        <v>805</v>
      </c>
    </row>
    <row r="1253" spans="1:6" ht="72" customHeight="1">
      <c r="A1253" s="1" t="s">
        <v>26</v>
      </c>
      <c r="B1253" s="1">
        <v>10111</v>
      </c>
      <c r="C1253" s="1" t="s">
        <v>1291</v>
      </c>
      <c r="D1253">
        <f>IMAGE("https://raw.githubusercontent.com/stautonico/pokemon-home-pokedex/main/sprites/golem-alola.png", 2)</f>
        <v>0</v>
      </c>
      <c r="E1253" s="5" t="s">
        <v>805</v>
      </c>
      <c r="F1253" s="5" t="s">
        <v>805</v>
      </c>
    </row>
    <row r="1254" spans="1:6" ht="72" customHeight="1">
      <c r="A1254" s="1" t="s">
        <v>26</v>
      </c>
      <c r="B1254" s="1">
        <v>10112</v>
      </c>
      <c r="C1254" s="1" t="s">
        <v>1292</v>
      </c>
      <c r="D1254">
        <f>IMAGE("https://raw.githubusercontent.com/stautonico/pokemon-home-pokedex/main/sprites/grimer-alola.png", 2)</f>
        <v>0</v>
      </c>
      <c r="E1254" s="5" t="s">
        <v>805</v>
      </c>
      <c r="F1254" s="5" t="s">
        <v>805</v>
      </c>
    </row>
    <row r="1255" spans="1:6" ht="72" customHeight="1">
      <c r="A1255" s="1" t="s">
        <v>26</v>
      </c>
      <c r="B1255" s="1">
        <v>10113</v>
      </c>
      <c r="C1255" s="1" t="s">
        <v>1293</v>
      </c>
      <c r="D1255">
        <f>IMAGE("https://raw.githubusercontent.com/stautonico/pokemon-home-pokedex/main/sprites/muk-alola.png", 2)</f>
        <v>0</v>
      </c>
      <c r="E1255" s="5" t="s">
        <v>805</v>
      </c>
      <c r="F1255" s="5" t="s">
        <v>805</v>
      </c>
    </row>
    <row r="1256" spans="1:6" ht="72" customHeight="1">
      <c r="A1256" s="1" t="s">
        <v>26</v>
      </c>
      <c r="B1256" s="1">
        <v>10114</v>
      </c>
      <c r="C1256" s="1" t="s">
        <v>1294</v>
      </c>
      <c r="D1256">
        <f>IMAGE("https://raw.githubusercontent.com/stautonico/pokemon-home-pokedex/main/sprites/exeggutor-alola.png", 2)</f>
        <v>0</v>
      </c>
      <c r="E1256" s="5" t="s">
        <v>805</v>
      </c>
      <c r="F1256" s="5" t="s">
        <v>805</v>
      </c>
    </row>
    <row r="1257" spans="1:6" ht="72" customHeight="1">
      <c r="A1257" s="1" t="s">
        <v>26</v>
      </c>
      <c r="B1257" s="1">
        <v>10115</v>
      </c>
      <c r="C1257" s="1" t="s">
        <v>1295</v>
      </c>
      <c r="D1257">
        <f>IMAGE("https://raw.githubusercontent.com/stautonico/pokemon-home-pokedex/main/sprites/marowak-alola.png", 2)</f>
        <v>0</v>
      </c>
      <c r="E1257" s="5" t="s">
        <v>805</v>
      </c>
      <c r="F1257" s="5" t="s">
        <v>805</v>
      </c>
    </row>
    <row r="1258" spans="1:6" ht="72" customHeight="1">
      <c r="A1258" s="1" t="s">
        <v>26</v>
      </c>
      <c r="B1258" s="1">
        <v>10161</v>
      </c>
      <c r="C1258" s="1" t="s">
        <v>1296</v>
      </c>
      <c r="D1258">
        <f>IMAGE("https://raw.githubusercontent.com/stautonico/pokemon-home-pokedex/main/sprites/meowth-galar.png", 2)</f>
        <v>0</v>
      </c>
      <c r="E1258" s="5" t="s">
        <v>805</v>
      </c>
      <c r="F1258" s="5" t="s">
        <v>805</v>
      </c>
    </row>
    <row r="1259" spans="1:6" ht="72" customHeight="1">
      <c r="A1259" s="1" t="s">
        <v>26</v>
      </c>
      <c r="B1259" s="1">
        <v>10162</v>
      </c>
      <c r="C1259" s="1" t="s">
        <v>1297</v>
      </c>
      <c r="D1259">
        <f>IMAGE("https://raw.githubusercontent.com/stautonico/pokemon-home-pokedex/main/sprites/ponyta-galar.png", 2)</f>
        <v>0</v>
      </c>
      <c r="E1259" s="5" t="s">
        <v>805</v>
      </c>
      <c r="F1259" s="5" t="s">
        <v>805</v>
      </c>
    </row>
    <row r="1260" spans="1:6" ht="72" customHeight="1">
      <c r="A1260" s="1" t="s">
        <v>26</v>
      </c>
      <c r="B1260" s="1">
        <v>10163</v>
      </c>
      <c r="C1260" s="1" t="s">
        <v>1298</v>
      </c>
      <c r="D1260">
        <f>IMAGE("https://raw.githubusercontent.com/stautonico/pokemon-home-pokedex/main/sprites/rapidash-galar.png", 2)</f>
        <v>0</v>
      </c>
      <c r="E1260" s="5" t="s">
        <v>805</v>
      </c>
      <c r="F1260" s="5" t="s">
        <v>805</v>
      </c>
    </row>
    <row r="1261" spans="1:6" ht="72" customHeight="1">
      <c r="A1261" s="1" t="s">
        <v>26</v>
      </c>
      <c r="B1261" s="1">
        <v>10164</v>
      </c>
      <c r="C1261" s="1" t="s">
        <v>1299</v>
      </c>
      <c r="D1261">
        <f>IMAGE("https://raw.githubusercontent.com/stautonico/pokemon-home-pokedex/main/sprites/slowpoke-galar.png", 2)</f>
        <v>0</v>
      </c>
      <c r="E1261" s="5" t="s">
        <v>805</v>
      </c>
      <c r="F1261" s="5" t="s">
        <v>805</v>
      </c>
    </row>
    <row r="1262" spans="1:6" ht="72" customHeight="1">
      <c r="A1262" s="1" t="s">
        <v>26</v>
      </c>
      <c r="B1262" s="1">
        <v>10165</v>
      </c>
      <c r="C1262" s="1" t="s">
        <v>1300</v>
      </c>
      <c r="D1262">
        <f>IMAGE("https://raw.githubusercontent.com/stautonico/pokemon-home-pokedex/main/sprites/slowbro-galar.png", 2)</f>
        <v>0</v>
      </c>
      <c r="E1262" s="5" t="s">
        <v>805</v>
      </c>
      <c r="F1262" s="5" t="s">
        <v>805</v>
      </c>
    </row>
    <row r="1263" spans="1:6" ht="72" customHeight="1">
      <c r="A1263" s="1" t="s">
        <v>26</v>
      </c>
      <c r="B1263" s="1">
        <v>10166</v>
      </c>
      <c r="C1263" s="1" t="s">
        <v>1301</v>
      </c>
      <c r="D1263">
        <f>IMAGE("https://raw.githubusercontent.com/stautonico/pokemon-home-pokedex/main/sprites/farfetchd-galar.png", 2)</f>
        <v>0</v>
      </c>
      <c r="E1263" s="5" t="s">
        <v>805</v>
      </c>
      <c r="F1263" s="5" t="s">
        <v>805</v>
      </c>
    </row>
    <row r="1264" spans="1:6" ht="72" customHeight="1">
      <c r="A1264" s="1" t="s">
        <v>26</v>
      </c>
      <c r="B1264" s="1">
        <v>10167</v>
      </c>
      <c r="C1264" s="1" t="s">
        <v>1302</v>
      </c>
      <c r="D1264">
        <f>IMAGE("https://raw.githubusercontent.com/stautonico/pokemon-home-pokedex/main/sprites/weezing-galar.png", 2)</f>
        <v>0</v>
      </c>
      <c r="E1264" s="5" t="s">
        <v>805</v>
      </c>
      <c r="F1264" s="5" t="s">
        <v>805</v>
      </c>
    </row>
    <row r="1265" spans="1:6" ht="72" customHeight="1">
      <c r="A1265" s="1" t="s">
        <v>26</v>
      </c>
      <c r="B1265" s="1">
        <v>0</v>
      </c>
      <c r="C1265" s="1" t="s">
        <v>1303</v>
      </c>
      <c r="D1265">
        <f>IMAGE("https://raw.githubusercontent.com/stautonico/pokemon-home-pokedex/main/sprites/mrmime-galar.png", 2)</f>
        <v>0</v>
      </c>
      <c r="E1265" s="5" t="s">
        <v>805</v>
      </c>
      <c r="F1265" s="5" t="s">
        <v>805</v>
      </c>
    </row>
    <row r="1266" spans="1:6" ht="72" customHeight="1">
      <c r="A1266" s="1" t="s">
        <v>26</v>
      </c>
      <c r="B1266" s="1">
        <v>10169</v>
      </c>
      <c r="C1266" s="1" t="s">
        <v>1304</v>
      </c>
      <c r="D1266">
        <f>IMAGE("https://raw.githubusercontent.com/stautonico/pokemon-home-pokedex/main/sprites/articuno-galar.png", 2)</f>
        <v>0</v>
      </c>
      <c r="E1266" s="5" t="s">
        <v>805</v>
      </c>
      <c r="F1266" s="5" t="s">
        <v>805</v>
      </c>
    </row>
    <row r="1267" spans="1:6" ht="72" customHeight="1">
      <c r="A1267" s="1" t="s">
        <v>26</v>
      </c>
      <c r="B1267" s="1">
        <v>10170</v>
      </c>
      <c r="C1267" s="1" t="s">
        <v>1305</v>
      </c>
      <c r="D1267">
        <f>IMAGE("https://raw.githubusercontent.com/stautonico/pokemon-home-pokedex/main/sprites/zapdos-galar.png", 2)</f>
        <v>0</v>
      </c>
      <c r="E1267" s="5" t="s">
        <v>805</v>
      </c>
      <c r="F1267" s="5" t="s">
        <v>805</v>
      </c>
    </row>
    <row r="1268" spans="1:6" ht="72" customHeight="1">
      <c r="A1268" s="1" t="s">
        <v>26</v>
      </c>
      <c r="B1268" s="1">
        <v>10171</v>
      </c>
      <c r="C1268" s="1" t="s">
        <v>1306</v>
      </c>
      <c r="D1268">
        <f>IMAGE("https://raw.githubusercontent.com/stautonico/pokemon-home-pokedex/main/sprites/moltres-galar.png", 2)</f>
        <v>0</v>
      </c>
      <c r="E1268" s="5" t="s">
        <v>805</v>
      </c>
      <c r="F1268" s="5" t="s">
        <v>805</v>
      </c>
    </row>
    <row r="1269" spans="1:6" ht="72" customHeight="1">
      <c r="A1269" s="1" t="s">
        <v>26</v>
      </c>
      <c r="B1269" s="1">
        <v>10172</v>
      </c>
      <c r="C1269" s="1" t="s">
        <v>1307</v>
      </c>
      <c r="D1269">
        <f>IMAGE("https://raw.githubusercontent.com/stautonico/pokemon-home-pokedex/main/sprites/slowking-galar.png", 2)</f>
        <v>0</v>
      </c>
      <c r="E1269" s="5" t="s">
        <v>805</v>
      </c>
      <c r="F1269" s="5" t="s">
        <v>805</v>
      </c>
    </row>
    <row r="1270" spans="1:6" ht="72" customHeight="1">
      <c r="A1270" s="1" t="s">
        <v>26</v>
      </c>
      <c r="B1270" s="1">
        <v>10173</v>
      </c>
      <c r="C1270" s="1" t="s">
        <v>1308</v>
      </c>
      <c r="D1270">
        <f>IMAGE("https://raw.githubusercontent.com/stautonico/pokemon-home-pokedex/main/sprites/corsola-galar.png", 2)</f>
        <v>0</v>
      </c>
      <c r="E1270" s="5" t="s">
        <v>805</v>
      </c>
      <c r="F1270" s="5" t="s">
        <v>805</v>
      </c>
    </row>
    <row r="1271" spans="1:6" ht="72" customHeight="1">
      <c r="A1271" s="1" t="s">
        <v>26</v>
      </c>
      <c r="B1271" s="1">
        <v>10174</v>
      </c>
      <c r="C1271" s="1" t="s">
        <v>1309</v>
      </c>
      <c r="D1271">
        <f>IMAGE("https://raw.githubusercontent.com/stautonico/pokemon-home-pokedex/main/sprites/zigzagoon-galar.png", 2)</f>
        <v>0</v>
      </c>
      <c r="E1271" s="5" t="s">
        <v>805</v>
      </c>
      <c r="F1271" s="5" t="s">
        <v>805</v>
      </c>
    </row>
    <row r="1272" spans="1:6" ht="72" customHeight="1">
      <c r="A1272" s="1" t="s">
        <v>26</v>
      </c>
      <c r="B1272" s="1">
        <v>10175</v>
      </c>
      <c r="C1272" s="1" t="s">
        <v>1310</v>
      </c>
      <c r="D1272">
        <f>IMAGE("https://raw.githubusercontent.com/stautonico/pokemon-home-pokedex/main/sprites/linoone-galar.png", 2)</f>
        <v>0</v>
      </c>
      <c r="E1272" s="5" t="s">
        <v>805</v>
      </c>
      <c r="F1272" s="5" t="s">
        <v>805</v>
      </c>
    </row>
    <row r="1273" spans="1:6" ht="72" customHeight="1">
      <c r="A1273" s="1" t="s">
        <v>26</v>
      </c>
      <c r="B1273" s="1">
        <v>10176</v>
      </c>
      <c r="C1273" s="1" t="s">
        <v>1311</v>
      </c>
      <c r="D1273">
        <f>IMAGE("https://raw.githubusercontent.com/stautonico/pokemon-home-pokedex/main/sprites/darumaka-galar.png", 2)</f>
        <v>0</v>
      </c>
      <c r="E1273" s="5" t="s">
        <v>805</v>
      </c>
      <c r="F1273" s="5" t="s">
        <v>805</v>
      </c>
    </row>
    <row r="1274" spans="1:6" ht="72" customHeight="1">
      <c r="A1274" s="1" t="s">
        <v>26</v>
      </c>
      <c r="B1274" s="1">
        <v>0</v>
      </c>
      <c r="C1274" s="1" t="s">
        <v>1312</v>
      </c>
      <c r="D1274">
        <f>IMAGE("https://raw.githubusercontent.com/stautonico/pokemon-home-pokedex/main/sprites/darmanitan-galar.png", 2)</f>
        <v>0</v>
      </c>
      <c r="E1274" s="5" t="s">
        <v>805</v>
      </c>
      <c r="F1274" s="5" t="s">
        <v>805</v>
      </c>
    </row>
    <row r="1275" spans="1:6" ht="72" customHeight="1">
      <c r="A1275" s="1" t="s">
        <v>26</v>
      </c>
      <c r="B1275" s="1">
        <v>10179</v>
      </c>
      <c r="C1275" s="1" t="s">
        <v>1313</v>
      </c>
      <c r="D1275">
        <f>IMAGE("https://raw.githubusercontent.com/stautonico/pokemon-home-pokedex/main/sprites/yamask-galar.png", 2)</f>
        <v>0</v>
      </c>
      <c r="E1275" s="5" t="s">
        <v>805</v>
      </c>
      <c r="F1275" s="5" t="s">
        <v>805</v>
      </c>
    </row>
    <row r="1276" spans="1:6" ht="72" customHeight="1">
      <c r="A1276" s="1" t="s">
        <v>26</v>
      </c>
      <c r="B1276" s="1">
        <v>10180</v>
      </c>
      <c r="C1276" s="1" t="s">
        <v>1314</v>
      </c>
      <c r="D1276">
        <f>IMAGE("https://raw.githubusercontent.com/stautonico/pokemon-home-pokedex/main/sprites/stunfisk-galar.png", 2)</f>
        <v>0</v>
      </c>
      <c r="E1276" s="5" t="s">
        <v>805</v>
      </c>
      <c r="F1276" s="5" t="s">
        <v>805</v>
      </c>
    </row>
    <row r="1277" spans="1:6" ht="72" customHeight="1">
      <c r="A1277" s="1" t="s">
        <v>26</v>
      </c>
      <c r="B1277" s="1">
        <v>10229</v>
      </c>
      <c r="C1277" s="1" t="s">
        <v>1315</v>
      </c>
      <c r="D1277">
        <f>IMAGE("https://raw.githubusercontent.com/stautonico/pokemon-home-pokedex/main/sprites/growlithe-hisui.png", 2)</f>
        <v>0</v>
      </c>
      <c r="E1277" s="5" t="s">
        <v>805</v>
      </c>
      <c r="F1277" s="5" t="s">
        <v>805</v>
      </c>
    </row>
    <row r="1278" spans="1:6" ht="72" customHeight="1">
      <c r="A1278" s="1" t="s">
        <v>26</v>
      </c>
      <c r="B1278" s="1">
        <v>10230</v>
      </c>
      <c r="C1278" s="1" t="s">
        <v>1316</v>
      </c>
      <c r="D1278">
        <f>IMAGE("https://raw.githubusercontent.com/stautonico/pokemon-home-pokedex/main/sprites/arcanine-hisui.png", 2)</f>
        <v>0</v>
      </c>
      <c r="E1278" s="5" t="s">
        <v>805</v>
      </c>
      <c r="F1278" s="5" t="s">
        <v>805</v>
      </c>
    </row>
    <row r="1279" spans="1:6" ht="72" customHeight="1">
      <c r="A1279" s="1" t="s">
        <v>26</v>
      </c>
      <c r="B1279" s="1">
        <v>10231</v>
      </c>
      <c r="C1279" s="1" t="s">
        <v>1317</v>
      </c>
      <c r="D1279">
        <f>IMAGE("https://raw.githubusercontent.com/stautonico/pokemon-home-pokedex/main/sprites/voltorb-hisui.png", 2)</f>
        <v>0</v>
      </c>
      <c r="E1279" s="5" t="s">
        <v>805</v>
      </c>
      <c r="F1279" s="5" t="s">
        <v>805</v>
      </c>
    </row>
    <row r="1280" spans="1:6" ht="72" customHeight="1">
      <c r="A1280" s="1" t="s">
        <v>26</v>
      </c>
      <c r="B1280" s="1">
        <v>10232</v>
      </c>
      <c r="C1280" s="1" t="s">
        <v>1318</v>
      </c>
      <c r="D1280">
        <f>IMAGE("https://raw.githubusercontent.com/stautonico/pokemon-home-pokedex/main/sprites/electrode-hisui.png", 2)</f>
        <v>0</v>
      </c>
      <c r="E1280" s="5" t="s">
        <v>805</v>
      </c>
      <c r="F1280" s="5" t="s">
        <v>805</v>
      </c>
    </row>
    <row r="1281" spans="1:6" ht="72" customHeight="1">
      <c r="A1281" s="1" t="s">
        <v>26</v>
      </c>
      <c r="B1281" s="1">
        <v>10233</v>
      </c>
      <c r="C1281" s="1" t="s">
        <v>1319</v>
      </c>
      <c r="D1281">
        <f>IMAGE("https://raw.githubusercontent.com/stautonico/pokemon-home-pokedex/main/sprites/typhlosion-hisui.png", 2)</f>
        <v>0</v>
      </c>
      <c r="E1281" s="5" t="s">
        <v>805</v>
      </c>
      <c r="F1281" s="5" t="s">
        <v>805</v>
      </c>
    </row>
    <row r="1282" spans="1:6" ht="72" customHeight="1">
      <c r="A1282" s="1" t="s">
        <v>26</v>
      </c>
      <c r="B1282" s="1">
        <v>10234</v>
      </c>
      <c r="C1282" s="1" t="s">
        <v>1320</v>
      </c>
      <c r="D1282">
        <f>IMAGE("https://raw.githubusercontent.com/stautonico/pokemon-home-pokedex/main/sprites/qwilfish-hisui.png", 2)</f>
        <v>0</v>
      </c>
      <c r="E1282" s="5" t="s">
        <v>805</v>
      </c>
      <c r="F1282" s="5" t="s">
        <v>805</v>
      </c>
    </row>
    <row r="1283" spans="1:6" ht="72" customHeight="1">
      <c r="A1283" s="1" t="s">
        <v>26</v>
      </c>
      <c r="B1283" s="1">
        <v>10235</v>
      </c>
      <c r="C1283" s="1" t="s">
        <v>1321</v>
      </c>
      <c r="D1283">
        <f>IMAGE("https://raw.githubusercontent.com/stautonico/pokemon-home-pokedex/main/sprites/sneasel-hisui.png", 2)</f>
        <v>0</v>
      </c>
      <c r="E1283" s="5" t="s">
        <v>805</v>
      </c>
      <c r="F1283" s="5" t="s">
        <v>805</v>
      </c>
    </row>
    <row r="1284" spans="1:6" ht="72" customHeight="1">
      <c r="A1284" s="1" t="s">
        <v>26</v>
      </c>
      <c r="B1284" s="1">
        <v>10236</v>
      </c>
      <c r="C1284" s="1" t="s">
        <v>1322</v>
      </c>
      <c r="D1284">
        <f>IMAGE("https://raw.githubusercontent.com/stautonico/pokemon-home-pokedex/main/sprites/samurott-hisui.png", 2)</f>
        <v>0</v>
      </c>
      <c r="E1284" s="5" t="s">
        <v>805</v>
      </c>
      <c r="F1284" s="5" t="s">
        <v>805</v>
      </c>
    </row>
    <row r="1285" spans="1:6" ht="72" customHeight="1">
      <c r="A1285" s="1" t="s">
        <v>26</v>
      </c>
      <c r="B1285" s="1">
        <v>10237</v>
      </c>
      <c r="C1285" s="1" t="s">
        <v>1323</v>
      </c>
      <c r="D1285">
        <f>IMAGE("https://raw.githubusercontent.com/stautonico/pokemon-home-pokedex/main/sprites/lilligant-hisui.png", 2)</f>
        <v>0</v>
      </c>
      <c r="E1285" s="5" t="s">
        <v>805</v>
      </c>
      <c r="F1285" s="5" t="s">
        <v>805</v>
      </c>
    </row>
    <row r="1286" spans="1:6" ht="72" customHeight="1">
      <c r="A1286" s="1" t="s">
        <v>26</v>
      </c>
      <c r="B1286" s="1">
        <v>10247</v>
      </c>
      <c r="C1286" s="1" t="s">
        <v>1324</v>
      </c>
      <c r="D1286">
        <f>IMAGE("https://raw.githubusercontent.com/stautonico/pokemon-home-pokedex/main/sprites/basculin-white-striped.png", 2)</f>
        <v>0</v>
      </c>
      <c r="E1286" s="5" t="s">
        <v>805</v>
      </c>
      <c r="F1286" s="5" t="s">
        <v>805</v>
      </c>
    </row>
    <row r="1287" spans="1:6" ht="72" customHeight="1">
      <c r="A1287" s="1" t="s">
        <v>26</v>
      </c>
      <c r="B1287" s="1">
        <v>10238</v>
      </c>
      <c r="C1287" s="1" t="s">
        <v>1325</v>
      </c>
      <c r="D1287">
        <f>IMAGE("https://raw.githubusercontent.com/stautonico/pokemon-home-pokedex/main/sprites/zorua-hisui.png", 2)</f>
        <v>0</v>
      </c>
      <c r="E1287" s="5" t="s">
        <v>805</v>
      </c>
      <c r="F1287" s="5" t="s">
        <v>805</v>
      </c>
    </row>
    <row r="1288" spans="1:6" ht="72" customHeight="1">
      <c r="A1288" s="1" t="s">
        <v>26</v>
      </c>
      <c r="B1288" s="1">
        <v>10239</v>
      </c>
      <c r="C1288" s="1" t="s">
        <v>1326</v>
      </c>
      <c r="D1288">
        <f>IMAGE("https://raw.githubusercontent.com/stautonico/pokemon-home-pokedex/main/sprites/zoroark-hisui.png", 2)</f>
        <v>0</v>
      </c>
      <c r="E1288" s="5" t="s">
        <v>805</v>
      </c>
      <c r="F1288" s="5" t="s">
        <v>805</v>
      </c>
    </row>
    <row r="1289" spans="1:6" ht="72" customHeight="1">
      <c r="A1289" s="1" t="s">
        <v>26</v>
      </c>
      <c r="B1289" s="1">
        <v>10240</v>
      </c>
      <c r="C1289" s="1" t="s">
        <v>1327</v>
      </c>
      <c r="D1289">
        <f>IMAGE("https://raw.githubusercontent.com/stautonico/pokemon-home-pokedex/main/sprites/braviary-hisui.png", 2)</f>
        <v>0</v>
      </c>
      <c r="E1289" s="5" t="s">
        <v>805</v>
      </c>
      <c r="F1289" s="5" t="s">
        <v>805</v>
      </c>
    </row>
    <row r="1290" spans="1:6" ht="72" customHeight="1">
      <c r="A1290" s="1" t="s">
        <v>26</v>
      </c>
      <c r="B1290" s="1">
        <v>10241</v>
      </c>
      <c r="C1290" s="1" t="s">
        <v>1328</v>
      </c>
      <c r="D1290">
        <f>IMAGE("https://raw.githubusercontent.com/stautonico/pokemon-home-pokedex/main/sprites/sliggoo-hisui.png", 2)</f>
        <v>0</v>
      </c>
      <c r="E1290" s="5" t="s">
        <v>805</v>
      </c>
      <c r="F1290" s="5" t="s">
        <v>805</v>
      </c>
    </row>
    <row r="1291" spans="1:6" ht="72" customHeight="1">
      <c r="A1291" s="1" t="s">
        <v>26</v>
      </c>
      <c r="B1291" s="1">
        <v>10242</v>
      </c>
      <c r="C1291" s="1" t="s">
        <v>1329</v>
      </c>
      <c r="D1291">
        <f>IMAGE("https://raw.githubusercontent.com/stautonico/pokemon-home-pokedex/main/sprites/goodra-hisui.png", 2)</f>
        <v>0</v>
      </c>
      <c r="E1291" s="5" t="s">
        <v>805</v>
      </c>
      <c r="F1291" s="5" t="s">
        <v>805</v>
      </c>
    </row>
    <row r="1292" spans="1:6" ht="72" customHeight="1">
      <c r="A1292" s="1" t="s">
        <v>26</v>
      </c>
      <c r="B1292" s="1">
        <v>10243</v>
      </c>
      <c r="C1292" s="1" t="s">
        <v>1330</v>
      </c>
      <c r="D1292">
        <f>IMAGE("https://raw.githubusercontent.com/stautonico/pokemon-home-pokedex/main/sprites/avalugg-hisui.png", 2)</f>
        <v>0</v>
      </c>
      <c r="E1292" s="5" t="s">
        <v>805</v>
      </c>
      <c r="F1292" s="5" t="s">
        <v>805</v>
      </c>
    </row>
    <row r="1293" spans="1:6" ht="72" customHeight="1">
      <c r="A1293" s="1" t="s">
        <v>26</v>
      </c>
      <c r="B1293" s="1">
        <v>10244</v>
      </c>
      <c r="C1293" s="1" t="s">
        <v>1331</v>
      </c>
      <c r="D1293">
        <f>IMAGE("https://raw.githubusercontent.com/stautonico/pokemon-home-pokedex/main/sprites/decidueye-hisui.png", 2)</f>
        <v>0</v>
      </c>
      <c r="E1293" s="5" t="s">
        <v>805</v>
      </c>
      <c r="F1293" s="5" t="s">
        <v>805</v>
      </c>
    </row>
  </sheetData>
  <mergeCells count="17">
    <mergeCell ref="I5:K5"/>
    <mergeCell ref="I6:K6"/>
    <mergeCell ref="I7:K7"/>
    <mergeCell ref="I8:K8"/>
    <mergeCell ref="I9:K9"/>
    <mergeCell ref="I10:K10"/>
    <mergeCell ref="I11:K11"/>
    <mergeCell ref="I12:K12"/>
    <mergeCell ref="I13:K13"/>
    <mergeCell ref="I14:K14"/>
    <mergeCell ref="I15:K15"/>
    <mergeCell ref="I16:K16"/>
    <mergeCell ref="I17:K17"/>
    <mergeCell ref="I18:K18"/>
    <mergeCell ref="I19:K19"/>
    <mergeCell ref="I20:K20"/>
    <mergeCell ref="I21:K21"/>
  </mergeCells>
  <conditionalFormatting sqref="A10">
    <cfRule type="notContainsBlanks" dxfId="5" priority="50">
      <formula>LEN(TRIM(A10))&gt;0</formula>
    </cfRule>
  </conditionalFormatting>
  <conditionalFormatting sqref="A100">
    <cfRule type="notContainsBlanks" dxfId="5" priority="500">
      <formula>LEN(TRIM(A100))&gt;0</formula>
    </cfRule>
  </conditionalFormatting>
  <conditionalFormatting sqref="A1000">
    <cfRule type="notContainsBlanks" dxfId="5" priority="5000">
      <formula>LEN(TRIM(A1000))&gt;0</formula>
    </cfRule>
  </conditionalFormatting>
  <conditionalFormatting sqref="A1000:D1000">
    <cfRule type="expression" dxfId="3" priority="4997">
      <formula>COUNTIF($A1000, "TRUE") = 1</formula>
    </cfRule>
    <cfRule type="expression" dxfId="4" priority="4998">
      <formula>COUNTIF($A1000, "FALSE") = 1</formula>
    </cfRule>
    <cfRule type="notContainsBlanks" dxfId="1" priority="4999">
      <formula>LEN(TRIM(A1000))&gt;0</formula>
    </cfRule>
  </conditionalFormatting>
  <conditionalFormatting sqref="A1001">
    <cfRule type="notContainsBlanks" dxfId="5" priority="5005">
      <formula>LEN(TRIM(A1001))&gt;0</formula>
    </cfRule>
  </conditionalFormatting>
  <conditionalFormatting sqref="A1001:D1001">
    <cfRule type="expression" dxfId="3" priority="5002">
      <formula>COUNTIF($A1001, "TRUE") = 1</formula>
    </cfRule>
    <cfRule type="expression" dxfId="4" priority="5003">
      <formula>COUNTIF($A1001, "FALSE") = 1</formula>
    </cfRule>
    <cfRule type="notContainsBlanks" dxfId="1" priority="5004">
      <formula>LEN(TRIM(A1001))&gt;0</formula>
    </cfRule>
  </conditionalFormatting>
  <conditionalFormatting sqref="A1002">
    <cfRule type="notContainsBlanks" dxfId="5" priority="5010">
      <formula>LEN(TRIM(A1002))&gt;0</formula>
    </cfRule>
  </conditionalFormatting>
  <conditionalFormatting sqref="A1002:D1002">
    <cfRule type="expression" dxfId="3" priority="5007">
      <formula>COUNTIF($A1002, "TRUE") = 1</formula>
    </cfRule>
    <cfRule type="expression" dxfId="4" priority="5008">
      <formula>COUNTIF($A1002, "FALSE") = 1</formula>
    </cfRule>
    <cfRule type="notContainsBlanks" dxfId="1" priority="5009">
      <formula>LEN(TRIM(A1002))&gt;0</formula>
    </cfRule>
  </conditionalFormatting>
  <conditionalFormatting sqref="A1003">
    <cfRule type="notContainsBlanks" dxfId="5" priority="5015">
      <formula>LEN(TRIM(A1003))&gt;0</formula>
    </cfRule>
  </conditionalFormatting>
  <conditionalFormatting sqref="A1003:D1003">
    <cfRule type="expression" dxfId="3" priority="5012">
      <formula>COUNTIF($A1003, "TRUE") = 1</formula>
    </cfRule>
    <cfRule type="expression" dxfId="4" priority="5013">
      <formula>COUNTIF($A1003, "FALSE") = 1</formula>
    </cfRule>
    <cfRule type="notContainsBlanks" dxfId="1" priority="5014">
      <formula>LEN(TRIM(A1003))&gt;0</formula>
    </cfRule>
  </conditionalFormatting>
  <conditionalFormatting sqref="A1004">
    <cfRule type="notContainsBlanks" dxfId="5" priority="5020">
      <formula>LEN(TRIM(A1004))&gt;0</formula>
    </cfRule>
  </conditionalFormatting>
  <conditionalFormatting sqref="A1004:D1004">
    <cfRule type="expression" dxfId="3" priority="5017">
      <formula>COUNTIF($A1004, "TRUE") = 1</formula>
    </cfRule>
    <cfRule type="expression" dxfId="4" priority="5018">
      <formula>COUNTIF($A1004, "FALSE") = 1</formula>
    </cfRule>
    <cfRule type="notContainsBlanks" dxfId="1" priority="5019">
      <formula>LEN(TRIM(A1004))&gt;0</formula>
    </cfRule>
  </conditionalFormatting>
  <conditionalFormatting sqref="A1005">
    <cfRule type="notContainsBlanks" dxfId="5" priority="5025">
      <formula>LEN(TRIM(A1005))&gt;0</formula>
    </cfRule>
  </conditionalFormatting>
  <conditionalFormatting sqref="A1005:D1005">
    <cfRule type="expression" dxfId="3" priority="5022">
      <formula>COUNTIF($A1005, "TRUE") = 1</formula>
    </cfRule>
    <cfRule type="expression" dxfId="4" priority="5023">
      <formula>COUNTIF($A1005, "FALSE") = 1</formula>
    </cfRule>
    <cfRule type="notContainsBlanks" dxfId="1" priority="5024">
      <formula>LEN(TRIM(A1005))&gt;0</formula>
    </cfRule>
  </conditionalFormatting>
  <conditionalFormatting sqref="A1006">
    <cfRule type="notContainsBlanks" dxfId="5" priority="5030">
      <formula>LEN(TRIM(A1006))&gt;0</formula>
    </cfRule>
  </conditionalFormatting>
  <conditionalFormatting sqref="A1006:D1006">
    <cfRule type="expression" dxfId="3" priority="5027">
      <formula>COUNTIF($A1006, "TRUE") = 1</formula>
    </cfRule>
    <cfRule type="expression" dxfId="4" priority="5028">
      <formula>COUNTIF($A1006, "FALSE") = 1</formula>
    </cfRule>
    <cfRule type="notContainsBlanks" dxfId="1" priority="5029">
      <formula>LEN(TRIM(A1006))&gt;0</formula>
    </cfRule>
  </conditionalFormatting>
  <conditionalFormatting sqref="A1007">
    <cfRule type="notContainsBlanks" dxfId="5" priority="5035">
      <formula>LEN(TRIM(A1007))&gt;0</formula>
    </cfRule>
  </conditionalFormatting>
  <conditionalFormatting sqref="A1007:D1007">
    <cfRule type="expression" dxfId="3" priority="5032">
      <formula>COUNTIF($A1007, "TRUE") = 1</formula>
    </cfRule>
    <cfRule type="expression" dxfId="4" priority="5033">
      <formula>COUNTIF($A1007, "FALSE") = 1</formula>
    </cfRule>
    <cfRule type="notContainsBlanks" dxfId="1" priority="5034">
      <formula>LEN(TRIM(A1007))&gt;0</formula>
    </cfRule>
  </conditionalFormatting>
  <conditionalFormatting sqref="A1008">
    <cfRule type="notContainsBlanks" dxfId="5" priority="5040">
      <formula>LEN(TRIM(A1008))&gt;0</formula>
    </cfRule>
  </conditionalFormatting>
  <conditionalFormatting sqref="A1008:D1008">
    <cfRule type="expression" dxfId="3" priority="5037">
      <formula>COUNTIF($A1008, "TRUE") = 1</formula>
    </cfRule>
    <cfRule type="expression" dxfId="4" priority="5038">
      <formula>COUNTIF($A1008, "FALSE") = 1</formula>
    </cfRule>
    <cfRule type="notContainsBlanks" dxfId="1" priority="5039">
      <formula>LEN(TRIM(A1008))&gt;0</formula>
    </cfRule>
  </conditionalFormatting>
  <conditionalFormatting sqref="A1009">
    <cfRule type="notContainsBlanks" dxfId="5" priority="5045">
      <formula>LEN(TRIM(A1009))&gt;0</formula>
    </cfRule>
  </conditionalFormatting>
  <conditionalFormatting sqref="A1009:D1009">
    <cfRule type="expression" dxfId="3" priority="5042">
      <formula>COUNTIF($A1009, "TRUE") = 1</formula>
    </cfRule>
    <cfRule type="expression" dxfId="4" priority="5043">
      <formula>COUNTIF($A1009, "FALSE") = 1</formula>
    </cfRule>
    <cfRule type="notContainsBlanks" dxfId="1" priority="5044">
      <formula>LEN(TRIM(A1009))&gt;0</formula>
    </cfRule>
  </conditionalFormatting>
  <conditionalFormatting sqref="A100:D100">
    <cfRule type="expression" dxfId="3" priority="497">
      <formula>COUNTIF($A100, "TRUE") = 1</formula>
    </cfRule>
    <cfRule type="expression" dxfId="4" priority="498">
      <formula>COUNTIF($A100, "FALSE") = 1</formula>
    </cfRule>
    <cfRule type="notContainsBlanks" dxfId="1" priority="499">
      <formula>LEN(TRIM(A100))&gt;0</formula>
    </cfRule>
  </conditionalFormatting>
  <conditionalFormatting sqref="A101">
    <cfRule type="notContainsBlanks" dxfId="5" priority="505">
      <formula>LEN(TRIM(A101))&gt;0</formula>
    </cfRule>
  </conditionalFormatting>
  <conditionalFormatting sqref="A1010">
    <cfRule type="notContainsBlanks" dxfId="5" priority="5050">
      <formula>LEN(TRIM(A1010))&gt;0</formula>
    </cfRule>
  </conditionalFormatting>
  <conditionalFormatting sqref="A1010:D1010">
    <cfRule type="expression" dxfId="3" priority="5047">
      <formula>COUNTIF($A1010, "TRUE") = 1</formula>
    </cfRule>
    <cfRule type="expression" dxfId="4" priority="5048">
      <formula>COUNTIF($A1010, "FALSE") = 1</formula>
    </cfRule>
    <cfRule type="notContainsBlanks" dxfId="1" priority="5049">
      <formula>LEN(TRIM(A1010))&gt;0</formula>
    </cfRule>
  </conditionalFormatting>
  <conditionalFormatting sqref="A1011">
    <cfRule type="notContainsBlanks" dxfId="5" priority="5055">
      <formula>LEN(TRIM(A1011))&gt;0</formula>
    </cfRule>
  </conditionalFormatting>
  <conditionalFormatting sqref="A1011:D1011">
    <cfRule type="expression" dxfId="3" priority="5052">
      <formula>COUNTIF($A1011, "TRUE") = 1</formula>
    </cfRule>
    <cfRule type="expression" dxfId="4" priority="5053">
      <formula>COUNTIF($A1011, "FALSE") = 1</formula>
    </cfRule>
    <cfRule type="notContainsBlanks" dxfId="1" priority="5054">
      <formula>LEN(TRIM(A1011))&gt;0</formula>
    </cfRule>
  </conditionalFormatting>
  <conditionalFormatting sqref="A1012">
    <cfRule type="notContainsBlanks" dxfId="5" priority="5060">
      <formula>LEN(TRIM(A1012))&gt;0</formula>
    </cfRule>
  </conditionalFormatting>
  <conditionalFormatting sqref="A1012:D1012">
    <cfRule type="expression" dxfId="3" priority="5057">
      <formula>COUNTIF($A1012, "TRUE") = 1</formula>
    </cfRule>
    <cfRule type="expression" dxfId="4" priority="5058">
      <formula>COUNTIF($A1012, "FALSE") = 1</formula>
    </cfRule>
    <cfRule type="notContainsBlanks" dxfId="1" priority="5059">
      <formula>LEN(TRIM(A1012))&gt;0</formula>
    </cfRule>
  </conditionalFormatting>
  <conditionalFormatting sqref="A1013">
    <cfRule type="notContainsBlanks" dxfId="5" priority="5065">
      <formula>LEN(TRIM(A1013))&gt;0</formula>
    </cfRule>
  </conditionalFormatting>
  <conditionalFormatting sqref="A1013:D1013">
    <cfRule type="expression" dxfId="3" priority="5062">
      <formula>COUNTIF($A1013, "TRUE") = 1</formula>
    </cfRule>
    <cfRule type="expression" dxfId="4" priority="5063">
      <formula>COUNTIF($A1013, "FALSE") = 1</formula>
    </cfRule>
    <cfRule type="notContainsBlanks" dxfId="1" priority="5064">
      <formula>LEN(TRIM(A1013))&gt;0</formula>
    </cfRule>
  </conditionalFormatting>
  <conditionalFormatting sqref="A1014">
    <cfRule type="notContainsBlanks" dxfId="5" priority="5070">
      <formula>LEN(TRIM(A1014))&gt;0</formula>
    </cfRule>
  </conditionalFormatting>
  <conditionalFormatting sqref="A1014:D1014">
    <cfRule type="expression" dxfId="3" priority="5067">
      <formula>COUNTIF($A1014, "TRUE") = 1</formula>
    </cfRule>
    <cfRule type="expression" dxfId="4" priority="5068">
      <formula>COUNTIF($A1014, "FALSE") = 1</formula>
    </cfRule>
    <cfRule type="notContainsBlanks" dxfId="1" priority="5069">
      <formula>LEN(TRIM(A1014))&gt;0</formula>
    </cfRule>
  </conditionalFormatting>
  <conditionalFormatting sqref="A1015">
    <cfRule type="notContainsBlanks" dxfId="5" priority="5075">
      <formula>LEN(TRIM(A1015))&gt;0</formula>
    </cfRule>
  </conditionalFormatting>
  <conditionalFormatting sqref="A1015:D1015">
    <cfRule type="expression" dxfId="3" priority="5072">
      <formula>COUNTIF($A1015, "TRUE") = 1</formula>
    </cfRule>
    <cfRule type="expression" dxfId="4" priority="5073">
      <formula>COUNTIF($A1015, "FALSE") = 1</formula>
    </cfRule>
    <cfRule type="notContainsBlanks" dxfId="1" priority="5074">
      <formula>LEN(TRIM(A1015))&gt;0</formula>
    </cfRule>
  </conditionalFormatting>
  <conditionalFormatting sqref="A1016">
    <cfRule type="notContainsBlanks" dxfId="5" priority="5080">
      <formula>LEN(TRIM(A1016))&gt;0</formula>
    </cfRule>
  </conditionalFormatting>
  <conditionalFormatting sqref="A1016:D1016">
    <cfRule type="expression" dxfId="3" priority="5077">
      <formula>COUNTIF($A1016, "TRUE") = 1</formula>
    </cfRule>
    <cfRule type="expression" dxfId="4" priority="5078">
      <formula>COUNTIF($A1016, "FALSE") = 1</formula>
    </cfRule>
    <cfRule type="notContainsBlanks" dxfId="1" priority="5079">
      <formula>LEN(TRIM(A1016))&gt;0</formula>
    </cfRule>
  </conditionalFormatting>
  <conditionalFormatting sqref="A1017">
    <cfRule type="notContainsBlanks" dxfId="5" priority="5085">
      <formula>LEN(TRIM(A1017))&gt;0</formula>
    </cfRule>
  </conditionalFormatting>
  <conditionalFormatting sqref="A1017:D1017">
    <cfRule type="expression" dxfId="3" priority="5082">
      <formula>COUNTIF($A1017, "TRUE") = 1</formula>
    </cfRule>
    <cfRule type="expression" dxfId="4" priority="5083">
      <formula>COUNTIF($A1017, "FALSE") = 1</formula>
    </cfRule>
    <cfRule type="notContainsBlanks" dxfId="1" priority="5084">
      <formula>LEN(TRIM(A1017))&gt;0</formula>
    </cfRule>
  </conditionalFormatting>
  <conditionalFormatting sqref="A1018">
    <cfRule type="notContainsBlanks" dxfId="5" priority="5090">
      <formula>LEN(TRIM(A1018))&gt;0</formula>
    </cfRule>
  </conditionalFormatting>
  <conditionalFormatting sqref="A1018:D1018">
    <cfRule type="expression" dxfId="3" priority="5087">
      <formula>COUNTIF($A1018, "TRUE") = 1</formula>
    </cfRule>
    <cfRule type="expression" dxfId="4" priority="5088">
      <formula>COUNTIF($A1018, "FALSE") = 1</formula>
    </cfRule>
    <cfRule type="notContainsBlanks" dxfId="1" priority="5089">
      <formula>LEN(TRIM(A1018))&gt;0</formula>
    </cfRule>
  </conditionalFormatting>
  <conditionalFormatting sqref="A1019">
    <cfRule type="notContainsBlanks" dxfId="5" priority="5095">
      <formula>LEN(TRIM(A1019))&gt;0</formula>
    </cfRule>
  </conditionalFormatting>
  <conditionalFormatting sqref="A1019:D1019">
    <cfRule type="expression" dxfId="3" priority="5092">
      <formula>COUNTIF($A1019, "TRUE") = 1</formula>
    </cfRule>
    <cfRule type="expression" dxfId="4" priority="5093">
      <formula>COUNTIF($A1019, "FALSE") = 1</formula>
    </cfRule>
    <cfRule type="notContainsBlanks" dxfId="1" priority="5094">
      <formula>LEN(TRIM(A1019))&gt;0</formula>
    </cfRule>
  </conditionalFormatting>
  <conditionalFormatting sqref="A101:D101">
    <cfRule type="expression" dxfId="3" priority="502">
      <formula>COUNTIF($A101, "TRUE") = 1</formula>
    </cfRule>
    <cfRule type="expression" dxfId="4" priority="503">
      <formula>COUNTIF($A101, "FALSE") = 1</formula>
    </cfRule>
    <cfRule type="notContainsBlanks" dxfId="1" priority="504">
      <formula>LEN(TRIM(A101))&gt;0</formula>
    </cfRule>
  </conditionalFormatting>
  <conditionalFormatting sqref="A102">
    <cfRule type="notContainsBlanks" dxfId="5" priority="510">
      <formula>LEN(TRIM(A102))&gt;0</formula>
    </cfRule>
  </conditionalFormatting>
  <conditionalFormatting sqref="A1020">
    <cfRule type="notContainsBlanks" dxfId="5" priority="5100">
      <formula>LEN(TRIM(A1020))&gt;0</formula>
    </cfRule>
  </conditionalFormatting>
  <conditionalFormatting sqref="A1020:D1020">
    <cfRule type="expression" dxfId="3" priority="5097">
      <formula>COUNTIF($A1020, "TRUE") = 1</formula>
    </cfRule>
    <cfRule type="expression" dxfId="4" priority="5098">
      <formula>COUNTIF($A1020, "FALSE") = 1</formula>
    </cfRule>
    <cfRule type="notContainsBlanks" dxfId="1" priority="5099">
      <formula>LEN(TRIM(A1020))&gt;0</formula>
    </cfRule>
  </conditionalFormatting>
  <conditionalFormatting sqref="A1021">
    <cfRule type="notContainsBlanks" dxfId="5" priority="5105">
      <formula>LEN(TRIM(A1021))&gt;0</formula>
    </cfRule>
  </conditionalFormatting>
  <conditionalFormatting sqref="A1021:D1021">
    <cfRule type="expression" dxfId="3" priority="5102">
      <formula>COUNTIF($A1021, "TRUE") = 1</formula>
    </cfRule>
    <cfRule type="expression" dxfId="4" priority="5103">
      <formula>COUNTIF($A1021, "FALSE") = 1</formula>
    </cfRule>
    <cfRule type="notContainsBlanks" dxfId="1" priority="5104">
      <formula>LEN(TRIM(A1021))&gt;0</formula>
    </cfRule>
  </conditionalFormatting>
  <conditionalFormatting sqref="A1022">
    <cfRule type="notContainsBlanks" dxfId="5" priority="5110">
      <formula>LEN(TRIM(A1022))&gt;0</formula>
    </cfRule>
  </conditionalFormatting>
  <conditionalFormatting sqref="A1022:D1022">
    <cfRule type="expression" dxfId="3" priority="5107">
      <formula>COUNTIF($A1022, "TRUE") = 1</formula>
    </cfRule>
    <cfRule type="expression" dxfId="4" priority="5108">
      <formula>COUNTIF($A1022, "FALSE") = 1</formula>
    </cfRule>
    <cfRule type="notContainsBlanks" dxfId="1" priority="5109">
      <formula>LEN(TRIM(A1022))&gt;0</formula>
    </cfRule>
  </conditionalFormatting>
  <conditionalFormatting sqref="A1023">
    <cfRule type="notContainsBlanks" dxfId="5" priority="5115">
      <formula>LEN(TRIM(A1023))&gt;0</formula>
    </cfRule>
  </conditionalFormatting>
  <conditionalFormatting sqref="A1023:D1023">
    <cfRule type="expression" dxfId="3" priority="5112">
      <formula>COUNTIF($A1023, "TRUE") = 1</formula>
    </cfRule>
    <cfRule type="expression" dxfId="4" priority="5113">
      <formula>COUNTIF($A1023, "FALSE") = 1</formula>
    </cfRule>
    <cfRule type="notContainsBlanks" dxfId="1" priority="5114">
      <formula>LEN(TRIM(A1023))&gt;0</formula>
    </cfRule>
  </conditionalFormatting>
  <conditionalFormatting sqref="A1024">
    <cfRule type="notContainsBlanks" dxfId="5" priority="5120">
      <formula>LEN(TRIM(A1024))&gt;0</formula>
    </cfRule>
  </conditionalFormatting>
  <conditionalFormatting sqref="A1024:D1024">
    <cfRule type="expression" dxfId="3" priority="5117">
      <formula>COUNTIF($A1024, "TRUE") = 1</formula>
    </cfRule>
    <cfRule type="expression" dxfId="4" priority="5118">
      <formula>COUNTIF($A1024, "FALSE") = 1</formula>
    </cfRule>
    <cfRule type="notContainsBlanks" dxfId="1" priority="5119">
      <formula>LEN(TRIM(A1024))&gt;0</formula>
    </cfRule>
  </conditionalFormatting>
  <conditionalFormatting sqref="A1025">
    <cfRule type="notContainsBlanks" dxfId="5" priority="5125">
      <formula>LEN(TRIM(A1025))&gt;0</formula>
    </cfRule>
  </conditionalFormatting>
  <conditionalFormatting sqref="A1025:D1025">
    <cfRule type="expression" dxfId="3" priority="5122">
      <formula>COUNTIF($A1025, "TRUE") = 1</formula>
    </cfRule>
    <cfRule type="expression" dxfId="4" priority="5123">
      <formula>COUNTIF($A1025, "FALSE") = 1</formula>
    </cfRule>
    <cfRule type="notContainsBlanks" dxfId="1" priority="5124">
      <formula>LEN(TRIM(A1025))&gt;0</formula>
    </cfRule>
  </conditionalFormatting>
  <conditionalFormatting sqref="A1026">
    <cfRule type="notContainsBlanks" dxfId="5" priority="5130">
      <formula>LEN(TRIM(A1026))&gt;0</formula>
    </cfRule>
  </conditionalFormatting>
  <conditionalFormatting sqref="A1026:D1026">
    <cfRule type="expression" dxfId="3" priority="5127">
      <formula>COUNTIF($A1026, "TRUE") = 1</formula>
    </cfRule>
    <cfRule type="expression" dxfId="4" priority="5128">
      <formula>COUNTIF($A1026, "FALSE") = 1</formula>
    </cfRule>
    <cfRule type="notContainsBlanks" dxfId="1" priority="5129">
      <formula>LEN(TRIM(A1026))&gt;0</formula>
    </cfRule>
  </conditionalFormatting>
  <conditionalFormatting sqref="A1027">
    <cfRule type="notContainsBlanks" dxfId="5" priority="5135">
      <formula>LEN(TRIM(A1027))&gt;0</formula>
    </cfRule>
  </conditionalFormatting>
  <conditionalFormatting sqref="A1027:D1027">
    <cfRule type="expression" dxfId="3" priority="5132">
      <formula>COUNTIF($A1027, "TRUE") = 1</formula>
    </cfRule>
    <cfRule type="expression" dxfId="4" priority="5133">
      <formula>COUNTIF($A1027, "FALSE") = 1</formula>
    </cfRule>
    <cfRule type="notContainsBlanks" dxfId="1" priority="5134">
      <formula>LEN(TRIM(A1027))&gt;0</formula>
    </cfRule>
  </conditionalFormatting>
  <conditionalFormatting sqref="A1028">
    <cfRule type="notContainsBlanks" dxfId="5" priority="5140">
      <formula>LEN(TRIM(A1028))&gt;0</formula>
    </cfRule>
  </conditionalFormatting>
  <conditionalFormatting sqref="A1028:D1028">
    <cfRule type="expression" dxfId="3" priority="5137">
      <formula>COUNTIF($A1028, "TRUE") = 1</formula>
    </cfRule>
    <cfRule type="expression" dxfId="4" priority="5138">
      <formula>COUNTIF($A1028, "FALSE") = 1</formula>
    </cfRule>
    <cfRule type="notContainsBlanks" dxfId="1" priority="5139">
      <formula>LEN(TRIM(A1028))&gt;0</formula>
    </cfRule>
  </conditionalFormatting>
  <conditionalFormatting sqref="A1029">
    <cfRule type="notContainsBlanks" dxfId="5" priority="5145">
      <formula>LEN(TRIM(A1029))&gt;0</formula>
    </cfRule>
  </conditionalFormatting>
  <conditionalFormatting sqref="A1029:D1029">
    <cfRule type="expression" dxfId="3" priority="5142">
      <formula>COUNTIF($A1029, "TRUE") = 1</formula>
    </cfRule>
    <cfRule type="expression" dxfId="4" priority="5143">
      <formula>COUNTIF($A1029, "FALSE") = 1</formula>
    </cfRule>
    <cfRule type="notContainsBlanks" dxfId="1" priority="5144">
      <formula>LEN(TRIM(A1029))&gt;0</formula>
    </cfRule>
  </conditionalFormatting>
  <conditionalFormatting sqref="A102:D102">
    <cfRule type="expression" dxfId="3" priority="507">
      <formula>COUNTIF($A102, "TRUE") = 1</formula>
    </cfRule>
    <cfRule type="expression" dxfId="4" priority="508">
      <formula>COUNTIF($A102, "FALSE") = 1</formula>
    </cfRule>
    <cfRule type="notContainsBlanks" dxfId="1" priority="509">
      <formula>LEN(TRIM(A102))&gt;0</formula>
    </cfRule>
  </conditionalFormatting>
  <conditionalFormatting sqref="A103">
    <cfRule type="notContainsBlanks" dxfId="5" priority="515">
      <formula>LEN(TRIM(A103))&gt;0</formula>
    </cfRule>
  </conditionalFormatting>
  <conditionalFormatting sqref="A1030">
    <cfRule type="notContainsBlanks" dxfId="5" priority="5150">
      <formula>LEN(TRIM(A1030))&gt;0</formula>
    </cfRule>
  </conditionalFormatting>
  <conditionalFormatting sqref="A1030:D1030">
    <cfRule type="expression" dxfId="3" priority="5147">
      <formula>COUNTIF($A1030, "TRUE") = 1</formula>
    </cfRule>
    <cfRule type="expression" dxfId="4" priority="5148">
      <formula>COUNTIF($A1030, "FALSE") = 1</formula>
    </cfRule>
    <cfRule type="notContainsBlanks" dxfId="1" priority="5149">
      <formula>LEN(TRIM(A1030))&gt;0</formula>
    </cfRule>
  </conditionalFormatting>
  <conditionalFormatting sqref="A1031">
    <cfRule type="notContainsBlanks" dxfId="5" priority="5155">
      <formula>LEN(TRIM(A1031))&gt;0</formula>
    </cfRule>
  </conditionalFormatting>
  <conditionalFormatting sqref="A1031:D1031">
    <cfRule type="expression" dxfId="3" priority="5152">
      <formula>COUNTIF($A1031, "TRUE") = 1</formula>
    </cfRule>
    <cfRule type="expression" dxfId="4" priority="5153">
      <formula>COUNTIF($A1031, "FALSE") = 1</formula>
    </cfRule>
    <cfRule type="notContainsBlanks" dxfId="1" priority="5154">
      <formula>LEN(TRIM(A1031))&gt;0</formula>
    </cfRule>
  </conditionalFormatting>
  <conditionalFormatting sqref="A1032">
    <cfRule type="notContainsBlanks" dxfId="5" priority="5160">
      <formula>LEN(TRIM(A1032))&gt;0</formula>
    </cfRule>
  </conditionalFormatting>
  <conditionalFormatting sqref="A1032:D1032">
    <cfRule type="expression" dxfId="3" priority="5157">
      <formula>COUNTIF($A1032, "TRUE") = 1</formula>
    </cfRule>
    <cfRule type="expression" dxfId="4" priority="5158">
      <formula>COUNTIF($A1032, "FALSE") = 1</formula>
    </cfRule>
    <cfRule type="notContainsBlanks" dxfId="1" priority="5159">
      <formula>LEN(TRIM(A1032))&gt;0</formula>
    </cfRule>
  </conditionalFormatting>
  <conditionalFormatting sqref="A1033">
    <cfRule type="notContainsBlanks" dxfId="5" priority="5165">
      <formula>LEN(TRIM(A1033))&gt;0</formula>
    </cfRule>
  </conditionalFormatting>
  <conditionalFormatting sqref="A1033:D1033">
    <cfRule type="expression" dxfId="3" priority="5162">
      <formula>COUNTIF($A1033, "TRUE") = 1</formula>
    </cfRule>
    <cfRule type="expression" dxfId="4" priority="5163">
      <formula>COUNTIF($A1033, "FALSE") = 1</formula>
    </cfRule>
    <cfRule type="notContainsBlanks" dxfId="1" priority="5164">
      <formula>LEN(TRIM(A1033))&gt;0</formula>
    </cfRule>
  </conditionalFormatting>
  <conditionalFormatting sqref="A1034">
    <cfRule type="notContainsBlanks" dxfId="5" priority="5170">
      <formula>LEN(TRIM(A1034))&gt;0</formula>
    </cfRule>
  </conditionalFormatting>
  <conditionalFormatting sqref="A1034:D1034">
    <cfRule type="expression" dxfId="3" priority="5167">
      <formula>COUNTIF($A1034, "TRUE") = 1</formula>
    </cfRule>
    <cfRule type="expression" dxfId="4" priority="5168">
      <formula>COUNTIF($A1034, "FALSE") = 1</formula>
    </cfRule>
    <cfRule type="notContainsBlanks" dxfId="1" priority="5169">
      <formula>LEN(TRIM(A1034))&gt;0</formula>
    </cfRule>
  </conditionalFormatting>
  <conditionalFormatting sqref="A1035">
    <cfRule type="notContainsBlanks" dxfId="5" priority="5175">
      <formula>LEN(TRIM(A1035))&gt;0</formula>
    </cfRule>
  </conditionalFormatting>
  <conditionalFormatting sqref="A1035:D1035">
    <cfRule type="expression" dxfId="3" priority="5172">
      <formula>COUNTIF($A1035, "TRUE") = 1</formula>
    </cfRule>
    <cfRule type="expression" dxfId="4" priority="5173">
      <formula>COUNTIF($A1035, "FALSE") = 1</formula>
    </cfRule>
    <cfRule type="notContainsBlanks" dxfId="1" priority="5174">
      <formula>LEN(TRIM(A1035))&gt;0</formula>
    </cfRule>
  </conditionalFormatting>
  <conditionalFormatting sqref="A1036">
    <cfRule type="notContainsBlanks" dxfId="5" priority="5180">
      <formula>LEN(TRIM(A1036))&gt;0</formula>
    </cfRule>
  </conditionalFormatting>
  <conditionalFormatting sqref="A1036:D1036">
    <cfRule type="expression" dxfId="3" priority="5177">
      <formula>COUNTIF($A1036, "TRUE") = 1</formula>
    </cfRule>
    <cfRule type="expression" dxfId="4" priority="5178">
      <formula>COUNTIF($A1036, "FALSE") = 1</formula>
    </cfRule>
    <cfRule type="notContainsBlanks" dxfId="1" priority="5179">
      <formula>LEN(TRIM(A1036))&gt;0</formula>
    </cfRule>
  </conditionalFormatting>
  <conditionalFormatting sqref="A1037">
    <cfRule type="notContainsBlanks" dxfId="5" priority="5185">
      <formula>LEN(TRIM(A1037))&gt;0</formula>
    </cfRule>
  </conditionalFormatting>
  <conditionalFormatting sqref="A1037:D1037">
    <cfRule type="expression" dxfId="3" priority="5182">
      <formula>COUNTIF($A1037, "TRUE") = 1</formula>
    </cfRule>
    <cfRule type="expression" dxfId="4" priority="5183">
      <formula>COUNTIF($A1037, "FALSE") = 1</formula>
    </cfRule>
    <cfRule type="notContainsBlanks" dxfId="1" priority="5184">
      <formula>LEN(TRIM(A1037))&gt;0</formula>
    </cfRule>
  </conditionalFormatting>
  <conditionalFormatting sqref="A1038">
    <cfRule type="notContainsBlanks" dxfId="5" priority="5190">
      <formula>LEN(TRIM(A1038))&gt;0</formula>
    </cfRule>
  </conditionalFormatting>
  <conditionalFormatting sqref="A1038:D1038">
    <cfRule type="expression" dxfId="3" priority="5187">
      <formula>COUNTIF($A1038, "TRUE") = 1</formula>
    </cfRule>
    <cfRule type="expression" dxfId="4" priority="5188">
      <formula>COUNTIF($A1038, "FALSE") = 1</formula>
    </cfRule>
    <cfRule type="notContainsBlanks" dxfId="1" priority="5189">
      <formula>LEN(TRIM(A1038))&gt;0</formula>
    </cfRule>
  </conditionalFormatting>
  <conditionalFormatting sqref="A1039">
    <cfRule type="notContainsBlanks" dxfId="5" priority="5195">
      <formula>LEN(TRIM(A1039))&gt;0</formula>
    </cfRule>
  </conditionalFormatting>
  <conditionalFormatting sqref="A1039:D1039">
    <cfRule type="expression" dxfId="3" priority="5192">
      <formula>COUNTIF($A1039, "TRUE") = 1</formula>
    </cfRule>
    <cfRule type="expression" dxfId="4" priority="5193">
      <formula>COUNTIF($A1039, "FALSE") = 1</formula>
    </cfRule>
    <cfRule type="notContainsBlanks" dxfId="1" priority="5194">
      <formula>LEN(TRIM(A1039))&gt;0</formula>
    </cfRule>
  </conditionalFormatting>
  <conditionalFormatting sqref="A103:D103">
    <cfRule type="expression" dxfId="3" priority="512">
      <formula>COUNTIF($A103, "TRUE") = 1</formula>
    </cfRule>
    <cfRule type="expression" dxfId="4" priority="513">
      <formula>COUNTIF($A103, "FALSE") = 1</formula>
    </cfRule>
    <cfRule type="notContainsBlanks" dxfId="1" priority="514">
      <formula>LEN(TRIM(A103))&gt;0</formula>
    </cfRule>
  </conditionalFormatting>
  <conditionalFormatting sqref="A104">
    <cfRule type="notContainsBlanks" dxfId="5" priority="520">
      <formula>LEN(TRIM(A104))&gt;0</formula>
    </cfRule>
  </conditionalFormatting>
  <conditionalFormatting sqref="A1040">
    <cfRule type="notContainsBlanks" dxfId="5" priority="5200">
      <formula>LEN(TRIM(A1040))&gt;0</formula>
    </cfRule>
  </conditionalFormatting>
  <conditionalFormatting sqref="A1040:D1040">
    <cfRule type="expression" dxfId="3" priority="5197">
      <formula>COUNTIF($A1040, "TRUE") = 1</formula>
    </cfRule>
    <cfRule type="expression" dxfId="4" priority="5198">
      <formula>COUNTIF($A1040, "FALSE") = 1</formula>
    </cfRule>
    <cfRule type="notContainsBlanks" dxfId="1" priority="5199">
      <formula>LEN(TRIM(A1040))&gt;0</formula>
    </cfRule>
  </conditionalFormatting>
  <conditionalFormatting sqref="A1041">
    <cfRule type="notContainsBlanks" dxfId="5" priority="5205">
      <formula>LEN(TRIM(A1041))&gt;0</formula>
    </cfRule>
  </conditionalFormatting>
  <conditionalFormatting sqref="A1041:D1041">
    <cfRule type="expression" dxfId="3" priority="5202">
      <formula>COUNTIF($A1041, "TRUE") = 1</formula>
    </cfRule>
    <cfRule type="expression" dxfId="4" priority="5203">
      <formula>COUNTIF($A1041, "FALSE") = 1</formula>
    </cfRule>
    <cfRule type="notContainsBlanks" dxfId="1" priority="5204">
      <formula>LEN(TRIM(A1041))&gt;0</formula>
    </cfRule>
  </conditionalFormatting>
  <conditionalFormatting sqref="A1042">
    <cfRule type="notContainsBlanks" dxfId="5" priority="5210">
      <formula>LEN(TRIM(A1042))&gt;0</formula>
    </cfRule>
  </conditionalFormatting>
  <conditionalFormatting sqref="A1042:D1042">
    <cfRule type="expression" dxfId="3" priority="5207">
      <formula>COUNTIF($A1042, "TRUE") = 1</formula>
    </cfRule>
    <cfRule type="expression" dxfId="4" priority="5208">
      <formula>COUNTIF($A1042, "FALSE") = 1</formula>
    </cfRule>
    <cfRule type="notContainsBlanks" dxfId="1" priority="5209">
      <formula>LEN(TRIM(A1042))&gt;0</formula>
    </cfRule>
  </conditionalFormatting>
  <conditionalFormatting sqref="A1043">
    <cfRule type="notContainsBlanks" dxfId="5" priority="5215">
      <formula>LEN(TRIM(A1043))&gt;0</formula>
    </cfRule>
  </conditionalFormatting>
  <conditionalFormatting sqref="A1043:D1043">
    <cfRule type="expression" dxfId="3" priority="5212">
      <formula>COUNTIF($A1043, "TRUE") = 1</formula>
    </cfRule>
    <cfRule type="expression" dxfId="4" priority="5213">
      <formula>COUNTIF($A1043, "FALSE") = 1</formula>
    </cfRule>
    <cfRule type="notContainsBlanks" dxfId="1" priority="5214">
      <formula>LEN(TRIM(A1043))&gt;0</formula>
    </cfRule>
  </conditionalFormatting>
  <conditionalFormatting sqref="A1044">
    <cfRule type="notContainsBlanks" dxfId="5" priority="5220">
      <formula>LEN(TRIM(A1044))&gt;0</formula>
    </cfRule>
  </conditionalFormatting>
  <conditionalFormatting sqref="A1044:D1044">
    <cfRule type="expression" dxfId="3" priority="5217">
      <formula>COUNTIF($A1044, "TRUE") = 1</formula>
    </cfRule>
    <cfRule type="expression" dxfId="4" priority="5218">
      <formula>COUNTIF($A1044, "FALSE") = 1</formula>
    </cfRule>
    <cfRule type="notContainsBlanks" dxfId="1" priority="5219">
      <formula>LEN(TRIM(A1044))&gt;0</formula>
    </cfRule>
  </conditionalFormatting>
  <conditionalFormatting sqref="A1045">
    <cfRule type="notContainsBlanks" dxfId="5" priority="5225">
      <formula>LEN(TRIM(A1045))&gt;0</formula>
    </cfRule>
  </conditionalFormatting>
  <conditionalFormatting sqref="A1045:D1045">
    <cfRule type="expression" dxfId="3" priority="5222">
      <formula>COUNTIF($A1045, "TRUE") = 1</formula>
    </cfRule>
    <cfRule type="expression" dxfId="4" priority="5223">
      <formula>COUNTIF($A1045, "FALSE") = 1</formula>
    </cfRule>
    <cfRule type="notContainsBlanks" dxfId="1" priority="5224">
      <formula>LEN(TRIM(A1045))&gt;0</formula>
    </cfRule>
  </conditionalFormatting>
  <conditionalFormatting sqref="A1046">
    <cfRule type="notContainsBlanks" dxfId="5" priority="5230">
      <formula>LEN(TRIM(A1046))&gt;0</formula>
    </cfRule>
  </conditionalFormatting>
  <conditionalFormatting sqref="A1046:D1046">
    <cfRule type="expression" dxfId="3" priority="5227">
      <formula>COUNTIF($A1046, "TRUE") = 1</formula>
    </cfRule>
    <cfRule type="expression" dxfId="4" priority="5228">
      <formula>COUNTIF($A1046, "FALSE") = 1</formula>
    </cfRule>
    <cfRule type="notContainsBlanks" dxfId="1" priority="5229">
      <formula>LEN(TRIM(A1046))&gt;0</formula>
    </cfRule>
  </conditionalFormatting>
  <conditionalFormatting sqref="A1047">
    <cfRule type="notContainsBlanks" dxfId="5" priority="5235">
      <formula>LEN(TRIM(A1047))&gt;0</formula>
    </cfRule>
  </conditionalFormatting>
  <conditionalFormatting sqref="A1047:D1047">
    <cfRule type="expression" dxfId="3" priority="5232">
      <formula>COUNTIF($A1047, "TRUE") = 1</formula>
    </cfRule>
    <cfRule type="expression" dxfId="4" priority="5233">
      <formula>COUNTIF($A1047, "FALSE") = 1</formula>
    </cfRule>
    <cfRule type="notContainsBlanks" dxfId="1" priority="5234">
      <formula>LEN(TRIM(A1047))&gt;0</formula>
    </cfRule>
  </conditionalFormatting>
  <conditionalFormatting sqref="A1048">
    <cfRule type="notContainsBlanks" dxfId="5" priority="5240">
      <formula>LEN(TRIM(A1048))&gt;0</formula>
    </cfRule>
  </conditionalFormatting>
  <conditionalFormatting sqref="A1048:D1048">
    <cfRule type="expression" dxfId="3" priority="5237">
      <formula>COUNTIF($A1048, "TRUE") = 1</formula>
    </cfRule>
    <cfRule type="expression" dxfId="4" priority="5238">
      <formula>COUNTIF($A1048, "FALSE") = 1</formula>
    </cfRule>
    <cfRule type="notContainsBlanks" dxfId="1" priority="5239">
      <formula>LEN(TRIM(A1048))&gt;0</formula>
    </cfRule>
  </conditionalFormatting>
  <conditionalFormatting sqref="A1049">
    <cfRule type="notContainsBlanks" dxfId="5" priority="5245">
      <formula>LEN(TRIM(A1049))&gt;0</formula>
    </cfRule>
  </conditionalFormatting>
  <conditionalFormatting sqref="A1049:D1049">
    <cfRule type="expression" dxfId="3" priority="5242">
      <formula>COUNTIF($A1049, "TRUE") = 1</formula>
    </cfRule>
    <cfRule type="expression" dxfId="4" priority="5243">
      <formula>COUNTIF($A1049, "FALSE") = 1</formula>
    </cfRule>
    <cfRule type="notContainsBlanks" dxfId="1" priority="5244">
      <formula>LEN(TRIM(A1049))&gt;0</formula>
    </cfRule>
  </conditionalFormatting>
  <conditionalFormatting sqref="A104:D104">
    <cfRule type="expression" dxfId="3" priority="517">
      <formula>COUNTIF($A104, "TRUE") = 1</formula>
    </cfRule>
    <cfRule type="expression" dxfId="4" priority="518">
      <formula>COUNTIF($A104, "FALSE") = 1</formula>
    </cfRule>
    <cfRule type="notContainsBlanks" dxfId="1" priority="519">
      <formula>LEN(TRIM(A104))&gt;0</formula>
    </cfRule>
  </conditionalFormatting>
  <conditionalFormatting sqref="A105">
    <cfRule type="notContainsBlanks" dxfId="5" priority="525">
      <formula>LEN(TRIM(A105))&gt;0</formula>
    </cfRule>
  </conditionalFormatting>
  <conditionalFormatting sqref="A1050">
    <cfRule type="notContainsBlanks" dxfId="5" priority="5250">
      <formula>LEN(TRIM(A1050))&gt;0</formula>
    </cfRule>
  </conditionalFormatting>
  <conditionalFormatting sqref="A1050:D1050">
    <cfRule type="expression" dxfId="3" priority="5247">
      <formula>COUNTIF($A1050, "TRUE") = 1</formula>
    </cfRule>
    <cfRule type="expression" dxfId="4" priority="5248">
      <formula>COUNTIF($A1050, "FALSE") = 1</formula>
    </cfRule>
    <cfRule type="notContainsBlanks" dxfId="1" priority="5249">
      <formula>LEN(TRIM(A1050))&gt;0</formula>
    </cfRule>
  </conditionalFormatting>
  <conditionalFormatting sqref="A1051">
    <cfRule type="notContainsBlanks" dxfId="5" priority="5255">
      <formula>LEN(TRIM(A1051))&gt;0</formula>
    </cfRule>
  </conditionalFormatting>
  <conditionalFormatting sqref="A1051:D1051">
    <cfRule type="expression" dxfId="3" priority="5252">
      <formula>COUNTIF($A1051, "TRUE") = 1</formula>
    </cfRule>
    <cfRule type="expression" dxfId="4" priority="5253">
      <formula>COUNTIF($A1051, "FALSE") = 1</formula>
    </cfRule>
    <cfRule type="notContainsBlanks" dxfId="1" priority="5254">
      <formula>LEN(TRIM(A1051))&gt;0</formula>
    </cfRule>
  </conditionalFormatting>
  <conditionalFormatting sqref="A1052">
    <cfRule type="notContainsBlanks" dxfId="5" priority="5260">
      <formula>LEN(TRIM(A1052))&gt;0</formula>
    </cfRule>
  </conditionalFormatting>
  <conditionalFormatting sqref="A1052:D1052">
    <cfRule type="expression" dxfId="3" priority="5257">
      <formula>COUNTIF($A1052, "TRUE") = 1</formula>
    </cfRule>
    <cfRule type="expression" dxfId="4" priority="5258">
      <formula>COUNTIF($A1052, "FALSE") = 1</formula>
    </cfRule>
    <cfRule type="notContainsBlanks" dxfId="1" priority="5259">
      <formula>LEN(TRIM(A1052))&gt;0</formula>
    </cfRule>
  </conditionalFormatting>
  <conditionalFormatting sqref="A1053">
    <cfRule type="notContainsBlanks" dxfId="5" priority="5265">
      <formula>LEN(TRIM(A1053))&gt;0</formula>
    </cfRule>
  </conditionalFormatting>
  <conditionalFormatting sqref="A1053:D1053">
    <cfRule type="expression" dxfId="3" priority="5262">
      <formula>COUNTIF($A1053, "TRUE") = 1</formula>
    </cfRule>
    <cfRule type="expression" dxfId="4" priority="5263">
      <formula>COUNTIF($A1053, "FALSE") = 1</formula>
    </cfRule>
    <cfRule type="notContainsBlanks" dxfId="1" priority="5264">
      <formula>LEN(TRIM(A1053))&gt;0</formula>
    </cfRule>
  </conditionalFormatting>
  <conditionalFormatting sqref="A1054">
    <cfRule type="notContainsBlanks" dxfId="5" priority="5270">
      <formula>LEN(TRIM(A1054))&gt;0</formula>
    </cfRule>
  </conditionalFormatting>
  <conditionalFormatting sqref="A1054:D1054">
    <cfRule type="expression" dxfId="3" priority="5267">
      <formula>COUNTIF($A1054, "TRUE") = 1</formula>
    </cfRule>
    <cfRule type="expression" dxfId="4" priority="5268">
      <formula>COUNTIF($A1054, "FALSE") = 1</formula>
    </cfRule>
    <cfRule type="notContainsBlanks" dxfId="1" priority="5269">
      <formula>LEN(TRIM(A1054))&gt;0</formula>
    </cfRule>
  </conditionalFormatting>
  <conditionalFormatting sqref="A1055">
    <cfRule type="notContainsBlanks" dxfId="5" priority="5275">
      <formula>LEN(TRIM(A1055))&gt;0</formula>
    </cfRule>
  </conditionalFormatting>
  <conditionalFormatting sqref="A1055:D1055">
    <cfRule type="expression" dxfId="3" priority="5272">
      <formula>COUNTIF($A1055, "TRUE") = 1</formula>
    </cfRule>
    <cfRule type="expression" dxfId="4" priority="5273">
      <formula>COUNTIF($A1055, "FALSE") = 1</formula>
    </cfRule>
    <cfRule type="notContainsBlanks" dxfId="1" priority="5274">
      <formula>LEN(TRIM(A1055))&gt;0</formula>
    </cfRule>
  </conditionalFormatting>
  <conditionalFormatting sqref="A1056">
    <cfRule type="notContainsBlanks" dxfId="5" priority="5280">
      <formula>LEN(TRIM(A1056))&gt;0</formula>
    </cfRule>
  </conditionalFormatting>
  <conditionalFormatting sqref="A1056:D1056">
    <cfRule type="expression" dxfId="3" priority="5277">
      <formula>COUNTIF($A1056, "TRUE") = 1</formula>
    </cfRule>
    <cfRule type="expression" dxfId="4" priority="5278">
      <formula>COUNTIF($A1056, "FALSE") = 1</formula>
    </cfRule>
    <cfRule type="notContainsBlanks" dxfId="1" priority="5279">
      <formula>LEN(TRIM(A1056))&gt;0</formula>
    </cfRule>
  </conditionalFormatting>
  <conditionalFormatting sqref="A1057">
    <cfRule type="notContainsBlanks" dxfId="5" priority="5285">
      <formula>LEN(TRIM(A1057))&gt;0</formula>
    </cfRule>
  </conditionalFormatting>
  <conditionalFormatting sqref="A1057:D1057">
    <cfRule type="expression" dxfId="3" priority="5282">
      <formula>COUNTIF($A1057, "TRUE") = 1</formula>
    </cfRule>
    <cfRule type="expression" dxfId="4" priority="5283">
      <formula>COUNTIF($A1057, "FALSE") = 1</formula>
    </cfRule>
    <cfRule type="notContainsBlanks" dxfId="1" priority="5284">
      <formula>LEN(TRIM(A1057))&gt;0</formula>
    </cfRule>
  </conditionalFormatting>
  <conditionalFormatting sqref="A1058">
    <cfRule type="notContainsBlanks" dxfId="5" priority="5290">
      <formula>LEN(TRIM(A1058))&gt;0</formula>
    </cfRule>
  </conditionalFormatting>
  <conditionalFormatting sqref="A1058:D1058">
    <cfRule type="expression" dxfId="3" priority="5287">
      <formula>COUNTIF($A1058, "TRUE") = 1</formula>
    </cfRule>
    <cfRule type="expression" dxfId="4" priority="5288">
      <formula>COUNTIF($A1058, "FALSE") = 1</formula>
    </cfRule>
    <cfRule type="notContainsBlanks" dxfId="1" priority="5289">
      <formula>LEN(TRIM(A1058))&gt;0</formula>
    </cfRule>
  </conditionalFormatting>
  <conditionalFormatting sqref="A1059">
    <cfRule type="notContainsBlanks" dxfId="5" priority="5295">
      <formula>LEN(TRIM(A1059))&gt;0</formula>
    </cfRule>
  </conditionalFormatting>
  <conditionalFormatting sqref="A1059:D1059">
    <cfRule type="expression" dxfId="3" priority="5292">
      <formula>COUNTIF($A1059, "TRUE") = 1</formula>
    </cfRule>
    <cfRule type="expression" dxfId="4" priority="5293">
      <formula>COUNTIF($A1059, "FALSE") = 1</formula>
    </cfRule>
    <cfRule type="notContainsBlanks" dxfId="1" priority="5294">
      <formula>LEN(TRIM(A1059))&gt;0</formula>
    </cfRule>
  </conditionalFormatting>
  <conditionalFormatting sqref="A105:D105">
    <cfRule type="expression" dxfId="3" priority="522">
      <formula>COUNTIF($A105, "TRUE") = 1</formula>
    </cfRule>
    <cfRule type="expression" dxfId="4" priority="523">
      <formula>COUNTIF($A105, "FALSE") = 1</formula>
    </cfRule>
    <cfRule type="notContainsBlanks" dxfId="1" priority="524">
      <formula>LEN(TRIM(A105))&gt;0</formula>
    </cfRule>
  </conditionalFormatting>
  <conditionalFormatting sqref="A106">
    <cfRule type="notContainsBlanks" dxfId="5" priority="530">
      <formula>LEN(TRIM(A106))&gt;0</formula>
    </cfRule>
  </conditionalFormatting>
  <conditionalFormatting sqref="A1060">
    <cfRule type="notContainsBlanks" dxfId="5" priority="5300">
      <formula>LEN(TRIM(A1060))&gt;0</formula>
    </cfRule>
  </conditionalFormatting>
  <conditionalFormatting sqref="A1060:D1060">
    <cfRule type="expression" dxfId="3" priority="5297">
      <formula>COUNTIF($A1060, "TRUE") = 1</formula>
    </cfRule>
    <cfRule type="expression" dxfId="4" priority="5298">
      <formula>COUNTIF($A1060, "FALSE") = 1</formula>
    </cfRule>
    <cfRule type="notContainsBlanks" dxfId="1" priority="5299">
      <formula>LEN(TRIM(A1060))&gt;0</formula>
    </cfRule>
  </conditionalFormatting>
  <conditionalFormatting sqref="A1061">
    <cfRule type="notContainsBlanks" dxfId="5" priority="5305">
      <formula>LEN(TRIM(A1061))&gt;0</formula>
    </cfRule>
  </conditionalFormatting>
  <conditionalFormatting sqref="A1061:D1061">
    <cfRule type="expression" dxfId="3" priority="5302">
      <formula>COUNTIF($A1061, "TRUE") = 1</formula>
    </cfRule>
    <cfRule type="expression" dxfId="4" priority="5303">
      <formula>COUNTIF($A1061, "FALSE") = 1</formula>
    </cfRule>
    <cfRule type="notContainsBlanks" dxfId="1" priority="5304">
      <formula>LEN(TRIM(A1061))&gt;0</formula>
    </cfRule>
  </conditionalFormatting>
  <conditionalFormatting sqref="A1062">
    <cfRule type="notContainsBlanks" dxfId="5" priority="5310">
      <formula>LEN(TRIM(A1062))&gt;0</formula>
    </cfRule>
  </conditionalFormatting>
  <conditionalFormatting sqref="A1062:D1062">
    <cfRule type="expression" dxfId="3" priority="5307">
      <formula>COUNTIF($A1062, "TRUE") = 1</formula>
    </cfRule>
    <cfRule type="expression" dxfId="4" priority="5308">
      <formula>COUNTIF($A1062, "FALSE") = 1</formula>
    </cfRule>
    <cfRule type="notContainsBlanks" dxfId="1" priority="5309">
      <formula>LEN(TRIM(A1062))&gt;0</formula>
    </cfRule>
  </conditionalFormatting>
  <conditionalFormatting sqref="A1063">
    <cfRule type="notContainsBlanks" dxfId="5" priority="5315">
      <formula>LEN(TRIM(A1063))&gt;0</formula>
    </cfRule>
  </conditionalFormatting>
  <conditionalFormatting sqref="A1063:D1063">
    <cfRule type="expression" dxfId="3" priority="5312">
      <formula>COUNTIF($A1063, "TRUE") = 1</formula>
    </cfRule>
    <cfRule type="expression" dxfId="4" priority="5313">
      <formula>COUNTIF($A1063, "FALSE") = 1</formula>
    </cfRule>
    <cfRule type="notContainsBlanks" dxfId="1" priority="5314">
      <formula>LEN(TRIM(A1063))&gt;0</formula>
    </cfRule>
  </conditionalFormatting>
  <conditionalFormatting sqref="A1064">
    <cfRule type="notContainsBlanks" dxfId="5" priority="5320">
      <formula>LEN(TRIM(A1064))&gt;0</formula>
    </cfRule>
  </conditionalFormatting>
  <conditionalFormatting sqref="A1064:D1064">
    <cfRule type="expression" dxfId="3" priority="5317">
      <formula>COUNTIF($A1064, "TRUE") = 1</formula>
    </cfRule>
    <cfRule type="expression" dxfId="4" priority="5318">
      <formula>COUNTIF($A1064, "FALSE") = 1</formula>
    </cfRule>
    <cfRule type="notContainsBlanks" dxfId="1" priority="5319">
      <formula>LEN(TRIM(A1064))&gt;0</formula>
    </cfRule>
  </conditionalFormatting>
  <conditionalFormatting sqref="A1065">
    <cfRule type="notContainsBlanks" dxfId="5" priority="5325">
      <formula>LEN(TRIM(A1065))&gt;0</formula>
    </cfRule>
  </conditionalFormatting>
  <conditionalFormatting sqref="A1065:D1065">
    <cfRule type="expression" dxfId="3" priority="5322">
      <formula>COUNTIF($A1065, "TRUE") = 1</formula>
    </cfRule>
    <cfRule type="expression" dxfId="4" priority="5323">
      <formula>COUNTIF($A1065, "FALSE") = 1</formula>
    </cfRule>
    <cfRule type="notContainsBlanks" dxfId="1" priority="5324">
      <formula>LEN(TRIM(A1065))&gt;0</formula>
    </cfRule>
  </conditionalFormatting>
  <conditionalFormatting sqref="A1066">
    <cfRule type="notContainsBlanks" dxfId="5" priority="5330">
      <formula>LEN(TRIM(A1066))&gt;0</formula>
    </cfRule>
  </conditionalFormatting>
  <conditionalFormatting sqref="A1066:D1066">
    <cfRule type="expression" dxfId="3" priority="5327">
      <formula>COUNTIF($A1066, "TRUE") = 1</formula>
    </cfRule>
    <cfRule type="expression" dxfId="4" priority="5328">
      <formula>COUNTIF($A1066, "FALSE") = 1</formula>
    </cfRule>
    <cfRule type="notContainsBlanks" dxfId="1" priority="5329">
      <formula>LEN(TRIM(A1066))&gt;0</formula>
    </cfRule>
  </conditionalFormatting>
  <conditionalFormatting sqref="A1067">
    <cfRule type="notContainsBlanks" dxfId="5" priority="5335">
      <formula>LEN(TRIM(A1067))&gt;0</formula>
    </cfRule>
  </conditionalFormatting>
  <conditionalFormatting sqref="A1067:D1067">
    <cfRule type="expression" dxfId="3" priority="5332">
      <formula>COUNTIF($A1067, "TRUE") = 1</formula>
    </cfRule>
    <cfRule type="expression" dxfId="4" priority="5333">
      <formula>COUNTIF($A1067, "FALSE") = 1</formula>
    </cfRule>
    <cfRule type="notContainsBlanks" dxfId="1" priority="5334">
      <formula>LEN(TRIM(A1067))&gt;0</formula>
    </cfRule>
  </conditionalFormatting>
  <conditionalFormatting sqref="A1068">
    <cfRule type="notContainsBlanks" dxfId="5" priority="5340">
      <formula>LEN(TRIM(A1068))&gt;0</formula>
    </cfRule>
  </conditionalFormatting>
  <conditionalFormatting sqref="A1068:D1068">
    <cfRule type="expression" dxfId="3" priority="5337">
      <formula>COUNTIF($A1068, "TRUE") = 1</formula>
    </cfRule>
    <cfRule type="expression" dxfId="4" priority="5338">
      <formula>COUNTIF($A1068, "FALSE") = 1</formula>
    </cfRule>
    <cfRule type="notContainsBlanks" dxfId="1" priority="5339">
      <formula>LEN(TRIM(A1068))&gt;0</formula>
    </cfRule>
  </conditionalFormatting>
  <conditionalFormatting sqref="A1069">
    <cfRule type="notContainsBlanks" dxfId="5" priority="5345">
      <formula>LEN(TRIM(A1069))&gt;0</formula>
    </cfRule>
  </conditionalFormatting>
  <conditionalFormatting sqref="A1069:D1069">
    <cfRule type="expression" dxfId="3" priority="5342">
      <formula>COUNTIF($A1069, "TRUE") = 1</formula>
    </cfRule>
    <cfRule type="expression" dxfId="4" priority="5343">
      <formula>COUNTIF($A1069, "FALSE") = 1</formula>
    </cfRule>
    <cfRule type="notContainsBlanks" dxfId="1" priority="5344">
      <formula>LEN(TRIM(A1069))&gt;0</formula>
    </cfRule>
  </conditionalFormatting>
  <conditionalFormatting sqref="A106:D106">
    <cfRule type="expression" dxfId="3" priority="527">
      <formula>COUNTIF($A106, "TRUE") = 1</formula>
    </cfRule>
    <cfRule type="expression" dxfId="4" priority="528">
      <formula>COUNTIF($A106, "FALSE") = 1</formula>
    </cfRule>
    <cfRule type="notContainsBlanks" dxfId="1" priority="529">
      <formula>LEN(TRIM(A106))&gt;0</formula>
    </cfRule>
  </conditionalFormatting>
  <conditionalFormatting sqref="A107">
    <cfRule type="notContainsBlanks" dxfId="5" priority="535">
      <formula>LEN(TRIM(A107))&gt;0</formula>
    </cfRule>
  </conditionalFormatting>
  <conditionalFormatting sqref="A1070">
    <cfRule type="notContainsBlanks" dxfId="5" priority="5350">
      <formula>LEN(TRIM(A1070))&gt;0</formula>
    </cfRule>
  </conditionalFormatting>
  <conditionalFormatting sqref="A1070:D1070">
    <cfRule type="expression" dxfId="3" priority="5347">
      <formula>COUNTIF($A1070, "TRUE") = 1</formula>
    </cfRule>
    <cfRule type="expression" dxfId="4" priority="5348">
      <formula>COUNTIF($A1070, "FALSE") = 1</formula>
    </cfRule>
    <cfRule type="notContainsBlanks" dxfId="1" priority="5349">
      <formula>LEN(TRIM(A1070))&gt;0</formula>
    </cfRule>
  </conditionalFormatting>
  <conditionalFormatting sqref="A1071">
    <cfRule type="notContainsBlanks" dxfId="5" priority="5355">
      <formula>LEN(TRIM(A1071))&gt;0</formula>
    </cfRule>
  </conditionalFormatting>
  <conditionalFormatting sqref="A1071:D1071">
    <cfRule type="expression" dxfId="3" priority="5352">
      <formula>COUNTIF($A1071, "TRUE") = 1</formula>
    </cfRule>
    <cfRule type="expression" dxfId="4" priority="5353">
      <formula>COUNTIF($A1071, "FALSE") = 1</formula>
    </cfRule>
    <cfRule type="notContainsBlanks" dxfId="1" priority="5354">
      <formula>LEN(TRIM(A1071))&gt;0</formula>
    </cfRule>
  </conditionalFormatting>
  <conditionalFormatting sqref="A1072">
    <cfRule type="notContainsBlanks" dxfId="5" priority="5360">
      <formula>LEN(TRIM(A1072))&gt;0</formula>
    </cfRule>
  </conditionalFormatting>
  <conditionalFormatting sqref="A1072:D1072">
    <cfRule type="expression" dxfId="3" priority="5357">
      <formula>COUNTIF($A1072, "TRUE") = 1</formula>
    </cfRule>
    <cfRule type="expression" dxfId="4" priority="5358">
      <formula>COUNTIF($A1072, "FALSE") = 1</formula>
    </cfRule>
    <cfRule type="notContainsBlanks" dxfId="1" priority="5359">
      <formula>LEN(TRIM(A1072))&gt;0</formula>
    </cfRule>
  </conditionalFormatting>
  <conditionalFormatting sqref="A1073">
    <cfRule type="notContainsBlanks" dxfId="5" priority="5365">
      <formula>LEN(TRIM(A1073))&gt;0</formula>
    </cfRule>
  </conditionalFormatting>
  <conditionalFormatting sqref="A1073:D1073">
    <cfRule type="expression" dxfId="3" priority="5362">
      <formula>COUNTIF($A1073, "TRUE") = 1</formula>
    </cfRule>
    <cfRule type="expression" dxfId="4" priority="5363">
      <formula>COUNTIF($A1073, "FALSE") = 1</formula>
    </cfRule>
    <cfRule type="notContainsBlanks" dxfId="1" priority="5364">
      <formula>LEN(TRIM(A1073))&gt;0</formula>
    </cfRule>
  </conditionalFormatting>
  <conditionalFormatting sqref="A1074">
    <cfRule type="notContainsBlanks" dxfId="5" priority="5370">
      <formula>LEN(TRIM(A1074))&gt;0</formula>
    </cfRule>
  </conditionalFormatting>
  <conditionalFormatting sqref="A1074:D1074">
    <cfRule type="expression" dxfId="3" priority="5367">
      <formula>COUNTIF($A1074, "TRUE") = 1</formula>
    </cfRule>
    <cfRule type="expression" dxfId="4" priority="5368">
      <formula>COUNTIF($A1074, "FALSE") = 1</formula>
    </cfRule>
    <cfRule type="notContainsBlanks" dxfId="1" priority="5369">
      <formula>LEN(TRIM(A1074))&gt;0</formula>
    </cfRule>
  </conditionalFormatting>
  <conditionalFormatting sqref="A1075">
    <cfRule type="notContainsBlanks" dxfId="5" priority="5375">
      <formula>LEN(TRIM(A1075))&gt;0</formula>
    </cfRule>
  </conditionalFormatting>
  <conditionalFormatting sqref="A1075:D1075">
    <cfRule type="expression" dxfId="3" priority="5372">
      <formula>COUNTIF($A1075, "TRUE") = 1</formula>
    </cfRule>
    <cfRule type="expression" dxfId="4" priority="5373">
      <formula>COUNTIF($A1075, "FALSE") = 1</formula>
    </cfRule>
    <cfRule type="notContainsBlanks" dxfId="1" priority="5374">
      <formula>LEN(TRIM(A1075))&gt;0</formula>
    </cfRule>
  </conditionalFormatting>
  <conditionalFormatting sqref="A1076">
    <cfRule type="notContainsBlanks" dxfId="5" priority="5380">
      <formula>LEN(TRIM(A1076))&gt;0</formula>
    </cfRule>
  </conditionalFormatting>
  <conditionalFormatting sqref="A1076:D1076">
    <cfRule type="expression" dxfId="3" priority="5377">
      <formula>COUNTIF($A1076, "TRUE") = 1</formula>
    </cfRule>
    <cfRule type="expression" dxfId="4" priority="5378">
      <formula>COUNTIF($A1076, "FALSE") = 1</formula>
    </cfRule>
    <cfRule type="notContainsBlanks" dxfId="1" priority="5379">
      <formula>LEN(TRIM(A1076))&gt;0</formula>
    </cfRule>
  </conditionalFormatting>
  <conditionalFormatting sqref="A1077">
    <cfRule type="notContainsBlanks" dxfId="5" priority="5385">
      <formula>LEN(TRIM(A1077))&gt;0</formula>
    </cfRule>
  </conditionalFormatting>
  <conditionalFormatting sqref="A1077:D1077">
    <cfRule type="expression" dxfId="3" priority="5382">
      <formula>COUNTIF($A1077, "TRUE") = 1</formula>
    </cfRule>
    <cfRule type="expression" dxfId="4" priority="5383">
      <formula>COUNTIF($A1077, "FALSE") = 1</formula>
    </cfRule>
    <cfRule type="notContainsBlanks" dxfId="1" priority="5384">
      <formula>LEN(TRIM(A1077))&gt;0</formula>
    </cfRule>
  </conditionalFormatting>
  <conditionalFormatting sqref="A1078">
    <cfRule type="notContainsBlanks" dxfId="5" priority="5390">
      <formula>LEN(TRIM(A1078))&gt;0</formula>
    </cfRule>
  </conditionalFormatting>
  <conditionalFormatting sqref="A1078:D1078">
    <cfRule type="expression" dxfId="3" priority="5387">
      <formula>COUNTIF($A1078, "TRUE") = 1</formula>
    </cfRule>
    <cfRule type="expression" dxfId="4" priority="5388">
      <formula>COUNTIF($A1078, "FALSE") = 1</formula>
    </cfRule>
    <cfRule type="notContainsBlanks" dxfId="1" priority="5389">
      <formula>LEN(TRIM(A1078))&gt;0</formula>
    </cfRule>
  </conditionalFormatting>
  <conditionalFormatting sqref="A1079">
    <cfRule type="notContainsBlanks" dxfId="5" priority="5395">
      <formula>LEN(TRIM(A1079))&gt;0</formula>
    </cfRule>
  </conditionalFormatting>
  <conditionalFormatting sqref="A1079:D1079">
    <cfRule type="expression" dxfId="3" priority="5392">
      <formula>COUNTIF($A1079, "TRUE") = 1</formula>
    </cfRule>
    <cfRule type="expression" dxfId="4" priority="5393">
      <formula>COUNTIF($A1079, "FALSE") = 1</formula>
    </cfRule>
    <cfRule type="notContainsBlanks" dxfId="1" priority="5394">
      <formula>LEN(TRIM(A1079))&gt;0</formula>
    </cfRule>
  </conditionalFormatting>
  <conditionalFormatting sqref="A107:D107">
    <cfRule type="expression" dxfId="3" priority="532">
      <formula>COUNTIF($A107, "TRUE") = 1</formula>
    </cfRule>
    <cfRule type="expression" dxfId="4" priority="533">
      <formula>COUNTIF($A107, "FALSE") = 1</formula>
    </cfRule>
    <cfRule type="notContainsBlanks" dxfId="1" priority="534">
      <formula>LEN(TRIM(A107))&gt;0</formula>
    </cfRule>
  </conditionalFormatting>
  <conditionalFormatting sqref="A108">
    <cfRule type="notContainsBlanks" dxfId="5" priority="540">
      <formula>LEN(TRIM(A108))&gt;0</formula>
    </cfRule>
  </conditionalFormatting>
  <conditionalFormatting sqref="A1080">
    <cfRule type="notContainsBlanks" dxfId="5" priority="5400">
      <formula>LEN(TRIM(A1080))&gt;0</formula>
    </cfRule>
  </conditionalFormatting>
  <conditionalFormatting sqref="A1080:D1080">
    <cfRule type="expression" dxfId="3" priority="5397">
      <formula>COUNTIF($A1080, "TRUE") = 1</formula>
    </cfRule>
    <cfRule type="expression" dxfId="4" priority="5398">
      <formula>COUNTIF($A1080, "FALSE") = 1</formula>
    </cfRule>
    <cfRule type="notContainsBlanks" dxfId="1" priority="5399">
      <formula>LEN(TRIM(A1080))&gt;0</formula>
    </cfRule>
  </conditionalFormatting>
  <conditionalFormatting sqref="A1081">
    <cfRule type="notContainsBlanks" dxfId="5" priority="5405">
      <formula>LEN(TRIM(A1081))&gt;0</formula>
    </cfRule>
  </conditionalFormatting>
  <conditionalFormatting sqref="A1081:D1081">
    <cfRule type="expression" dxfId="3" priority="5402">
      <formula>COUNTIF($A1081, "TRUE") = 1</formula>
    </cfRule>
    <cfRule type="expression" dxfId="4" priority="5403">
      <formula>COUNTIF($A1081, "FALSE") = 1</formula>
    </cfRule>
    <cfRule type="notContainsBlanks" dxfId="1" priority="5404">
      <formula>LEN(TRIM(A1081))&gt;0</formula>
    </cfRule>
  </conditionalFormatting>
  <conditionalFormatting sqref="A1082">
    <cfRule type="notContainsBlanks" dxfId="5" priority="5410">
      <formula>LEN(TRIM(A1082))&gt;0</formula>
    </cfRule>
  </conditionalFormatting>
  <conditionalFormatting sqref="A1082:D1082">
    <cfRule type="expression" dxfId="3" priority="5407">
      <formula>COUNTIF($A1082, "TRUE") = 1</formula>
    </cfRule>
    <cfRule type="expression" dxfId="4" priority="5408">
      <formula>COUNTIF($A1082, "FALSE") = 1</formula>
    </cfRule>
    <cfRule type="notContainsBlanks" dxfId="1" priority="5409">
      <formula>LEN(TRIM(A1082))&gt;0</formula>
    </cfRule>
  </conditionalFormatting>
  <conditionalFormatting sqref="A1083">
    <cfRule type="notContainsBlanks" dxfId="5" priority="5415">
      <formula>LEN(TRIM(A1083))&gt;0</formula>
    </cfRule>
  </conditionalFormatting>
  <conditionalFormatting sqref="A1083:D1083">
    <cfRule type="expression" dxfId="3" priority="5412">
      <formula>COUNTIF($A1083, "TRUE") = 1</formula>
    </cfRule>
    <cfRule type="expression" dxfId="4" priority="5413">
      <formula>COUNTIF($A1083, "FALSE") = 1</formula>
    </cfRule>
    <cfRule type="notContainsBlanks" dxfId="1" priority="5414">
      <formula>LEN(TRIM(A1083))&gt;0</formula>
    </cfRule>
  </conditionalFormatting>
  <conditionalFormatting sqref="A1084">
    <cfRule type="notContainsBlanks" dxfId="5" priority="5420">
      <formula>LEN(TRIM(A1084))&gt;0</formula>
    </cfRule>
  </conditionalFormatting>
  <conditionalFormatting sqref="A1084:D1084">
    <cfRule type="expression" dxfId="3" priority="5417">
      <formula>COUNTIF($A1084, "TRUE") = 1</formula>
    </cfRule>
    <cfRule type="expression" dxfId="4" priority="5418">
      <formula>COUNTIF($A1084, "FALSE") = 1</formula>
    </cfRule>
    <cfRule type="notContainsBlanks" dxfId="1" priority="5419">
      <formula>LEN(TRIM(A1084))&gt;0</formula>
    </cfRule>
  </conditionalFormatting>
  <conditionalFormatting sqref="A1085">
    <cfRule type="notContainsBlanks" dxfId="5" priority="5425">
      <formula>LEN(TRIM(A1085))&gt;0</formula>
    </cfRule>
  </conditionalFormatting>
  <conditionalFormatting sqref="A1085:D1085">
    <cfRule type="expression" dxfId="3" priority="5422">
      <formula>COUNTIF($A1085, "TRUE") = 1</formula>
    </cfRule>
    <cfRule type="expression" dxfId="4" priority="5423">
      <formula>COUNTIF($A1085, "FALSE") = 1</formula>
    </cfRule>
    <cfRule type="notContainsBlanks" dxfId="1" priority="5424">
      <formula>LEN(TRIM(A1085))&gt;0</formula>
    </cfRule>
  </conditionalFormatting>
  <conditionalFormatting sqref="A1086">
    <cfRule type="notContainsBlanks" dxfId="5" priority="5430">
      <formula>LEN(TRIM(A1086))&gt;0</formula>
    </cfRule>
  </conditionalFormatting>
  <conditionalFormatting sqref="A1086:D1086">
    <cfRule type="expression" dxfId="3" priority="5427">
      <formula>COUNTIF($A1086, "TRUE") = 1</formula>
    </cfRule>
    <cfRule type="expression" dxfId="4" priority="5428">
      <formula>COUNTIF($A1086, "FALSE") = 1</formula>
    </cfRule>
    <cfRule type="notContainsBlanks" dxfId="1" priority="5429">
      <formula>LEN(TRIM(A1086))&gt;0</formula>
    </cfRule>
  </conditionalFormatting>
  <conditionalFormatting sqref="A1087">
    <cfRule type="notContainsBlanks" dxfId="5" priority="5435">
      <formula>LEN(TRIM(A1087))&gt;0</formula>
    </cfRule>
  </conditionalFormatting>
  <conditionalFormatting sqref="A1087:D1087">
    <cfRule type="expression" dxfId="3" priority="5432">
      <formula>COUNTIF($A1087, "TRUE") = 1</formula>
    </cfRule>
    <cfRule type="expression" dxfId="4" priority="5433">
      <formula>COUNTIF($A1087, "FALSE") = 1</formula>
    </cfRule>
    <cfRule type="notContainsBlanks" dxfId="1" priority="5434">
      <formula>LEN(TRIM(A1087))&gt;0</formula>
    </cfRule>
  </conditionalFormatting>
  <conditionalFormatting sqref="A1088">
    <cfRule type="notContainsBlanks" dxfId="5" priority="5440">
      <formula>LEN(TRIM(A1088))&gt;0</formula>
    </cfRule>
  </conditionalFormatting>
  <conditionalFormatting sqref="A1088:D1088">
    <cfRule type="expression" dxfId="3" priority="5437">
      <formula>COUNTIF($A1088, "TRUE") = 1</formula>
    </cfRule>
    <cfRule type="expression" dxfId="4" priority="5438">
      <formula>COUNTIF($A1088, "FALSE") = 1</formula>
    </cfRule>
    <cfRule type="notContainsBlanks" dxfId="1" priority="5439">
      <formula>LEN(TRIM(A1088))&gt;0</formula>
    </cfRule>
  </conditionalFormatting>
  <conditionalFormatting sqref="A1089">
    <cfRule type="notContainsBlanks" dxfId="5" priority="5445">
      <formula>LEN(TRIM(A1089))&gt;0</formula>
    </cfRule>
  </conditionalFormatting>
  <conditionalFormatting sqref="A1089:D1089">
    <cfRule type="expression" dxfId="3" priority="5442">
      <formula>COUNTIF($A1089, "TRUE") = 1</formula>
    </cfRule>
    <cfRule type="expression" dxfId="4" priority="5443">
      <formula>COUNTIF($A1089, "FALSE") = 1</formula>
    </cfRule>
    <cfRule type="notContainsBlanks" dxfId="1" priority="5444">
      <formula>LEN(TRIM(A1089))&gt;0</formula>
    </cfRule>
  </conditionalFormatting>
  <conditionalFormatting sqref="A108:D108">
    <cfRule type="expression" dxfId="3" priority="537">
      <formula>COUNTIF($A108, "TRUE") = 1</formula>
    </cfRule>
    <cfRule type="expression" dxfId="4" priority="538">
      <formula>COUNTIF($A108, "FALSE") = 1</formula>
    </cfRule>
    <cfRule type="notContainsBlanks" dxfId="1" priority="539">
      <formula>LEN(TRIM(A108))&gt;0</formula>
    </cfRule>
  </conditionalFormatting>
  <conditionalFormatting sqref="A109">
    <cfRule type="notContainsBlanks" dxfId="5" priority="545">
      <formula>LEN(TRIM(A109))&gt;0</formula>
    </cfRule>
  </conditionalFormatting>
  <conditionalFormatting sqref="A1090">
    <cfRule type="notContainsBlanks" dxfId="5" priority="5450">
      <formula>LEN(TRIM(A1090))&gt;0</formula>
    </cfRule>
  </conditionalFormatting>
  <conditionalFormatting sqref="A1090:D1090">
    <cfRule type="expression" dxfId="3" priority="5447">
      <formula>COUNTIF($A1090, "TRUE") = 1</formula>
    </cfRule>
    <cfRule type="expression" dxfId="4" priority="5448">
      <formula>COUNTIF($A1090, "FALSE") = 1</formula>
    </cfRule>
    <cfRule type="notContainsBlanks" dxfId="1" priority="5449">
      <formula>LEN(TRIM(A1090))&gt;0</formula>
    </cfRule>
  </conditionalFormatting>
  <conditionalFormatting sqref="A1091">
    <cfRule type="notContainsBlanks" dxfId="5" priority="5455">
      <formula>LEN(TRIM(A1091))&gt;0</formula>
    </cfRule>
  </conditionalFormatting>
  <conditionalFormatting sqref="A1091:D1091">
    <cfRule type="expression" dxfId="3" priority="5452">
      <formula>COUNTIF($A1091, "TRUE") = 1</formula>
    </cfRule>
    <cfRule type="expression" dxfId="4" priority="5453">
      <formula>COUNTIF($A1091, "FALSE") = 1</formula>
    </cfRule>
    <cfRule type="notContainsBlanks" dxfId="1" priority="5454">
      <formula>LEN(TRIM(A1091))&gt;0</formula>
    </cfRule>
  </conditionalFormatting>
  <conditionalFormatting sqref="A1092">
    <cfRule type="notContainsBlanks" dxfId="5" priority="5460">
      <formula>LEN(TRIM(A1092))&gt;0</formula>
    </cfRule>
  </conditionalFormatting>
  <conditionalFormatting sqref="A1092:D1092">
    <cfRule type="expression" dxfId="3" priority="5457">
      <formula>COUNTIF($A1092, "TRUE") = 1</formula>
    </cfRule>
    <cfRule type="expression" dxfId="4" priority="5458">
      <formula>COUNTIF($A1092, "FALSE") = 1</formula>
    </cfRule>
    <cfRule type="notContainsBlanks" dxfId="1" priority="5459">
      <formula>LEN(TRIM(A1092))&gt;0</formula>
    </cfRule>
  </conditionalFormatting>
  <conditionalFormatting sqref="A1093">
    <cfRule type="notContainsBlanks" dxfId="5" priority="5465">
      <formula>LEN(TRIM(A1093))&gt;0</formula>
    </cfRule>
  </conditionalFormatting>
  <conditionalFormatting sqref="A1093:D1093">
    <cfRule type="expression" dxfId="3" priority="5462">
      <formula>COUNTIF($A1093, "TRUE") = 1</formula>
    </cfRule>
    <cfRule type="expression" dxfId="4" priority="5463">
      <formula>COUNTIF($A1093, "FALSE") = 1</formula>
    </cfRule>
    <cfRule type="notContainsBlanks" dxfId="1" priority="5464">
      <formula>LEN(TRIM(A1093))&gt;0</formula>
    </cfRule>
  </conditionalFormatting>
  <conditionalFormatting sqref="A1094">
    <cfRule type="notContainsBlanks" dxfId="5" priority="5470">
      <formula>LEN(TRIM(A1094))&gt;0</formula>
    </cfRule>
  </conditionalFormatting>
  <conditionalFormatting sqref="A1094:D1094">
    <cfRule type="expression" dxfId="3" priority="5467">
      <formula>COUNTIF($A1094, "TRUE") = 1</formula>
    </cfRule>
    <cfRule type="expression" dxfId="4" priority="5468">
      <formula>COUNTIF($A1094, "FALSE") = 1</formula>
    </cfRule>
    <cfRule type="notContainsBlanks" dxfId="1" priority="5469">
      <formula>LEN(TRIM(A1094))&gt;0</formula>
    </cfRule>
  </conditionalFormatting>
  <conditionalFormatting sqref="A1095">
    <cfRule type="notContainsBlanks" dxfId="5" priority="5475">
      <formula>LEN(TRIM(A1095))&gt;0</formula>
    </cfRule>
  </conditionalFormatting>
  <conditionalFormatting sqref="A1095:D1095">
    <cfRule type="expression" dxfId="3" priority="5472">
      <formula>COUNTIF($A1095, "TRUE") = 1</formula>
    </cfRule>
    <cfRule type="expression" dxfId="4" priority="5473">
      <formula>COUNTIF($A1095, "FALSE") = 1</formula>
    </cfRule>
    <cfRule type="notContainsBlanks" dxfId="1" priority="5474">
      <formula>LEN(TRIM(A1095))&gt;0</formula>
    </cfRule>
  </conditionalFormatting>
  <conditionalFormatting sqref="A1096">
    <cfRule type="notContainsBlanks" dxfId="5" priority="5480">
      <formula>LEN(TRIM(A1096))&gt;0</formula>
    </cfRule>
  </conditionalFormatting>
  <conditionalFormatting sqref="A1096:D1096">
    <cfRule type="expression" dxfId="3" priority="5477">
      <formula>COUNTIF($A1096, "TRUE") = 1</formula>
    </cfRule>
    <cfRule type="expression" dxfId="4" priority="5478">
      <formula>COUNTIF($A1096, "FALSE") = 1</formula>
    </cfRule>
    <cfRule type="notContainsBlanks" dxfId="1" priority="5479">
      <formula>LEN(TRIM(A1096))&gt;0</formula>
    </cfRule>
  </conditionalFormatting>
  <conditionalFormatting sqref="A1097">
    <cfRule type="notContainsBlanks" dxfId="5" priority="5485">
      <formula>LEN(TRIM(A1097))&gt;0</formula>
    </cfRule>
  </conditionalFormatting>
  <conditionalFormatting sqref="A1097:D1097">
    <cfRule type="expression" dxfId="3" priority="5482">
      <formula>COUNTIF($A1097, "TRUE") = 1</formula>
    </cfRule>
    <cfRule type="expression" dxfId="4" priority="5483">
      <formula>COUNTIF($A1097, "FALSE") = 1</formula>
    </cfRule>
    <cfRule type="notContainsBlanks" dxfId="1" priority="5484">
      <formula>LEN(TRIM(A1097))&gt;0</formula>
    </cfRule>
  </conditionalFormatting>
  <conditionalFormatting sqref="A1098">
    <cfRule type="notContainsBlanks" dxfId="5" priority="5490">
      <formula>LEN(TRIM(A1098))&gt;0</formula>
    </cfRule>
  </conditionalFormatting>
  <conditionalFormatting sqref="A1098:D1098">
    <cfRule type="expression" dxfId="3" priority="5487">
      <formula>COUNTIF($A1098, "TRUE") = 1</formula>
    </cfRule>
    <cfRule type="expression" dxfId="4" priority="5488">
      <formula>COUNTIF($A1098, "FALSE") = 1</formula>
    </cfRule>
    <cfRule type="notContainsBlanks" dxfId="1" priority="5489">
      <formula>LEN(TRIM(A1098))&gt;0</formula>
    </cfRule>
  </conditionalFormatting>
  <conditionalFormatting sqref="A1099">
    <cfRule type="notContainsBlanks" dxfId="5" priority="5495">
      <formula>LEN(TRIM(A1099))&gt;0</formula>
    </cfRule>
  </conditionalFormatting>
  <conditionalFormatting sqref="A1099:D1099">
    <cfRule type="expression" dxfId="3" priority="5492">
      <formula>COUNTIF($A1099, "TRUE") = 1</formula>
    </cfRule>
    <cfRule type="expression" dxfId="4" priority="5493">
      <formula>COUNTIF($A1099, "FALSE") = 1</formula>
    </cfRule>
    <cfRule type="notContainsBlanks" dxfId="1" priority="5494">
      <formula>LEN(TRIM(A1099))&gt;0</formula>
    </cfRule>
  </conditionalFormatting>
  <conditionalFormatting sqref="A109:D109">
    <cfRule type="expression" dxfId="3" priority="542">
      <formula>COUNTIF($A109, "TRUE") = 1</formula>
    </cfRule>
    <cfRule type="expression" dxfId="4" priority="543">
      <formula>COUNTIF($A109, "FALSE") = 1</formula>
    </cfRule>
    <cfRule type="notContainsBlanks" dxfId="1" priority="544">
      <formula>LEN(TRIM(A109))&gt;0</formula>
    </cfRule>
  </conditionalFormatting>
  <conditionalFormatting sqref="A10:D10">
    <cfRule type="expression" dxfId="3" priority="47">
      <formula>COUNTIF($A10, "TRUE") = 1</formula>
    </cfRule>
    <cfRule type="expression" dxfId="4" priority="48">
      <formula>COUNTIF($A10, "FALSE") = 1</formula>
    </cfRule>
    <cfRule type="notContainsBlanks" dxfId="1" priority="49">
      <formula>LEN(TRIM(A10))&gt;0</formula>
    </cfRule>
  </conditionalFormatting>
  <conditionalFormatting sqref="A11">
    <cfRule type="notContainsBlanks" dxfId="5" priority="55">
      <formula>LEN(TRIM(A11))&gt;0</formula>
    </cfRule>
  </conditionalFormatting>
  <conditionalFormatting sqref="A110">
    <cfRule type="notContainsBlanks" dxfId="5" priority="550">
      <formula>LEN(TRIM(A110))&gt;0</formula>
    </cfRule>
  </conditionalFormatting>
  <conditionalFormatting sqref="A1100">
    <cfRule type="notContainsBlanks" dxfId="5" priority="5500">
      <formula>LEN(TRIM(A1100))&gt;0</formula>
    </cfRule>
  </conditionalFormatting>
  <conditionalFormatting sqref="A1100:D1100">
    <cfRule type="expression" dxfId="3" priority="5497">
      <formula>COUNTIF($A1100, "TRUE") = 1</formula>
    </cfRule>
    <cfRule type="expression" dxfId="4" priority="5498">
      <formula>COUNTIF($A1100, "FALSE") = 1</formula>
    </cfRule>
    <cfRule type="notContainsBlanks" dxfId="1" priority="5499">
      <formula>LEN(TRIM(A1100))&gt;0</formula>
    </cfRule>
  </conditionalFormatting>
  <conditionalFormatting sqref="A1101">
    <cfRule type="notContainsBlanks" dxfId="5" priority="5505">
      <formula>LEN(TRIM(A1101))&gt;0</formula>
    </cfRule>
  </conditionalFormatting>
  <conditionalFormatting sqref="A1101:D1101">
    <cfRule type="expression" dxfId="3" priority="5502">
      <formula>COUNTIF($A1101, "TRUE") = 1</formula>
    </cfRule>
    <cfRule type="expression" dxfId="4" priority="5503">
      <formula>COUNTIF($A1101, "FALSE") = 1</formula>
    </cfRule>
    <cfRule type="notContainsBlanks" dxfId="1" priority="5504">
      <formula>LEN(TRIM(A1101))&gt;0</formula>
    </cfRule>
  </conditionalFormatting>
  <conditionalFormatting sqref="A1102">
    <cfRule type="notContainsBlanks" dxfId="5" priority="5510">
      <formula>LEN(TRIM(A1102))&gt;0</formula>
    </cfRule>
  </conditionalFormatting>
  <conditionalFormatting sqref="A1102:D1102">
    <cfRule type="expression" dxfId="3" priority="5507">
      <formula>COUNTIF($A1102, "TRUE") = 1</formula>
    </cfRule>
    <cfRule type="expression" dxfId="4" priority="5508">
      <formula>COUNTIF($A1102, "FALSE") = 1</formula>
    </cfRule>
    <cfRule type="notContainsBlanks" dxfId="1" priority="5509">
      <formula>LEN(TRIM(A1102))&gt;0</formula>
    </cfRule>
  </conditionalFormatting>
  <conditionalFormatting sqref="A1103">
    <cfRule type="notContainsBlanks" dxfId="5" priority="5515">
      <formula>LEN(TRIM(A1103))&gt;0</formula>
    </cfRule>
  </conditionalFormatting>
  <conditionalFormatting sqref="A1103:D1103">
    <cfRule type="expression" dxfId="3" priority="5512">
      <formula>COUNTIF($A1103, "TRUE") = 1</formula>
    </cfRule>
    <cfRule type="expression" dxfId="4" priority="5513">
      <formula>COUNTIF($A1103, "FALSE") = 1</formula>
    </cfRule>
    <cfRule type="notContainsBlanks" dxfId="1" priority="5514">
      <formula>LEN(TRIM(A1103))&gt;0</formula>
    </cfRule>
  </conditionalFormatting>
  <conditionalFormatting sqref="A1104">
    <cfRule type="notContainsBlanks" dxfId="5" priority="5520">
      <formula>LEN(TRIM(A1104))&gt;0</formula>
    </cfRule>
  </conditionalFormatting>
  <conditionalFormatting sqref="A1104:D1104">
    <cfRule type="expression" dxfId="3" priority="5517">
      <formula>COUNTIF($A1104, "TRUE") = 1</formula>
    </cfRule>
    <cfRule type="expression" dxfId="4" priority="5518">
      <formula>COUNTIF($A1104, "FALSE") = 1</formula>
    </cfRule>
    <cfRule type="notContainsBlanks" dxfId="1" priority="5519">
      <formula>LEN(TRIM(A1104))&gt;0</formula>
    </cfRule>
  </conditionalFormatting>
  <conditionalFormatting sqref="A1105">
    <cfRule type="notContainsBlanks" dxfId="5" priority="5525">
      <formula>LEN(TRIM(A1105))&gt;0</formula>
    </cfRule>
  </conditionalFormatting>
  <conditionalFormatting sqref="A1105:D1105">
    <cfRule type="expression" dxfId="3" priority="5522">
      <formula>COUNTIF($A1105, "TRUE") = 1</formula>
    </cfRule>
    <cfRule type="expression" dxfId="4" priority="5523">
      <formula>COUNTIF($A1105, "FALSE") = 1</formula>
    </cfRule>
    <cfRule type="notContainsBlanks" dxfId="1" priority="5524">
      <formula>LEN(TRIM(A1105))&gt;0</formula>
    </cfRule>
  </conditionalFormatting>
  <conditionalFormatting sqref="A1106">
    <cfRule type="notContainsBlanks" dxfId="5" priority="5530">
      <formula>LEN(TRIM(A1106))&gt;0</formula>
    </cfRule>
  </conditionalFormatting>
  <conditionalFormatting sqref="A1106:D1106">
    <cfRule type="expression" dxfId="3" priority="5527">
      <formula>COUNTIF($A1106, "TRUE") = 1</formula>
    </cfRule>
    <cfRule type="expression" dxfId="4" priority="5528">
      <formula>COUNTIF($A1106, "FALSE") = 1</formula>
    </cfRule>
    <cfRule type="notContainsBlanks" dxfId="1" priority="5529">
      <formula>LEN(TRIM(A1106))&gt;0</formula>
    </cfRule>
  </conditionalFormatting>
  <conditionalFormatting sqref="A1107">
    <cfRule type="notContainsBlanks" dxfId="5" priority="5535">
      <formula>LEN(TRIM(A1107))&gt;0</formula>
    </cfRule>
  </conditionalFormatting>
  <conditionalFormatting sqref="A1107:D1107">
    <cfRule type="expression" dxfId="3" priority="5532">
      <formula>COUNTIF($A1107, "TRUE") = 1</formula>
    </cfRule>
    <cfRule type="expression" dxfId="4" priority="5533">
      <formula>COUNTIF($A1107, "FALSE") = 1</formula>
    </cfRule>
    <cfRule type="notContainsBlanks" dxfId="1" priority="5534">
      <formula>LEN(TRIM(A1107))&gt;0</formula>
    </cfRule>
  </conditionalFormatting>
  <conditionalFormatting sqref="A1108">
    <cfRule type="notContainsBlanks" dxfId="5" priority="5540">
      <formula>LEN(TRIM(A1108))&gt;0</formula>
    </cfRule>
  </conditionalFormatting>
  <conditionalFormatting sqref="A1108:D1108">
    <cfRule type="expression" dxfId="3" priority="5537">
      <formula>COUNTIF($A1108, "TRUE") = 1</formula>
    </cfRule>
    <cfRule type="expression" dxfId="4" priority="5538">
      <formula>COUNTIF($A1108, "FALSE") = 1</formula>
    </cfRule>
    <cfRule type="notContainsBlanks" dxfId="1" priority="5539">
      <formula>LEN(TRIM(A1108))&gt;0</formula>
    </cfRule>
  </conditionalFormatting>
  <conditionalFormatting sqref="A1109">
    <cfRule type="notContainsBlanks" dxfId="5" priority="5545">
      <formula>LEN(TRIM(A1109))&gt;0</formula>
    </cfRule>
  </conditionalFormatting>
  <conditionalFormatting sqref="A1109:D1109">
    <cfRule type="expression" dxfId="3" priority="5542">
      <formula>COUNTIF($A1109, "TRUE") = 1</formula>
    </cfRule>
    <cfRule type="expression" dxfId="4" priority="5543">
      <formula>COUNTIF($A1109, "FALSE") = 1</formula>
    </cfRule>
    <cfRule type="notContainsBlanks" dxfId="1" priority="5544">
      <formula>LEN(TRIM(A1109))&gt;0</formula>
    </cfRule>
  </conditionalFormatting>
  <conditionalFormatting sqref="A110:D110">
    <cfRule type="expression" dxfId="3" priority="547">
      <formula>COUNTIF($A110, "TRUE") = 1</formula>
    </cfRule>
    <cfRule type="expression" dxfId="4" priority="548">
      <formula>COUNTIF($A110, "FALSE") = 1</formula>
    </cfRule>
    <cfRule type="notContainsBlanks" dxfId="1" priority="549">
      <formula>LEN(TRIM(A110))&gt;0</formula>
    </cfRule>
  </conditionalFormatting>
  <conditionalFormatting sqref="A111">
    <cfRule type="notContainsBlanks" dxfId="5" priority="555">
      <formula>LEN(TRIM(A111))&gt;0</formula>
    </cfRule>
  </conditionalFormatting>
  <conditionalFormatting sqref="A1110">
    <cfRule type="notContainsBlanks" dxfId="5" priority="5550">
      <formula>LEN(TRIM(A1110))&gt;0</formula>
    </cfRule>
  </conditionalFormatting>
  <conditionalFormatting sqref="A1110:D1110">
    <cfRule type="expression" dxfId="3" priority="5547">
      <formula>COUNTIF($A1110, "TRUE") = 1</formula>
    </cfRule>
    <cfRule type="expression" dxfId="4" priority="5548">
      <formula>COUNTIF($A1110, "FALSE") = 1</formula>
    </cfRule>
    <cfRule type="notContainsBlanks" dxfId="1" priority="5549">
      <formula>LEN(TRIM(A1110))&gt;0</formula>
    </cfRule>
  </conditionalFormatting>
  <conditionalFormatting sqref="A1111">
    <cfRule type="notContainsBlanks" dxfId="5" priority="5555">
      <formula>LEN(TRIM(A1111))&gt;0</formula>
    </cfRule>
  </conditionalFormatting>
  <conditionalFormatting sqref="A1111:D1111">
    <cfRule type="expression" dxfId="3" priority="5552">
      <formula>COUNTIF($A1111, "TRUE") = 1</formula>
    </cfRule>
    <cfRule type="expression" dxfId="4" priority="5553">
      <formula>COUNTIF($A1111, "FALSE") = 1</formula>
    </cfRule>
    <cfRule type="notContainsBlanks" dxfId="1" priority="5554">
      <formula>LEN(TRIM(A1111))&gt;0</formula>
    </cfRule>
  </conditionalFormatting>
  <conditionalFormatting sqref="A1112">
    <cfRule type="notContainsBlanks" dxfId="5" priority="5560">
      <formula>LEN(TRIM(A1112))&gt;0</formula>
    </cfRule>
  </conditionalFormatting>
  <conditionalFormatting sqref="A1112:D1112">
    <cfRule type="expression" dxfId="3" priority="5557">
      <formula>COUNTIF($A1112, "TRUE") = 1</formula>
    </cfRule>
    <cfRule type="expression" dxfId="4" priority="5558">
      <formula>COUNTIF($A1112, "FALSE") = 1</formula>
    </cfRule>
    <cfRule type="notContainsBlanks" dxfId="1" priority="5559">
      <formula>LEN(TRIM(A1112))&gt;0</formula>
    </cfRule>
  </conditionalFormatting>
  <conditionalFormatting sqref="A1113">
    <cfRule type="notContainsBlanks" dxfId="5" priority="5565">
      <formula>LEN(TRIM(A1113))&gt;0</formula>
    </cfRule>
  </conditionalFormatting>
  <conditionalFormatting sqref="A1113:D1113">
    <cfRule type="expression" dxfId="3" priority="5562">
      <formula>COUNTIF($A1113, "TRUE") = 1</formula>
    </cfRule>
    <cfRule type="expression" dxfId="4" priority="5563">
      <formula>COUNTIF($A1113, "FALSE") = 1</formula>
    </cfRule>
    <cfRule type="notContainsBlanks" dxfId="1" priority="5564">
      <formula>LEN(TRIM(A1113))&gt;0</formula>
    </cfRule>
  </conditionalFormatting>
  <conditionalFormatting sqref="A1114">
    <cfRule type="notContainsBlanks" dxfId="5" priority="5570">
      <formula>LEN(TRIM(A1114))&gt;0</formula>
    </cfRule>
  </conditionalFormatting>
  <conditionalFormatting sqref="A1114:D1114">
    <cfRule type="expression" dxfId="3" priority="5567">
      <formula>COUNTIF($A1114, "TRUE") = 1</formula>
    </cfRule>
    <cfRule type="expression" dxfId="4" priority="5568">
      <formula>COUNTIF($A1114, "FALSE") = 1</formula>
    </cfRule>
    <cfRule type="notContainsBlanks" dxfId="1" priority="5569">
      <formula>LEN(TRIM(A1114))&gt;0</formula>
    </cfRule>
  </conditionalFormatting>
  <conditionalFormatting sqref="A1115">
    <cfRule type="notContainsBlanks" dxfId="5" priority="5575">
      <formula>LEN(TRIM(A1115))&gt;0</formula>
    </cfRule>
  </conditionalFormatting>
  <conditionalFormatting sqref="A1115:D1115">
    <cfRule type="expression" dxfId="3" priority="5572">
      <formula>COUNTIF($A1115, "TRUE") = 1</formula>
    </cfRule>
    <cfRule type="expression" dxfId="4" priority="5573">
      <formula>COUNTIF($A1115, "FALSE") = 1</formula>
    </cfRule>
    <cfRule type="notContainsBlanks" dxfId="1" priority="5574">
      <formula>LEN(TRIM(A1115))&gt;0</formula>
    </cfRule>
  </conditionalFormatting>
  <conditionalFormatting sqref="A1116">
    <cfRule type="notContainsBlanks" dxfId="5" priority="5580">
      <formula>LEN(TRIM(A1116))&gt;0</formula>
    </cfRule>
  </conditionalFormatting>
  <conditionalFormatting sqref="A1116:D1116">
    <cfRule type="expression" dxfId="3" priority="5577">
      <formula>COUNTIF($A1116, "TRUE") = 1</formula>
    </cfRule>
    <cfRule type="expression" dxfId="4" priority="5578">
      <formula>COUNTIF($A1116, "FALSE") = 1</formula>
    </cfRule>
    <cfRule type="notContainsBlanks" dxfId="1" priority="5579">
      <formula>LEN(TRIM(A1116))&gt;0</formula>
    </cfRule>
  </conditionalFormatting>
  <conditionalFormatting sqref="A1117">
    <cfRule type="notContainsBlanks" dxfId="5" priority="5585">
      <formula>LEN(TRIM(A1117))&gt;0</formula>
    </cfRule>
  </conditionalFormatting>
  <conditionalFormatting sqref="A1117:D1117">
    <cfRule type="expression" dxfId="3" priority="5582">
      <formula>COUNTIF($A1117, "TRUE") = 1</formula>
    </cfRule>
    <cfRule type="expression" dxfId="4" priority="5583">
      <formula>COUNTIF($A1117, "FALSE") = 1</formula>
    </cfRule>
    <cfRule type="notContainsBlanks" dxfId="1" priority="5584">
      <formula>LEN(TRIM(A1117))&gt;0</formula>
    </cfRule>
  </conditionalFormatting>
  <conditionalFormatting sqref="A1118">
    <cfRule type="notContainsBlanks" dxfId="5" priority="5590">
      <formula>LEN(TRIM(A1118))&gt;0</formula>
    </cfRule>
  </conditionalFormatting>
  <conditionalFormatting sqref="A1118:D1118">
    <cfRule type="expression" dxfId="3" priority="5587">
      <formula>COUNTIF($A1118, "TRUE") = 1</formula>
    </cfRule>
    <cfRule type="expression" dxfId="4" priority="5588">
      <formula>COUNTIF($A1118, "FALSE") = 1</formula>
    </cfRule>
    <cfRule type="notContainsBlanks" dxfId="1" priority="5589">
      <formula>LEN(TRIM(A1118))&gt;0</formula>
    </cfRule>
  </conditionalFormatting>
  <conditionalFormatting sqref="A1119">
    <cfRule type="notContainsBlanks" dxfId="5" priority="5595">
      <formula>LEN(TRIM(A1119))&gt;0</formula>
    </cfRule>
  </conditionalFormatting>
  <conditionalFormatting sqref="A1119:D1119">
    <cfRule type="expression" dxfId="3" priority="5592">
      <formula>COUNTIF($A1119, "TRUE") = 1</formula>
    </cfRule>
    <cfRule type="expression" dxfId="4" priority="5593">
      <formula>COUNTIF($A1119, "FALSE") = 1</formula>
    </cfRule>
    <cfRule type="notContainsBlanks" dxfId="1" priority="5594">
      <formula>LEN(TRIM(A1119))&gt;0</formula>
    </cfRule>
  </conditionalFormatting>
  <conditionalFormatting sqref="A111:D111">
    <cfRule type="expression" dxfId="3" priority="552">
      <formula>COUNTIF($A111, "TRUE") = 1</formula>
    </cfRule>
    <cfRule type="expression" dxfId="4" priority="553">
      <formula>COUNTIF($A111, "FALSE") = 1</formula>
    </cfRule>
    <cfRule type="notContainsBlanks" dxfId="1" priority="554">
      <formula>LEN(TRIM(A111))&gt;0</formula>
    </cfRule>
  </conditionalFormatting>
  <conditionalFormatting sqref="A112">
    <cfRule type="notContainsBlanks" dxfId="5" priority="560">
      <formula>LEN(TRIM(A112))&gt;0</formula>
    </cfRule>
  </conditionalFormatting>
  <conditionalFormatting sqref="A1120">
    <cfRule type="notContainsBlanks" dxfId="5" priority="5600">
      <formula>LEN(TRIM(A1120))&gt;0</formula>
    </cfRule>
  </conditionalFormatting>
  <conditionalFormatting sqref="A1120:D1120">
    <cfRule type="expression" dxfId="3" priority="5597">
      <formula>COUNTIF($A1120, "TRUE") = 1</formula>
    </cfRule>
    <cfRule type="expression" dxfId="4" priority="5598">
      <formula>COUNTIF($A1120, "FALSE") = 1</formula>
    </cfRule>
    <cfRule type="notContainsBlanks" dxfId="1" priority="5599">
      <formula>LEN(TRIM(A1120))&gt;0</formula>
    </cfRule>
  </conditionalFormatting>
  <conditionalFormatting sqref="A1121">
    <cfRule type="notContainsBlanks" dxfId="5" priority="5605">
      <formula>LEN(TRIM(A1121))&gt;0</formula>
    </cfRule>
  </conditionalFormatting>
  <conditionalFormatting sqref="A1121:D1121">
    <cfRule type="expression" dxfId="3" priority="5602">
      <formula>COUNTIF($A1121, "TRUE") = 1</formula>
    </cfRule>
    <cfRule type="expression" dxfId="4" priority="5603">
      <formula>COUNTIF($A1121, "FALSE") = 1</formula>
    </cfRule>
    <cfRule type="notContainsBlanks" dxfId="1" priority="5604">
      <formula>LEN(TRIM(A1121))&gt;0</formula>
    </cfRule>
  </conditionalFormatting>
  <conditionalFormatting sqref="A1122">
    <cfRule type="notContainsBlanks" dxfId="5" priority="5610">
      <formula>LEN(TRIM(A1122))&gt;0</formula>
    </cfRule>
  </conditionalFormatting>
  <conditionalFormatting sqref="A1122:D1122">
    <cfRule type="expression" dxfId="3" priority="5607">
      <formula>COUNTIF($A1122, "TRUE") = 1</formula>
    </cfRule>
    <cfRule type="expression" dxfId="4" priority="5608">
      <formula>COUNTIF($A1122, "FALSE") = 1</formula>
    </cfRule>
    <cfRule type="notContainsBlanks" dxfId="1" priority="5609">
      <formula>LEN(TRIM(A1122))&gt;0</formula>
    </cfRule>
  </conditionalFormatting>
  <conditionalFormatting sqref="A1123">
    <cfRule type="notContainsBlanks" dxfId="5" priority="5615">
      <formula>LEN(TRIM(A1123))&gt;0</formula>
    </cfRule>
  </conditionalFormatting>
  <conditionalFormatting sqref="A1123:D1123">
    <cfRule type="expression" dxfId="3" priority="5612">
      <formula>COUNTIF($A1123, "TRUE") = 1</formula>
    </cfRule>
    <cfRule type="expression" dxfId="4" priority="5613">
      <formula>COUNTIF($A1123, "FALSE") = 1</formula>
    </cfRule>
    <cfRule type="notContainsBlanks" dxfId="1" priority="5614">
      <formula>LEN(TRIM(A1123))&gt;0</formula>
    </cfRule>
  </conditionalFormatting>
  <conditionalFormatting sqref="A1124">
    <cfRule type="notContainsBlanks" dxfId="5" priority="5620">
      <formula>LEN(TRIM(A1124))&gt;0</formula>
    </cfRule>
  </conditionalFormatting>
  <conditionalFormatting sqref="A1124:D1124">
    <cfRule type="expression" dxfId="3" priority="5617">
      <formula>COUNTIF($A1124, "TRUE") = 1</formula>
    </cfRule>
    <cfRule type="expression" dxfId="4" priority="5618">
      <formula>COUNTIF($A1124, "FALSE") = 1</formula>
    </cfRule>
    <cfRule type="notContainsBlanks" dxfId="1" priority="5619">
      <formula>LEN(TRIM(A1124))&gt;0</formula>
    </cfRule>
  </conditionalFormatting>
  <conditionalFormatting sqref="A1125">
    <cfRule type="notContainsBlanks" dxfId="5" priority="5625">
      <formula>LEN(TRIM(A1125))&gt;0</formula>
    </cfRule>
  </conditionalFormatting>
  <conditionalFormatting sqref="A1125:D1125">
    <cfRule type="expression" dxfId="3" priority="5622">
      <formula>COUNTIF($A1125, "TRUE") = 1</formula>
    </cfRule>
    <cfRule type="expression" dxfId="4" priority="5623">
      <formula>COUNTIF($A1125, "FALSE") = 1</formula>
    </cfRule>
    <cfRule type="notContainsBlanks" dxfId="1" priority="5624">
      <formula>LEN(TRIM(A1125))&gt;0</formula>
    </cfRule>
  </conditionalFormatting>
  <conditionalFormatting sqref="A1126">
    <cfRule type="notContainsBlanks" dxfId="5" priority="5630">
      <formula>LEN(TRIM(A1126))&gt;0</formula>
    </cfRule>
  </conditionalFormatting>
  <conditionalFormatting sqref="A1126:D1126">
    <cfRule type="expression" dxfId="3" priority="5627">
      <formula>COUNTIF($A1126, "TRUE") = 1</formula>
    </cfRule>
    <cfRule type="expression" dxfId="4" priority="5628">
      <formula>COUNTIF($A1126, "FALSE") = 1</formula>
    </cfRule>
    <cfRule type="notContainsBlanks" dxfId="1" priority="5629">
      <formula>LEN(TRIM(A1126))&gt;0</formula>
    </cfRule>
  </conditionalFormatting>
  <conditionalFormatting sqref="A1127">
    <cfRule type="notContainsBlanks" dxfId="5" priority="5635">
      <formula>LEN(TRIM(A1127))&gt;0</formula>
    </cfRule>
  </conditionalFormatting>
  <conditionalFormatting sqref="A1127:D1127">
    <cfRule type="expression" dxfId="3" priority="5632">
      <formula>COUNTIF($A1127, "TRUE") = 1</formula>
    </cfRule>
    <cfRule type="expression" dxfId="4" priority="5633">
      <formula>COUNTIF($A1127, "FALSE") = 1</formula>
    </cfRule>
    <cfRule type="notContainsBlanks" dxfId="1" priority="5634">
      <formula>LEN(TRIM(A1127))&gt;0</formula>
    </cfRule>
  </conditionalFormatting>
  <conditionalFormatting sqref="A1128">
    <cfRule type="notContainsBlanks" dxfId="5" priority="5640">
      <formula>LEN(TRIM(A1128))&gt;0</formula>
    </cfRule>
  </conditionalFormatting>
  <conditionalFormatting sqref="A1128:D1128">
    <cfRule type="expression" dxfId="3" priority="5637">
      <formula>COUNTIF($A1128, "TRUE") = 1</formula>
    </cfRule>
    <cfRule type="expression" dxfId="4" priority="5638">
      <formula>COUNTIF($A1128, "FALSE") = 1</formula>
    </cfRule>
    <cfRule type="notContainsBlanks" dxfId="1" priority="5639">
      <formula>LEN(TRIM(A1128))&gt;0</formula>
    </cfRule>
  </conditionalFormatting>
  <conditionalFormatting sqref="A1129">
    <cfRule type="notContainsBlanks" dxfId="5" priority="5645">
      <formula>LEN(TRIM(A1129))&gt;0</formula>
    </cfRule>
  </conditionalFormatting>
  <conditionalFormatting sqref="A1129:D1129">
    <cfRule type="expression" dxfId="3" priority="5642">
      <formula>COUNTIF($A1129, "TRUE") = 1</formula>
    </cfRule>
    <cfRule type="expression" dxfId="4" priority="5643">
      <formula>COUNTIF($A1129, "FALSE") = 1</formula>
    </cfRule>
    <cfRule type="notContainsBlanks" dxfId="1" priority="5644">
      <formula>LEN(TRIM(A1129))&gt;0</formula>
    </cfRule>
  </conditionalFormatting>
  <conditionalFormatting sqref="A112:D112">
    <cfRule type="expression" dxfId="3" priority="557">
      <formula>COUNTIF($A112, "TRUE") = 1</formula>
    </cfRule>
    <cfRule type="expression" dxfId="4" priority="558">
      <formula>COUNTIF($A112, "FALSE") = 1</formula>
    </cfRule>
    <cfRule type="notContainsBlanks" dxfId="1" priority="559">
      <formula>LEN(TRIM(A112))&gt;0</formula>
    </cfRule>
  </conditionalFormatting>
  <conditionalFormatting sqref="A113">
    <cfRule type="notContainsBlanks" dxfId="5" priority="565">
      <formula>LEN(TRIM(A113))&gt;0</formula>
    </cfRule>
  </conditionalFormatting>
  <conditionalFormatting sqref="A1130">
    <cfRule type="notContainsBlanks" dxfId="5" priority="5650">
      <formula>LEN(TRIM(A1130))&gt;0</formula>
    </cfRule>
  </conditionalFormatting>
  <conditionalFormatting sqref="A1130:D1130">
    <cfRule type="expression" dxfId="3" priority="5647">
      <formula>COUNTIF($A1130, "TRUE") = 1</formula>
    </cfRule>
    <cfRule type="expression" dxfId="4" priority="5648">
      <formula>COUNTIF($A1130, "FALSE") = 1</formula>
    </cfRule>
    <cfRule type="notContainsBlanks" dxfId="1" priority="5649">
      <formula>LEN(TRIM(A1130))&gt;0</formula>
    </cfRule>
  </conditionalFormatting>
  <conditionalFormatting sqref="A1131">
    <cfRule type="notContainsBlanks" dxfId="5" priority="5655">
      <formula>LEN(TRIM(A1131))&gt;0</formula>
    </cfRule>
  </conditionalFormatting>
  <conditionalFormatting sqref="A1131:D1131">
    <cfRule type="expression" dxfId="3" priority="5652">
      <formula>COUNTIF($A1131, "TRUE") = 1</formula>
    </cfRule>
    <cfRule type="expression" dxfId="4" priority="5653">
      <formula>COUNTIF($A1131, "FALSE") = 1</formula>
    </cfRule>
    <cfRule type="notContainsBlanks" dxfId="1" priority="5654">
      <formula>LEN(TRIM(A1131))&gt;0</formula>
    </cfRule>
  </conditionalFormatting>
  <conditionalFormatting sqref="A1132">
    <cfRule type="notContainsBlanks" dxfId="5" priority="5660">
      <formula>LEN(TRIM(A1132))&gt;0</formula>
    </cfRule>
  </conditionalFormatting>
  <conditionalFormatting sqref="A1132:D1132">
    <cfRule type="expression" dxfId="3" priority="5657">
      <formula>COUNTIF($A1132, "TRUE") = 1</formula>
    </cfRule>
    <cfRule type="expression" dxfId="4" priority="5658">
      <formula>COUNTIF($A1132, "FALSE") = 1</formula>
    </cfRule>
    <cfRule type="notContainsBlanks" dxfId="1" priority="5659">
      <formula>LEN(TRIM(A1132))&gt;0</formula>
    </cfRule>
  </conditionalFormatting>
  <conditionalFormatting sqref="A1133">
    <cfRule type="notContainsBlanks" dxfId="5" priority="5665">
      <formula>LEN(TRIM(A1133))&gt;0</formula>
    </cfRule>
  </conditionalFormatting>
  <conditionalFormatting sqref="A1133:D1133">
    <cfRule type="expression" dxfId="3" priority="5662">
      <formula>COUNTIF($A1133, "TRUE") = 1</formula>
    </cfRule>
    <cfRule type="expression" dxfId="4" priority="5663">
      <formula>COUNTIF($A1133, "FALSE") = 1</formula>
    </cfRule>
    <cfRule type="notContainsBlanks" dxfId="1" priority="5664">
      <formula>LEN(TRIM(A1133))&gt;0</formula>
    </cfRule>
  </conditionalFormatting>
  <conditionalFormatting sqref="A1134">
    <cfRule type="notContainsBlanks" dxfId="5" priority="5670">
      <formula>LEN(TRIM(A1134))&gt;0</formula>
    </cfRule>
  </conditionalFormatting>
  <conditionalFormatting sqref="A1134:D1134">
    <cfRule type="expression" dxfId="3" priority="5667">
      <formula>COUNTIF($A1134, "TRUE") = 1</formula>
    </cfRule>
    <cfRule type="expression" dxfId="4" priority="5668">
      <formula>COUNTIF($A1134, "FALSE") = 1</formula>
    </cfRule>
    <cfRule type="notContainsBlanks" dxfId="1" priority="5669">
      <formula>LEN(TRIM(A1134))&gt;0</formula>
    </cfRule>
  </conditionalFormatting>
  <conditionalFormatting sqref="A1135">
    <cfRule type="notContainsBlanks" dxfId="5" priority="5675">
      <formula>LEN(TRIM(A1135))&gt;0</formula>
    </cfRule>
  </conditionalFormatting>
  <conditionalFormatting sqref="A1135:D1135">
    <cfRule type="expression" dxfId="3" priority="5672">
      <formula>COUNTIF($A1135, "TRUE") = 1</formula>
    </cfRule>
    <cfRule type="expression" dxfId="4" priority="5673">
      <formula>COUNTIF($A1135, "FALSE") = 1</formula>
    </cfRule>
    <cfRule type="notContainsBlanks" dxfId="1" priority="5674">
      <formula>LEN(TRIM(A1135))&gt;0</formula>
    </cfRule>
  </conditionalFormatting>
  <conditionalFormatting sqref="A1136">
    <cfRule type="notContainsBlanks" dxfId="5" priority="5680">
      <formula>LEN(TRIM(A1136))&gt;0</formula>
    </cfRule>
  </conditionalFormatting>
  <conditionalFormatting sqref="A1136:D1136">
    <cfRule type="expression" dxfId="3" priority="5677">
      <formula>COUNTIF($A1136, "TRUE") = 1</formula>
    </cfRule>
    <cfRule type="expression" dxfId="4" priority="5678">
      <formula>COUNTIF($A1136, "FALSE") = 1</formula>
    </cfRule>
    <cfRule type="notContainsBlanks" dxfId="1" priority="5679">
      <formula>LEN(TRIM(A1136))&gt;0</formula>
    </cfRule>
  </conditionalFormatting>
  <conditionalFormatting sqref="A1137">
    <cfRule type="notContainsBlanks" dxfId="5" priority="5685">
      <formula>LEN(TRIM(A1137))&gt;0</formula>
    </cfRule>
  </conditionalFormatting>
  <conditionalFormatting sqref="A1137:D1137">
    <cfRule type="expression" dxfId="3" priority="5682">
      <formula>COUNTIF($A1137, "TRUE") = 1</formula>
    </cfRule>
    <cfRule type="expression" dxfId="4" priority="5683">
      <formula>COUNTIF($A1137, "FALSE") = 1</formula>
    </cfRule>
    <cfRule type="notContainsBlanks" dxfId="1" priority="5684">
      <formula>LEN(TRIM(A1137))&gt;0</formula>
    </cfRule>
  </conditionalFormatting>
  <conditionalFormatting sqref="A1138">
    <cfRule type="notContainsBlanks" dxfId="5" priority="5690">
      <formula>LEN(TRIM(A1138))&gt;0</formula>
    </cfRule>
  </conditionalFormatting>
  <conditionalFormatting sqref="A1138:D1138">
    <cfRule type="expression" dxfId="3" priority="5687">
      <formula>COUNTIF($A1138, "TRUE") = 1</formula>
    </cfRule>
    <cfRule type="expression" dxfId="4" priority="5688">
      <formula>COUNTIF($A1138, "FALSE") = 1</formula>
    </cfRule>
    <cfRule type="notContainsBlanks" dxfId="1" priority="5689">
      <formula>LEN(TRIM(A1138))&gt;0</formula>
    </cfRule>
  </conditionalFormatting>
  <conditionalFormatting sqref="A1139">
    <cfRule type="notContainsBlanks" dxfId="5" priority="5695">
      <formula>LEN(TRIM(A1139))&gt;0</formula>
    </cfRule>
  </conditionalFormatting>
  <conditionalFormatting sqref="A1139:D1139">
    <cfRule type="expression" dxfId="3" priority="5692">
      <formula>COUNTIF($A1139, "TRUE") = 1</formula>
    </cfRule>
    <cfRule type="expression" dxfId="4" priority="5693">
      <formula>COUNTIF($A1139, "FALSE") = 1</formula>
    </cfRule>
    <cfRule type="notContainsBlanks" dxfId="1" priority="5694">
      <formula>LEN(TRIM(A1139))&gt;0</formula>
    </cfRule>
  </conditionalFormatting>
  <conditionalFormatting sqref="A113:D113">
    <cfRule type="expression" dxfId="3" priority="562">
      <formula>COUNTIF($A113, "TRUE") = 1</formula>
    </cfRule>
    <cfRule type="expression" dxfId="4" priority="563">
      <formula>COUNTIF($A113, "FALSE") = 1</formula>
    </cfRule>
    <cfRule type="notContainsBlanks" dxfId="1" priority="564">
      <formula>LEN(TRIM(A113))&gt;0</formula>
    </cfRule>
  </conditionalFormatting>
  <conditionalFormatting sqref="A114">
    <cfRule type="notContainsBlanks" dxfId="5" priority="570">
      <formula>LEN(TRIM(A114))&gt;0</formula>
    </cfRule>
  </conditionalFormatting>
  <conditionalFormatting sqref="A1140">
    <cfRule type="notContainsBlanks" dxfId="5" priority="5700">
      <formula>LEN(TRIM(A1140))&gt;0</formula>
    </cfRule>
  </conditionalFormatting>
  <conditionalFormatting sqref="A1140:D1140">
    <cfRule type="expression" dxfId="3" priority="5697">
      <formula>COUNTIF($A1140, "TRUE") = 1</formula>
    </cfRule>
    <cfRule type="expression" dxfId="4" priority="5698">
      <formula>COUNTIF($A1140, "FALSE") = 1</formula>
    </cfRule>
    <cfRule type="notContainsBlanks" dxfId="1" priority="5699">
      <formula>LEN(TRIM(A1140))&gt;0</formula>
    </cfRule>
  </conditionalFormatting>
  <conditionalFormatting sqref="A1141">
    <cfRule type="notContainsBlanks" dxfId="5" priority="5705">
      <formula>LEN(TRIM(A1141))&gt;0</formula>
    </cfRule>
  </conditionalFormatting>
  <conditionalFormatting sqref="A1141:D1141">
    <cfRule type="expression" dxfId="3" priority="5702">
      <formula>COUNTIF($A1141, "TRUE") = 1</formula>
    </cfRule>
    <cfRule type="expression" dxfId="4" priority="5703">
      <formula>COUNTIF($A1141, "FALSE") = 1</formula>
    </cfRule>
    <cfRule type="notContainsBlanks" dxfId="1" priority="5704">
      <formula>LEN(TRIM(A1141))&gt;0</formula>
    </cfRule>
  </conditionalFormatting>
  <conditionalFormatting sqref="A1142">
    <cfRule type="notContainsBlanks" dxfId="5" priority="5710">
      <formula>LEN(TRIM(A1142))&gt;0</formula>
    </cfRule>
  </conditionalFormatting>
  <conditionalFormatting sqref="A1142:D1142">
    <cfRule type="expression" dxfId="3" priority="5707">
      <formula>COUNTIF($A1142, "TRUE") = 1</formula>
    </cfRule>
    <cfRule type="expression" dxfId="4" priority="5708">
      <formula>COUNTIF($A1142, "FALSE") = 1</formula>
    </cfRule>
    <cfRule type="notContainsBlanks" dxfId="1" priority="5709">
      <formula>LEN(TRIM(A1142))&gt;0</formula>
    </cfRule>
  </conditionalFormatting>
  <conditionalFormatting sqref="A1143">
    <cfRule type="notContainsBlanks" dxfId="5" priority="5715">
      <formula>LEN(TRIM(A1143))&gt;0</formula>
    </cfRule>
  </conditionalFormatting>
  <conditionalFormatting sqref="A1143:D1143">
    <cfRule type="expression" dxfId="3" priority="5712">
      <formula>COUNTIF($A1143, "TRUE") = 1</formula>
    </cfRule>
    <cfRule type="expression" dxfId="4" priority="5713">
      <formula>COUNTIF($A1143, "FALSE") = 1</formula>
    </cfRule>
    <cfRule type="notContainsBlanks" dxfId="1" priority="5714">
      <formula>LEN(TRIM(A1143))&gt;0</formula>
    </cfRule>
  </conditionalFormatting>
  <conditionalFormatting sqref="A1144">
    <cfRule type="notContainsBlanks" dxfId="5" priority="5720">
      <formula>LEN(TRIM(A1144))&gt;0</formula>
    </cfRule>
  </conditionalFormatting>
  <conditionalFormatting sqref="A1144:D1144">
    <cfRule type="expression" dxfId="3" priority="5717">
      <formula>COUNTIF($A1144, "TRUE") = 1</formula>
    </cfRule>
    <cfRule type="expression" dxfId="4" priority="5718">
      <formula>COUNTIF($A1144, "FALSE") = 1</formula>
    </cfRule>
    <cfRule type="notContainsBlanks" dxfId="1" priority="5719">
      <formula>LEN(TRIM(A1144))&gt;0</formula>
    </cfRule>
  </conditionalFormatting>
  <conditionalFormatting sqref="A1145">
    <cfRule type="notContainsBlanks" dxfId="5" priority="5725">
      <formula>LEN(TRIM(A1145))&gt;0</formula>
    </cfRule>
  </conditionalFormatting>
  <conditionalFormatting sqref="A1145:D1145">
    <cfRule type="expression" dxfId="3" priority="5722">
      <formula>COUNTIF($A1145, "TRUE") = 1</formula>
    </cfRule>
    <cfRule type="expression" dxfId="4" priority="5723">
      <formula>COUNTIF($A1145, "FALSE") = 1</formula>
    </cfRule>
    <cfRule type="notContainsBlanks" dxfId="1" priority="5724">
      <formula>LEN(TRIM(A1145))&gt;0</formula>
    </cfRule>
  </conditionalFormatting>
  <conditionalFormatting sqref="A1146">
    <cfRule type="notContainsBlanks" dxfId="5" priority="5730">
      <formula>LEN(TRIM(A1146))&gt;0</formula>
    </cfRule>
  </conditionalFormatting>
  <conditionalFormatting sqref="A1146:D1146">
    <cfRule type="expression" dxfId="3" priority="5727">
      <formula>COUNTIF($A1146, "TRUE") = 1</formula>
    </cfRule>
    <cfRule type="expression" dxfId="4" priority="5728">
      <formula>COUNTIF($A1146, "FALSE") = 1</formula>
    </cfRule>
    <cfRule type="notContainsBlanks" dxfId="1" priority="5729">
      <formula>LEN(TRIM(A1146))&gt;0</formula>
    </cfRule>
  </conditionalFormatting>
  <conditionalFormatting sqref="A1147">
    <cfRule type="notContainsBlanks" dxfId="5" priority="5735">
      <formula>LEN(TRIM(A1147))&gt;0</formula>
    </cfRule>
  </conditionalFormatting>
  <conditionalFormatting sqref="A1147:D1147">
    <cfRule type="expression" dxfId="3" priority="5732">
      <formula>COUNTIF($A1147, "TRUE") = 1</formula>
    </cfRule>
    <cfRule type="expression" dxfId="4" priority="5733">
      <formula>COUNTIF($A1147, "FALSE") = 1</formula>
    </cfRule>
    <cfRule type="notContainsBlanks" dxfId="1" priority="5734">
      <formula>LEN(TRIM(A1147))&gt;0</formula>
    </cfRule>
  </conditionalFormatting>
  <conditionalFormatting sqref="A1148">
    <cfRule type="notContainsBlanks" dxfId="5" priority="5740">
      <formula>LEN(TRIM(A1148))&gt;0</formula>
    </cfRule>
  </conditionalFormatting>
  <conditionalFormatting sqref="A1148:D1148">
    <cfRule type="expression" dxfId="3" priority="5737">
      <formula>COUNTIF($A1148, "TRUE") = 1</formula>
    </cfRule>
    <cfRule type="expression" dxfId="4" priority="5738">
      <formula>COUNTIF($A1148, "FALSE") = 1</formula>
    </cfRule>
    <cfRule type="notContainsBlanks" dxfId="1" priority="5739">
      <formula>LEN(TRIM(A1148))&gt;0</formula>
    </cfRule>
  </conditionalFormatting>
  <conditionalFormatting sqref="A1149">
    <cfRule type="notContainsBlanks" dxfId="5" priority="5745">
      <formula>LEN(TRIM(A1149))&gt;0</formula>
    </cfRule>
  </conditionalFormatting>
  <conditionalFormatting sqref="A1149:D1149">
    <cfRule type="expression" dxfId="3" priority="5742">
      <formula>COUNTIF($A1149, "TRUE") = 1</formula>
    </cfRule>
    <cfRule type="expression" dxfId="4" priority="5743">
      <formula>COUNTIF($A1149, "FALSE") = 1</formula>
    </cfRule>
    <cfRule type="notContainsBlanks" dxfId="1" priority="5744">
      <formula>LEN(TRIM(A1149))&gt;0</formula>
    </cfRule>
  </conditionalFormatting>
  <conditionalFormatting sqref="A114:D114">
    <cfRule type="expression" dxfId="3" priority="567">
      <formula>COUNTIF($A114, "TRUE") = 1</formula>
    </cfRule>
    <cfRule type="expression" dxfId="4" priority="568">
      <formula>COUNTIF($A114, "FALSE") = 1</formula>
    </cfRule>
    <cfRule type="notContainsBlanks" dxfId="1" priority="569">
      <formula>LEN(TRIM(A114))&gt;0</formula>
    </cfRule>
  </conditionalFormatting>
  <conditionalFormatting sqref="A115">
    <cfRule type="notContainsBlanks" dxfId="5" priority="575">
      <formula>LEN(TRIM(A115))&gt;0</formula>
    </cfRule>
  </conditionalFormatting>
  <conditionalFormatting sqref="A1150">
    <cfRule type="notContainsBlanks" dxfId="5" priority="5750">
      <formula>LEN(TRIM(A1150))&gt;0</formula>
    </cfRule>
  </conditionalFormatting>
  <conditionalFormatting sqref="A1150:D1150">
    <cfRule type="expression" dxfId="3" priority="5747">
      <formula>COUNTIF($A1150, "TRUE") = 1</formula>
    </cfRule>
    <cfRule type="expression" dxfId="4" priority="5748">
      <formula>COUNTIF($A1150, "FALSE") = 1</formula>
    </cfRule>
    <cfRule type="notContainsBlanks" dxfId="1" priority="5749">
      <formula>LEN(TRIM(A1150))&gt;0</formula>
    </cfRule>
  </conditionalFormatting>
  <conditionalFormatting sqref="A1151">
    <cfRule type="notContainsBlanks" dxfId="5" priority="5755">
      <formula>LEN(TRIM(A1151))&gt;0</formula>
    </cfRule>
  </conditionalFormatting>
  <conditionalFormatting sqref="A1151:D1151">
    <cfRule type="expression" dxfId="3" priority="5752">
      <formula>COUNTIF($A1151, "TRUE") = 1</formula>
    </cfRule>
    <cfRule type="expression" dxfId="4" priority="5753">
      <formula>COUNTIF($A1151, "FALSE") = 1</formula>
    </cfRule>
    <cfRule type="notContainsBlanks" dxfId="1" priority="5754">
      <formula>LEN(TRIM(A1151))&gt;0</formula>
    </cfRule>
  </conditionalFormatting>
  <conditionalFormatting sqref="A1152">
    <cfRule type="notContainsBlanks" dxfId="5" priority="5760">
      <formula>LEN(TRIM(A1152))&gt;0</formula>
    </cfRule>
  </conditionalFormatting>
  <conditionalFormatting sqref="A1152:D1152">
    <cfRule type="expression" dxfId="3" priority="5757">
      <formula>COUNTIF($A1152, "TRUE") = 1</formula>
    </cfRule>
    <cfRule type="expression" dxfId="4" priority="5758">
      <formula>COUNTIF($A1152, "FALSE") = 1</formula>
    </cfRule>
    <cfRule type="notContainsBlanks" dxfId="1" priority="5759">
      <formula>LEN(TRIM(A1152))&gt;0</formula>
    </cfRule>
  </conditionalFormatting>
  <conditionalFormatting sqref="A1153">
    <cfRule type="notContainsBlanks" dxfId="5" priority="5765">
      <formula>LEN(TRIM(A1153))&gt;0</formula>
    </cfRule>
  </conditionalFormatting>
  <conditionalFormatting sqref="A1153:D1153">
    <cfRule type="expression" dxfId="3" priority="5762">
      <formula>COUNTIF($A1153, "TRUE") = 1</formula>
    </cfRule>
    <cfRule type="expression" dxfId="4" priority="5763">
      <formula>COUNTIF($A1153, "FALSE") = 1</formula>
    </cfRule>
    <cfRule type="notContainsBlanks" dxfId="1" priority="5764">
      <formula>LEN(TRIM(A1153))&gt;0</formula>
    </cfRule>
  </conditionalFormatting>
  <conditionalFormatting sqref="A1154">
    <cfRule type="notContainsBlanks" dxfId="5" priority="5770">
      <formula>LEN(TRIM(A1154))&gt;0</formula>
    </cfRule>
  </conditionalFormatting>
  <conditionalFormatting sqref="A1154:D1154">
    <cfRule type="expression" dxfId="3" priority="5767">
      <formula>COUNTIF($A1154, "TRUE") = 1</formula>
    </cfRule>
    <cfRule type="expression" dxfId="4" priority="5768">
      <formula>COUNTIF($A1154, "FALSE") = 1</formula>
    </cfRule>
    <cfRule type="notContainsBlanks" dxfId="1" priority="5769">
      <formula>LEN(TRIM(A1154))&gt;0</formula>
    </cfRule>
  </conditionalFormatting>
  <conditionalFormatting sqref="A1155">
    <cfRule type="notContainsBlanks" dxfId="5" priority="5775">
      <formula>LEN(TRIM(A1155))&gt;0</formula>
    </cfRule>
  </conditionalFormatting>
  <conditionalFormatting sqref="A1155:D1155">
    <cfRule type="expression" dxfId="3" priority="5772">
      <formula>COUNTIF($A1155, "TRUE") = 1</formula>
    </cfRule>
    <cfRule type="expression" dxfId="4" priority="5773">
      <formula>COUNTIF($A1155, "FALSE") = 1</formula>
    </cfRule>
    <cfRule type="notContainsBlanks" dxfId="1" priority="5774">
      <formula>LEN(TRIM(A1155))&gt;0</formula>
    </cfRule>
  </conditionalFormatting>
  <conditionalFormatting sqref="A1156">
    <cfRule type="notContainsBlanks" dxfId="5" priority="5780">
      <formula>LEN(TRIM(A1156))&gt;0</formula>
    </cfRule>
  </conditionalFormatting>
  <conditionalFormatting sqref="A1156:D1156">
    <cfRule type="expression" dxfId="3" priority="5777">
      <formula>COUNTIF($A1156, "TRUE") = 1</formula>
    </cfRule>
    <cfRule type="expression" dxfId="4" priority="5778">
      <formula>COUNTIF($A1156, "FALSE") = 1</formula>
    </cfRule>
    <cfRule type="notContainsBlanks" dxfId="1" priority="5779">
      <formula>LEN(TRIM(A1156))&gt;0</formula>
    </cfRule>
  </conditionalFormatting>
  <conditionalFormatting sqref="A1157">
    <cfRule type="notContainsBlanks" dxfId="5" priority="5785">
      <formula>LEN(TRIM(A1157))&gt;0</formula>
    </cfRule>
  </conditionalFormatting>
  <conditionalFormatting sqref="A1157:D1157">
    <cfRule type="expression" dxfId="3" priority="5782">
      <formula>COUNTIF($A1157, "TRUE") = 1</formula>
    </cfRule>
    <cfRule type="expression" dxfId="4" priority="5783">
      <formula>COUNTIF($A1157, "FALSE") = 1</formula>
    </cfRule>
    <cfRule type="notContainsBlanks" dxfId="1" priority="5784">
      <formula>LEN(TRIM(A1157))&gt;0</formula>
    </cfRule>
  </conditionalFormatting>
  <conditionalFormatting sqref="A1158">
    <cfRule type="notContainsBlanks" dxfId="5" priority="5790">
      <formula>LEN(TRIM(A1158))&gt;0</formula>
    </cfRule>
  </conditionalFormatting>
  <conditionalFormatting sqref="A1158:D1158">
    <cfRule type="expression" dxfId="3" priority="5787">
      <formula>COUNTIF($A1158, "TRUE") = 1</formula>
    </cfRule>
    <cfRule type="expression" dxfId="4" priority="5788">
      <formula>COUNTIF($A1158, "FALSE") = 1</formula>
    </cfRule>
    <cfRule type="notContainsBlanks" dxfId="1" priority="5789">
      <formula>LEN(TRIM(A1158))&gt;0</formula>
    </cfRule>
  </conditionalFormatting>
  <conditionalFormatting sqref="A1159">
    <cfRule type="notContainsBlanks" dxfId="5" priority="5795">
      <formula>LEN(TRIM(A1159))&gt;0</formula>
    </cfRule>
  </conditionalFormatting>
  <conditionalFormatting sqref="A1159:D1159">
    <cfRule type="expression" dxfId="3" priority="5792">
      <formula>COUNTIF($A1159, "TRUE") = 1</formula>
    </cfRule>
    <cfRule type="expression" dxfId="4" priority="5793">
      <formula>COUNTIF($A1159, "FALSE") = 1</formula>
    </cfRule>
    <cfRule type="notContainsBlanks" dxfId="1" priority="5794">
      <formula>LEN(TRIM(A1159))&gt;0</formula>
    </cfRule>
  </conditionalFormatting>
  <conditionalFormatting sqref="A115:D115">
    <cfRule type="expression" dxfId="3" priority="572">
      <formula>COUNTIF($A115, "TRUE") = 1</formula>
    </cfRule>
    <cfRule type="expression" dxfId="4" priority="573">
      <formula>COUNTIF($A115, "FALSE") = 1</formula>
    </cfRule>
    <cfRule type="notContainsBlanks" dxfId="1" priority="574">
      <formula>LEN(TRIM(A115))&gt;0</formula>
    </cfRule>
  </conditionalFormatting>
  <conditionalFormatting sqref="A116">
    <cfRule type="notContainsBlanks" dxfId="5" priority="580">
      <formula>LEN(TRIM(A116))&gt;0</formula>
    </cfRule>
  </conditionalFormatting>
  <conditionalFormatting sqref="A1160">
    <cfRule type="notContainsBlanks" dxfId="5" priority="5800">
      <formula>LEN(TRIM(A1160))&gt;0</formula>
    </cfRule>
  </conditionalFormatting>
  <conditionalFormatting sqref="A1160:D1160">
    <cfRule type="expression" dxfId="3" priority="5797">
      <formula>COUNTIF($A1160, "TRUE") = 1</formula>
    </cfRule>
    <cfRule type="expression" dxfId="4" priority="5798">
      <formula>COUNTIF($A1160, "FALSE") = 1</formula>
    </cfRule>
    <cfRule type="notContainsBlanks" dxfId="1" priority="5799">
      <formula>LEN(TRIM(A1160))&gt;0</formula>
    </cfRule>
  </conditionalFormatting>
  <conditionalFormatting sqref="A1161">
    <cfRule type="notContainsBlanks" dxfId="5" priority="5805">
      <formula>LEN(TRIM(A1161))&gt;0</formula>
    </cfRule>
  </conditionalFormatting>
  <conditionalFormatting sqref="A1161:D1161">
    <cfRule type="expression" dxfId="3" priority="5802">
      <formula>COUNTIF($A1161, "TRUE") = 1</formula>
    </cfRule>
    <cfRule type="expression" dxfId="4" priority="5803">
      <formula>COUNTIF($A1161, "FALSE") = 1</formula>
    </cfRule>
    <cfRule type="notContainsBlanks" dxfId="1" priority="5804">
      <formula>LEN(TRIM(A1161))&gt;0</formula>
    </cfRule>
  </conditionalFormatting>
  <conditionalFormatting sqref="A1162">
    <cfRule type="notContainsBlanks" dxfId="5" priority="5810">
      <formula>LEN(TRIM(A1162))&gt;0</formula>
    </cfRule>
  </conditionalFormatting>
  <conditionalFormatting sqref="A1162:D1162">
    <cfRule type="expression" dxfId="3" priority="5807">
      <formula>COUNTIF($A1162, "TRUE") = 1</formula>
    </cfRule>
    <cfRule type="expression" dxfId="4" priority="5808">
      <formula>COUNTIF($A1162, "FALSE") = 1</formula>
    </cfRule>
    <cfRule type="notContainsBlanks" dxfId="1" priority="5809">
      <formula>LEN(TRIM(A1162))&gt;0</formula>
    </cfRule>
  </conditionalFormatting>
  <conditionalFormatting sqref="A1163">
    <cfRule type="notContainsBlanks" dxfId="5" priority="5815">
      <formula>LEN(TRIM(A1163))&gt;0</formula>
    </cfRule>
  </conditionalFormatting>
  <conditionalFormatting sqref="A1163:D1163">
    <cfRule type="expression" dxfId="3" priority="5812">
      <formula>COUNTIF($A1163, "TRUE") = 1</formula>
    </cfRule>
    <cfRule type="expression" dxfId="4" priority="5813">
      <formula>COUNTIF($A1163, "FALSE") = 1</formula>
    </cfRule>
    <cfRule type="notContainsBlanks" dxfId="1" priority="5814">
      <formula>LEN(TRIM(A1163))&gt;0</formula>
    </cfRule>
  </conditionalFormatting>
  <conditionalFormatting sqref="A1164">
    <cfRule type="notContainsBlanks" dxfId="5" priority="5820">
      <formula>LEN(TRIM(A1164))&gt;0</formula>
    </cfRule>
  </conditionalFormatting>
  <conditionalFormatting sqref="A1164:D1164">
    <cfRule type="expression" dxfId="3" priority="5817">
      <formula>COUNTIF($A1164, "TRUE") = 1</formula>
    </cfRule>
    <cfRule type="expression" dxfId="4" priority="5818">
      <formula>COUNTIF($A1164, "FALSE") = 1</formula>
    </cfRule>
    <cfRule type="notContainsBlanks" dxfId="1" priority="5819">
      <formula>LEN(TRIM(A1164))&gt;0</formula>
    </cfRule>
  </conditionalFormatting>
  <conditionalFormatting sqref="A1165">
    <cfRule type="notContainsBlanks" dxfId="5" priority="5825">
      <formula>LEN(TRIM(A1165))&gt;0</formula>
    </cfRule>
  </conditionalFormatting>
  <conditionalFormatting sqref="A1165:D1165">
    <cfRule type="expression" dxfId="3" priority="5822">
      <formula>COUNTIF($A1165, "TRUE") = 1</formula>
    </cfRule>
    <cfRule type="expression" dxfId="4" priority="5823">
      <formula>COUNTIF($A1165, "FALSE") = 1</formula>
    </cfRule>
    <cfRule type="notContainsBlanks" dxfId="1" priority="5824">
      <formula>LEN(TRIM(A1165))&gt;0</formula>
    </cfRule>
  </conditionalFormatting>
  <conditionalFormatting sqref="A1166">
    <cfRule type="notContainsBlanks" dxfId="5" priority="5830">
      <formula>LEN(TRIM(A1166))&gt;0</formula>
    </cfRule>
  </conditionalFormatting>
  <conditionalFormatting sqref="A1166:D1166">
    <cfRule type="expression" dxfId="3" priority="5827">
      <formula>COUNTIF($A1166, "TRUE") = 1</formula>
    </cfRule>
    <cfRule type="expression" dxfId="4" priority="5828">
      <formula>COUNTIF($A1166, "FALSE") = 1</formula>
    </cfRule>
    <cfRule type="notContainsBlanks" dxfId="1" priority="5829">
      <formula>LEN(TRIM(A1166))&gt;0</formula>
    </cfRule>
  </conditionalFormatting>
  <conditionalFormatting sqref="A1167">
    <cfRule type="notContainsBlanks" dxfId="5" priority="5835">
      <formula>LEN(TRIM(A1167))&gt;0</formula>
    </cfRule>
  </conditionalFormatting>
  <conditionalFormatting sqref="A1167:D1167">
    <cfRule type="expression" dxfId="3" priority="5832">
      <formula>COUNTIF($A1167, "TRUE") = 1</formula>
    </cfRule>
    <cfRule type="expression" dxfId="4" priority="5833">
      <formula>COUNTIF($A1167, "FALSE") = 1</formula>
    </cfRule>
    <cfRule type="notContainsBlanks" dxfId="1" priority="5834">
      <formula>LEN(TRIM(A1167))&gt;0</formula>
    </cfRule>
  </conditionalFormatting>
  <conditionalFormatting sqref="A1168">
    <cfRule type="notContainsBlanks" dxfId="5" priority="5840">
      <formula>LEN(TRIM(A1168))&gt;0</formula>
    </cfRule>
  </conditionalFormatting>
  <conditionalFormatting sqref="A1168:D1168">
    <cfRule type="expression" dxfId="3" priority="5837">
      <formula>COUNTIF($A1168, "TRUE") = 1</formula>
    </cfRule>
    <cfRule type="expression" dxfId="4" priority="5838">
      <formula>COUNTIF($A1168, "FALSE") = 1</formula>
    </cfRule>
    <cfRule type="notContainsBlanks" dxfId="1" priority="5839">
      <formula>LEN(TRIM(A1168))&gt;0</formula>
    </cfRule>
  </conditionalFormatting>
  <conditionalFormatting sqref="A1169">
    <cfRule type="notContainsBlanks" dxfId="5" priority="5845">
      <formula>LEN(TRIM(A1169))&gt;0</formula>
    </cfRule>
  </conditionalFormatting>
  <conditionalFormatting sqref="A1169:D1169">
    <cfRule type="expression" dxfId="3" priority="5842">
      <formula>COUNTIF($A1169, "TRUE") = 1</formula>
    </cfRule>
    <cfRule type="expression" dxfId="4" priority="5843">
      <formula>COUNTIF($A1169, "FALSE") = 1</formula>
    </cfRule>
    <cfRule type="notContainsBlanks" dxfId="1" priority="5844">
      <formula>LEN(TRIM(A1169))&gt;0</formula>
    </cfRule>
  </conditionalFormatting>
  <conditionalFormatting sqref="A116:D116">
    <cfRule type="expression" dxfId="3" priority="577">
      <formula>COUNTIF($A116, "TRUE") = 1</formula>
    </cfRule>
    <cfRule type="expression" dxfId="4" priority="578">
      <formula>COUNTIF($A116, "FALSE") = 1</formula>
    </cfRule>
    <cfRule type="notContainsBlanks" dxfId="1" priority="579">
      <formula>LEN(TRIM(A116))&gt;0</formula>
    </cfRule>
  </conditionalFormatting>
  <conditionalFormatting sqref="A117">
    <cfRule type="notContainsBlanks" dxfId="5" priority="585">
      <formula>LEN(TRIM(A117))&gt;0</formula>
    </cfRule>
  </conditionalFormatting>
  <conditionalFormatting sqref="A1170">
    <cfRule type="notContainsBlanks" dxfId="5" priority="5850">
      <formula>LEN(TRIM(A1170))&gt;0</formula>
    </cfRule>
  </conditionalFormatting>
  <conditionalFormatting sqref="A1170:D1170">
    <cfRule type="expression" dxfId="3" priority="5847">
      <formula>COUNTIF($A1170, "TRUE") = 1</formula>
    </cfRule>
    <cfRule type="expression" dxfId="4" priority="5848">
      <formula>COUNTIF($A1170, "FALSE") = 1</formula>
    </cfRule>
    <cfRule type="notContainsBlanks" dxfId="1" priority="5849">
      <formula>LEN(TRIM(A1170))&gt;0</formula>
    </cfRule>
  </conditionalFormatting>
  <conditionalFormatting sqref="A1171">
    <cfRule type="notContainsBlanks" dxfId="5" priority="5855">
      <formula>LEN(TRIM(A1171))&gt;0</formula>
    </cfRule>
  </conditionalFormatting>
  <conditionalFormatting sqref="A1171:D1171">
    <cfRule type="expression" dxfId="3" priority="5852">
      <formula>COUNTIF($A1171, "TRUE") = 1</formula>
    </cfRule>
    <cfRule type="expression" dxfId="4" priority="5853">
      <formula>COUNTIF($A1171, "FALSE") = 1</formula>
    </cfRule>
    <cfRule type="notContainsBlanks" dxfId="1" priority="5854">
      <formula>LEN(TRIM(A1171))&gt;0</formula>
    </cfRule>
  </conditionalFormatting>
  <conditionalFormatting sqref="A1172">
    <cfRule type="notContainsBlanks" dxfId="5" priority="5860">
      <formula>LEN(TRIM(A1172))&gt;0</formula>
    </cfRule>
  </conditionalFormatting>
  <conditionalFormatting sqref="A1172:D1172">
    <cfRule type="expression" dxfId="3" priority="5857">
      <formula>COUNTIF($A1172, "TRUE") = 1</formula>
    </cfRule>
    <cfRule type="expression" dxfId="4" priority="5858">
      <formula>COUNTIF($A1172, "FALSE") = 1</formula>
    </cfRule>
    <cfRule type="notContainsBlanks" dxfId="1" priority="5859">
      <formula>LEN(TRIM(A1172))&gt;0</formula>
    </cfRule>
  </conditionalFormatting>
  <conditionalFormatting sqref="A1173">
    <cfRule type="notContainsBlanks" dxfId="5" priority="5865">
      <formula>LEN(TRIM(A1173))&gt;0</formula>
    </cfRule>
  </conditionalFormatting>
  <conditionalFormatting sqref="A1173:D1173">
    <cfRule type="expression" dxfId="3" priority="5862">
      <formula>COUNTIF($A1173, "TRUE") = 1</formula>
    </cfRule>
    <cfRule type="expression" dxfId="4" priority="5863">
      <formula>COUNTIF($A1173, "FALSE") = 1</formula>
    </cfRule>
    <cfRule type="notContainsBlanks" dxfId="1" priority="5864">
      <formula>LEN(TRIM(A1173))&gt;0</formula>
    </cfRule>
  </conditionalFormatting>
  <conditionalFormatting sqref="A1174">
    <cfRule type="notContainsBlanks" dxfId="5" priority="5870">
      <formula>LEN(TRIM(A1174))&gt;0</formula>
    </cfRule>
  </conditionalFormatting>
  <conditionalFormatting sqref="A1174:D1174">
    <cfRule type="expression" dxfId="3" priority="5867">
      <formula>COUNTIF($A1174, "TRUE") = 1</formula>
    </cfRule>
    <cfRule type="expression" dxfId="4" priority="5868">
      <formula>COUNTIF($A1174, "FALSE") = 1</formula>
    </cfRule>
    <cfRule type="notContainsBlanks" dxfId="1" priority="5869">
      <formula>LEN(TRIM(A1174))&gt;0</formula>
    </cfRule>
  </conditionalFormatting>
  <conditionalFormatting sqref="A1175">
    <cfRule type="notContainsBlanks" dxfId="5" priority="5875">
      <formula>LEN(TRIM(A1175))&gt;0</formula>
    </cfRule>
  </conditionalFormatting>
  <conditionalFormatting sqref="A1175:D1175">
    <cfRule type="expression" dxfId="3" priority="5872">
      <formula>COUNTIF($A1175, "TRUE") = 1</formula>
    </cfRule>
    <cfRule type="expression" dxfId="4" priority="5873">
      <formula>COUNTIF($A1175, "FALSE") = 1</formula>
    </cfRule>
    <cfRule type="notContainsBlanks" dxfId="1" priority="5874">
      <formula>LEN(TRIM(A1175))&gt;0</formula>
    </cfRule>
  </conditionalFormatting>
  <conditionalFormatting sqref="A1176">
    <cfRule type="notContainsBlanks" dxfId="5" priority="5880">
      <formula>LEN(TRIM(A1176))&gt;0</formula>
    </cfRule>
  </conditionalFormatting>
  <conditionalFormatting sqref="A1176:D1176">
    <cfRule type="expression" dxfId="3" priority="5877">
      <formula>COUNTIF($A1176, "TRUE") = 1</formula>
    </cfRule>
    <cfRule type="expression" dxfId="4" priority="5878">
      <formula>COUNTIF($A1176, "FALSE") = 1</formula>
    </cfRule>
    <cfRule type="notContainsBlanks" dxfId="1" priority="5879">
      <formula>LEN(TRIM(A1176))&gt;0</formula>
    </cfRule>
  </conditionalFormatting>
  <conditionalFormatting sqref="A1177">
    <cfRule type="notContainsBlanks" dxfId="5" priority="5885">
      <formula>LEN(TRIM(A1177))&gt;0</formula>
    </cfRule>
  </conditionalFormatting>
  <conditionalFormatting sqref="A1177:D1177">
    <cfRule type="expression" dxfId="3" priority="5882">
      <formula>COUNTIF($A1177, "TRUE") = 1</formula>
    </cfRule>
    <cfRule type="expression" dxfId="4" priority="5883">
      <formula>COUNTIF($A1177, "FALSE") = 1</formula>
    </cfRule>
    <cfRule type="notContainsBlanks" dxfId="1" priority="5884">
      <formula>LEN(TRIM(A1177))&gt;0</formula>
    </cfRule>
  </conditionalFormatting>
  <conditionalFormatting sqref="A1178">
    <cfRule type="notContainsBlanks" dxfId="5" priority="5890">
      <formula>LEN(TRIM(A1178))&gt;0</formula>
    </cfRule>
  </conditionalFormatting>
  <conditionalFormatting sqref="A1178:D1178">
    <cfRule type="expression" dxfId="3" priority="5887">
      <formula>COUNTIF($A1178, "TRUE") = 1</formula>
    </cfRule>
    <cfRule type="expression" dxfId="4" priority="5888">
      <formula>COUNTIF($A1178, "FALSE") = 1</formula>
    </cfRule>
    <cfRule type="notContainsBlanks" dxfId="1" priority="5889">
      <formula>LEN(TRIM(A1178))&gt;0</formula>
    </cfRule>
  </conditionalFormatting>
  <conditionalFormatting sqref="A1179">
    <cfRule type="notContainsBlanks" dxfId="5" priority="5895">
      <formula>LEN(TRIM(A1179))&gt;0</formula>
    </cfRule>
  </conditionalFormatting>
  <conditionalFormatting sqref="A1179:D1179">
    <cfRule type="expression" dxfId="3" priority="5892">
      <formula>COUNTIF($A1179, "TRUE") = 1</formula>
    </cfRule>
    <cfRule type="expression" dxfId="4" priority="5893">
      <formula>COUNTIF($A1179, "FALSE") = 1</formula>
    </cfRule>
    <cfRule type="notContainsBlanks" dxfId="1" priority="5894">
      <formula>LEN(TRIM(A1179))&gt;0</formula>
    </cfRule>
  </conditionalFormatting>
  <conditionalFormatting sqref="A117:D117">
    <cfRule type="expression" dxfId="3" priority="582">
      <formula>COUNTIF($A117, "TRUE") = 1</formula>
    </cfRule>
    <cfRule type="expression" dxfId="4" priority="583">
      <formula>COUNTIF($A117, "FALSE") = 1</formula>
    </cfRule>
    <cfRule type="notContainsBlanks" dxfId="1" priority="584">
      <formula>LEN(TRIM(A117))&gt;0</formula>
    </cfRule>
  </conditionalFormatting>
  <conditionalFormatting sqref="A118">
    <cfRule type="notContainsBlanks" dxfId="5" priority="590">
      <formula>LEN(TRIM(A118))&gt;0</formula>
    </cfRule>
  </conditionalFormatting>
  <conditionalFormatting sqref="A1180">
    <cfRule type="notContainsBlanks" dxfId="5" priority="5900">
      <formula>LEN(TRIM(A1180))&gt;0</formula>
    </cfRule>
  </conditionalFormatting>
  <conditionalFormatting sqref="A1180:D1180">
    <cfRule type="expression" dxfId="3" priority="5897">
      <formula>COUNTIF($A1180, "TRUE") = 1</formula>
    </cfRule>
    <cfRule type="expression" dxfId="4" priority="5898">
      <formula>COUNTIF($A1180, "FALSE") = 1</formula>
    </cfRule>
    <cfRule type="notContainsBlanks" dxfId="1" priority="5899">
      <formula>LEN(TRIM(A1180))&gt;0</formula>
    </cfRule>
  </conditionalFormatting>
  <conditionalFormatting sqref="A1181">
    <cfRule type="notContainsBlanks" dxfId="5" priority="5905">
      <formula>LEN(TRIM(A1181))&gt;0</formula>
    </cfRule>
  </conditionalFormatting>
  <conditionalFormatting sqref="A1181:D1181">
    <cfRule type="expression" dxfId="3" priority="5902">
      <formula>COUNTIF($A1181, "TRUE") = 1</formula>
    </cfRule>
    <cfRule type="expression" dxfId="4" priority="5903">
      <formula>COUNTIF($A1181, "FALSE") = 1</formula>
    </cfRule>
    <cfRule type="notContainsBlanks" dxfId="1" priority="5904">
      <formula>LEN(TRIM(A1181))&gt;0</formula>
    </cfRule>
  </conditionalFormatting>
  <conditionalFormatting sqref="A1182">
    <cfRule type="notContainsBlanks" dxfId="5" priority="5910">
      <formula>LEN(TRIM(A1182))&gt;0</formula>
    </cfRule>
  </conditionalFormatting>
  <conditionalFormatting sqref="A1182:D1182">
    <cfRule type="expression" dxfId="3" priority="5907">
      <formula>COUNTIF($A1182, "TRUE") = 1</formula>
    </cfRule>
    <cfRule type="expression" dxfId="4" priority="5908">
      <formula>COUNTIF($A1182, "FALSE") = 1</formula>
    </cfRule>
    <cfRule type="notContainsBlanks" dxfId="1" priority="5909">
      <formula>LEN(TRIM(A1182))&gt;0</formula>
    </cfRule>
  </conditionalFormatting>
  <conditionalFormatting sqref="A1183">
    <cfRule type="notContainsBlanks" dxfId="5" priority="5915">
      <formula>LEN(TRIM(A1183))&gt;0</formula>
    </cfRule>
  </conditionalFormatting>
  <conditionalFormatting sqref="A1183:D1183">
    <cfRule type="expression" dxfId="3" priority="5912">
      <formula>COUNTIF($A1183, "TRUE") = 1</formula>
    </cfRule>
    <cfRule type="expression" dxfId="4" priority="5913">
      <formula>COUNTIF($A1183, "FALSE") = 1</formula>
    </cfRule>
    <cfRule type="notContainsBlanks" dxfId="1" priority="5914">
      <formula>LEN(TRIM(A1183))&gt;0</formula>
    </cfRule>
  </conditionalFormatting>
  <conditionalFormatting sqref="A1184">
    <cfRule type="notContainsBlanks" dxfId="5" priority="5920">
      <formula>LEN(TRIM(A1184))&gt;0</formula>
    </cfRule>
  </conditionalFormatting>
  <conditionalFormatting sqref="A1184:D1184">
    <cfRule type="expression" dxfId="3" priority="5917">
      <formula>COUNTIF($A1184, "TRUE") = 1</formula>
    </cfRule>
    <cfRule type="expression" dxfId="4" priority="5918">
      <formula>COUNTIF($A1184, "FALSE") = 1</formula>
    </cfRule>
    <cfRule type="notContainsBlanks" dxfId="1" priority="5919">
      <formula>LEN(TRIM(A1184))&gt;0</formula>
    </cfRule>
  </conditionalFormatting>
  <conditionalFormatting sqref="A1185">
    <cfRule type="notContainsBlanks" dxfId="5" priority="5925">
      <formula>LEN(TRIM(A1185))&gt;0</formula>
    </cfRule>
  </conditionalFormatting>
  <conditionalFormatting sqref="A1185:D1185">
    <cfRule type="expression" dxfId="3" priority="5922">
      <formula>COUNTIF($A1185, "TRUE") = 1</formula>
    </cfRule>
    <cfRule type="expression" dxfId="4" priority="5923">
      <formula>COUNTIF($A1185, "FALSE") = 1</formula>
    </cfRule>
    <cfRule type="notContainsBlanks" dxfId="1" priority="5924">
      <formula>LEN(TRIM(A1185))&gt;0</formula>
    </cfRule>
  </conditionalFormatting>
  <conditionalFormatting sqref="A1186">
    <cfRule type="notContainsBlanks" dxfId="5" priority="5930">
      <formula>LEN(TRIM(A1186))&gt;0</formula>
    </cfRule>
  </conditionalFormatting>
  <conditionalFormatting sqref="A1186:D1186">
    <cfRule type="expression" dxfId="3" priority="5927">
      <formula>COUNTIF($A1186, "TRUE") = 1</formula>
    </cfRule>
    <cfRule type="expression" dxfId="4" priority="5928">
      <formula>COUNTIF($A1186, "FALSE") = 1</formula>
    </cfRule>
    <cfRule type="notContainsBlanks" dxfId="1" priority="5929">
      <formula>LEN(TRIM(A1186))&gt;0</formula>
    </cfRule>
  </conditionalFormatting>
  <conditionalFormatting sqref="A1187">
    <cfRule type="notContainsBlanks" dxfId="5" priority="5935">
      <formula>LEN(TRIM(A1187))&gt;0</formula>
    </cfRule>
  </conditionalFormatting>
  <conditionalFormatting sqref="A1187:D1187">
    <cfRule type="expression" dxfId="3" priority="5932">
      <formula>COUNTIF($A1187, "TRUE") = 1</formula>
    </cfRule>
    <cfRule type="expression" dxfId="4" priority="5933">
      <formula>COUNTIF($A1187, "FALSE") = 1</formula>
    </cfRule>
    <cfRule type="notContainsBlanks" dxfId="1" priority="5934">
      <formula>LEN(TRIM(A1187))&gt;0</formula>
    </cfRule>
  </conditionalFormatting>
  <conditionalFormatting sqref="A1188">
    <cfRule type="notContainsBlanks" dxfId="5" priority="5940">
      <formula>LEN(TRIM(A1188))&gt;0</formula>
    </cfRule>
  </conditionalFormatting>
  <conditionalFormatting sqref="A1188:D1188">
    <cfRule type="expression" dxfId="3" priority="5937">
      <formula>COUNTIF($A1188, "TRUE") = 1</formula>
    </cfRule>
    <cfRule type="expression" dxfId="4" priority="5938">
      <formula>COUNTIF($A1188, "FALSE") = 1</formula>
    </cfRule>
    <cfRule type="notContainsBlanks" dxfId="1" priority="5939">
      <formula>LEN(TRIM(A1188))&gt;0</formula>
    </cfRule>
  </conditionalFormatting>
  <conditionalFormatting sqref="A1189">
    <cfRule type="notContainsBlanks" dxfId="5" priority="5945">
      <formula>LEN(TRIM(A1189))&gt;0</formula>
    </cfRule>
  </conditionalFormatting>
  <conditionalFormatting sqref="A1189:D1189">
    <cfRule type="expression" dxfId="3" priority="5942">
      <formula>COUNTIF($A1189, "TRUE") = 1</formula>
    </cfRule>
    <cfRule type="expression" dxfId="4" priority="5943">
      <formula>COUNTIF($A1189, "FALSE") = 1</formula>
    </cfRule>
    <cfRule type="notContainsBlanks" dxfId="1" priority="5944">
      <formula>LEN(TRIM(A1189))&gt;0</formula>
    </cfRule>
  </conditionalFormatting>
  <conditionalFormatting sqref="A118:D118">
    <cfRule type="expression" dxfId="3" priority="587">
      <formula>COUNTIF($A118, "TRUE") = 1</formula>
    </cfRule>
    <cfRule type="expression" dxfId="4" priority="588">
      <formula>COUNTIF($A118, "FALSE") = 1</formula>
    </cfRule>
    <cfRule type="notContainsBlanks" dxfId="1" priority="589">
      <formula>LEN(TRIM(A118))&gt;0</formula>
    </cfRule>
  </conditionalFormatting>
  <conditionalFormatting sqref="A119">
    <cfRule type="notContainsBlanks" dxfId="5" priority="595">
      <formula>LEN(TRIM(A119))&gt;0</formula>
    </cfRule>
  </conditionalFormatting>
  <conditionalFormatting sqref="A1190">
    <cfRule type="notContainsBlanks" dxfId="5" priority="5950">
      <formula>LEN(TRIM(A1190))&gt;0</formula>
    </cfRule>
  </conditionalFormatting>
  <conditionalFormatting sqref="A1190:D1190">
    <cfRule type="expression" dxfId="3" priority="5947">
      <formula>COUNTIF($A1190, "TRUE") = 1</formula>
    </cfRule>
    <cfRule type="expression" dxfId="4" priority="5948">
      <formula>COUNTIF($A1190, "FALSE") = 1</formula>
    </cfRule>
    <cfRule type="notContainsBlanks" dxfId="1" priority="5949">
      <formula>LEN(TRIM(A1190))&gt;0</formula>
    </cfRule>
  </conditionalFormatting>
  <conditionalFormatting sqref="A1191">
    <cfRule type="notContainsBlanks" dxfId="5" priority="5955">
      <formula>LEN(TRIM(A1191))&gt;0</formula>
    </cfRule>
  </conditionalFormatting>
  <conditionalFormatting sqref="A1191:D1191">
    <cfRule type="expression" dxfId="3" priority="5952">
      <formula>COUNTIF($A1191, "TRUE") = 1</formula>
    </cfRule>
    <cfRule type="expression" dxfId="4" priority="5953">
      <formula>COUNTIF($A1191, "FALSE") = 1</formula>
    </cfRule>
    <cfRule type="notContainsBlanks" dxfId="1" priority="5954">
      <formula>LEN(TRIM(A1191))&gt;0</formula>
    </cfRule>
  </conditionalFormatting>
  <conditionalFormatting sqref="A1192">
    <cfRule type="notContainsBlanks" dxfId="5" priority="5960">
      <formula>LEN(TRIM(A1192))&gt;0</formula>
    </cfRule>
  </conditionalFormatting>
  <conditionalFormatting sqref="A1192:D1192">
    <cfRule type="expression" dxfId="3" priority="5957">
      <formula>COUNTIF($A1192, "TRUE") = 1</formula>
    </cfRule>
    <cfRule type="expression" dxfId="4" priority="5958">
      <formula>COUNTIF($A1192, "FALSE") = 1</formula>
    </cfRule>
    <cfRule type="notContainsBlanks" dxfId="1" priority="5959">
      <formula>LEN(TRIM(A1192))&gt;0</formula>
    </cfRule>
  </conditionalFormatting>
  <conditionalFormatting sqref="A1193">
    <cfRule type="notContainsBlanks" dxfId="5" priority="5965">
      <formula>LEN(TRIM(A1193))&gt;0</formula>
    </cfRule>
  </conditionalFormatting>
  <conditionalFormatting sqref="A1193:D1193">
    <cfRule type="expression" dxfId="3" priority="5962">
      <formula>COUNTIF($A1193, "TRUE") = 1</formula>
    </cfRule>
    <cfRule type="expression" dxfId="4" priority="5963">
      <formula>COUNTIF($A1193, "FALSE") = 1</formula>
    </cfRule>
    <cfRule type="notContainsBlanks" dxfId="1" priority="5964">
      <formula>LEN(TRIM(A1193))&gt;0</formula>
    </cfRule>
  </conditionalFormatting>
  <conditionalFormatting sqref="A1194">
    <cfRule type="notContainsBlanks" dxfId="5" priority="5970">
      <formula>LEN(TRIM(A1194))&gt;0</formula>
    </cfRule>
  </conditionalFormatting>
  <conditionalFormatting sqref="A1194:D1194">
    <cfRule type="expression" dxfId="3" priority="5967">
      <formula>COUNTIF($A1194, "TRUE") = 1</formula>
    </cfRule>
    <cfRule type="expression" dxfId="4" priority="5968">
      <formula>COUNTIF($A1194, "FALSE") = 1</formula>
    </cfRule>
    <cfRule type="notContainsBlanks" dxfId="1" priority="5969">
      <formula>LEN(TRIM(A1194))&gt;0</formula>
    </cfRule>
  </conditionalFormatting>
  <conditionalFormatting sqref="A1195">
    <cfRule type="notContainsBlanks" dxfId="5" priority="5975">
      <formula>LEN(TRIM(A1195))&gt;0</formula>
    </cfRule>
  </conditionalFormatting>
  <conditionalFormatting sqref="A1195:D1195">
    <cfRule type="expression" dxfId="3" priority="5972">
      <formula>COUNTIF($A1195, "TRUE") = 1</formula>
    </cfRule>
    <cfRule type="expression" dxfId="4" priority="5973">
      <formula>COUNTIF($A1195, "FALSE") = 1</formula>
    </cfRule>
    <cfRule type="notContainsBlanks" dxfId="1" priority="5974">
      <formula>LEN(TRIM(A1195))&gt;0</formula>
    </cfRule>
  </conditionalFormatting>
  <conditionalFormatting sqref="A1196">
    <cfRule type="notContainsBlanks" dxfId="5" priority="5980">
      <formula>LEN(TRIM(A1196))&gt;0</formula>
    </cfRule>
  </conditionalFormatting>
  <conditionalFormatting sqref="A1196:D1196">
    <cfRule type="expression" dxfId="3" priority="5977">
      <formula>COUNTIF($A1196, "TRUE") = 1</formula>
    </cfRule>
    <cfRule type="expression" dxfId="4" priority="5978">
      <formula>COUNTIF($A1196, "FALSE") = 1</formula>
    </cfRule>
    <cfRule type="notContainsBlanks" dxfId="1" priority="5979">
      <formula>LEN(TRIM(A1196))&gt;0</formula>
    </cfRule>
  </conditionalFormatting>
  <conditionalFormatting sqref="A1197">
    <cfRule type="notContainsBlanks" dxfId="5" priority="5985">
      <formula>LEN(TRIM(A1197))&gt;0</formula>
    </cfRule>
  </conditionalFormatting>
  <conditionalFormatting sqref="A1197:D1197">
    <cfRule type="expression" dxfId="3" priority="5982">
      <formula>COUNTIF($A1197, "TRUE") = 1</formula>
    </cfRule>
    <cfRule type="expression" dxfId="4" priority="5983">
      <formula>COUNTIF($A1197, "FALSE") = 1</formula>
    </cfRule>
    <cfRule type="notContainsBlanks" dxfId="1" priority="5984">
      <formula>LEN(TRIM(A1197))&gt;0</formula>
    </cfRule>
  </conditionalFormatting>
  <conditionalFormatting sqref="A1198">
    <cfRule type="notContainsBlanks" dxfId="5" priority="5990">
      <formula>LEN(TRIM(A1198))&gt;0</formula>
    </cfRule>
  </conditionalFormatting>
  <conditionalFormatting sqref="A1198:D1198">
    <cfRule type="expression" dxfId="3" priority="5987">
      <formula>COUNTIF($A1198, "TRUE") = 1</formula>
    </cfRule>
    <cfRule type="expression" dxfId="4" priority="5988">
      <formula>COUNTIF($A1198, "FALSE") = 1</formula>
    </cfRule>
    <cfRule type="notContainsBlanks" dxfId="1" priority="5989">
      <formula>LEN(TRIM(A1198))&gt;0</formula>
    </cfRule>
  </conditionalFormatting>
  <conditionalFormatting sqref="A1199">
    <cfRule type="notContainsBlanks" dxfId="5" priority="5995">
      <formula>LEN(TRIM(A1199))&gt;0</formula>
    </cfRule>
  </conditionalFormatting>
  <conditionalFormatting sqref="A1199:D1199">
    <cfRule type="expression" dxfId="3" priority="5992">
      <formula>COUNTIF($A1199, "TRUE") = 1</formula>
    </cfRule>
    <cfRule type="expression" dxfId="4" priority="5993">
      <formula>COUNTIF($A1199, "FALSE") = 1</formula>
    </cfRule>
    <cfRule type="notContainsBlanks" dxfId="1" priority="5994">
      <formula>LEN(TRIM(A1199))&gt;0</formula>
    </cfRule>
  </conditionalFormatting>
  <conditionalFormatting sqref="A119:D119">
    <cfRule type="expression" dxfId="3" priority="592">
      <formula>COUNTIF($A119, "TRUE") = 1</formula>
    </cfRule>
    <cfRule type="expression" dxfId="4" priority="593">
      <formula>COUNTIF($A119, "FALSE") = 1</formula>
    </cfRule>
    <cfRule type="notContainsBlanks" dxfId="1" priority="594">
      <formula>LEN(TRIM(A119))&gt;0</formula>
    </cfRule>
  </conditionalFormatting>
  <conditionalFormatting sqref="A11:D11">
    <cfRule type="expression" dxfId="3" priority="52">
      <formula>COUNTIF($A11, "TRUE") = 1</formula>
    </cfRule>
    <cfRule type="expression" dxfId="4" priority="53">
      <formula>COUNTIF($A11, "FALSE") = 1</formula>
    </cfRule>
    <cfRule type="notContainsBlanks" dxfId="1" priority="54">
      <formula>LEN(TRIM(A11))&gt;0</formula>
    </cfRule>
  </conditionalFormatting>
  <conditionalFormatting sqref="A12">
    <cfRule type="notContainsBlanks" dxfId="5" priority="60">
      <formula>LEN(TRIM(A12))&gt;0</formula>
    </cfRule>
  </conditionalFormatting>
  <conditionalFormatting sqref="A120">
    <cfRule type="notContainsBlanks" dxfId="5" priority="600">
      <formula>LEN(TRIM(A120))&gt;0</formula>
    </cfRule>
  </conditionalFormatting>
  <conditionalFormatting sqref="A1200">
    <cfRule type="notContainsBlanks" dxfId="5" priority="6000">
      <formula>LEN(TRIM(A1200))&gt;0</formula>
    </cfRule>
  </conditionalFormatting>
  <conditionalFormatting sqref="A1200:D1200">
    <cfRule type="expression" dxfId="3" priority="5997">
      <formula>COUNTIF($A1200, "TRUE") = 1</formula>
    </cfRule>
    <cfRule type="expression" dxfId="4" priority="5998">
      <formula>COUNTIF($A1200, "FALSE") = 1</formula>
    </cfRule>
    <cfRule type="notContainsBlanks" dxfId="1" priority="5999">
      <formula>LEN(TRIM(A1200))&gt;0</formula>
    </cfRule>
  </conditionalFormatting>
  <conditionalFormatting sqref="A1201">
    <cfRule type="notContainsBlanks" dxfId="5" priority="6005">
      <formula>LEN(TRIM(A1201))&gt;0</formula>
    </cfRule>
  </conditionalFormatting>
  <conditionalFormatting sqref="A1201:D1201">
    <cfRule type="expression" dxfId="3" priority="6002">
      <formula>COUNTIF($A1201, "TRUE") = 1</formula>
    </cfRule>
    <cfRule type="expression" dxfId="4" priority="6003">
      <formula>COUNTIF($A1201, "FALSE") = 1</formula>
    </cfRule>
    <cfRule type="notContainsBlanks" dxfId="1" priority="6004">
      <formula>LEN(TRIM(A1201))&gt;0</formula>
    </cfRule>
  </conditionalFormatting>
  <conditionalFormatting sqref="A1202">
    <cfRule type="notContainsBlanks" dxfId="5" priority="6010">
      <formula>LEN(TRIM(A1202))&gt;0</formula>
    </cfRule>
  </conditionalFormatting>
  <conditionalFormatting sqref="A1202:D1202">
    <cfRule type="expression" dxfId="3" priority="6007">
      <formula>COUNTIF($A1202, "TRUE") = 1</formula>
    </cfRule>
    <cfRule type="expression" dxfId="4" priority="6008">
      <formula>COUNTIF($A1202, "FALSE") = 1</formula>
    </cfRule>
    <cfRule type="notContainsBlanks" dxfId="1" priority="6009">
      <formula>LEN(TRIM(A1202))&gt;0</formula>
    </cfRule>
  </conditionalFormatting>
  <conditionalFormatting sqref="A1203">
    <cfRule type="notContainsBlanks" dxfId="5" priority="6015">
      <formula>LEN(TRIM(A1203))&gt;0</formula>
    </cfRule>
  </conditionalFormatting>
  <conditionalFormatting sqref="A1203:D1203">
    <cfRule type="expression" dxfId="3" priority="6012">
      <formula>COUNTIF($A1203, "TRUE") = 1</formula>
    </cfRule>
    <cfRule type="expression" dxfId="4" priority="6013">
      <formula>COUNTIF($A1203, "FALSE") = 1</formula>
    </cfRule>
    <cfRule type="notContainsBlanks" dxfId="1" priority="6014">
      <formula>LEN(TRIM(A1203))&gt;0</formula>
    </cfRule>
  </conditionalFormatting>
  <conditionalFormatting sqref="A1204">
    <cfRule type="notContainsBlanks" dxfId="5" priority="6020">
      <formula>LEN(TRIM(A1204))&gt;0</formula>
    </cfRule>
  </conditionalFormatting>
  <conditionalFormatting sqref="A1204:D1204">
    <cfRule type="expression" dxfId="3" priority="6017">
      <formula>COUNTIF($A1204, "TRUE") = 1</formula>
    </cfRule>
    <cfRule type="expression" dxfId="4" priority="6018">
      <formula>COUNTIF($A1204, "FALSE") = 1</formula>
    </cfRule>
    <cfRule type="notContainsBlanks" dxfId="1" priority="6019">
      <formula>LEN(TRIM(A1204))&gt;0</formula>
    </cfRule>
  </conditionalFormatting>
  <conditionalFormatting sqref="A1205">
    <cfRule type="notContainsBlanks" dxfId="5" priority="6025">
      <formula>LEN(TRIM(A1205))&gt;0</formula>
    </cfRule>
  </conditionalFormatting>
  <conditionalFormatting sqref="A1205:D1205">
    <cfRule type="expression" dxfId="3" priority="6022">
      <formula>COUNTIF($A1205, "TRUE") = 1</formula>
    </cfRule>
    <cfRule type="expression" dxfId="4" priority="6023">
      <formula>COUNTIF($A1205, "FALSE") = 1</formula>
    </cfRule>
    <cfRule type="notContainsBlanks" dxfId="1" priority="6024">
      <formula>LEN(TRIM(A1205))&gt;0</formula>
    </cfRule>
  </conditionalFormatting>
  <conditionalFormatting sqref="A1206">
    <cfRule type="notContainsBlanks" dxfId="5" priority="6030">
      <formula>LEN(TRIM(A1206))&gt;0</formula>
    </cfRule>
  </conditionalFormatting>
  <conditionalFormatting sqref="A1206:D1206">
    <cfRule type="expression" dxfId="3" priority="6027">
      <formula>COUNTIF($A1206, "TRUE") = 1</formula>
    </cfRule>
    <cfRule type="expression" dxfId="4" priority="6028">
      <formula>COUNTIF($A1206, "FALSE") = 1</formula>
    </cfRule>
    <cfRule type="notContainsBlanks" dxfId="1" priority="6029">
      <formula>LEN(TRIM(A1206))&gt;0</formula>
    </cfRule>
  </conditionalFormatting>
  <conditionalFormatting sqref="A1207">
    <cfRule type="notContainsBlanks" dxfId="5" priority="6035">
      <formula>LEN(TRIM(A1207))&gt;0</formula>
    </cfRule>
  </conditionalFormatting>
  <conditionalFormatting sqref="A1207:D1207">
    <cfRule type="expression" dxfId="3" priority="6032">
      <formula>COUNTIF($A1207, "TRUE") = 1</formula>
    </cfRule>
    <cfRule type="expression" dxfId="4" priority="6033">
      <formula>COUNTIF($A1207, "FALSE") = 1</formula>
    </cfRule>
    <cfRule type="notContainsBlanks" dxfId="1" priority="6034">
      <formula>LEN(TRIM(A1207))&gt;0</formula>
    </cfRule>
  </conditionalFormatting>
  <conditionalFormatting sqref="A1208">
    <cfRule type="notContainsBlanks" dxfId="5" priority="6040">
      <formula>LEN(TRIM(A1208))&gt;0</formula>
    </cfRule>
  </conditionalFormatting>
  <conditionalFormatting sqref="A1208:D1208">
    <cfRule type="expression" dxfId="3" priority="6037">
      <formula>COUNTIF($A1208, "TRUE") = 1</formula>
    </cfRule>
    <cfRule type="expression" dxfId="4" priority="6038">
      <formula>COUNTIF($A1208, "FALSE") = 1</formula>
    </cfRule>
    <cfRule type="notContainsBlanks" dxfId="1" priority="6039">
      <formula>LEN(TRIM(A1208))&gt;0</formula>
    </cfRule>
  </conditionalFormatting>
  <conditionalFormatting sqref="A1209">
    <cfRule type="notContainsBlanks" dxfId="5" priority="6045">
      <formula>LEN(TRIM(A1209))&gt;0</formula>
    </cfRule>
  </conditionalFormatting>
  <conditionalFormatting sqref="A1209:D1209">
    <cfRule type="expression" dxfId="3" priority="6042">
      <formula>COUNTIF($A1209, "TRUE") = 1</formula>
    </cfRule>
    <cfRule type="expression" dxfId="4" priority="6043">
      <formula>COUNTIF($A1209, "FALSE") = 1</formula>
    </cfRule>
    <cfRule type="notContainsBlanks" dxfId="1" priority="6044">
      <formula>LEN(TRIM(A1209))&gt;0</formula>
    </cfRule>
  </conditionalFormatting>
  <conditionalFormatting sqref="A120:D120">
    <cfRule type="expression" dxfId="3" priority="597">
      <formula>COUNTIF($A120, "TRUE") = 1</formula>
    </cfRule>
    <cfRule type="expression" dxfId="4" priority="598">
      <formula>COUNTIF($A120, "FALSE") = 1</formula>
    </cfRule>
    <cfRule type="notContainsBlanks" dxfId="1" priority="599">
      <formula>LEN(TRIM(A120))&gt;0</formula>
    </cfRule>
  </conditionalFormatting>
  <conditionalFormatting sqref="A121">
    <cfRule type="notContainsBlanks" dxfId="5" priority="605">
      <formula>LEN(TRIM(A121))&gt;0</formula>
    </cfRule>
  </conditionalFormatting>
  <conditionalFormatting sqref="A1210">
    <cfRule type="notContainsBlanks" dxfId="5" priority="6050">
      <formula>LEN(TRIM(A1210))&gt;0</formula>
    </cfRule>
  </conditionalFormatting>
  <conditionalFormatting sqref="A1210:D1210">
    <cfRule type="expression" dxfId="3" priority="6047">
      <formula>COUNTIF($A1210, "TRUE") = 1</formula>
    </cfRule>
    <cfRule type="expression" dxfId="4" priority="6048">
      <formula>COUNTIF($A1210, "FALSE") = 1</formula>
    </cfRule>
    <cfRule type="notContainsBlanks" dxfId="1" priority="6049">
      <formula>LEN(TRIM(A1210))&gt;0</formula>
    </cfRule>
  </conditionalFormatting>
  <conditionalFormatting sqref="A1211">
    <cfRule type="notContainsBlanks" dxfId="5" priority="6055">
      <formula>LEN(TRIM(A1211))&gt;0</formula>
    </cfRule>
  </conditionalFormatting>
  <conditionalFormatting sqref="A1211:D1211">
    <cfRule type="expression" dxfId="3" priority="6052">
      <formula>COUNTIF($A1211, "TRUE") = 1</formula>
    </cfRule>
    <cfRule type="expression" dxfId="4" priority="6053">
      <formula>COUNTIF($A1211, "FALSE") = 1</formula>
    </cfRule>
    <cfRule type="notContainsBlanks" dxfId="1" priority="6054">
      <formula>LEN(TRIM(A1211))&gt;0</formula>
    </cfRule>
  </conditionalFormatting>
  <conditionalFormatting sqref="A1212">
    <cfRule type="notContainsBlanks" dxfId="5" priority="6060">
      <formula>LEN(TRIM(A1212))&gt;0</formula>
    </cfRule>
  </conditionalFormatting>
  <conditionalFormatting sqref="A1212:D1212">
    <cfRule type="expression" dxfId="3" priority="6057">
      <formula>COUNTIF($A1212, "TRUE") = 1</formula>
    </cfRule>
    <cfRule type="expression" dxfId="4" priority="6058">
      <formula>COUNTIF($A1212, "FALSE") = 1</formula>
    </cfRule>
    <cfRule type="notContainsBlanks" dxfId="1" priority="6059">
      <formula>LEN(TRIM(A1212))&gt;0</formula>
    </cfRule>
  </conditionalFormatting>
  <conditionalFormatting sqref="A1213">
    <cfRule type="notContainsBlanks" dxfId="5" priority="6065">
      <formula>LEN(TRIM(A1213))&gt;0</formula>
    </cfRule>
  </conditionalFormatting>
  <conditionalFormatting sqref="A1213:D1213">
    <cfRule type="expression" dxfId="3" priority="6062">
      <formula>COUNTIF($A1213, "TRUE") = 1</formula>
    </cfRule>
    <cfRule type="expression" dxfId="4" priority="6063">
      <formula>COUNTIF($A1213, "FALSE") = 1</formula>
    </cfRule>
    <cfRule type="notContainsBlanks" dxfId="1" priority="6064">
      <formula>LEN(TRIM(A1213))&gt;0</formula>
    </cfRule>
  </conditionalFormatting>
  <conditionalFormatting sqref="A1214">
    <cfRule type="notContainsBlanks" dxfId="5" priority="6070">
      <formula>LEN(TRIM(A1214))&gt;0</formula>
    </cfRule>
  </conditionalFormatting>
  <conditionalFormatting sqref="A1214:D1214">
    <cfRule type="expression" dxfId="3" priority="6067">
      <formula>COUNTIF($A1214, "TRUE") = 1</formula>
    </cfRule>
    <cfRule type="expression" dxfId="4" priority="6068">
      <formula>COUNTIF($A1214, "FALSE") = 1</formula>
    </cfRule>
    <cfRule type="notContainsBlanks" dxfId="1" priority="6069">
      <formula>LEN(TRIM(A1214))&gt;0</formula>
    </cfRule>
  </conditionalFormatting>
  <conditionalFormatting sqref="A1215">
    <cfRule type="notContainsBlanks" dxfId="5" priority="6075">
      <formula>LEN(TRIM(A1215))&gt;0</formula>
    </cfRule>
  </conditionalFormatting>
  <conditionalFormatting sqref="A1215:D1215">
    <cfRule type="expression" dxfId="3" priority="6072">
      <formula>COUNTIF($A1215, "TRUE") = 1</formula>
    </cfRule>
    <cfRule type="expression" dxfId="4" priority="6073">
      <formula>COUNTIF($A1215, "FALSE") = 1</formula>
    </cfRule>
    <cfRule type="notContainsBlanks" dxfId="1" priority="6074">
      <formula>LEN(TRIM(A1215))&gt;0</formula>
    </cfRule>
  </conditionalFormatting>
  <conditionalFormatting sqref="A1216">
    <cfRule type="notContainsBlanks" dxfId="5" priority="6080">
      <formula>LEN(TRIM(A1216))&gt;0</formula>
    </cfRule>
  </conditionalFormatting>
  <conditionalFormatting sqref="A1216:D1216">
    <cfRule type="expression" dxfId="3" priority="6077">
      <formula>COUNTIF($A1216, "TRUE") = 1</formula>
    </cfRule>
    <cfRule type="expression" dxfId="4" priority="6078">
      <formula>COUNTIF($A1216, "FALSE") = 1</formula>
    </cfRule>
    <cfRule type="notContainsBlanks" dxfId="1" priority="6079">
      <formula>LEN(TRIM(A1216))&gt;0</formula>
    </cfRule>
  </conditionalFormatting>
  <conditionalFormatting sqref="A1217">
    <cfRule type="notContainsBlanks" dxfId="5" priority="6085">
      <formula>LEN(TRIM(A1217))&gt;0</formula>
    </cfRule>
  </conditionalFormatting>
  <conditionalFormatting sqref="A1217:D1217">
    <cfRule type="expression" dxfId="3" priority="6082">
      <formula>COUNTIF($A1217, "TRUE") = 1</formula>
    </cfRule>
    <cfRule type="expression" dxfId="4" priority="6083">
      <formula>COUNTIF($A1217, "FALSE") = 1</formula>
    </cfRule>
    <cfRule type="notContainsBlanks" dxfId="1" priority="6084">
      <formula>LEN(TRIM(A1217))&gt;0</formula>
    </cfRule>
  </conditionalFormatting>
  <conditionalFormatting sqref="A1218">
    <cfRule type="notContainsBlanks" dxfId="5" priority="6090">
      <formula>LEN(TRIM(A1218))&gt;0</formula>
    </cfRule>
  </conditionalFormatting>
  <conditionalFormatting sqref="A1218:D1218">
    <cfRule type="expression" dxfId="3" priority="6087">
      <formula>COUNTIF($A1218, "TRUE") = 1</formula>
    </cfRule>
    <cfRule type="expression" dxfId="4" priority="6088">
      <formula>COUNTIF($A1218, "FALSE") = 1</formula>
    </cfRule>
    <cfRule type="notContainsBlanks" dxfId="1" priority="6089">
      <formula>LEN(TRIM(A1218))&gt;0</formula>
    </cfRule>
  </conditionalFormatting>
  <conditionalFormatting sqref="A1219">
    <cfRule type="notContainsBlanks" dxfId="5" priority="6095">
      <formula>LEN(TRIM(A1219))&gt;0</formula>
    </cfRule>
  </conditionalFormatting>
  <conditionalFormatting sqref="A1219:D1219">
    <cfRule type="expression" dxfId="3" priority="6092">
      <formula>COUNTIF($A1219, "TRUE") = 1</formula>
    </cfRule>
    <cfRule type="expression" dxfId="4" priority="6093">
      <formula>COUNTIF($A1219, "FALSE") = 1</formula>
    </cfRule>
    <cfRule type="notContainsBlanks" dxfId="1" priority="6094">
      <formula>LEN(TRIM(A1219))&gt;0</formula>
    </cfRule>
  </conditionalFormatting>
  <conditionalFormatting sqref="A121:D121">
    <cfRule type="expression" dxfId="3" priority="602">
      <formula>COUNTIF($A121, "TRUE") = 1</formula>
    </cfRule>
    <cfRule type="expression" dxfId="4" priority="603">
      <formula>COUNTIF($A121, "FALSE") = 1</formula>
    </cfRule>
    <cfRule type="notContainsBlanks" dxfId="1" priority="604">
      <formula>LEN(TRIM(A121))&gt;0</formula>
    </cfRule>
  </conditionalFormatting>
  <conditionalFormatting sqref="A122">
    <cfRule type="notContainsBlanks" dxfId="5" priority="610">
      <formula>LEN(TRIM(A122))&gt;0</formula>
    </cfRule>
  </conditionalFormatting>
  <conditionalFormatting sqref="A1220">
    <cfRule type="notContainsBlanks" dxfId="5" priority="6100">
      <formula>LEN(TRIM(A1220))&gt;0</formula>
    </cfRule>
  </conditionalFormatting>
  <conditionalFormatting sqref="A1220:D1220">
    <cfRule type="expression" dxfId="3" priority="6097">
      <formula>COUNTIF($A1220, "TRUE") = 1</formula>
    </cfRule>
    <cfRule type="expression" dxfId="4" priority="6098">
      <formula>COUNTIF($A1220, "FALSE") = 1</formula>
    </cfRule>
    <cfRule type="notContainsBlanks" dxfId="1" priority="6099">
      <formula>LEN(TRIM(A1220))&gt;0</formula>
    </cfRule>
  </conditionalFormatting>
  <conditionalFormatting sqref="A1221">
    <cfRule type="notContainsBlanks" dxfId="5" priority="6105">
      <formula>LEN(TRIM(A1221))&gt;0</formula>
    </cfRule>
  </conditionalFormatting>
  <conditionalFormatting sqref="A1221:D1221">
    <cfRule type="expression" dxfId="3" priority="6102">
      <formula>COUNTIF($A1221, "TRUE") = 1</formula>
    </cfRule>
    <cfRule type="expression" dxfId="4" priority="6103">
      <formula>COUNTIF($A1221, "FALSE") = 1</formula>
    </cfRule>
    <cfRule type="notContainsBlanks" dxfId="1" priority="6104">
      <formula>LEN(TRIM(A1221))&gt;0</formula>
    </cfRule>
  </conditionalFormatting>
  <conditionalFormatting sqref="A1222">
    <cfRule type="notContainsBlanks" dxfId="5" priority="6110">
      <formula>LEN(TRIM(A1222))&gt;0</formula>
    </cfRule>
  </conditionalFormatting>
  <conditionalFormatting sqref="A1222:D1222">
    <cfRule type="expression" dxfId="3" priority="6107">
      <formula>COUNTIF($A1222, "TRUE") = 1</formula>
    </cfRule>
    <cfRule type="expression" dxfId="4" priority="6108">
      <formula>COUNTIF($A1222, "FALSE") = 1</formula>
    </cfRule>
    <cfRule type="notContainsBlanks" dxfId="1" priority="6109">
      <formula>LEN(TRIM(A1222))&gt;0</formula>
    </cfRule>
  </conditionalFormatting>
  <conditionalFormatting sqref="A1223">
    <cfRule type="notContainsBlanks" dxfId="5" priority="6115">
      <formula>LEN(TRIM(A1223))&gt;0</formula>
    </cfRule>
  </conditionalFormatting>
  <conditionalFormatting sqref="A1223:D1223">
    <cfRule type="expression" dxfId="3" priority="6112">
      <formula>COUNTIF($A1223, "TRUE") = 1</formula>
    </cfRule>
    <cfRule type="expression" dxfId="4" priority="6113">
      <formula>COUNTIF($A1223, "FALSE") = 1</formula>
    </cfRule>
    <cfRule type="notContainsBlanks" dxfId="1" priority="6114">
      <formula>LEN(TRIM(A1223))&gt;0</formula>
    </cfRule>
  </conditionalFormatting>
  <conditionalFormatting sqref="A1224">
    <cfRule type="notContainsBlanks" dxfId="5" priority="6120">
      <formula>LEN(TRIM(A1224))&gt;0</formula>
    </cfRule>
  </conditionalFormatting>
  <conditionalFormatting sqref="A1224:D1224">
    <cfRule type="expression" dxfId="3" priority="6117">
      <formula>COUNTIF($A1224, "TRUE") = 1</formula>
    </cfRule>
    <cfRule type="expression" dxfId="4" priority="6118">
      <formula>COUNTIF($A1224, "FALSE") = 1</formula>
    </cfRule>
    <cfRule type="notContainsBlanks" dxfId="1" priority="6119">
      <formula>LEN(TRIM(A1224))&gt;0</formula>
    </cfRule>
  </conditionalFormatting>
  <conditionalFormatting sqref="A1225">
    <cfRule type="notContainsBlanks" dxfId="5" priority="6125">
      <formula>LEN(TRIM(A1225))&gt;0</formula>
    </cfRule>
  </conditionalFormatting>
  <conditionalFormatting sqref="A1225:D1225">
    <cfRule type="expression" dxfId="3" priority="6122">
      <formula>COUNTIF($A1225, "TRUE") = 1</formula>
    </cfRule>
    <cfRule type="expression" dxfId="4" priority="6123">
      <formula>COUNTIF($A1225, "FALSE") = 1</formula>
    </cfRule>
    <cfRule type="notContainsBlanks" dxfId="1" priority="6124">
      <formula>LEN(TRIM(A1225))&gt;0</formula>
    </cfRule>
  </conditionalFormatting>
  <conditionalFormatting sqref="A1226">
    <cfRule type="notContainsBlanks" dxfId="5" priority="6130">
      <formula>LEN(TRIM(A1226))&gt;0</formula>
    </cfRule>
  </conditionalFormatting>
  <conditionalFormatting sqref="A1226:D1226">
    <cfRule type="expression" dxfId="3" priority="6127">
      <formula>COUNTIF($A1226, "TRUE") = 1</formula>
    </cfRule>
    <cfRule type="expression" dxfId="4" priority="6128">
      <formula>COUNTIF($A1226, "FALSE") = 1</formula>
    </cfRule>
    <cfRule type="notContainsBlanks" dxfId="1" priority="6129">
      <formula>LEN(TRIM(A1226))&gt;0</formula>
    </cfRule>
  </conditionalFormatting>
  <conditionalFormatting sqref="A1227">
    <cfRule type="notContainsBlanks" dxfId="5" priority="6135">
      <formula>LEN(TRIM(A1227))&gt;0</formula>
    </cfRule>
  </conditionalFormatting>
  <conditionalFormatting sqref="A1227:D1227">
    <cfRule type="expression" dxfId="3" priority="6132">
      <formula>COUNTIF($A1227, "TRUE") = 1</formula>
    </cfRule>
    <cfRule type="expression" dxfId="4" priority="6133">
      <formula>COUNTIF($A1227, "FALSE") = 1</formula>
    </cfRule>
    <cfRule type="notContainsBlanks" dxfId="1" priority="6134">
      <formula>LEN(TRIM(A1227))&gt;0</formula>
    </cfRule>
  </conditionalFormatting>
  <conditionalFormatting sqref="A1228">
    <cfRule type="notContainsBlanks" dxfId="5" priority="6140">
      <formula>LEN(TRIM(A1228))&gt;0</formula>
    </cfRule>
  </conditionalFormatting>
  <conditionalFormatting sqref="A1228:D1228">
    <cfRule type="expression" dxfId="3" priority="6137">
      <formula>COUNTIF($A1228, "TRUE") = 1</formula>
    </cfRule>
    <cfRule type="expression" dxfId="4" priority="6138">
      <formula>COUNTIF($A1228, "FALSE") = 1</formula>
    </cfRule>
    <cfRule type="notContainsBlanks" dxfId="1" priority="6139">
      <formula>LEN(TRIM(A1228))&gt;0</formula>
    </cfRule>
  </conditionalFormatting>
  <conditionalFormatting sqref="A1229">
    <cfRule type="notContainsBlanks" dxfId="5" priority="6145">
      <formula>LEN(TRIM(A1229))&gt;0</formula>
    </cfRule>
  </conditionalFormatting>
  <conditionalFormatting sqref="A1229:D1229">
    <cfRule type="expression" dxfId="3" priority="6142">
      <formula>COUNTIF($A1229, "TRUE") = 1</formula>
    </cfRule>
    <cfRule type="expression" dxfId="4" priority="6143">
      <formula>COUNTIF($A1229, "FALSE") = 1</formula>
    </cfRule>
    <cfRule type="notContainsBlanks" dxfId="1" priority="6144">
      <formula>LEN(TRIM(A1229))&gt;0</formula>
    </cfRule>
  </conditionalFormatting>
  <conditionalFormatting sqref="A122:D122">
    <cfRule type="expression" dxfId="3" priority="607">
      <formula>COUNTIF($A122, "TRUE") = 1</formula>
    </cfRule>
    <cfRule type="expression" dxfId="4" priority="608">
      <formula>COUNTIF($A122, "FALSE") = 1</formula>
    </cfRule>
    <cfRule type="notContainsBlanks" dxfId="1" priority="609">
      <formula>LEN(TRIM(A122))&gt;0</formula>
    </cfRule>
  </conditionalFormatting>
  <conditionalFormatting sqref="A123">
    <cfRule type="notContainsBlanks" dxfId="5" priority="615">
      <formula>LEN(TRIM(A123))&gt;0</formula>
    </cfRule>
  </conditionalFormatting>
  <conditionalFormatting sqref="A1230">
    <cfRule type="notContainsBlanks" dxfId="5" priority="6150">
      <formula>LEN(TRIM(A1230))&gt;0</formula>
    </cfRule>
  </conditionalFormatting>
  <conditionalFormatting sqref="A1230:D1230">
    <cfRule type="expression" dxfId="3" priority="6147">
      <formula>COUNTIF($A1230, "TRUE") = 1</formula>
    </cfRule>
    <cfRule type="expression" dxfId="4" priority="6148">
      <formula>COUNTIF($A1230, "FALSE") = 1</formula>
    </cfRule>
    <cfRule type="notContainsBlanks" dxfId="1" priority="6149">
      <formula>LEN(TRIM(A1230))&gt;0</formula>
    </cfRule>
  </conditionalFormatting>
  <conditionalFormatting sqref="A1231">
    <cfRule type="notContainsBlanks" dxfId="5" priority="6155">
      <formula>LEN(TRIM(A1231))&gt;0</formula>
    </cfRule>
  </conditionalFormatting>
  <conditionalFormatting sqref="A1231:D1231">
    <cfRule type="expression" dxfId="3" priority="6152">
      <formula>COUNTIF($A1231, "TRUE") = 1</formula>
    </cfRule>
    <cfRule type="expression" dxfId="4" priority="6153">
      <formula>COUNTIF($A1231, "FALSE") = 1</formula>
    </cfRule>
    <cfRule type="notContainsBlanks" dxfId="1" priority="6154">
      <formula>LEN(TRIM(A1231))&gt;0</formula>
    </cfRule>
  </conditionalFormatting>
  <conditionalFormatting sqref="A1232">
    <cfRule type="notContainsBlanks" dxfId="5" priority="6160">
      <formula>LEN(TRIM(A1232))&gt;0</formula>
    </cfRule>
  </conditionalFormatting>
  <conditionalFormatting sqref="A1232:D1232">
    <cfRule type="expression" dxfId="3" priority="6157">
      <formula>COUNTIF($A1232, "TRUE") = 1</formula>
    </cfRule>
    <cfRule type="expression" dxfId="4" priority="6158">
      <formula>COUNTIF($A1232, "FALSE") = 1</formula>
    </cfRule>
    <cfRule type="notContainsBlanks" dxfId="1" priority="6159">
      <formula>LEN(TRIM(A1232))&gt;0</formula>
    </cfRule>
  </conditionalFormatting>
  <conditionalFormatting sqref="A1233">
    <cfRule type="notContainsBlanks" dxfId="5" priority="6165">
      <formula>LEN(TRIM(A1233))&gt;0</formula>
    </cfRule>
  </conditionalFormatting>
  <conditionalFormatting sqref="A1233:D1233">
    <cfRule type="expression" dxfId="3" priority="6162">
      <formula>COUNTIF($A1233, "TRUE") = 1</formula>
    </cfRule>
    <cfRule type="expression" dxfId="4" priority="6163">
      <formula>COUNTIF($A1233, "FALSE") = 1</formula>
    </cfRule>
    <cfRule type="notContainsBlanks" dxfId="1" priority="6164">
      <formula>LEN(TRIM(A1233))&gt;0</formula>
    </cfRule>
  </conditionalFormatting>
  <conditionalFormatting sqref="A1234">
    <cfRule type="notContainsBlanks" dxfId="5" priority="6170">
      <formula>LEN(TRIM(A1234))&gt;0</formula>
    </cfRule>
  </conditionalFormatting>
  <conditionalFormatting sqref="A1234:D1234">
    <cfRule type="expression" dxfId="3" priority="6167">
      <formula>COUNTIF($A1234, "TRUE") = 1</formula>
    </cfRule>
    <cfRule type="expression" dxfId="4" priority="6168">
      <formula>COUNTIF($A1234, "FALSE") = 1</formula>
    </cfRule>
    <cfRule type="notContainsBlanks" dxfId="1" priority="6169">
      <formula>LEN(TRIM(A1234))&gt;0</formula>
    </cfRule>
  </conditionalFormatting>
  <conditionalFormatting sqref="A1235">
    <cfRule type="notContainsBlanks" dxfId="5" priority="6175">
      <formula>LEN(TRIM(A1235))&gt;0</formula>
    </cfRule>
  </conditionalFormatting>
  <conditionalFormatting sqref="A1235:D1235">
    <cfRule type="expression" dxfId="3" priority="6172">
      <formula>COUNTIF($A1235, "TRUE") = 1</formula>
    </cfRule>
    <cfRule type="expression" dxfId="4" priority="6173">
      <formula>COUNTIF($A1235, "FALSE") = 1</formula>
    </cfRule>
    <cfRule type="notContainsBlanks" dxfId="1" priority="6174">
      <formula>LEN(TRIM(A1235))&gt;0</formula>
    </cfRule>
  </conditionalFormatting>
  <conditionalFormatting sqref="A1236">
    <cfRule type="notContainsBlanks" dxfId="5" priority="6180">
      <formula>LEN(TRIM(A1236))&gt;0</formula>
    </cfRule>
  </conditionalFormatting>
  <conditionalFormatting sqref="A1236:D1236">
    <cfRule type="expression" dxfId="3" priority="6177">
      <formula>COUNTIF($A1236, "TRUE") = 1</formula>
    </cfRule>
    <cfRule type="expression" dxfId="4" priority="6178">
      <formula>COUNTIF($A1236, "FALSE") = 1</formula>
    </cfRule>
    <cfRule type="notContainsBlanks" dxfId="1" priority="6179">
      <formula>LEN(TRIM(A1236))&gt;0</formula>
    </cfRule>
  </conditionalFormatting>
  <conditionalFormatting sqref="A1237">
    <cfRule type="notContainsBlanks" dxfId="5" priority="6185">
      <formula>LEN(TRIM(A1237))&gt;0</formula>
    </cfRule>
  </conditionalFormatting>
  <conditionalFormatting sqref="A1237:D1237">
    <cfRule type="expression" dxfId="3" priority="6182">
      <formula>COUNTIF($A1237, "TRUE") = 1</formula>
    </cfRule>
    <cfRule type="expression" dxfId="4" priority="6183">
      <formula>COUNTIF($A1237, "FALSE") = 1</formula>
    </cfRule>
    <cfRule type="notContainsBlanks" dxfId="1" priority="6184">
      <formula>LEN(TRIM(A1237))&gt;0</formula>
    </cfRule>
  </conditionalFormatting>
  <conditionalFormatting sqref="A1238">
    <cfRule type="notContainsBlanks" dxfId="5" priority="6190">
      <formula>LEN(TRIM(A1238))&gt;0</formula>
    </cfRule>
  </conditionalFormatting>
  <conditionalFormatting sqref="A1238:D1238">
    <cfRule type="expression" dxfId="3" priority="6187">
      <formula>COUNTIF($A1238, "TRUE") = 1</formula>
    </cfRule>
    <cfRule type="expression" dxfId="4" priority="6188">
      <formula>COUNTIF($A1238, "FALSE") = 1</formula>
    </cfRule>
    <cfRule type="notContainsBlanks" dxfId="1" priority="6189">
      <formula>LEN(TRIM(A1238))&gt;0</formula>
    </cfRule>
  </conditionalFormatting>
  <conditionalFormatting sqref="A1239">
    <cfRule type="notContainsBlanks" dxfId="5" priority="6195">
      <formula>LEN(TRIM(A1239))&gt;0</formula>
    </cfRule>
  </conditionalFormatting>
  <conditionalFormatting sqref="A1239:D1239">
    <cfRule type="expression" dxfId="3" priority="6192">
      <formula>COUNTIF($A1239, "TRUE") = 1</formula>
    </cfRule>
    <cfRule type="expression" dxfId="4" priority="6193">
      <formula>COUNTIF($A1239, "FALSE") = 1</formula>
    </cfRule>
    <cfRule type="notContainsBlanks" dxfId="1" priority="6194">
      <formula>LEN(TRIM(A1239))&gt;0</formula>
    </cfRule>
  </conditionalFormatting>
  <conditionalFormatting sqref="A123:D123">
    <cfRule type="expression" dxfId="3" priority="612">
      <formula>COUNTIF($A123, "TRUE") = 1</formula>
    </cfRule>
    <cfRule type="expression" dxfId="4" priority="613">
      <formula>COUNTIF($A123, "FALSE") = 1</formula>
    </cfRule>
    <cfRule type="notContainsBlanks" dxfId="1" priority="614">
      <formula>LEN(TRIM(A123))&gt;0</formula>
    </cfRule>
  </conditionalFormatting>
  <conditionalFormatting sqref="A124">
    <cfRule type="notContainsBlanks" dxfId="5" priority="620">
      <formula>LEN(TRIM(A124))&gt;0</formula>
    </cfRule>
  </conditionalFormatting>
  <conditionalFormatting sqref="A1240">
    <cfRule type="notContainsBlanks" dxfId="5" priority="6200">
      <formula>LEN(TRIM(A1240))&gt;0</formula>
    </cfRule>
  </conditionalFormatting>
  <conditionalFormatting sqref="A1240:D1240">
    <cfRule type="expression" dxfId="3" priority="6197">
      <formula>COUNTIF($A1240, "TRUE") = 1</formula>
    </cfRule>
    <cfRule type="expression" dxfId="4" priority="6198">
      <formula>COUNTIF($A1240, "FALSE") = 1</formula>
    </cfRule>
    <cfRule type="notContainsBlanks" dxfId="1" priority="6199">
      <formula>LEN(TRIM(A1240))&gt;0</formula>
    </cfRule>
  </conditionalFormatting>
  <conditionalFormatting sqref="A1241">
    <cfRule type="notContainsBlanks" dxfId="5" priority="6205">
      <formula>LEN(TRIM(A1241))&gt;0</formula>
    </cfRule>
  </conditionalFormatting>
  <conditionalFormatting sqref="A1241:D1241">
    <cfRule type="expression" dxfId="3" priority="6202">
      <formula>COUNTIF($A1241, "TRUE") = 1</formula>
    </cfRule>
    <cfRule type="expression" dxfId="4" priority="6203">
      <formula>COUNTIF($A1241, "FALSE") = 1</formula>
    </cfRule>
    <cfRule type="notContainsBlanks" dxfId="1" priority="6204">
      <formula>LEN(TRIM(A1241))&gt;0</formula>
    </cfRule>
  </conditionalFormatting>
  <conditionalFormatting sqref="A1242">
    <cfRule type="notContainsBlanks" dxfId="5" priority="6210">
      <formula>LEN(TRIM(A1242))&gt;0</formula>
    </cfRule>
  </conditionalFormatting>
  <conditionalFormatting sqref="A1242:D1242">
    <cfRule type="expression" dxfId="3" priority="6207">
      <formula>COUNTIF($A1242, "TRUE") = 1</formula>
    </cfRule>
    <cfRule type="expression" dxfId="4" priority="6208">
      <formula>COUNTIF($A1242, "FALSE") = 1</formula>
    </cfRule>
    <cfRule type="notContainsBlanks" dxfId="1" priority="6209">
      <formula>LEN(TRIM(A1242))&gt;0</formula>
    </cfRule>
  </conditionalFormatting>
  <conditionalFormatting sqref="A1243">
    <cfRule type="notContainsBlanks" dxfId="5" priority="6215">
      <formula>LEN(TRIM(A1243))&gt;0</formula>
    </cfRule>
  </conditionalFormatting>
  <conditionalFormatting sqref="A1243:D1243">
    <cfRule type="expression" dxfId="3" priority="6212">
      <formula>COUNTIF($A1243, "TRUE") = 1</formula>
    </cfRule>
    <cfRule type="expression" dxfId="4" priority="6213">
      <formula>COUNTIF($A1243, "FALSE") = 1</formula>
    </cfRule>
    <cfRule type="notContainsBlanks" dxfId="1" priority="6214">
      <formula>LEN(TRIM(A1243))&gt;0</formula>
    </cfRule>
  </conditionalFormatting>
  <conditionalFormatting sqref="A1244">
    <cfRule type="notContainsBlanks" dxfId="5" priority="6220">
      <formula>LEN(TRIM(A1244))&gt;0</formula>
    </cfRule>
  </conditionalFormatting>
  <conditionalFormatting sqref="A1244:D1244">
    <cfRule type="expression" dxfId="3" priority="6217">
      <formula>COUNTIF($A1244, "TRUE") = 1</formula>
    </cfRule>
    <cfRule type="expression" dxfId="4" priority="6218">
      <formula>COUNTIF($A1244, "FALSE") = 1</formula>
    </cfRule>
    <cfRule type="notContainsBlanks" dxfId="1" priority="6219">
      <formula>LEN(TRIM(A1244))&gt;0</formula>
    </cfRule>
  </conditionalFormatting>
  <conditionalFormatting sqref="A1245">
    <cfRule type="notContainsBlanks" dxfId="5" priority="6225">
      <formula>LEN(TRIM(A1245))&gt;0</formula>
    </cfRule>
  </conditionalFormatting>
  <conditionalFormatting sqref="A1245:D1245">
    <cfRule type="expression" dxfId="3" priority="6222">
      <formula>COUNTIF($A1245, "TRUE") = 1</formula>
    </cfRule>
    <cfRule type="expression" dxfId="4" priority="6223">
      <formula>COUNTIF($A1245, "FALSE") = 1</formula>
    </cfRule>
    <cfRule type="notContainsBlanks" dxfId="1" priority="6224">
      <formula>LEN(TRIM(A1245))&gt;0</formula>
    </cfRule>
  </conditionalFormatting>
  <conditionalFormatting sqref="A1246">
    <cfRule type="notContainsBlanks" dxfId="5" priority="6230">
      <formula>LEN(TRIM(A1246))&gt;0</formula>
    </cfRule>
  </conditionalFormatting>
  <conditionalFormatting sqref="A1246:D1246">
    <cfRule type="expression" dxfId="3" priority="6227">
      <formula>COUNTIF($A1246, "TRUE") = 1</formula>
    </cfRule>
    <cfRule type="expression" dxfId="4" priority="6228">
      <formula>COUNTIF($A1246, "FALSE") = 1</formula>
    </cfRule>
    <cfRule type="notContainsBlanks" dxfId="1" priority="6229">
      <formula>LEN(TRIM(A1246))&gt;0</formula>
    </cfRule>
  </conditionalFormatting>
  <conditionalFormatting sqref="A1247">
    <cfRule type="notContainsBlanks" dxfId="5" priority="6235">
      <formula>LEN(TRIM(A1247))&gt;0</formula>
    </cfRule>
  </conditionalFormatting>
  <conditionalFormatting sqref="A1247:D1247">
    <cfRule type="expression" dxfId="3" priority="6232">
      <formula>COUNTIF($A1247, "TRUE") = 1</formula>
    </cfRule>
    <cfRule type="expression" dxfId="4" priority="6233">
      <formula>COUNTIF($A1247, "FALSE") = 1</formula>
    </cfRule>
    <cfRule type="notContainsBlanks" dxfId="1" priority="6234">
      <formula>LEN(TRIM(A1247))&gt;0</formula>
    </cfRule>
  </conditionalFormatting>
  <conditionalFormatting sqref="A1248">
    <cfRule type="notContainsBlanks" dxfId="5" priority="6240">
      <formula>LEN(TRIM(A1248))&gt;0</formula>
    </cfRule>
  </conditionalFormatting>
  <conditionalFormatting sqref="A1248:D1248">
    <cfRule type="expression" dxfId="3" priority="6237">
      <formula>COUNTIF($A1248, "TRUE") = 1</formula>
    </cfRule>
    <cfRule type="expression" dxfId="4" priority="6238">
      <formula>COUNTIF($A1248, "FALSE") = 1</formula>
    </cfRule>
    <cfRule type="notContainsBlanks" dxfId="1" priority="6239">
      <formula>LEN(TRIM(A1248))&gt;0</formula>
    </cfRule>
  </conditionalFormatting>
  <conditionalFormatting sqref="A1249">
    <cfRule type="notContainsBlanks" dxfId="5" priority="6245">
      <formula>LEN(TRIM(A1249))&gt;0</formula>
    </cfRule>
  </conditionalFormatting>
  <conditionalFormatting sqref="A1249:D1249">
    <cfRule type="expression" dxfId="3" priority="6242">
      <formula>COUNTIF($A1249, "TRUE") = 1</formula>
    </cfRule>
    <cfRule type="expression" dxfId="4" priority="6243">
      <formula>COUNTIF($A1249, "FALSE") = 1</formula>
    </cfRule>
    <cfRule type="notContainsBlanks" dxfId="1" priority="6244">
      <formula>LEN(TRIM(A1249))&gt;0</formula>
    </cfRule>
  </conditionalFormatting>
  <conditionalFormatting sqref="A124:D124">
    <cfRule type="expression" dxfId="3" priority="617">
      <formula>COUNTIF($A124, "TRUE") = 1</formula>
    </cfRule>
    <cfRule type="expression" dxfId="4" priority="618">
      <formula>COUNTIF($A124, "FALSE") = 1</formula>
    </cfRule>
    <cfRule type="notContainsBlanks" dxfId="1" priority="619">
      <formula>LEN(TRIM(A124))&gt;0</formula>
    </cfRule>
  </conditionalFormatting>
  <conditionalFormatting sqref="A125">
    <cfRule type="notContainsBlanks" dxfId="5" priority="625">
      <formula>LEN(TRIM(A125))&gt;0</formula>
    </cfRule>
  </conditionalFormatting>
  <conditionalFormatting sqref="A1250">
    <cfRule type="notContainsBlanks" dxfId="5" priority="6250">
      <formula>LEN(TRIM(A1250))&gt;0</formula>
    </cfRule>
  </conditionalFormatting>
  <conditionalFormatting sqref="A1250:D1250">
    <cfRule type="expression" dxfId="3" priority="6247">
      <formula>COUNTIF($A1250, "TRUE") = 1</formula>
    </cfRule>
    <cfRule type="expression" dxfId="4" priority="6248">
      <formula>COUNTIF($A1250, "FALSE") = 1</formula>
    </cfRule>
    <cfRule type="notContainsBlanks" dxfId="1" priority="6249">
      <formula>LEN(TRIM(A1250))&gt;0</formula>
    </cfRule>
  </conditionalFormatting>
  <conditionalFormatting sqref="A1251">
    <cfRule type="notContainsBlanks" dxfId="5" priority="6255">
      <formula>LEN(TRIM(A1251))&gt;0</formula>
    </cfRule>
  </conditionalFormatting>
  <conditionalFormatting sqref="A1251:D1251">
    <cfRule type="expression" dxfId="3" priority="6252">
      <formula>COUNTIF($A1251, "TRUE") = 1</formula>
    </cfRule>
    <cfRule type="expression" dxfId="4" priority="6253">
      <formula>COUNTIF($A1251, "FALSE") = 1</formula>
    </cfRule>
    <cfRule type="notContainsBlanks" dxfId="1" priority="6254">
      <formula>LEN(TRIM(A1251))&gt;0</formula>
    </cfRule>
  </conditionalFormatting>
  <conditionalFormatting sqref="A1252">
    <cfRule type="notContainsBlanks" dxfId="5" priority="6260">
      <formula>LEN(TRIM(A1252))&gt;0</formula>
    </cfRule>
  </conditionalFormatting>
  <conditionalFormatting sqref="A1252:D1252">
    <cfRule type="expression" dxfId="3" priority="6257">
      <formula>COUNTIF($A1252, "TRUE") = 1</formula>
    </cfRule>
    <cfRule type="expression" dxfId="4" priority="6258">
      <formula>COUNTIF($A1252, "FALSE") = 1</formula>
    </cfRule>
    <cfRule type="notContainsBlanks" dxfId="1" priority="6259">
      <formula>LEN(TRIM(A1252))&gt;0</formula>
    </cfRule>
  </conditionalFormatting>
  <conditionalFormatting sqref="A1253">
    <cfRule type="notContainsBlanks" dxfId="5" priority="6265">
      <formula>LEN(TRIM(A1253))&gt;0</formula>
    </cfRule>
  </conditionalFormatting>
  <conditionalFormatting sqref="A1253:D1253">
    <cfRule type="expression" dxfId="3" priority="6262">
      <formula>COUNTIF($A1253, "TRUE") = 1</formula>
    </cfRule>
    <cfRule type="expression" dxfId="4" priority="6263">
      <formula>COUNTIF($A1253, "FALSE") = 1</formula>
    </cfRule>
    <cfRule type="notContainsBlanks" dxfId="1" priority="6264">
      <formula>LEN(TRIM(A1253))&gt;0</formula>
    </cfRule>
  </conditionalFormatting>
  <conditionalFormatting sqref="A1254">
    <cfRule type="notContainsBlanks" dxfId="5" priority="6270">
      <formula>LEN(TRIM(A1254))&gt;0</formula>
    </cfRule>
  </conditionalFormatting>
  <conditionalFormatting sqref="A1254:D1254">
    <cfRule type="expression" dxfId="3" priority="6267">
      <formula>COUNTIF($A1254, "TRUE") = 1</formula>
    </cfRule>
    <cfRule type="expression" dxfId="4" priority="6268">
      <formula>COUNTIF($A1254, "FALSE") = 1</formula>
    </cfRule>
    <cfRule type="notContainsBlanks" dxfId="1" priority="6269">
      <formula>LEN(TRIM(A1254))&gt;0</formula>
    </cfRule>
  </conditionalFormatting>
  <conditionalFormatting sqref="A1255">
    <cfRule type="notContainsBlanks" dxfId="5" priority="6275">
      <formula>LEN(TRIM(A1255))&gt;0</formula>
    </cfRule>
  </conditionalFormatting>
  <conditionalFormatting sqref="A1255:D1255">
    <cfRule type="expression" dxfId="3" priority="6272">
      <formula>COUNTIF($A1255, "TRUE") = 1</formula>
    </cfRule>
    <cfRule type="expression" dxfId="4" priority="6273">
      <formula>COUNTIF($A1255, "FALSE") = 1</formula>
    </cfRule>
    <cfRule type="notContainsBlanks" dxfId="1" priority="6274">
      <formula>LEN(TRIM(A1255))&gt;0</formula>
    </cfRule>
  </conditionalFormatting>
  <conditionalFormatting sqref="A1256">
    <cfRule type="notContainsBlanks" dxfId="5" priority="6280">
      <formula>LEN(TRIM(A1256))&gt;0</formula>
    </cfRule>
  </conditionalFormatting>
  <conditionalFormatting sqref="A1256:D1256">
    <cfRule type="expression" dxfId="3" priority="6277">
      <formula>COUNTIF($A1256, "TRUE") = 1</formula>
    </cfRule>
    <cfRule type="expression" dxfId="4" priority="6278">
      <formula>COUNTIF($A1256, "FALSE") = 1</formula>
    </cfRule>
    <cfRule type="notContainsBlanks" dxfId="1" priority="6279">
      <formula>LEN(TRIM(A1256))&gt;0</formula>
    </cfRule>
  </conditionalFormatting>
  <conditionalFormatting sqref="A1257">
    <cfRule type="notContainsBlanks" dxfId="5" priority="6285">
      <formula>LEN(TRIM(A1257))&gt;0</formula>
    </cfRule>
  </conditionalFormatting>
  <conditionalFormatting sqref="A1257:D1257">
    <cfRule type="expression" dxfId="3" priority="6282">
      <formula>COUNTIF($A1257, "TRUE") = 1</formula>
    </cfRule>
    <cfRule type="expression" dxfId="4" priority="6283">
      <formula>COUNTIF($A1257, "FALSE") = 1</formula>
    </cfRule>
    <cfRule type="notContainsBlanks" dxfId="1" priority="6284">
      <formula>LEN(TRIM(A1257))&gt;0</formula>
    </cfRule>
  </conditionalFormatting>
  <conditionalFormatting sqref="A1258">
    <cfRule type="notContainsBlanks" dxfId="5" priority="6290">
      <formula>LEN(TRIM(A1258))&gt;0</formula>
    </cfRule>
  </conditionalFormatting>
  <conditionalFormatting sqref="A1258:D1258">
    <cfRule type="expression" dxfId="3" priority="6287">
      <formula>COUNTIF($A1258, "TRUE") = 1</formula>
    </cfRule>
    <cfRule type="expression" dxfId="4" priority="6288">
      <formula>COUNTIF($A1258, "FALSE") = 1</formula>
    </cfRule>
    <cfRule type="notContainsBlanks" dxfId="1" priority="6289">
      <formula>LEN(TRIM(A1258))&gt;0</formula>
    </cfRule>
  </conditionalFormatting>
  <conditionalFormatting sqref="A1259">
    <cfRule type="notContainsBlanks" dxfId="5" priority="6295">
      <formula>LEN(TRIM(A1259))&gt;0</formula>
    </cfRule>
  </conditionalFormatting>
  <conditionalFormatting sqref="A1259:D1259">
    <cfRule type="expression" dxfId="3" priority="6292">
      <formula>COUNTIF($A1259, "TRUE") = 1</formula>
    </cfRule>
    <cfRule type="expression" dxfId="4" priority="6293">
      <formula>COUNTIF($A1259, "FALSE") = 1</formula>
    </cfRule>
    <cfRule type="notContainsBlanks" dxfId="1" priority="6294">
      <formula>LEN(TRIM(A1259))&gt;0</formula>
    </cfRule>
  </conditionalFormatting>
  <conditionalFormatting sqref="A125:D125">
    <cfRule type="expression" dxfId="3" priority="622">
      <formula>COUNTIF($A125, "TRUE") = 1</formula>
    </cfRule>
    <cfRule type="expression" dxfId="4" priority="623">
      <formula>COUNTIF($A125, "FALSE") = 1</formula>
    </cfRule>
    <cfRule type="notContainsBlanks" dxfId="1" priority="624">
      <formula>LEN(TRIM(A125))&gt;0</formula>
    </cfRule>
  </conditionalFormatting>
  <conditionalFormatting sqref="A126">
    <cfRule type="notContainsBlanks" dxfId="5" priority="630">
      <formula>LEN(TRIM(A126))&gt;0</formula>
    </cfRule>
  </conditionalFormatting>
  <conditionalFormatting sqref="A1260">
    <cfRule type="notContainsBlanks" dxfId="5" priority="6300">
      <formula>LEN(TRIM(A1260))&gt;0</formula>
    </cfRule>
  </conditionalFormatting>
  <conditionalFormatting sqref="A1260:D1260">
    <cfRule type="expression" dxfId="3" priority="6297">
      <formula>COUNTIF($A1260, "TRUE") = 1</formula>
    </cfRule>
    <cfRule type="expression" dxfId="4" priority="6298">
      <formula>COUNTIF($A1260, "FALSE") = 1</formula>
    </cfRule>
    <cfRule type="notContainsBlanks" dxfId="1" priority="6299">
      <formula>LEN(TRIM(A1260))&gt;0</formula>
    </cfRule>
  </conditionalFormatting>
  <conditionalFormatting sqref="A1261">
    <cfRule type="notContainsBlanks" dxfId="5" priority="6305">
      <formula>LEN(TRIM(A1261))&gt;0</formula>
    </cfRule>
  </conditionalFormatting>
  <conditionalFormatting sqref="A1261:D1261">
    <cfRule type="expression" dxfId="3" priority="6302">
      <formula>COUNTIF($A1261, "TRUE") = 1</formula>
    </cfRule>
    <cfRule type="expression" dxfId="4" priority="6303">
      <formula>COUNTIF($A1261, "FALSE") = 1</formula>
    </cfRule>
    <cfRule type="notContainsBlanks" dxfId="1" priority="6304">
      <formula>LEN(TRIM(A1261))&gt;0</formula>
    </cfRule>
  </conditionalFormatting>
  <conditionalFormatting sqref="A1262">
    <cfRule type="notContainsBlanks" dxfId="5" priority="6310">
      <formula>LEN(TRIM(A1262))&gt;0</formula>
    </cfRule>
  </conditionalFormatting>
  <conditionalFormatting sqref="A1262:D1262">
    <cfRule type="expression" dxfId="3" priority="6307">
      <formula>COUNTIF($A1262, "TRUE") = 1</formula>
    </cfRule>
    <cfRule type="expression" dxfId="4" priority="6308">
      <formula>COUNTIF($A1262, "FALSE") = 1</formula>
    </cfRule>
    <cfRule type="notContainsBlanks" dxfId="1" priority="6309">
      <formula>LEN(TRIM(A1262))&gt;0</formula>
    </cfRule>
  </conditionalFormatting>
  <conditionalFormatting sqref="A1263">
    <cfRule type="notContainsBlanks" dxfId="5" priority="6315">
      <formula>LEN(TRIM(A1263))&gt;0</formula>
    </cfRule>
  </conditionalFormatting>
  <conditionalFormatting sqref="A1263:D1263">
    <cfRule type="expression" dxfId="3" priority="6312">
      <formula>COUNTIF($A1263, "TRUE") = 1</formula>
    </cfRule>
    <cfRule type="expression" dxfId="4" priority="6313">
      <formula>COUNTIF($A1263, "FALSE") = 1</formula>
    </cfRule>
    <cfRule type="notContainsBlanks" dxfId="1" priority="6314">
      <formula>LEN(TRIM(A1263))&gt;0</formula>
    </cfRule>
  </conditionalFormatting>
  <conditionalFormatting sqref="A1264">
    <cfRule type="notContainsBlanks" dxfId="5" priority="6320">
      <formula>LEN(TRIM(A1264))&gt;0</formula>
    </cfRule>
  </conditionalFormatting>
  <conditionalFormatting sqref="A1264:D1264">
    <cfRule type="expression" dxfId="3" priority="6317">
      <formula>COUNTIF($A1264, "TRUE") = 1</formula>
    </cfRule>
    <cfRule type="expression" dxfId="4" priority="6318">
      <formula>COUNTIF($A1264, "FALSE") = 1</formula>
    </cfRule>
    <cfRule type="notContainsBlanks" dxfId="1" priority="6319">
      <formula>LEN(TRIM(A1264))&gt;0</formula>
    </cfRule>
  </conditionalFormatting>
  <conditionalFormatting sqref="A1265">
    <cfRule type="notContainsBlanks" dxfId="5" priority="6325">
      <formula>LEN(TRIM(A1265))&gt;0</formula>
    </cfRule>
  </conditionalFormatting>
  <conditionalFormatting sqref="A1265:D1265">
    <cfRule type="expression" dxfId="3" priority="6322">
      <formula>COUNTIF($A1265, "TRUE") = 1</formula>
    </cfRule>
    <cfRule type="expression" dxfId="4" priority="6323">
      <formula>COUNTIF($A1265, "FALSE") = 1</formula>
    </cfRule>
    <cfRule type="notContainsBlanks" dxfId="1" priority="6324">
      <formula>LEN(TRIM(A1265))&gt;0</formula>
    </cfRule>
  </conditionalFormatting>
  <conditionalFormatting sqref="A1266">
    <cfRule type="notContainsBlanks" dxfId="5" priority="6330">
      <formula>LEN(TRIM(A1266))&gt;0</formula>
    </cfRule>
  </conditionalFormatting>
  <conditionalFormatting sqref="A1266:D1266">
    <cfRule type="expression" dxfId="3" priority="6327">
      <formula>COUNTIF($A1266, "TRUE") = 1</formula>
    </cfRule>
    <cfRule type="expression" dxfId="4" priority="6328">
      <formula>COUNTIF($A1266, "FALSE") = 1</formula>
    </cfRule>
    <cfRule type="notContainsBlanks" dxfId="1" priority="6329">
      <formula>LEN(TRIM(A1266))&gt;0</formula>
    </cfRule>
  </conditionalFormatting>
  <conditionalFormatting sqref="A1267">
    <cfRule type="notContainsBlanks" dxfId="5" priority="6335">
      <formula>LEN(TRIM(A1267))&gt;0</formula>
    </cfRule>
  </conditionalFormatting>
  <conditionalFormatting sqref="A1267:D1267">
    <cfRule type="expression" dxfId="3" priority="6332">
      <formula>COUNTIF($A1267, "TRUE") = 1</formula>
    </cfRule>
    <cfRule type="expression" dxfId="4" priority="6333">
      <formula>COUNTIF($A1267, "FALSE") = 1</formula>
    </cfRule>
    <cfRule type="notContainsBlanks" dxfId="1" priority="6334">
      <formula>LEN(TRIM(A1267))&gt;0</formula>
    </cfRule>
  </conditionalFormatting>
  <conditionalFormatting sqref="A1268">
    <cfRule type="notContainsBlanks" dxfId="5" priority="6340">
      <formula>LEN(TRIM(A1268))&gt;0</formula>
    </cfRule>
  </conditionalFormatting>
  <conditionalFormatting sqref="A1268:D1268">
    <cfRule type="expression" dxfId="3" priority="6337">
      <formula>COUNTIF($A1268, "TRUE") = 1</formula>
    </cfRule>
    <cfRule type="expression" dxfId="4" priority="6338">
      <formula>COUNTIF($A1268, "FALSE") = 1</formula>
    </cfRule>
    <cfRule type="notContainsBlanks" dxfId="1" priority="6339">
      <formula>LEN(TRIM(A1268))&gt;0</formula>
    </cfRule>
  </conditionalFormatting>
  <conditionalFormatting sqref="A1269">
    <cfRule type="notContainsBlanks" dxfId="5" priority="6345">
      <formula>LEN(TRIM(A1269))&gt;0</formula>
    </cfRule>
  </conditionalFormatting>
  <conditionalFormatting sqref="A1269:D1269">
    <cfRule type="expression" dxfId="3" priority="6342">
      <formula>COUNTIF($A1269, "TRUE") = 1</formula>
    </cfRule>
    <cfRule type="expression" dxfId="4" priority="6343">
      <formula>COUNTIF($A1269, "FALSE") = 1</formula>
    </cfRule>
    <cfRule type="notContainsBlanks" dxfId="1" priority="6344">
      <formula>LEN(TRIM(A1269))&gt;0</formula>
    </cfRule>
  </conditionalFormatting>
  <conditionalFormatting sqref="A126:D126">
    <cfRule type="expression" dxfId="3" priority="627">
      <formula>COUNTIF($A126, "TRUE") = 1</formula>
    </cfRule>
    <cfRule type="expression" dxfId="4" priority="628">
      <formula>COUNTIF($A126, "FALSE") = 1</formula>
    </cfRule>
    <cfRule type="notContainsBlanks" dxfId="1" priority="629">
      <formula>LEN(TRIM(A126))&gt;0</formula>
    </cfRule>
  </conditionalFormatting>
  <conditionalFormatting sqref="A127">
    <cfRule type="notContainsBlanks" dxfId="5" priority="635">
      <formula>LEN(TRIM(A127))&gt;0</formula>
    </cfRule>
  </conditionalFormatting>
  <conditionalFormatting sqref="A1270">
    <cfRule type="notContainsBlanks" dxfId="5" priority="6350">
      <formula>LEN(TRIM(A1270))&gt;0</formula>
    </cfRule>
  </conditionalFormatting>
  <conditionalFormatting sqref="A1270:D1270">
    <cfRule type="expression" dxfId="3" priority="6347">
      <formula>COUNTIF($A1270, "TRUE") = 1</formula>
    </cfRule>
    <cfRule type="expression" dxfId="4" priority="6348">
      <formula>COUNTIF($A1270, "FALSE") = 1</formula>
    </cfRule>
    <cfRule type="notContainsBlanks" dxfId="1" priority="6349">
      <formula>LEN(TRIM(A1270))&gt;0</formula>
    </cfRule>
  </conditionalFormatting>
  <conditionalFormatting sqref="A1271">
    <cfRule type="notContainsBlanks" dxfId="5" priority="6355">
      <formula>LEN(TRIM(A1271))&gt;0</formula>
    </cfRule>
  </conditionalFormatting>
  <conditionalFormatting sqref="A1271:D1271">
    <cfRule type="expression" dxfId="3" priority="6352">
      <formula>COUNTIF($A1271, "TRUE") = 1</formula>
    </cfRule>
    <cfRule type="expression" dxfId="4" priority="6353">
      <formula>COUNTIF($A1271, "FALSE") = 1</formula>
    </cfRule>
    <cfRule type="notContainsBlanks" dxfId="1" priority="6354">
      <formula>LEN(TRIM(A1271))&gt;0</formula>
    </cfRule>
  </conditionalFormatting>
  <conditionalFormatting sqref="A1272">
    <cfRule type="notContainsBlanks" dxfId="5" priority="6360">
      <formula>LEN(TRIM(A1272))&gt;0</formula>
    </cfRule>
  </conditionalFormatting>
  <conditionalFormatting sqref="A1272:D1272">
    <cfRule type="expression" dxfId="3" priority="6357">
      <formula>COUNTIF($A1272, "TRUE") = 1</formula>
    </cfRule>
    <cfRule type="expression" dxfId="4" priority="6358">
      <formula>COUNTIF($A1272, "FALSE") = 1</formula>
    </cfRule>
    <cfRule type="notContainsBlanks" dxfId="1" priority="6359">
      <formula>LEN(TRIM(A1272))&gt;0</formula>
    </cfRule>
  </conditionalFormatting>
  <conditionalFormatting sqref="A1273">
    <cfRule type="notContainsBlanks" dxfId="5" priority="6365">
      <formula>LEN(TRIM(A1273))&gt;0</formula>
    </cfRule>
  </conditionalFormatting>
  <conditionalFormatting sqref="A1273:D1273">
    <cfRule type="expression" dxfId="3" priority="6362">
      <formula>COUNTIF($A1273, "TRUE") = 1</formula>
    </cfRule>
    <cfRule type="expression" dxfId="4" priority="6363">
      <formula>COUNTIF($A1273, "FALSE") = 1</formula>
    </cfRule>
    <cfRule type="notContainsBlanks" dxfId="1" priority="6364">
      <formula>LEN(TRIM(A1273))&gt;0</formula>
    </cfRule>
  </conditionalFormatting>
  <conditionalFormatting sqref="A1274">
    <cfRule type="notContainsBlanks" dxfId="5" priority="6370">
      <formula>LEN(TRIM(A1274))&gt;0</formula>
    </cfRule>
  </conditionalFormatting>
  <conditionalFormatting sqref="A1274:D1274">
    <cfRule type="expression" dxfId="3" priority="6367">
      <formula>COUNTIF($A1274, "TRUE") = 1</formula>
    </cfRule>
    <cfRule type="expression" dxfId="4" priority="6368">
      <formula>COUNTIF($A1274, "FALSE") = 1</formula>
    </cfRule>
    <cfRule type="notContainsBlanks" dxfId="1" priority="6369">
      <formula>LEN(TRIM(A1274))&gt;0</formula>
    </cfRule>
  </conditionalFormatting>
  <conditionalFormatting sqref="A1275">
    <cfRule type="notContainsBlanks" dxfId="5" priority="6375">
      <formula>LEN(TRIM(A1275))&gt;0</formula>
    </cfRule>
  </conditionalFormatting>
  <conditionalFormatting sqref="A1275:D1275">
    <cfRule type="expression" dxfId="3" priority="6372">
      <formula>COUNTIF($A1275, "TRUE") = 1</formula>
    </cfRule>
    <cfRule type="expression" dxfId="4" priority="6373">
      <formula>COUNTIF($A1275, "FALSE") = 1</formula>
    </cfRule>
    <cfRule type="notContainsBlanks" dxfId="1" priority="6374">
      <formula>LEN(TRIM(A1275))&gt;0</formula>
    </cfRule>
  </conditionalFormatting>
  <conditionalFormatting sqref="A1276">
    <cfRule type="notContainsBlanks" dxfId="5" priority="6380">
      <formula>LEN(TRIM(A1276))&gt;0</formula>
    </cfRule>
  </conditionalFormatting>
  <conditionalFormatting sqref="A1276:D1276">
    <cfRule type="expression" dxfId="3" priority="6377">
      <formula>COUNTIF($A1276, "TRUE") = 1</formula>
    </cfRule>
    <cfRule type="expression" dxfId="4" priority="6378">
      <formula>COUNTIF($A1276, "FALSE") = 1</formula>
    </cfRule>
    <cfRule type="notContainsBlanks" dxfId="1" priority="6379">
      <formula>LEN(TRIM(A1276))&gt;0</formula>
    </cfRule>
  </conditionalFormatting>
  <conditionalFormatting sqref="A1277">
    <cfRule type="notContainsBlanks" dxfId="5" priority="6385">
      <formula>LEN(TRIM(A1277))&gt;0</formula>
    </cfRule>
  </conditionalFormatting>
  <conditionalFormatting sqref="A1277:D1277">
    <cfRule type="expression" dxfId="3" priority="6382">
      <formula>COUNTIF($A1277, "TRUE") = 1</formula>
    </cfRule>
    <cfRule type="expression" dxfId="4" priority="6383">
      <formula>COUNTIF($A1277, "FALSE") = 1</formula>
    </cfRule>
    <cfRule type="notContainsBlanks" dxfId="1" priority="6384">
      <formula>LEN(TRIM(A1277))&gt;0</formula>
    </cfRule>
  </conditionalFormatting>
  <conditionalFormatting sqref="A1278">
    <cfRule type="notContainsBlanks" dxfId="5" priority="6390">
      <formula>LEN(TRIM(A1278))&gt;0</formula>
    </cfRule>
  </conditionalFormatting>
  <conditionalFormatting sqref="A1278:D1278">
    <cfRule type="expression" dxfId="3" priority="6387">
      <formula>COUNTIF($A1278, "TRUE") = 1</formula>
    </cfRule>
    <cfRule type="expression" dxfId="4" priority="6388">
      <formula>COUNTIF($A1278, "FALSE") = 1</formula>
    </cfRule>
    <cfRule type="notContainsBlanks" dxfId="1" priority="6389">
      <formula>LEN(TRIM(A1278))&gt;0</formula>
    </cfRule>
  </conditionalFormatting>
  <conditionalFormatting sqref="A1279">
    <cfRule type="notContainsBlanks" dxfId="5" priority="6395">
      <formula>LEN(TRIM(A1279))&gt;0</formula>
    </cfRule>
  </conditionalFormatting>
  <conditionalFormatting sqref="A1279:D1279">
    <cfRule type="expression" dxfId="3" priority="6392">
      <formula>COUNTIF($A1279, "TRUE") = 1</formula>
    </cfRule>
    <cfRule type="expression" dxfId="4" priority="6393">
      <formula>COUNTIF($A1279, "FALSE") = 1</formula>
    </cfRule>
    <cfRule type="notContainsBlanks" dxfId="1" priority="6394">
      <formula>LEN(TRIM(A1279))&gt;0</formula>
    </cfRule>
  </conditionalFormatting>
  <conditionalFormatting sqref="A127:D127">
    <cfRule type="expression" dxfId="3" priority="632">
      <formula>COUNTIF($A127, "TRUE") = 1</formula>
    </cfRule>
    <cfRule type="expression" dxfId="4" priority="633">
      <formula>COUNTIF($A127, "FALSE") = 1</formula>
    </cfRule>
    <cfRule type="notContainsBlanks" dxfId="1" priority="634">
      <formula>LEN(TRIM(A127))&gt;0</formula>
    </cfRule>
  </conditionalFormatting>
  <conditionalFormatting sqref="A128">
    <cfRule type="notContainsBlanks" dxfId="5" priority="640">
      <formula>LEN(TRIM(A128))&gt;0</formula>
    </cfRule>
  </conditionalFormatting>
  <conditionalFormatting sqref="A1280">
    <cfRule type="notContainsBlanks" dxfId="5" priority="6400">
      <formula>LEN(TRIM(A1280))&gt;0</formula>
    </cfRule>
  </conditionalFormatting>
  <conditionalFormatting sqref="A1280:D1280">
    <cfRule type="expression" dxfId="3" priority="6397">
      <formula>COUNTIF($A1280, "TRUE") = 1</formula>
    </cfRule>
    <cfRule type="expression" dxfId="4" priority="6398">
      <formula>COUNTIF($A1280, "FALSE") = 1</formula>
    </cfRule>
    <cfRule type="notContainsBlanks" dxfId="1" priority="6399">
      <formula>LEN(TRIM(A1280))&gt;0</formula>
    </cfRule>
  </conditionalFormatting>
  <conditionalFormatting sqref="A1281">
    <cfRule type="notContainsBlanks" dxfId="5" priority="6405">
      <formula>LEN(TRIM(A1281))&gt;0</formula>
    </cfRule>
  </conditionalFormatting>
  <conditionalFormatting sqref="A1281:D1281">
    <cfRule type="expression" dxfId="3" priority="6402">
      <formula>COUNTIF($A1281, "TRUE") = 1</formula>
    </cfRule>
    <cfRule type="expression" dxfId="4" priority="6403">
      <formula>COUNTIF($A1281, "FALSE") = 1</formula>
    </cfRule>
    <cfRule type="notContainsBlanks" dxfId="1" priority="6404">
      <formula>LEN(TRIM(A1281))&gt;0</formula>
    </cfRule>
  </conditionalFormatting>
  <conditionalFormatting sqref="A1282">
    <cfRule type="notContainsBlanks" dxfId="5" priority="6410">
      <formula>LEN(TRIM(A1282))&gt;0</formula>
    </cfRule>
  </conditionalFormatting>
  <conditionalFormatting sqref="A1282:D1282">
    <cfRule type="expression" dxfId="3" priority="6407">
      <formula>COUNTIF($A1282, "TRUE") = 1</formula>
    </cfRule>
    <cfRule type="expression" dxfId="4" priority="6408">
      <formula>COUNTIF($A1282, "FALSE") = 1</formula>
    </cfRule>
    <cfRule type="notContainsBlanks" dxfId="1" priority="6409">
      <formula>LEN(TRIM(A1282))&gt;0</formula>
    </cfRule>
  </conditionalFormatting>
  <conditionalFormatting sqref="A1283">
    <cfRule type="notContainsBlanks" dxfId="5" priority="6415">
      <formula>LEN(TRIM(A1283))&gt;0</formula>
    </cfRule>
  </conditionalFormatting>
  <conditionalFormatting sqref="A1283:D1283">
    <cfRule type="expression" dxfId="3" priority="6412">
      <formula>COUNTIF($A1283, "TRUE") = 1</formula>
    </cfRule>
    <cfRule type="expression" dxfId="4" priority="6413">
      <formula>COUNTIF($A1283, "FALSE") = 1</formula>
    </cfRule>
    <cfRule type="notContainsBlanks" dxfId="1" priority="6414">
      <formula>LEN(TRIM(A1283))&gt;0</formula>
    </cfRule>
  </conditionalFormatting>
  <conditionalFormatting sqref="A1284">
    <cfRule type="notContainsBlanks" dxfId="5" priority="6420">
      <formula>LEN(TRIM(A1284))&gt;0</formula>
    </cfRule>
  </conditionalFormatting>
  <conditionalFormatting sqref="A1284:D1284">
    <cfRule type="expression" dxfId="3" priority="6417">
      <formula>COUNTIF($A1284, "TRUE") = 1</formula>
    </cfRule>
    <cfRule type="expression" dxfId="4" priority="6418">
      <formula>COUNTIF($A1284, "FALSE") = 1</formula>
    </cfRule>
    <cfRule type="notContainsBlanks" dxfId="1" priority="6419">
      <formula>LEN(TRIM(A1284))&gt;0</formula>
    </cfRule>
  </conditionalFormatting>
  <conditionalFormatting sqref="A1285">
    <cfRule type="notContainsBlanks" dxfId="5" priority="6425">
      <formula>LEN(TRIM(A1285))&gt;0</formula>
    </cfRule>
  </conditionalFormatting>
  <conditionalFormatting sqref="A1285:D1285">
    <cfRule type="expression" dxfId="3" priority="6422">
      <formula>COUNTIF($A1285, "TRUE") = 1</formula>
    </cfRule>
    <cfRule type="expression" dxfId="4" priority="6423">
      <formula>COUNTIF($A1285, "FALSE") = 1</formula>
    </cfRule>
    <cfRule type="notContainsBlanks" dxfId="1" priority="6424">
      <formula>LEN(TRIM(A1285))&gt;0</formula>
    </cfRule>
  </conditionalFormatting>
  <conditionalFormatting sqref="A1286">
    <cfRule type="notContainsBlanks" dxfId="5" priority="6430">
      <formula>LEN(TRIM(A1286))&gt;0</formula>
    </cfRule>
  </conditionalFormatting>
  <conditionalFormatting sqref="A1286:D1286">
    <cfRule type="expression" dxfId="3" priority="6427">
      <formula>COUNTIF($A1286, "TRUE") = 1</formula>
    </cfRule>
    <cfRule type="expression" dxfId="4" priority="6428">
      <formula>COUNTIF($A1286, "FALSE") = 1</formula>
    </cfRule>
    <cfRule type="notContainsBlanks" dxfId="1" priority="6429">
      <formula>LEN(TRIM(A1286))&gt;0</formula>
    </cfRule>
  </conditionalFormatting>
  <conditionalFormatting sqref="A1287">
    <cfRule type="notContainsBlanks" dxfId="5" priority="6435">
      <formula>LEN(TRIM(A1287))&gt;0</formula>
    </cfRule>
  </conditionalFormatting>
  <conditionalFormatting sqref="A1287:D1287">
    <cfRule type="expression" dxfId="3" priority="6432">
      <formula>COUNTIF($A1287, "TRUE") = 1</formula>
    </cfRule>
    <cfRule type="expression" dxfId="4" priority="6433">
      <formula>COUNTIF($A1287, "FALSE") = 1</formula>
    </cfRule>
    <cfRule type="notContainsBlanks" dxfId="1" priority="6434">
      <formula>LEN(TRIM(A1287))&gt;0</formula>
    </cfRule>
  </conditionalFormatting>
  <conditionalFormatting sqref="A1288">
    <cfRule type="notContainsBlanks" dxfId="5" priority="6440">
      <formula>LEN(TRIM(A1288))&gt;0</formula>
    </cfRule>
  </conditionalFormatting>
  <conditionalFormatting sqref="A1288:D1288">
    <cfRule type="expression" dxfId="3" priority="6437">
      <formula>COUNTIF($A1288, "TRUE") = 1</formula>
    </cfRule>
    <cfRule type="expression" dxfId="4" priority="6438">
      <formula>COUNTIF($A1288, "FALSE") = 1</formula>
    </cfRule>
    <cfRule type="notContainsBlanks" dxfId="1" priority="6439">
      <formula>LEN(TRIM(A1288))&gt;0</formula>
    </cfRule>
  </conditionalFormatting>
  <conditionalFormatting sqref="A1289">
    <cfRule type="notContainsBlanks" dxfId="5" priority="6445">
      <formula>LEN(TRIM(A1289))&gt;0</formula>
    </cfRule>
  </conditionalFormatting>
  <conditionalFormatting sqref="A1289:D1289">
    <cfRule type="expression" dxfId="3" priority="6442">
      <formula>COUNTIF($A1289, "TRUE") = 1</formula>
    </cfRule>
    <cfRule type="expression" dxfId="4" priority="6443">
      <formula>COUNTIF($A1289, "FALSE") = 1</formula>
    </cfRule>
    <cfRule type="notContainsBlanks" dxfId="1" priority="6444">
      <formula>LEN(TRIM(A1289))&gt;0</formula>
    </cfRule>
  </conditionalFormatting>
  <conditionalFormatting sqref="A128:D128">
    <cfRule type="expression" dxfId="3" priority="637">
      <formula>COUNTIF($A128, "TRUE") = 1</formula>
    </cfRule>
    <cfRule type="expression" dxfId="4" priority="638">
      <formula>COUNTIF($A128, "FALSE") = 1</formula>
    </cfRule>
    <cfRule type="notContainsBlanks" dxfId="1" priority="639">
      <formula>LEN(TRIM(A128))&gt;0</formula>
    </cfRule>
  </conditionalFormatting>
  <conditionalFormatting sqref="A129">
    <cfRule type="notContainsBlanks" dxfId="5" priority="645">
      <formula>LEN(TRIM(A129))&gt;0</formula>
    </cfRule>
  </conditionalFormatting>
  <conditionalFormatting sqref="A1290">
    <cfRule type="notContainsBlanks" dxfId="5" priority="6450">
      <formula>LEN(TRIM(A1290))&gt;0</formula>
    </cfRule>
  </conditionalFormatting>
  <conditionalFormatting sqref="A1290:D1290">
    <cfRule type="expression" dxfId="3" priority="6447">
      <formula>COUNTIF($A1290, "TRUE") = 1</formula>
    </cfRule>
    <cfRule type="expression" dxfId="4" priority="6448">
      <formula>COUNTIF($A1290, "FALSE") = 1</formula>
    </cfRule>
    <cfRule type="notContainsBlanks" dxfId="1" priority="6449">
      <formula>LEN(TRIM(A1290))&gt;0</formula>
    </cfRule>
  </conditionalFormatting>
  <conditionalFormatting sqref="A1291">
    <cfRule type="notContainsBlanks" dxfId="5" priority="6455">
      <formula>LEN(TRIM(A1291))&gt;0</formula>
    </cfRule>
  </conditionalFormatting>
  <conditionalFormatting sqref="A1291:D1291">
    <cfRule type="expression" dxfId="3" priority="6452">
      <formula>COUNTIF($A1291, "TRUE") = 1</formula>
    </cfRule>
    <cfRule type="expression" dxfId="4" priority="6453">
      <formula>COUNTIF($A1291, "FALSE") = 1</formula>
    </cfRule>
    <cfRule type="notContainsBlanks" dxfId="1" priority="6454">
      <formula>LEN(TRIM(A1291))&gt;0</formula>
    </cfRule>
  </conditionalFormatting>
  <conditionalFormatting sqref="A1292">
    <cfRule type="notContainsBlanks" dxfId="5" priority="6460">
      <formula>LEN(TRIM(A1292))&gt;0</formula>
    </cfRule>
  </conditionalFormatting>
  <conditionalFormatting sqref="A1292:D1292">
    <cfRule type="expression" dxfId="3" priority="6457">
      <formula>COUNTIF($A1292, "TRUE") = 1</formula>
    </cfRule>
    <cfRule type="expression" dxfId="4" priority="6458">
      <formula>COUNTIF($A1292, "FALSE") = 1</formula>
    </cfRule>
    <cfRule type="notContainsBlanks" dxfId="1" priority="6459">
      <formula>LEN(TRIM(A1292))&gt;0</formula>
    </cfRule>
  </conditionalFormatting>
  <conditionalFormatting sqref="A1293">
    <cfRule type="notContainsBlanks" dxfId="5" priority="6465">
      <formula>LEN(TRIM(A1293))&gt;0</formula>
    </cfRule>
  </conditionalFormatting>
  <conditionalFormatting sqref="A1293:D1293">
    <cfRule type="expression" dxfId="3" priority="6462">
      <formula>COUNTIF($A1293, "TRUE") = 1</formula>
    </cfRule>
    <cfRule type="expression" dxfId="4" priority="6463">
      <formula>COUNTIF($A1293, "FALSE") = 1</formula>
    </cfRule>
    <cfRule type="notContainsBlanks" dxfId="1" priority="6464">
      <formula>LEN(TRIM(A1293))&gt;0</formula>
    </cfRule>
  </conditionalFormatting>
  <conditionalFormatting sqref="A129:D129">
    <cfRule type="expression" dxfId="3" priority="642">
      <formula>COUNTIF($A129, "TRUE") = 1</formula>
    </cfRule>
    <cfRule type="expression" dxfId="4" priority="643">
      <formula>COUNTIF($A129, "FALSE") = 1</formula>
    </cfRule>
    <cfRule type="notContainsBlanks" dxfId="1" priority="644">
      <formula>LEN(TRIM(A129))&gt;0</formula>
    </cfRule>
  </conditionalFormatting>
  <conditionalFormatting sqref="A12:D12">
    <cfRule type="expression" dxfId="3" priority="57">
      <formula>COUNTIF($A12, "TRUE") = 1</formula>
    </cfRule>
    <cfRule type="expression" dxfId="4" priority="58">
      <formula>COUNTIF($A12, "FALSE") = 1</formula>
    </cfRule>
    <cfRule type="notContainsBlanks" dxfId="1" priority="59">
      <formula>LEN(TRIM(A12))&gt;0</formula>
    </cfRule>
  </conditionalFormatting>
  <conditionalFormatting sqref="A13">
    <cfRule type="notContainsBlanks" dxfId="5" priority="65">
      <formula>LEN(TRIM(A13))&gt;0</formula>
    </cfRule>
  </conditionalFormatting>
  <conditionalFormatting sqref="A130">
    <cfRule type="notContainsBlanks" dxfId="5" priority="650">
      <formula>LEN(TRIM(A130))&gt;0</formula>
    </cfRule>
  </conditionalFormatting>
  <conditionalFormatting sqref="A130:D130">
    <cfRule type="expression" dxfId="3" priority="647">
      <formula>COUNTIF($A130, "TRUE") = 1</formula>
    </cfRule>
    <cfRule type="expression" dxfId="4" priority="648">
      <formula>COUNTIF($A130, "FALSE") = 1</formula>
    </cfRule>
    <cfRule type="notContainsBlanks" dxfId="1" priority="649">
      <formula>LEN(TRIM(A130))&gt;0</formula>
    </cfRule>
  </conditionalFormatting>
  <conditionalFormatting sqref="A131">
    <cfRule type="notContainsBlanks" dxfId="5" priority="655">
      <formula>LEN(TRIM(A131))&gt;0</formula>
    </cfRule>
  </conditionalFormatting>
  <conditionalFormatting sqref="A131:D131">
    <cfRule type="expression" dxfId="3" priority="652">
      <formula>COUNTIF($A131, "TRUE") = 1</formula>
    </cfRule>
    <cfRule type="expression" dxfId="4" priority="653">
      <formula>COUNTIF($A131, "FALSE") = 1</formula>
    </cfRule>
    <cfRule type="notContainsBlanks" dxfId="1" priority="654">
      <formula>LEN(TRIM(A131))&gt;0</formula>
    </cfRule>
  </conditionalFormatting>
  <conditionalFormatting sqref="A132">
    <cfRule type="notContainsBlanks" dxfId="5" priority="660">
      <formula>LEN(TRIM(A132))&gt;0</formula>
    </cfRule>
  </conditionalFormatting>
  <conditionalFormatting sqref="A132:D132">
    <cfRule type="expression" dxfId="3" priority="657">
      <formula>COUNTIF($A132, "TRUE") = 1</formula>
    </cfRule>
    <cfRule type="expression" dxfId="4" priority="658">
      <formula>COUNTIF($A132, "FALSE") = 1</formula>
    </cfRule>
    <cfRule type="notContainsBlanks" dxfId="1" priority="659">
      <formula>LEN(TRIM(A132))&gt;0</formula>
    </cfRule>
  </conditionalFormatting>
  <conditionalFormatting sqref="A133">
    <cfRule type="notContainsBlanks" dxfId="5" priority="665">
      <formula>LEN(TRIM(A133))&gt;0</formula>
    </cfRule>
  </conditionalFormatting>
  <conditionalFormatting sqref="A133:D133">
    <cfRule type="expression" dxfId="3" priority="662">
      <formula>COUNTIF($A133, "TRUE") = 1</formula>
    </cfRule>
    <cfRule type="expression" dxfId="4" priority="663">
      <formula>COUNTIF($A133, "FALSE") = 1</formula>
    </cfRule>
    <cfRule type="notContainsBlanks" dxfId="1" priority="664">
      <formula>LEN(TRIM(A133))&gt;0</formula>
    </cfRule>
  </conditionalFormatting>
  <conditionalFormatting sqref="A134">
    <cfRule type="notContainsBlanks" dxfId="5" priority="670">
      <formula>LEN(TRIM(A134))&gt;0</formula>
    </cfRule>
  </conditionalFormatting>
  <conditionalFormatting sqref="A134:D134">
    <cfRule type="expression" dxfId="3" priority="667">
      <formula>COUNTIF($A134, "TRUE") = 1</formula>
    </cfRule>
    <cfRule type="expression" dxfId="4" priority="668">
      <formula>COUNTIF($A134, "FALSE") = 1</formula>
    </cfRule>
    <cfRule type="notContainsBlanks" dxfId="1" priority="669">
      <formula>LEN(TRIM(A134))&gt;0</formula>
    </cfRule>
  </conditionalFormatting>
  <conditionalFormatting sqref="A135">
    <cfRule type="notContainsBlanks" dxfId="5" priority="675">
      <formula>LEN(TRIM(A135))&gt;0</formula>
    </cfRule>
  </conditionalFormatting>
  <conditionalFormatting sqref="A135:D135">
    <cfRule type="expression" dxfId="3" priority="672">
      <formula>COUNTIF($A135, "TRUE") = 1</formula>
    </cfRule>
    <cfRule type="expression" dxfId="4" priority="673">
      <formula>COUNTIF($A135, "FALSE") = 1</formula>
    </cfRule>
    <cfRule type="notContainsBlanks" dxfId="1" priority="674">
      <formula>LEN(TRIM(A135))&gt;0</formula>
    </cfRule>
  </conditionalFormatting>
  <conditionalFormatting sqref="A136">
    <cfRule type="notContainsBlanks" dxfId="5" priority="680">
      <formula>LEN(TRIM(A136))&gt;0</formula>
    </cfRule>
  </conditionalFormatting>
  <conditionalFormatting sqref="A136:D136">
    <cfRule type="expression" dxfId="3" priority="677">
      <formula>COUNTIF($A136, "TRUE") = 1</formula>
    </cfRule>
    <cfRule type="expression" dxfId="4" priority="678">
      <formula>COUNTIF($A136, "FALSE") = 1</formula>
    </cfRule>
    <cfRule type="notContainsBlanks" dxfId="1" priority="679">
      <formula>LEN(TRIM(A136))&gt;0</formula>
    </cfRule>
  </conditionalFormatting>
  <conditionalFormatting sqref="A137">
    <cfRule type="notContainsBlanks" dxfId="5" priority="685">
      <formula>LEN(TRIM(A137))&gt;0</formula>
    </cfRule>
  </conditionalFormatting>
  <conditionalFormatting sqref="A137:D137">
    <cfRule type="expression" dxfId="3" priority="682">
      <formula>COUNTIF($A137, "TRUE") = 1</formula>
    </cfRule>
    <cfRule type="expression" dxfId="4" priority="683">
      <formula>COUNTIF($A137, "FALSE") = 1</formula>
    </cfRule>
    <cfRule type="notContainsBlanks" dxfId="1" priority="684">
      <formula>LEN(TRIM(A137))&gt;0</formula>
    </cfRule>
  </conditionalFormatting>
  <conditionalFormatting sqref="A138">
    <cfRule type="notContainsBlanks" dxfId="5" priority="690">
      <formula>LEN(TRIM(A138))&gt;0</formula>
    </cfRule>
  </conditionalFormatting>
  <conditionalFormatting sqref="A138:D138">
    <cfRule type="expression" dxfId="3" priority="687">
      <formula>COUNTIF($A138, "TRUE") = 1</formula>
    </cfRule>
    <cfRule type="expression" dxfId="4" priority="688">
      <formula>COUNTIF($A138, "FALSE") = 1</formula>
    </cfRule>
    <cfRule type="notContainsBlanks" dxfId="1" priority="689">
      <formula>LEN(TRIM(A138))&gt;0</formula>
    </cfRule>
  </conditionalFormatting>
  <conditionalFormatting sqref="A139">
    <cfRule type="notContainsBlanks" dxfId="5" priority="695">
      <formula>LEN(TRIM(A139))&gt;0</formula>
    </cfRule>
  </conditionalFormatting>
  <conditionalFormatting sqref="A139:D139">
    <cfRule type="expression" dxfId="3" priority="692">
      <formula>COUNTIF($A139, "TRUE") = 1</formula>
    </cfRule>
    <cfRule type="expression" dxfId="4" priority="693">
      <formula>COUNTIF($A139, "FALSE") = 1</formula>
    </cfRule>
    <cfRule type="notContainsBlanks" dxfId="1" priority="694">
      <formula>LEN(TRIM(A139))&gt;0</formula>
    </cfRule>
  </conditionalFormatting>
  <conditionalFormatting sqref="A13:D13">
    <cfRule type="expression" dxfId="3" priority="62">
      <formula>COUNTIF($A13, "TRUE") = 1</formula>
    </cfRule>
    <cfRule type="expression" dxfId="4" priority="63">
      <formula>COUNTIF($A13, "FALSE") = 1</formula>
    </cfRule>
    <cfRule type="notContainsBlanks" dxfId="1" priority="64">
      <formula>LEN(TRIM(A13))&gt;0</formula>
    </cfRule>
  </conditionalFormatting>
  <conditionalFormatting sqref="A14">
    <cfRule type="notContainsBlanks" dxfId="5" priority="70">
      <formula>LEN(TRIM(A14))&gt;0</formula>
    </cfRule>
  </conditionalFormatting>
  <conditionalFormatting sqref="A140">
    <cfRule type="notContainsBlanks" dxfId="5" priority="700">
      <formula>LEN(TRIM(A140))&gt;0</formula>
    </cfRule>
  </conditionalFormatting>
  <conditionalFormatting sqref="A140:D140">
    <cfRule type="expression" dxfId="3" priority="697">
      <formula>COUNTIF($A140, "TRUE") = 1</formula>
    </cfRule>
    <cfRule type="expression" dxfId="4" priority="698">
      <formula>COUNTIF($A140, "FALSE") = 1</formula>
    </cfRule>
    <cfRule type="notContainsBlanks" dxfId="1" priority="699">
      <formula>LEN(TRIM(A140))&gt;0</formula>
    </cfRule>
  </conditionalFormatting>
  <conditionalFormatting sqref="A141">
    <cfRule type="notContainsBlanks" dxfId="5" priority="705">
      <formula>LEN(TRIM(A141))&gt;0</formula>
    </cfRule>
  </conditionalFormatting>
  <conditionalFormatting sqref="A141:D141">
    <cfRule type="expression" dxfId="3" priority="702">
      <formula>COUNTIF($A141, "TRUE") = 1</formula>
    </cfRule>
    <cfRule type="expression" dxfId="4" priority="703">
      <formula>COUNTIF($A141, "FALSE") = 1</formula>
    </cfRule>
    <cfRule type="notContainsBlanks" dxfId="1" priority="704">
      <formula>LEN(TRIM(A141))&gt;0</formula>
    </cfRule>
  </conditionalFormatting>
  <conditionalFormatting sqref="A142">
    <cfRule type="notContainsBlanks" dxfId="5" priority="710">
      <formula>LEN(TRIM(A142))&gt;0</formula>
    </cfRule>
  </conditionalFormatting>
  <conditionalFormatting sqref="A142:D142">
    <cfRule type="expression" dxfId="3" priority="707">
      <formula>COUNTIF($A142, "TRUE") = 1</formula>
    </cfRule>
    <cfRule type="expression" dxfId="4" priority="708">
      <formula>COUNTIF($A142, "FALSE") = 1</formula>
    </cfRule>
    <cfRule type="notContainsBlanks" dxfId="1" priority="709">
      <formula>LEN(TRIM(A142))&gt;0</formula>
    </cfRule>
  </conditionalFormatting>
  <conditionalFormatting sqref="A143">
    <cfRule type="notContainsBlanks" dxfId="5" priority="715">
      <formula>LEN(TRIM(A143))&gt;0</formula>
    </cfRule>
  </conditionalFormatting>
  <conditionalFormatting sqref="A143:D143">
    <cfRule type="expression" dxfId="3" priority="712">
      <formula>COUNTIF($A143, "TRUE") = 1</formula>
    </cfRule>
    <cfRule type="expression" dxfId="4" priority="713">
      <formula>COUNTIF($A143, "FALSE") = 1</formula>
    </cfRule>
    <cfRule type="notContainsBlanks" dxfId="1" priority="714">
      <formula>LEN(TRIM(A143))&gt;0</formula>
    </cfRule>
  </conditionalFormatting>
  <conditionalFormatting sqref="A144">
    <cfRule type="notContainsBlanks" dxfId="5" priority="720">
      <formula>LEN(TRIM(A144))&gt;0</formula>
    </cfRule>
  </conditionalFormatting>
  <conditionalFormatting sqref="A144:D144">
    <cfRule type="expression" dxfId="3" priority="717">
      <formula>COUNTIF($A144, "TRUE") = 1</formula>
    </cfRule>
    <cfRule type="expression" dxfId="4" priority="718">
      <formula>COUNTIF($A144, "FALSE") = 1</formula>
    </cfRule>
    <cfRule type="notContainsBlanks" dxfId="1" priority="719">
      <formula>LEN(TRIM(A144))&gt;0</formula>
    </cfRule>
  </conditionalFormatting>
  <conditionalFormatting sqref="A145">
    <cfRule type="notContainsBlanks" dxfId="5" priority="725">
      <formula>LEN(TRIM(A145))&gt;0</formula>
    </cfRule>
  </conditionalFormatting>
  <conditionalFormatting sqref="A145:D145">
    <cfRule type="expression" dxfId="3" priority="722">
      <formula>COUNTIF($A145, "TRUE") = 1</formula>
    </cfRule>
    <cfRule type="expression" dxfId="4" priority="723">
      <formula>COUNTIF($A145, "FALSE") = 1</formula>
    </cfRule>
    <cfRule type="notContainsBlanks" dxfId="1" priority="724">
      <formula>LEN(TRIM(A145))&gt;0</formula>
    </cfRule>
  </conditionalFormatting>
  <conditionalFormatting sqref="A146">
    <cfRule type="notContainsBlanks" dxfId="5" priority="730">
      <formula>LEN(TRIM(A146))&gt;0</formula>
    </cfRule>
  </conditionalFormatting>
  <conditionalFormatting sqref="A146:D146">
    <cfRule type="expression" dxfId="3" priority="727">
      <formula>COUNTIF($A146, "TRUE") = 1</formula>
    </cfRule>
    <cfRule type="expression" dxfId="4" priority="728">
      <formula>COUNTIF($A146, "FALSE") = 1</formula>
    </cfRule>
    <cfRule type="notContainsBlanks" dxfId="1" priority="729">
      <formula>LEN(TRIM(A146))&gt;0</formula>
    </cfRule>
  </conditionalFormatting>
  <conditionalFormatting sqref="A147">
    <cfRule type="notContainsBlanks" dxfId="5" priority="735">
      <formula>LEN(TRIM(A147))&gt;0</formula>
    </cfRule>
  </conditionalFormatting>
  <conditionalFormatting sqref="A147:D147">
    <cfRule type="expression" dxfId="3" priority="732">
      <formula>COUNTIF($A147, "TRUE") = 1</formula>
    </cfRule>
    <cfRule type="expression" dxfId="4" priority="733">
      <formula>COUNTIF($A147, "FALSE") = 1</formula>
    </cfRule>
    <cfRule type="notContainsBlanks" dxfId="1" priority="734">
      <formula>LEN(TRIM(A147))&gt;0</formula>
    </cfRule>
  </conditionalFormatting>
  <conditionalFormatting sqref="A148">
    <cfRule type="notContainsBlanks" dxfId="5" priority="740">
      <formula>LEN(TRIM(A148))&gt;0</formula>
    </cfRule>
  </conditionalFormatting>
  <conditionalFormatting sqref="A148:D148">
    <cfRule type="expression" dxfId="3" priority="737">
      <formula>COUNTIF($A148, "TRUE") = 1</formula>
    </cfRule>
    <cfRule type="expression" dxfId="4" priority="738">
      <formula>COUNTIF($A148, "FALSE") = 1</formula>
    </cfRule>
    <cfRule type="notContainsBlanks" dxfId="1" priority="739">
      <formula>LEN(TRIM(A148))&gt;0</formula>
    </cfRule>
  </conditionalFormatting>
  <conditionalFormatting sqref="A149">
    <cfRule type="notContainsBlanks" dxfId="5" priority="745">
      <formula>LEN(TRIM(A149))&gt;0</formula>
    </cfRule>
  </conditionalFormatting>
  <conditionalFormatting sqref="A149:D149">
    <cfRule type="expression" dxfId="3" priority="742">
      <formula>COUNTIF($A149, "TRUE") = 1</formula>
    </cfRule>
    <cfRule type="expression" dxfId="4" priority="743">
      <formula>COUNTIF($A149, "FALSE") = 1</formula>
    </cfRule>
    <cfRule type="notContainsBlanks" dxfId="1" priority="744">
      <formula>LEN(TRIM(A149))&gt;0</formula>
    </cfRule>
  </conditionalFormatting>
  <conditionalFormatting sqref="A14:D14">
    <cfRule type="expression" dxfId="3" priority="67">
      <formula>COUNTIF($A14, "TRUE") = 1</formula>
    </cfRule>
    <cfRule type="expression" dxfId="4" priority="68">
      <formula>COUNTIF($A14, "FALSE") = 1</formula>
    </cfRule>
    <cfRule type="notContainsBlanks" dxfId="1" priority="69">
      <formula>LEN(TRIM(A14))&gt;0</formula>
    </cfRule>
  </conditionalFormatting>
  <conditionalFormatting sqref="A15">
    <cfRule type="notContainsBlanks" dxfId="5" priority="75">
      <formula>LEN(TRIM(A15))&gt;0</formula>
    </cfRule>
  </conditionalFormatting>
  <conditionalFormatting sqref="A150">
    <cfRule type="notContainsBlanks" dxfId="5" priority="750">
      <formula>LEN(TRIM(A150))&gt;0</formula>
    </cfRule>
  </conditionalFormatting>
  <conditionalFormatting sqref="A150:D150">
    <cfRule type="expression" dxfId="3" priority="747">
      <formula>COUNTIF($A150, "TRUE") = 1</formula>
    </cfRule>
    <cfRule type="expression" dxfId="4" priority="748">
      <formula>COUNTIF($A150, "FALSE") = 1</formula>
    </cfRule>
    <cfRule type="notContainsBlanks" dxfId="1" priority="749">
      <formula>LEN(TRIM(A150))&gt;0</formula>
    </cfRule>
  </conditionalFormatting>
  <conditionalFormatting sqref="A151">
    <cfRule type="notContainsBlanks" dxfId="5" priority="755">
      <formula>LEN(TRIM(A151))&gt;0</formula>
    </cfRule>
  </conditionalFormatting>
  <conditionalFormatting sqref="A151:D151">
    <cfRule type="expression" dxfId="3" priority="752">
      <formula>COUNTIF($A151, "TRUE") = 1</formula>
    </cfRule>
    <cfRule type="expression" dxfId="4" priority="753">
      <formula>COUNTIF($A151, "FALSE") = 1</formula>
    </cfRule>
    <cfRule type="notContainsBlanks" dxfId="1" priority="754">
      <formula>LEN(TRIM(A151))&gt;0</formula>
    </cfRule>
  </conditionalFormatting>
  <conditionalFormatting sqref="A152">
    <cfRule type="notContainsBlanks" dxfId="5" priority="760">
      <formula>LEN(TRIM(A152))&gt;0</formula>
    </cfRule>
  </conditionalFormatting>
  <conditionalFormatting sqref="A152:D152">
    <cfRule type="expression" dxfId="3" priority="757">
      <formula>COUNTIF($A152, "TRUE") = 1</formula>
    </cfRule>
    <cfRule type="expression" dxfId="4" priority="758">
      <formula>COUNTIF($A152, "FALSE") = 1</formula>
    </cfRule>
    <cfRule type="notContainsBlanks" dxfId="1" priority="759">
      <formula>LEN(TRIM(A152))&gt;0</formula>
    </cfRule>
  </conditionalFormatting>
  <conditionalFormatting sqref="A153">
    <cfRule type="notContainsBlanks" dxfId="5" priority="765">
      <formula>LEN(TRIM(A153))&gt;0</formula>
    </cfRule>
  </conditionalFormatting>
  <conditionalFormatting sqref="A153:D153">
    <cfRule type="expression" dxfId="3" priority="762">
      <formula>COUNTIF($A153, "TRUE") = 1</formula>
    </cfRule>
    <cfRule type="expression" dxfId="4" priority="763">
      <formula>COUNTIF($A153, "FALSE") = 1</formula>
    </cfRule>
    <cfRule type="notContainsBlanks" dxfId="1" priority="764">
      <formula>LEN(TRIM(A153))&gt;0</formula>
    </cfRule>
  </conditionalFormatting>
  <conditionalFormatting sqref="A154">
    <cfRule type="notContainsBlanks" dxfId="5" priority="770">
      <formula>LEN(TRIM(A154))&gt;0</formula>
    </cfRule>
  </conditionalFormatting>
  <conditionalFormatting sqref="A154:D154">
    <cfRule type="expression" dxfId="3" priority="767">
      <formula>COUNTIF($A154, "TRUE") = 1</formula>
    </cfRule>
    <cfRule type="expression" dxfId="4" priority="768">
      <formula>COUNTIF($A154, "FALSE") = 1</formula>
    </cfRule>
    <cfRule type="notContainsBlanks" dxfId="1" priority="769">
      <formula>LEN(TRIM(A154))&gt;0</formula>
    </cfRule>
  </conditionalFormatting>
  <conditionalFormatting sqref="A155">
    <cfRule type="notContainsBlanks" dxfId="5" priority="775">
      <formula>LEN(TRIM(A155))&gt;0</formula>
    </cfRule>
  </conditionalFormatting>
  <conditionalFormatting sqref="A155:D155">
    <cfRule type="expression" dxfId="3" priority="772">
      <formula>COUNTIF($A155, "TRUE") = 1</formula>
    </cfRule>
    <cfRule type="expression" dxfId="4" priority="773">
      <formula>COUNTIF($A155, "FALSE") = 1</formula>
    </cfRule>
    <cfRule type="notContainsBlanks" dxfId="1" priority="774">
      <formula>LEN(TRIM(A155))&gt;0</formula>
    </cfRule>
  </conditionalFormatting>
  <conditionalFormatting sqref="A156">
    <cfRule type="notContainsBlanks" dxfId="5" priority="780">
      <formula>LEN(TRIM(A156))&gt;0</formula>
    </cfRule>
  </conditionalFormatting>
  <conditionalFormatting sqref="A156:D156">
    <cfRule type="expression" dxfId="3" priority="777">
      <formula>COUNTIF($A156, "TRUE") = 1</formula>
    </cfRule>
    <cfRule type="expression" dxfId="4" priority="778">
      <formula>COUNTIF($A156, "FALSE") = 1</formula>
    </cfRule>
    <cfRule type="notContainsBlanks" dxfId="1" priority="779">
      <formula>LEN(TRIM(A156))&gt;0</formula>
    </cfRule>
  </conditionalFormatting>
  <conditionalFormatting sqref="A157">
    <cfRule type="notContainsBlanks" dxfId="5" priority="785">
      <formula>LEN(TRIM(A157))&gt;0</formula>
    </cfRule>
  </conditionalFormatting>
  <conditionalFormatting sqref="A157:D157">
    <cfRule type="expression" dxfId="3" priority="782">
      <formula>COUNTIF($A157, "TRUE") = 1</formula>
    </cfRule>
    <cfRule type="expression" dxfId="4" priority="783">
      <formula>COUNTIF($A157, "FALSE") = 1</formula>
    </cfRule>
    <cfRule type="notContainsBlanks" dxfId="1" priority="784">
      <formula>LEN(TRIM(A157))&gt;0</formula>
    </cfRule>
  </conditionalFormatting>
  <conditionalFormatting sqref="A158">
    <cfRule type="notContainsBlanks" dxfId="5" priority="790">
      <formula>LEN(TRIM(A158))&gt;0</formula>
    </cfRule>
  </conditionalFormatting>
  <conditionalFormatting sqref="A158:D158">
    <cfRule type="expression" dxfId="3" priority="787">
      <formula>COUNTIF($A158, "TRUE") = 1</formula>
    </cfRule>
    <cfRule type="expression" dxfId="4" priority="788">
      <formula>COUNTIF($A158, "FALSE") = 1</formula>
    </cfRule>
    <cfRule type="notContainsBlanks" dxfId="1" priority="789">
      <formula>LEN(TRIM(A158))&gt;0</formula>
    </cfRule>
  </conditionalFormatting>
  <conditionalFormatting sqref="A159">
    <cfRule type="notContainsBlanks" dxfId="5" priority="795">
      <formula>LEN(TRIM(A159))&gt;0</formula>
    </cfRule>
  </conditionalFormatting>
  <conditionalFormatting sqref="A159:D159">
    <cfRule type="expression" dxfId="3" priority="792">
      <formula>COUNTIF($A159, "TRUE") = 1</formula>
    </cfRule>
    <cfRule type="expression" dxfId="4" priority="793">
      <formula>COUNTIF($A159, "FALSE") = 1</formula>
    </cfRule>
    <cfRule type="notContainsBlanks" dxfId="1" priority="794">
      <formula>LEN(TRIM(A159))&gt;0</formula>
    </cfRule>
  </conditionalFormatting>
  <conditionalFormatting sqref="A15:D15">
    <cfRule type="expression" dxfId="3" priority="72">
      <formula>COUNTIF($A15, "TRUE") = 1</formula>
    </cfRule>
    <cfRule type="expression" dxfId="4" priority="73">
      <formula>COUNTIF($A15, "FALSE") = 1</formula>
    </cfRule>
    <cfRule type="notContainsBlanks" dxfId="1" priority="74">
      <formula>LEN(TRIM(A15))&gt;0</formula>
    </cfRule>
  </conditionalFormatting>
  <conditionalFormatting sqref="A16">
    <cfRule type="notContainsBlanks" dxfId="5" priority="80">
      <formula>LEN(TRIM(A16))&gt;0</formula>
    </cfRule>
  </conditionalFormatting>
  <conditionalFormatting sqref="A160">
    <cfRule type="notContainsBlanks" dxfId="5" priority="800">
      <formula>LEN(TRIM(A160))&gt;0</formula>
    </cfRule>
  </conditionalFormatting>
  <conditionalFormatting sqref="A160:D160">
    <cfRule type="expression" dxfId="3" priority="797">
      <formula>COUNTIF($A160, "TRUE") = 1</formula>
    </cfRule>
    <cfRule type="expression" dxfId="4" priority="798">
      <formula>COUNTIF($A160, "FALSE") = 1</formula>
    </cfRule>
    <cfRule type="notContainsBlanks" dxfId="1" priority="799">
      <formula>LEN(TRIM(A160))&gt;0</formula>
    </cfRule>
  </conditionalFormatting>
  <conditionalFormatting sqref="A161">
    <cfRule type="notContainsBlanks" dxfId="5" priority="805">
      <formula>LEN(TRIM(A161))&gt;0</formula>
    </cfRule>
  </conditionalFormatting>
  <conditionalFormatting sqref="A161:D161">
    <cfRule type="expression" dxfId="3" priority="802">
      <formula>COUNTIF($A161, "TRUE") = 1</formula>
    </cfRule>
    <cfRule type="expression" dxfId="4" priority="803">
      <formula>COUNTIF($A161, "FALSE") = 1</formula>
    </cfRule>
    <cfRule type="notContainsBlanks" dxfId="1" priority="804">
      <formula>LEN(TRIM(A161))&gt;0</formula>
    </cfRule>
  </conditionalFormatting>
  <conditionalFormatting sqref="A162">
    <cfRule type="notContainsBlanks" dxfId="5" priority="810">
      <formula>LEN(TRIM(A162))&gt;0</formula>
    </cfRule>
  </conditionalFormatting>
  <conditionalFormatting sqref="A162:D162">
    <cfRule type="expression" dxfId="3" priority="807">
      <formula>COUNTIF($A162, "TRUE") = 1</formula>
    </cfRule>
    <cfRule type="expression" dxfId="4" priority="808">
      <formula>COUNTIF($A162, "FALSE") = 1</formula>
    </cfRule>
    <cfRule type="notContainsBlanks" dxfId="1" priority="809">
      <formula>LEN(TRIM(A162))&gt;0</formula>
    </cfRule>
  </conditionalFormatting>
  <conditionalFormatting sqref="A163">
    <cfRule type="notContainsBlanks" dxfId="5" priority="815">
      <formula>LEN(TRIM(A163))&gt;0</formula>
    </cfRule>
  </conditionalFormatting>
  <conditionalFormatting sqref="A163:D163">
    <cfRule type="expression" dxfId="3" priority="812">
      <formula>COUNTIF($A163, "TRUE") = 1</formula>
    </cfRule>
    <cfRule type="expression" dxfId="4" priority="813">
      <formula>COUNTIF($A163, "FALSE") = 1</formula>
    </cfRule>
    <cfRule type="notContainsBlanks" dxfId="1" priority="814">
      <formula>LEN(TRIM(A163))&gt;0</formula>
    </cfRule>
  </conditionalFormatting>
  <conditionalFormatting sqref="A164">
    <cfRule type="notContainsBlanks" dxfId="5" priority="820">
      <formula>LEN(TRIM(A164))&gt;0</formula>
    </cfRule>
  </conditionalFormatting>
  <conditionalFormatting sqref="A164:D164">
    <cfRule type="expression" dxfId="3" priority="817">
      <formula>COUNTIF($A164, "TRUE") = 1</formula>
    </cfRule>
    <cfRule type="expression" dxfId="4" priority="818">
      <formula>COUNTIF($A164, "FALSE") = 1</formula>
    </cfRule>
    <cfRule type="notContainsBlanks" dxfId="1" priority="819">
      <formula>LEN(TRIM(A164))&gt;0</formula>
    </cfRule>
  </conditionalFormatting>
  <conditionalFormatting sqref="A165">
    <cfRule type="notContainsBlanks" dxfId="5" priority="825">
      <formula>LEN(TRIM(A165))&gt;0</formula>
    </cfRule>
  </conditionalFormatting>
  <conditionalFormatting sqref="A165:D165">
    <cfRule type="expression" dxfId="3" priority="822">
      <formula>COUNTIF($A165, "TRUE") = 1</formula>
    </cfRule>
    <cfRule type="expression" dxfId="4" priority="823">
      <formula>COUNTIF($A165, "FALSE") = 1</formula>
    </cfRule>
    <cfRule type="notContainsBlanks" dxfId="1" priority="824">
      <formula>LEN(TRIM(A165))&gt;0</formula>
    </cfRule>
  </conditionalFormatting>
  <conditionalFormatting sqref="A166">
    <cfRule type="notContainsBlanks" dxfId="5" priority="830">
      <formula>LEN(TRIM(A166))&gt;0</formula>
    </cfRule>
  </conditionalFormatting>
  <conditionalFormatting sqref="A166:D166">
    <cfRule type="expression" dxfId="3" priority="827">
      <formula>COUNTIF($A166, "TRUE") = 1</formula>
    </cfRule>
    <cfRule type="expression" dxfId="4" priority="828">
      <formula>COUNTIF($A166, "FALSE") = 1</formula>
    </cfRule>
    <cfRule type="notContainsBlanks" dxfId="1" priority="829">
      <formula>LEN(TRIM(A166))&gt;0</formula>
    </cfRule>
  </conditionalFormatting>
  <conditionalFormatting sqref="A167">
    <cfRule type="notContainsBlanks" dxfId="5" priority="835">
      <formula>LEN(TRIM(A167))&gt;0</formula>
    </cfRule>
  </conditionalFormatting>
  <conditionalFormatting sqref="A167:D167">
    <cfRule type="expression" dxfId="3" priority="832">
      <formula>COUNTIF($A167, "TRUE") = 1</formula>
    </cfRule>
    <cfRule type="expression" dxfId="4" priority="833">
      <formula>COUNTIF($A167, "FALSE") = 1</formula>
    </cfRule>
    <cfRule type="notContainsBlanks" dxfId="1" priority="834">
      <formula>LEN(TRIM(A167))&gt;0</formula>
    </cfRule>
  </conditionalFormatting>
  <conditionalFormatting sqref="A168">
    <cfRule type="notContainsBlanks" dxfId="5" priority="840">
      <formula>LEN(TRIM(A168))&gt;0</formula>
    </cfRule>
  </conditionalFormatting>
  <conditionalFormatting sqref="A168:D168">
    <cfRule type="expression" dxfId="3" priority="837">
      <formula>COUNTIF($A168, "TRUE") = 1</formula>
    </cfRule>
    <cfRule type="expression" dxfId="4" priority="838">
      <formula>COUNTIF($A168, "FALSE") = 1</formula>
    </cfRule>
    <cfRule type="notContainsBlanks" dxfId="1" priority="839">
      <formula>LEN(TRIM(A168))&gt;0</formula>
    </cfRule>
  </conditionalFormatting>
  <conditionalFormatting sqref="A169">
    <cfRule type="notContainsBlanks" dxfId="5" priority="845">
      <formula>LEN(TRIM(A169))&gt;0</formula>
    </cfRule>
  </conditionalFormatting>
  <conditionalFormatting sqref="A169:D169">
    <cfRule type="expression" dxfId="3" priority="842">
      <formula>COUNTIF($A169, "TRUE") = 1</formula>
    </cfRule>
    <cfRule type="expression" dxfId="4" priority="843">
      <formula>COUNTIF($A169, "FALSE") = 1</formula>
    </cfRule>
    <cfRule type="notContainsBlanks" dxfId="1" priority="844">
      <formula>LEN(TRIM(A169))&gt;0</formula>
    </cfRule>
  </conditionalFormatting>
  <conditionalFormatting sqref="A16:D16">
    <cfRule type="expression" dxfId="3" priority="77">
      <formula>COUNTIF($A16, "TRUE") = 1</formula>
    </cfRule>
    <cfRule type="expression" dxfId="4" priority="78">
      <formula>COUNTIF($A16, "FALSE") = 1</formula>
    </cfRule>
    <cfRule type="notContainsBlanks" dxfId="1" priority="79">
      <formula>LEN(TRIM(A16))&gt;0</formula>
    </cfRule>
  </conditionalFormatting>
  <conditionalFormatting sqref="A17">
    <cfRule type="notContainsBlanks" dxfId="5" priority="85">
      <formula>LEN(TRIM(A17))&gt;0</formula>
    </cfRule>
  </conditionalFormatting>
  <conditionalFormatting sqref="A170">
    <cfRule type="notContainsBlanks" dxfId="5" priority="850">
      <formula>LEN(TRIM(A170))&gt;0</formula>
    </cfRule>
  </conditionalFormatting>
  <conditionalFormatting sqref="A170:D170">
    <cfRule type="expression" dxfId="3" priority="847">
      <formula>COUNTIF($A170, "TRUE") = 1</formula>
    </cfRule>
    <cfRule type="expression" dxfId="4" priority="848">
      <formula>COUNTIF($A170, "FALSE") = 1</formula>
    </cfRule>
    <cfRule type="notContainsBlanks" dxfId="1" priority="849">
      <formula>LEN(TRIM(A170))&gt;0</formula>
    </cfRule>
  </conditionalFormatting>
  <conditionalFormatting sqref="A171">
    <cfRule type="notContainsBlanks" dxfId="5" priority="855">
      <formula>LEN(TRIM(A171))&gt;0</formula>
    </cfRule>
  </conditionalFormatting>
  <conditionalFormatting sqref="A171:D171">
    <cfRule type="expression" dxfId="3" priority="852">
      <formula>COUNTIF($A171, "TRUE") = 1</formula>
    </cfRule>
    <cfRule type="expression" dxfId="4" priority="853">
      <formula>COUNTIF($A171, "FALSE") = 1</formula>
    </cfRule>
    <cfRule type="notContainsBlanks" dxfId="1" priority="854">
      <formula>LEN(TRIM(A171))&gt;0</formula>
    </cfRule>
  </conditionalFormatting>
  <conditionalFormatting sqref="A172">
    <cfRule type="notContainsBlanks" dxfId="5" priority="860">
      <formula>LEN(TRIM(A172))&gt;0</formula>
    </cfRule>
  </conditionalFormatting>
  <conditionalFormatting sqref="A172:D172">
    <cfRule type="expression" dxfId="3" priority="857">
      <formula>COUNTIF($A172, "TRUE") = 1</formula>
    </cfRule>
    <cfRule type="expression" dxfId="4" priority="858">
      <formula>COUNTIF($A172, "FALSE") = 1</formula>
    </cfRule>
    <cfRule type="notContainsBlanks" dxfId="1" priority="859">
      <formula>LEN(TRIM(A172))&gt;0</formula>
    </cfRule>
  </conditionalFormatting>
  <conditionalFormatting sqref="A173">
    <cfRule type="notContainsBlanks" dxfId="5" priority="865">
      <formula>LEN(TRIM(A173))&gt;0</formula>
    </cfRule>
  </conditionalFormatting>
  <conditionalFormatting sqref="A173:D173">
    <cfRule type="expression" dxfId="3" priority="862">
      <formula>COUNTIF($A173, "TRUE") = 1</formula>
    </cfRule>
    <cfRule type="expression" dxfId="4" priority="863">
      <formula>COUNTIF($A173, "FALSE") = 1</formula>
    </cfRule>
    <cfRule type="notContainsBlanks" dxfId="1" priority="864">
      <formula>LEN(TRIM(A173))&gt;0</formula>
    </cfRule>
  </conditionalFormatting>
  <conditionalFormatting sqref="A174">
    <cfRule type="notContainsBlanks" dxfId="5" priority="870">
      <formula>LEN(TRIM(A174))&gt;0</formula>
    </cfRule>
  </conditionalFormatting>
  <conditionalFormatting sqref="A174:D174">
    <cfRule type="expression" dxfId="3" priority="867">
      <formula>COUNTIF($A174, "TRUE") = 1</formula>
    </cfRule>
    <cfRule type="expression" dxfId="4" priority="868">
      <formula>COUNTIF($A174, "FALSE") = 1</formula>
    </cfRule>
    <cfRule type="notContainsBlanks" dxfId="1" priority="869">
      <formula>LEN(TRIM(A174))&gt;0</formula>
    </cfRule>
  </conditionalFormatting>
  <conditionalFormatting sqref="A175">
    <cfRule type="notContainsBlanks" dxfId="5" priority="875">
      <formula>LEN(TRIM(A175))&gt;0</formula>
    </cfRule>
  </conditionalFormatting>
  <conditionalFormatting sqref="A175:D175">
    <cfRule type="expression" dxfId="3" priority="872">
      <formula>COUNTIF($A175, "TRUE") = 1</formula>
    </cfRule>
    <cfRule type="expression" dxfId="4" priority="873">
      <formula>COUNTIF($A175, "FALSE") = 1</formula>
    </cfRule>
    <cfRule type="notContainsBlanks" dxfId="1" priority="874">
      <formula>LEN(TRIM(A175))&gt;0</formula>
    </cfRule>
  </conditionalFormatting>
  <conditionalFormatting sqref="A176">
    <cfRule type="notContainsBlanks" dxfId="5" priority="880">
      <formula>LEN(TRIM(A176))&gt;0</formula>
    </cfRule>
  </conditionalFormatting>
  <conditionalFormatting sqref="A176:D176">
    <cfRule type="expression" dxfId="3" priority="877">
      <formula>COUNTIF($A176, "TRUE") = 1</formula>
    </cfRule>
    <cfRule type="expression" dxfId="4" priority="878">
      <formula>COUNTIF($A176, "FALSE") = 1</formula>
    </cfRule>
    <cfRule type="notContainsBlanks" dxfId="1" priority="879">
      <formula>LEN(TRIM(A176))&gt;0</formula>
    </cfRule>
  </conditionalFormatting>
  <conditionalFormatting sqref="A177">
    <cfRule type="notContainsBlanks" dxfId="5" priority="885">
      <formula>LEN(TRIM(A177))&gt;0</formula>
    </cfRule>
  </conditionalFormatting>
  <conditionalFormatting sqref="A177:D177">
    <cfRule type="expression" dxfId="3" priority="882">
      <formula>COUNTIF($A177, "TRUE") = 1</formula>
    </cfRule>
    <cfRule type="expression" dxfId="4" priority="883">
      <formula>COUNTIF($A177, "FALSE") = 1</formula>
    </cfRule>
    <cfRule type="notContainsBlanks" dxfId="1" priority="884">
      <formula>LEN(TRIM(A177))&gt;0</formula>
    </cfRule>
  </conditionalFormatting>
  <conditionalFormatting sqref="A178">
    <cfRule type="notContainsBlanks" dxfId="5" priority="890">
      <formula>LEN(TRIM(A178))&gt;0</formula>
    </cfRule>
  </conditionalFormatting>
  <conditionalFormatting sqref="A178:D178">
    <cfRule type="expression" dxfId="3" priority="887">
      <formula>COUNTIF($A178, "TRUE") = 1</formula>
    </cfRule>
    <cfRule type="expression" dxfId="4" priority="888">
      <formula>COUNTIF($A178, "FALSE") = 1</formula>
    </cfRule>
    <cfRule type="notContainsBlanks" dxfId="1" priority="889">
      <formula>LEN(TRIM(A178))&gt;0</formula>
    </cfRule>
  </conditionalFormatting>
  <conditionalFormatting sqref="A179">
    <cfRule type="notContainsBlanks" dxfId="5" priority="895">
      <formula>LEN(TRIM(A179))&gt;0</formula>
    </cfRule>
  </conditionalFormatting>
  <conditionalFormatting sqref="A179:D179">
    <cfRule type="expression" dxfId="3" priority="892">
      <formula>COUNTIF($A179, "TRUE") = 1</formula>
    </cfRule>
    <cfRule type="expression" dxfId="4" priority="893">
      <formula>COUNTIF($A179, "FALSE") = 1</formula>
    </cfRule>
    <cfRule type="notContainsBlanks" dxfId="1" priority="894">
      <formula>LEN(TRIM(A179))&gt;0</formula>
    </cfRule>
  </conditionalFormatting>
  <conditionalFormatting sqref="A17:D17">
    <cfRule type="expression" dxfId="3" priority="82">
      <formula>COUNTIF($A17, "TRUE") = 1</formula>
    </cfRule>
    <cfRule type="expression" dxfId="4" priority="83">
      <formula>COUNTIF($A17, "FALSE") = 1</formula>
    </cfRule>
    <cfRule type="notContainsBlanks" dxfId="1" priority="84">
      <formula>LEN(TRIM(A17))&gt;0</formula>
    </cfRule>
  </conditionalFormatting>
  <conditionalFormatting sqref="A18">
    <cfRule type="notContainsBlanks" dxfId="5" priority="90">
      <formula>LEN(TRIM(A18))&gt;0</formula>
    </cfRule>
  </conditionalFormatting>
  <conditionalFormatting sqref="A180">
    <cfRule type="notContainsBlanks" dxfId="5" priority="900">
      <formula>LEN(TRIM(A180))&gt;0</formula>
    </cfRule>
  </conditionalFormatting>
  <conditionalFormatting sqref="A180:D180">
    <cfRule type="expression" dxfId="3" priority="897">
      <formula>COUNTIF($A180, "TRUE") = 1</formula>
    </cfRule>
    <cfRule type="expression" dxfId="4" priority="898">
      <formula>COUNTIF($A180, "FALSE") = 1</formula>
    </cfRule>
    <cfRule type="notContainsBlanks" dxfId="1" priority="899">
      <formula>LEN(TRIM(A180))&gt;0</formula>
    </cfRule>
  </conditionalFormatting>
  <conditionalFormatting sqref="A181">
    <cfRule type="notContainsBlanks" dxfId="5" priority="905">
      <formula>LEN(TRIM(A181))&gt;0</formula>
    </cfRule>
  </conditionalFormatting>
  <conditionalFormatting sqref="A181:D181">
    <cfRule type="expression" dxfId="3" priority="902">
      <formula>COUNTIF($A181, "TRUE") = 1</formula>
    </cfRule>
    <cfRule type="expression" dxfId="4" priority="903">
      <formula>COUNTIF($A181, "FALSE") = 1</formula>
    </cfRule>
    <cfRule type="notContainsBlanks" dxfId="1" priority="904">
      <formula>LEN(TRIM(A181))&gt;0</formula>
    </cfRule>
  </conditionalFormatting>
  <conditionalFormatting sqref="A182">
    <cfRule type="notContainsBlanks" dxfId="5" priority="910">
      <formula>LEN(TRIM(A182))&gt;0</formula>
    </cfRule>
  </conditionalFormatting>
  <conditionalFormatting sqref="A182:D182">
    <cfRule type="expression" dxfId="3" priority="907">
      <formula>COUNTIF($A182, "TRUE") = 1</formula>
    </cfRule>
    <cfRule type="expression" dxfId="4" priority="908">
      <formula>COUNTIF($A182, "FALSE") = 1</formula>
    </cfRule>
    <cfRule type="notContainsBlanks" dxfId="1" priority="909">
      <formula>LEN(TRIM(A182))&gt;0</formula>
    </cfRule>
  </conditionalFormatting>
  <conditionalFormatting sqref="A183">
    <cfRule type="notContainsBlanks" dxfId="5" priority="915">
      <formula>LEN(TRIM(A183))&gt;0</formula>
    </cfRule>
  </conditionalFormatting>
  <conditionalFormatting sqref="A183:D183">
    <cfRule type="expression" dxfId="3" priority="912">
      <formula>COUNTIF($A183, "TRUE") = 1</formula>
    </cfRule>
    <cfRule type="expression" dxfId="4" priority="913">
      <formula>COUNTIF($A183, "FALSE") = 1</formula>
    </cfRule>
    <cfRule type="notContainsBlanks" dxfId="1" priority="914">
      <formula>LEN(TRIM(A183))&gt;0</formula>
    </cfRule>
  </conditionalFormatting>
  <conditionalFormatting sqref="A184">
    <cfRule type="notContainsBlanks" dxfId="5" priority="920">
      <formula>LEN(TRIM(A184))&gt;0</formula>
    </cfRule>
  </conditionalFormatting>
  <conditionalFormatting sqref="A184:D184">
    <cfRule type="expression" dxfId="3" priority="917">
      <formula>COUNTIF($A184, "TRUE") = 1</formula>
    </cfRule>
    <cfRule type="expression" dxfId="4" priority="918">
      <formula>COUNTIF($A184, "FALSE") = 1</formula>
    </cfRule>
    <cfRule type="notContainsBlanks" dxfId="1" priority="919">
      <formula>LEN(TRIM(A184))&gt;0</formula>
    </cfRule>
  </conditionalFormatting>
  <conditionalFormatting sqref="A185">
    <cfRule type="notContainsBlanks" dxfId="5" priority="925">
      <formula>LEN(TRIM(A185))&gt;0</formula>
    </cfRule>
  </conditionalFormatting>
  <conditionalFormatting sqref="A185:D185">
    <cfRule type="expression" dxfId="3" priority="922">
      <formula>COUNTIF($A185, "TRUE") = 1</formula>
    </cfRule>
    <cfRule type="expression" dxfId="4" priority="923">
      <formula>COUNTIF($A185, "FALSE") = 1</formula>
    </cfRule>
    <cfRule type="notContainsBlanks" dxfId="1" priority="924">
      <formula>LEN(TRIM(A185))&gt;0</formula>
    </cfRule>
  </conditionalFormatting>
  <conditionalFormatting sqref="A186">
    <cfRule type="notContainsBlanks" dxfId="5" priority="930">
      <formula>LEN(TRIM(A186))&gt;0</formula>
    </cfRule>
  </conditionalFormatting>
  <conditionalFormatting sqref="A186:D186">
    <cfRule type="expression" dxfId="3" priority="927">
      <formula>COUNTIF($A186, "TRUE") = 1</formula>
    </cfRule>
    <cfRule type="expression" dxfId="4" priority="928">
      <formula>COUNTIF($A186, "FALSE") = 1</formula>
    </cfRule>
    <cfRule type="notContainsBlanks" dxfId="1" priority="929">
      <formula>LEN(TRIM(A186))&gt;0</formula>
    </cfRule>
  </conditionalFormatting>
  <conditionalFormatting sqref="A187">
    <cfRule type="notContainsBlanks" dxfId="5" priority="935">
      <formula>LEN(TRIM(A187))&gt;0</formula>
    </cfRule>
  </conditionalFormatting>
  <conditionalFormatting sqref="A187:D187">
    <cfRule type="expression" dxfId="3" priority="932">
      <formula>COUNTIF($A187, "TRUE") = 1</formula>
    </cfRule>
    <cfRule type="expression" dxfId="4" priority="933">
      <formula>COUNTIF($A187, "FALSE") = 1</formula>
    </cfRule>
    <cfRule type="notContainsBlanks" dxfId="1" priority="934">
      <formula>LEN(TRIM(A187))&gt;0</formula>
    </cfRule>
  </conditionalFormatting>
  <conditionalFormatting sqref="A188">
    <cfRule type="notContainsBlanks" dxfId="5" priority="940">
      <formula>LEN(TRIM(A188))&gt;0</formula>
    </cfRule>
  </conditionalFormatting>
  <conditionalFormatting sqref="A188:D188">
    <cfRule type="expression" dxfId="3" priority="937">
      <formula>COUNTIF($A188, "TRUE") = 1</formula>
    </cfRule>
    <cfRule type="expression" dxfId="4" priority="938">
      <formula>COUNTIF($A188, "FALSE") = 1</formula>
    </cfRule>
    <cfRule type="notContainsBlanks" dxfId="1" priority="939">
      <formula>LEN(TRIM(A188))&gt;0</formula>
    </cfRule>
  </conditionalFormatting>
  <conditionalFormatting sqref="A189">
    <cfRule type="notContainsBlanks" dxfId="5" priority="945">
      <formula>LEN(TRIM(A189))&gt;0</formula>
    </cfRule>
  </conditionalFormatting>
  <conditionalFormatting sqref="A189:D189">
    <cfRule type="expression" dxfId="3" priority="942">
      <formula>COUNTIF($A189, "TRUE") = 1</formula>
    </cfRule>
    <cfRule type="expression" dxfId="4" priority="943">
      <formula>COUNTIF($A189, "FALSE") = 1</formula>
    </cfRule>
    <cfRule type="notContainsBlanks" dxfId="1" priority="944">
      <formula>LEN(TRIM(A189))&gt;0</formula>
    </cfRule>
  </conditionalFormatting>
  <conditionalFormatting sqref="A18:D18">
    <cfRule type="expression" dxfId="3" priority="87">
      <formula>COUNTIF($A18, "TRUE") = 1</formula>
    </cfRule>
    <cfRule type="expression" dxfId="4" priority="88">
      <formula>COUNTIF($A18, "FALSE") = 1</formula>
    </cfRule>
    <cfRule type="notContainsBlanks" dxfId="1" priority="89">
      <formula>LEN(TRIM(A18))&gt;0</formula>
    </cfRule>
  </conditionalFormatting>
  <conditionalFormatting sqref="A19">
    <cfRule type="notContainsBlanks" dxfId="5" priority="95">
      <formula>LEN(TRIM(A19))&gt;0</formula>
    </cfRule>
  </conditionalFormatting>
  <conditionalFormatting sqref="A190">
    <cfRule type="notContainsBlanks" dxfId="5" priority="950">
      <formula>LEN(TRIM(A190))&gt;0</formula>
    </cfRule>
  </conditionalFormatting>
  <conditionalFormatting sqref="A190:D190">
    <cfRule type="expression" dxfId="3" priority="947">
      <formula>COUNTIF($A190, "TRUE") = 1</formula>
    </cfRule>
    <cfRule type="expression" dxfId="4" priority="948">
      <formula>COUNTIF($A190, "FALSE") = 1</formula>
    </cfRule>
    <cfRule type="notContainsBlanks" dxfId="1" priority="949">
      <formula>LEN(TRIM(A190))&gt;0</formula>
    </cfRule>
  </conditionalFormatting>
  <conditionalFormatting sqref="A191">
    <cfRule type="notContainsBlanks" dxfId="5" priority="955">
      <formula>LEN(TRIM(A191))&gt;0</formula>
    </cfRule>
  </conditionalFormatting>
  <conditionalFormatting sqref="A191:D191">
    <cfRule type="expression" dxfId="3" priority="952">
      <formula>COUNTIF($A191, "TRUE") = 1</formula>
    </cfRule>
    <cfRule type="expression" dxfId="4" priority="953">
      <formula>COUNTIF($A191, "FALSE") = 1</formula>
    </cfRule>
    <cfRule type="notContainsBlanks" dxfId="1" priority="954">
      <formula>LEN(TRIM(A191))&gt;0</formula>
    </cfRule>
  </conditionalFormatting>
  <conditionalFormatting sqref="A192">
    <cfRule type="notContainsBlanks" dxfId="5" priority="960">
      <formula>LEN(TRIM(A192))&gt;0</formula>
    </cfRule>
  </conditionalFormatting>
  <conditionalFormatting sqref="A192:D192">
    <cfRule type="expression" dxfId="3" priority="957">
      <formula>COUNTIF($A192, "TRUE") = 1</formula>
    </cfRule>
    <cfRule type="expression" dxfId="4" priority="958">
      <formula>COUNTIF($A192, "FALSE") = 1</formula>
    </cfRule>
    <cfRule type="notContainsBlanks" dxfId="1" priority="959">
      <formula>LEN(TRIM(A192))&gt;0</formula>
    </cfRule>
  </conditionalFormatting>
  <conditionalFormatting sqref="A193">
    <cfRule type="notContainsBlanks" dxfId="5" priority="965">
      <formula>LEN(TRIM(A193))&gt;0</formula>
    </cfRule>
  </conditionalFormatting>
  <conditionalFormatting sqref="A193:D193">
    <cfRule type="expression" dxfId="3" priority="962">
      <formula>COUNTIF($A193, "TRUE") = 1</formula>
    </cfRule>
    <cfRule type="expression" dxfId="4" priority="963">
      <formula>COUNTIF($A193, "FALSE") = 1</formula>
    </cfRule>
    <cfRule type="notContainsBlanks" dxfId="1" priority="964">
      <formula>LEN(TRIM(A193))&gt;0</formula>
    </cfRule>
  </conditionalFormatting>
  <conditionalFormatting sqref="A194">
    <cfRule type="notContainsBlanks" dxfId="5" priority="970">
      <formula>LEN(TRIM(A194))&gt;0</formula>
    </cfRule>
  </conditionalFormatting>
  <conditionalFormatting sqref="A194:D194">
    <cfRule type="expression" dxfId="3" priority="967">
      <formula>COUNTIF($A194, "TRUE") = 1</formula>
    </cfRule>
    <cfRule type="expression" dxfId="4" priority="968">
      <formula>COUNTIF($A194, "FALSE") = 1</formula>
    </cfRule>
    <cfRule type="notContainsBlanks" dxfId="1" priority="969">
      <formula>LEN(TRIM(A194))&gt;0</formula>
    </cfRule>
  </conditionalFormatting>
  <conditionalFormatting sqref="A195">
    <cfRule type="notContainsBlanks" dxfId="5" priority="975">
      <formula>LEN(TRIM(A195))&gt;0</formula>
    </cfRule>
  </conditionalFormatting>
  <conditionalFormatting sqref="A195:D195">
    <cfRule type="expression" dxfId="3" priority="972">
      <formula>COUNTIF($A195, "TRUE") = 1</formula>
    </cfRule>
    <cfRule type="expression" dxfId="4" priority="973">
      <formula>COUNTIF($A195, "FALSE") = 1</formula>
    </cfRule>
    <cfRule type="notContainsBlanks" dxfId="1" priority="974">
      <formula>LEN(TRIM(A195))&gt;0</formula>
    </cfRule>
  </conditionalFormatting>
  <conditionalFormatting sqref="A196">
    <cfRule type="notContainsBlanks" dxfId="5" priority="980">
      <formula>LEN(TRIM(A196))&gt;0</formula>
    </cfRule>
  </conditionalFormatting>
  <conditionalFormatting sqref="A196:D196">
    <cfRule type="expression" dxfId="3" priority="977">
      <formula>COUNTIF($A196, "TRUE") = 1</formula>
    </cfRule>
    <cfRule type="expression" dxfId="4" priority="978">
      <formula>COUNTIF($A196, "FALSE") = 1</formula>
    </cfRule>
    <cfRule type="notContainsBlanks" dxfId="1" priority="979">
      <formula>LEN(TRIM(A196))&gt;0</formula>
    </cfRule>
  </conditionalFormatting>
  <conditionalFormatting sqref="A197">
    <cfRule type="notContainsBlanks" dxfId="5" priority="985">
      <formula>LEN(TRIM(A197))&gt;0</formula>
    </cfRule>
  </conditionalFormatting>
  <conditionalFormatting sqref="A197:D197">
    <cfRule type="expression" dxfId="3" priority="982">
      <formula>COUNTIF($A197, "TRUE") = 1</formula>
    </cfRule>
    <cfRule type="expression" dxfId="4" priority="983">
      <formula>COUNTIF($A197, "FALSE") = 1</formula>
    </cfRule>
    <cfRule type="notContainsBlanks" dxfId="1" priority="984">
      <formula>LEN(TRIM(A197))&gt;0</formula>
    </cfRule>
  </conditionalFormatting>
  <conditionalFormatting sqref="A198">
    <cfRule type="notContainsBlanks" dxfId="5" priority="990">
      <formula>LEN(TRIM(A198))&gt;0</formula>
    </cfRule>
  </conditionalFormatting>
  <conditionalFormatting sqref="A198:D198">
    <cfRule type="expression" dxfId="3" priority="987">
      <formula>COUNTIF($A198, "TRUE") = 1</formula>
    </cfRule>
    <cfRule type="expression" dxfId="4" priority="988">
      <formula>COUNTIF($A198, "FALSE") = 1</formula>
    </cfRule>
    <cfRule type="notContainsBlanks" dxfId="1" priority="989">
      <formula>LEN(TRIM(A198))&gt;0</formula>
    </cfRule>
  </conditionalFormatting>
  <conditionalFormatting sqref="A199">
    <cfRule type="notContainsBlanks" dxfId="5" priority="995">
      <formula>LEN(TRIM(A199))&gt;0</formula>
    </cfRule>
  </conditionalFormatting>
  <conditionalFormatting sqref="A199:D199">
    <cfRule type="expression" dxfId="3" priority="992">
      <formula>COUNTIF($A199, "TRUE") = 1</formula>
    </cfRule>
    <cfRule type="expression" dxfId="4" priority="993">
      <formula>COUNTIF($A199, "FALSE") = 1</formula>
    </cfRule>
    <cfRule type="notContainsBlanks" dxfId="1" priority="994">
      <formula>LEN(TRIM(A199))&gt;0</formula>
    </cfRule>
  </conditionalFormatting>
  <conditionalFormatting sqref="A19:D19">
    <cfRule type="expression" dxfId="3" priority="92">
      <formula>COUNTIF($A19, "TRUE") = 1</formula>
    </cfRule>
    <cfRule type="expression" dxfId="4" priority="93">
      <formula>COUNTIF($A19, "FALSE") = 1</formula>
    </cfRule>
    <cfRule type="notContainsBlanks" dxfId="1" priority="94">
      <formula>LEN(TRIM(A19))&gt;0</formula>
    </cfRule>
  </conditionalFormatting>
  <conditionalFormatting sqref="A2">
    <cfRule type="notContainsBlanks" dxfId="5" priority="10">
      <formula>LEN(TRIM(A2))&gt;0</formula>
    </cfRule>
  </conditionalFormatting>
  <conditionalFormatting sqref="A20">
    <cfRule type="notContainsBlanks" dxfId="5" priority="100">
      <formula>LEN(TRIM(A20))&gt;0</formula>
    </cfRule>
  </conditionalFormatting>
  <conditionalFormatting sqref="A200">
    <cfRule type="notContainsBlanks" dxfId="5" priority="1000">
      <formula>LEN(TRIM(A200))&gt;0</formula>
    </cfRule>
  </conditionalFormatting>
  <conditionalFormatting sqref="A200:D200">
    <cfRule type="expression" dxfId="3" priority="997">
      <formula>COUNTIF($A200, "TRUE") = 1</formula>
    </cfRule>
    <cfRule type="expression" dxfId="4" priority="998">
      <formula>COUNTIF($A200, "FALSE") = 1</formula>
    </cfRule>
    <cfRule type="notContainsBlanks" dxfId="1" priority="999">
      <formula>LEN(TRIM(A200))&gt;0</formula>
    </cfRule>
  </conditionalFormatting>
  <conditionalFormatting sqref="A201">
    <cfRule type="notContainsBlanks" dxfId="5" priority="1005">
      <formula>LEN(TRIM(A201))&gt;0</formula>
    </cfRule>
  </conditionalFormatting>
  <conditionalFormatting sqref="A201:D201">
    <cfRule type="expression" dxfId="3" priority="1002">
      <formula>COUNTIF($A201, "TRUE") = 1</formula>
    </cfRule>
    <cfRule type="expression" dxfId="4" priority="1003">
      <formula>COUNTIF($A201, "FALSE") = 1</formula>
    </cfRule>
    <cfRule type="notContainsBlanks" dxfId="1" priority="1004">
      <formula>LEN(TRIM(A201))&gt;0</formula>
    </cfRule>
  </conditionalFormatting>
  <conditionalFormatting sqref="A202">
    <cfRule type="notContainsBlanks" dxfId="5" priority="1010">
      <formula>LEN(TRIM(A202))&gt;0</formula>
    </cfRule>
  </conditionalFormatting>
  <conditionalFormatting sqref="A202:D202">
    <cfRule type="expression" dxfId="3" priority="1007">
      <formula>COUNTIF($A202, "TRUE") = 1</formula>
    </cfRule>
    <cfRule type="expression" dxfId="4" priority="1008">
      <formula>COUNTIF($A202, "FALSE") = 1</formula>
    </cfRule>
    <cfRule type="notContainsBlanks" dxfId="1" priority="1009">
      <formula>LEN(TRIM(A202))&gt;0</formula>
    </cfRule>
  </conditionalFormatting>
  <conditionalFormatting sqref="A203">
    <cfRule type="notContainsBlanks" dxfId="5" priority="1015">
      <formula>LEN(TRIM(A203))&gt;0</formula>
    </cfRule>
  </conditionalFormatting>
  <conditionalFormatting sqref="A203:D203">
    <cfRule type="expression" dxfId="3" priority="1012">
      <formula>COUNTIF($A203, "TRUE") = 1</formula>
    </cfRule>
    <cfRule type="expression" dxfId="4" priority="1013">
      <formula>COUNTIF($A203, "FALSE") = 1</formula>
    </cfRule>
    <cfRule type="notContainsBlanks" dxfId="1" priority="1014">
      <formula>LEN(TRIM(A203))&gt;0</formula>
    </cfRule>
  </conditionalFormatting>
  <conditionalFormatting sqref="A204">
    <cfRule type="notContainsBlanks" dxfId="5" priority="1020">
      <formula>LEN(TRIM(A204))&gt;0</formula>
    </cfRule>
  </conditionalFormatting>
  <conditionalFormatting sqref="A204:D204">
    <cfRule type="expression" dxfId="3" priority="1017">
      <formula>COUNTIF($A204, "TRUE") = 1</formula>
    </cfRule>
    <cfRule type="expression" dxfId="4" priority="1018">
      <formula>COUNTIF($A204, "FALSE") = 1</formula>
    </cfRule>
    <cfRule type="notContainsBlanks" dxfId="1" priority="1019">
      <formula>LEN(TRIM(A204))&gt;0</formula>
    </cfRule>
  </conditionalFormatting>
  <conditionalFormatting sqref="A205">
    <cfRule type="notContainsBlanks" dxfId="5" priority="1025">
      <formula>LEN(TRIM(A205))&gt;0</formula>
    </cfRule>
  </conditionalFormatting>
  <conditionalFormatting sqref="A205:D205">
    <cfRule type="expression" dxfId="3" priority="1022">
      <formula>COUNTIF($A205, "TRUE") = 1</formula>
    </cfRule>
    <cfRule type="expression" dxfId="4" priority="1023">
      <formula>COUNTIF($A205, "FALSE") = 1</formula>
    </cfRule>
    <cfRule type="notContainsBlanks" dxfId="1" priority="1024">
      <formula>LEN(TRIM(A205))&gt;0</formula>
    </cfRule>
  </conditionalFormatting>
  <conditionalFormatting sqref="A206">
    <cfRule type="notContainsBlanks" dxfId="5" priority="1030">
      <formula>LEN(TRIM(A206))&gt;0</formula>
    </cfRule>
  </conditionalFormatting>
  <conditionalFormatting sqref="A206:D206">
    <cfRule type="expression" dxfId="3" priority="1027">
      <formula>COUNTIF($A206, "TRUE") = 1</formula>
    </cfRule>
    <cfRule type="expression" dxfId="4" priority="1028">
      <formula>COUNTIF($A206, "FALSE") = 1</formula>
    </cfRule>
    <cfRule type="notContainsBlanks" dxfId="1" priority="1029">
      <formula>LEN(TRIM(A206))&gt;0</formula>
    </cfRule>
  </conditionalFormatting>
  <conditionalFormatting sqref="A207">
    <cfRule type="notContainsBlanks" dxfId="5" priority="1035">
      <formula>LEN(TRIM(A207))&gt;0</formula>
    </cfRule>
  </conditionalFormatting>
  <conditionalFormatting sqref="A207:D207">
    <cfRule type="expression" dxfId="3" priority="1032">
      <formula>COUNTIF($A207, "TRUE") = 1</formula>
    </cfRule>
    <cfRule type="expression" dxfId="4" priority="1033">
      <formula>COUNTIF($A207, "FALSE") = 1</formula>
    </cfRule>
    <cfRule type="notContainsBlanks" dxfId="1" priority="1034">
      <formula>LEN(TRIM(A207))&gt;0</formula>
    </cfRule>
  </conditionalFormatting>
  <conditionalFormatting sqref="A208">
    <cfRule type="notContainsBlanks" dxfId="5" priority="1040">
      <formula>LEN(TRIM(A208))&gt;0</formula>
    </cfRule>
  </conditionalFormatting>
  <conditionalFormatting sqref="A208:D208">
    <cfRule type="expression" dxfId="3" priority="1037">
      <formula>COUNTIF($A208, "TRUE") = 1</formula>
    </cfRule>
    <cfRule type="expression" dxfId="4" priority="1038">
      <formula>COUNTIF($A208, "FALSE") = 1</formula>
    </cfRule>
    <cfRule type="notContainsBlanks" dxfId="1" priority="1039">
      <formula>LEN(TRIM(A208))&gt;0</formula>
    </cfRule>
  </conditionalFormatting>
  <conditionalFormatting sqref="A209">
    <cfRule type="notContainsBlanks" dxfId="5" priority="1045">
      <formula>LEN(TRIM(A209))&gt;0</formula>
    </cfRule>
  </conditionalFormatting>
  <conditionalFormatting sqref="A209:D209">
    <cfRule type="expression" dxfId="3" priority="1042">
      <formula>COUNTIF($A209, "TRUE") = 1</formula>
    </cfRule>
    <cfRule type="expression" dxfId="4" priority="1043">
      <formula>COUNTIF($A209, "FALSE") = 1</formula>
    </cfRule>
    <cfRule type="notContainsBlanks" dxfId="1" priority="1044">
      <formula>LEN(TRIM(A209))&gt;0</formula>
    </cfRule>
  </conditionalFormatting>
  <conditionalFormatting sqref="A20:D20">
    <cfRule type="expression" dxfId="3" priority="97">
      <formula>COUNTIF($A20, "TRUE") = 1</formula>
    </cfRule>
    <cfRule type="expression" dxfId="4" priority="98">
      <formula>COUNTIF($A20, "FALSE") = 1</formula>
    </cfRule>
    <cfRule type="notContainsBlanks" dxfId="1" priority="99">
      <formula>LEN(TRIM(A20))&gt;0</formula>
    </cfRule>
  </conditionalFormatting>
  <conditionalFormatting sqref="A21">
    <cfRule type="notContainsBlanks" dxfId="5" priority="105">
      <formula>LEN(TRIM(A21))&gt;0</formula>
    </cfRule>
  </conditionalFormatting>
  <conditionalFormatting sqref="A210">
    <cfRule type="notContainsBlanks" dxfId="5" priority="1050">
      <formula>LEN(TRIM(A210))&gt;0</formula>
    </cfRule>
  </conditionalFormatting>
  <conditionalFormatting sqref="A210:D210">
    <cfRule type="expression" dxfId="3" priority="1047">
      <formula>COUNTIF($A210, "TRUE") = 1</formula>
    </cfRule>
    <cfRule type="expression" dxfId="4" priority="1048">
      <formula>COUNTIF($A210, "FALSE") = 1</formula>
    </cfRule>
    <cfRule type="notContainsBlanks" dxfId="1" priority="1049">
      <formula>LEN(TRIM(A210))&gt;0</formula>
    </cfRule>
  </conditionalFormatting>
  <conditionalFormatting sqref="A211">
    <cfRule type="notContainsBlanks" dxfId="5" priority="1055">
      <formula>LEN(TRIM(A211))&gt;0</formula>
    </cfRule>
  </conditionalFormatting>
  <conditionalFormatting sqref="A211:D211">
    <cfRule type="expression" dxfId="3" priority="1052">
      <formula>COUNTIF($A211, "TRUE") = 1</formula>
    </cfRule>
    <cfRule type="expression" dxfId="4" priority="1053">
      <formula>COUNTIF($A211, "FALSE") = 1</formula>
    </cfRule>
    <cfRule type="notContainsBlanks" dxfId="1" priority="1054">
      <formula>LEN(TRIM(A211))&gt;0</formula>
    </cfRule>
  </conditionalFormatting>
  <conditionalFormatting sqref="A212">
    <cfRule type="notContainsBlanks" dxfId="5" priority="1060">
      <formula>LEN(TRIM(A212))&gt;0</formula>
    </cfRule>
  </conditionalFormatting>
  <conditionalFormatting sqref="A212:D212">
    <cfRule type="expression" dxfId="3" priority="1057">
      <formula>COUNTIF($A212, "TRUE") = 1</formula>
    </cfRule>
    <cfRule type="expression" dxfId="4" priority="1058">
      <formula>COUNTIF($A212, "FALSE") = 1</formula>
    </cfRule>
    <cfRule type="notContainsBlanks" dxfId="1" priority="1059">
      <formula>LEN(TRIM(A212))&gt;0</formula>
    </cfRule>
  </conditionalFormatting>
  <conditionalFormatting sqref="A213">
    <cfRule type="notContainsBlanks" dxfId="5" priority="1065">
      <formula>LEN(TRIM(A213))&gt;0</formula>
    </cfRule>
  </conditionalFormatting>
  <conditionalFormatting sqref="A213:D213">
    <cfRule type="expression" dxfId="3" priority="1062">
      <formula>COUNTIF($A213, "TRUE") = 1</formula>
    </cfRule>
    <cfRule type="expression" dxfId="4" priority="1063">
      <formula>COUNTIF($A213, "FALSE") = 1</formula>
    </cfRule>
    <cfRule type="notContainsBlanks" dxfId="1" priority="1064">
      <formula>LEN(TRIM(A213))&gt;0</formula>
    </cfRule>
  </conditionalFormatting>
  <conditionalFormatting sqref="A214">
    <cfRule type="notContainsBlanks" dxfId="5" priority="1070">
      <formula>LEN(TRIM(A214))&gt;0</formula>
    </cfRule>
  </conditionalFormatting>
  <conditionalFormatting sqref="A214:D214">
    <cfRule type="expression" dxfId="3" priority="1067">
      <formula>COUNTIF($A214, "TRUE") = 1</formula>
    </cfRule>
    <cfRule type="expression" dxfId="4" priority="1068">
      <formula>COUNTIF($A214, "FALSE") = 1</formula>
    </cfRule>
    <cfRule type="notContainsBlanks" dxfId="1" priority="1069">
      <formula>LEN(TRIM(A214))&gt;0</formula>
    </cfRule>
  </conditionalFormatting>
  <conditionalFormatting sqref="A215">
    <cfRule type="notContainsBlanks" dxfId="5" priority="1075">
      <formula>LEN(TRIM(A215))&gt;0</formula>
    </cfRule>
  </conditionalFormatting>
  <conditionalFormatting sqref="A215:D215">
    <cfRule type="expression" dxfId="3" priority="1072">
      <formula>COUNTIF($A215, "TRUE") = 1</formula>
    </cfRule>
    <cfRule type="expression" dxfId="4" priority="1073">
      <formula>COUNTIF($A215, "FALSE") = 1</formula>
    </cfRule>
    <cfRule type="notContainsBlanks" dxfId="1" priority="1074">
      <formula>LEN(TRIM(A215))&gt;0</formula>
    </cfRule>
  </conditionalFormatting>
  <conditionalFormatting sqref="A216">
    <cfRule type="notContainsBlanks" dxfId="5" priority="1080">
      <formula>LEN(TRIM(A216))&gt;0</formula>
    </cfRule>
  </conditionalFormatting>
  <conditionalFormatting sqref="A216:D216">
    <cfRule type="expression" dxfId="3" priority="1077">
      <formula>COUNTIF($A216, "TRUE") = 1</formula>
    </cfRule>
    <cfRule type="expression" dxfId="4" priority="1078">
      <formula>COUNTIF($A216, "FALSE") = 1</formula>
    </cfRule>
    <cfRule type="notContainsBlanks" dxfId="1" priority="1079">
      <formula>LEN(TRIM(A216))&gt;0</formula>
    </cfRule>
  </conditionalFormatting>
  <conditionalFormatting sqref="A217">
    <cfRule type="notContainsBlanks" dxfId="5" priority="1085">
      <formula>LEN(TRIM(A217))&gt;0</formula>
    </cfRule>
  </conditionalFormatting>
  <conditionalFormatting sqref="A217:D217">
    <cfRule type="expression" dxfId="3" priority="1082">
      <formula>COUNTIF($A217, "TRUE") = 1</formula>
    </cfRule>
    <cfRule type="expression" dxfId="4" priority="1083">
      <formula>COUNTIF($A217, "FALSE") = 1</formula>
    </cfRule>
    <cfRule type="notContainsBlanks" dxfId="1" priority="1084">
      <formula>LEN(TRIM(A217))&gt;0</formula>
    </cfRule>
  </conditionalFormatting>
  <conditionalFormatting sqref="A218">
    <cfRule type="notContainsBlanks" dxfId="5" priority="1090">
      <formula>LEN(TRIM(A218))&gt;0</formula>
    </cfRule>
  </conditionalFormatting>
  <conditionalFormatting sqref="A218:D218">
    <cfRule type="expression" dxfId="3" priority="1087">
      <formula>COUNTIF($A218, "TRUE") = 1</formula>
    </cfRule>
    <cfRule type="expression" dxfId="4" priority="1088">
      <formula>COUNTIF($A218, "FALSE") = 1</formula>
    </cfRule>
    <cfRule type="notContainsBlanks" dxfId="1" priority="1089">
      <formula>LEN(TRIM(A218))&gt;0</formula>
    </cfRule>
  </conditionalFormatting>
  <conditionalFormatting sqref="A219">
    <cfRule type="notContainsBlanks" dxfId="5" priority="1095">
      <formula>LEN(TRIM(A219))&gt;0</formula>
    </cfRule>
  </conditionalFormatting>
  <conditionalFormatting sqref="A219:D219">
    <cfRule type="expression" dxfId="3" priority="1092">
      <formula>COUNTIF($A219, "TRUE") = 1</formula>
    </cfRule>
    <cfRule type="expression" dxfId="4" priority="1093">
      <formula>COUNTIF($A219, "FALSE") = 1</formula>
    </cfRule>
    <cfRule type="notContainsBlanks" dxfId="1" priority="1094">
      <formula>LEN(TRIM(A219))&gt;0</formula>
    </cfRule>
  </conditionalFormatting>
  <conditionalFormatting sqref="A21:D21">
    <cfRule type="expression" dxfId="3" priority="102">
      <formula>COUNTIF($A21, "TRUE") = 1</formula>
    </cfRule>
    <cfRule type="expression" dxfId="4" priority="103">
      <formula>COUNTIF($A21, "FALSE") = 1</formula>
    </cfRule>
    <cfRule type="notContainsBlanks" dxfId="1" priority="104">
      <formula>LEN(TRIM(A21))&gt;0</formula>
    </cfRule>
  </conditionalFormatting>
  <conditionalFormatting sqref="A22">
    <cfRule type="notContainsBlanks" dxfId="5" priority="110">
      <formula>LEN(TRIM(A22))&gt;0</formula>
    </cfRule>
  </conditionalFormatting>
  <conditionalFormatting sqref="A220">
    <cfRule type="notContainsBlanks" dxfId="5" priority="1100">
      <formula>LEN(TRIM(A220))&gt;0</formula>
    </cfRule>
  </conditionalFormatting>
  <conditionalFormatting sqref="A220:D220">
    <cfRule type="expression" dxfId="3" priority="1097">
      <formula>COUNTIF($A220, "TRUE") = 1</formula>
    </cfRule>
    <cfRule type="expression" dxfId="4" priority="1098">
      <formula>COUNTIF($A220, "FALSE") = 1</formula>
    </cfRule>
    <cfRule type="notContainsBlanks" dxfId="1" priority="1099">
      <formula>LEN(TRIM(A220))&gt;0</formula>
    </cfRule>
  </conditionalFormatting>
  <conditionalFormatting sqref="A221">
    <cfRule type="notContainsBlanks" dxfId="5" priority="1105">
      <formula>LEN(TRIM(A221))&gt;0</formula>
    </cfRule>
  </conditionalFormatting>
  <conditionalFormatting sqref="A221:D221">
    <cfRule type="expression" dxfId="3" priority="1102">
      <formula>COUNTIF($A221, "TRUE") = 1</formula>
    </cfRule>
    <cfRule type="expression" dxfId="4" priority="1103">
      <formula>COUNTIF($A221, "FALSE") = 1</formula>
    </cfRule>
    <cfRule type="notContainsBlanks" dxfId="1" priority="1104">
      <formula>LEN(TRIM(A221))&gt;0</formula>
    </cfRule>
  </conditionalFormatting>
  <conditionalFormatting sqref="A222">
    <cfRule type="notContainsBlanks" dxfId="5" priority="1110">
      <formula>LEN(TRIM(A222))&gt;0</formula>
    </cfRule>
  </conditionalFormatting>
  <conditionalFormatting sqref="A222:D222">
    <cfRule type="expression" dxfId="3" priority="1107">
      <formula>COUNTIF($A222, "TRUE") = 1</formula>
    </cfRule>
    <cfRule type="expression" dxfId="4" priority="1108">
      <formula>COUNTIF($A222, "FALSE") = 1</formula>
    </cfRule>
    <cfRule type="notContainsBlanks" dxfId="1" priority="1109">
      <formula>LEN(TRIM(A222))&gt;0</formula>
    </cfRule>
  </conditionalFormatting>
  <conditionalFormatting sqref="A223">
    <cfRule type="notContainsBlanks" dxfId="5" priority="1115">
      <formula>LEN(TRIM(A223))&gt;0</formula>
    </cfRule>
  </conditionalFormatting>
  <conditionalFormatting sqref="A223:D223">
    <cfRule type="expression" dxfId="3" priority="1112">
      <formula>COUNTIF($A223, "TRUE") = 1</formula>
    </cfRule>
    <cfRule type="expression" dxfId="4" priority="1113">
      <formula>COUNTIF($A223, "FALSE") = 1</formula>
    </cfRule>
    <cfRule type="notContainsBlanks" dxfId="1" priority="1114">
      <formula>LEN(TRIM(A223))&gt;0</formula>
    </cfRule>
  </conditionalFormatting>
  <conditionalFormatting sqref="A224">
    <cfRule type="notContainsBlanks" dxfId="5" priority="1120">
      <formula>LEN(TRIM(A224))&gt;0</formula>
    </cfRule>
  </conditionalFormatting>
  <conditionalFormatting sqref="A224:D224">
    <cfRule type="expression" dxfId="3" priority="1117">
      <formula>COUNTIF($A224, "TRUE") = 1</formula>
    </cfRule>
    <cfRule type="expression" dxfId="4" priority="1118">
      <formula>COUNTIF($A224, "FALSE") = 1</formula>
    </cfRule>
    <cfRule type="notContainsBlanks" dxfId="1" priority="1119">
      <formula>LEN(TRIM(A224))&gt;0</formula>
    </cfRule>
  </conditionalFormatting>
  <conditionalFormatting sqref="A225">
    <cfRule type="notContainsBlanks" dxfId="5" priority="1125">
      <formula>LEN(TRIM(A225))&gt;0</formula>
    </cfRule>
  </conditionalFormatting>
  <conditionalFormatting sqref="A225:D225">
    <cfRule type="expression" dxfId="3" priority="1122">
      <formula>COUNTIF($A225, "TRUE") = 1</formula>
    </cfRule>
    <cfRule type="expression" dxfId="4" priority="1123">
      <formula>COUNTIF($A225, "FALSE") = 1</formula>
    </cfRule>
    <cfRule type="notContainsBlanks" dxfId="1" priority="1124">
      <formula>LEN(TRIM(A225))&gt;0</formula>
    </cfRule>
  </conditionalFormatting>
  <conditionalFormatting sqref="A226">
    <cfRule type="notContainsBlanks" dxfId="5" priority="1130">
      <formula>LEN(TRIM(A226))&gt;0</formula>
    </cfRule>
  </conditionalFormatting>
  <conditionalFormatting sqref="A226:D226">
    <cfRule type="expression" dxfId="3" priority="1127">
      <formula>COUNTIF($A226, "TRUE") = 1</formula>
    </cfRule>
    <cfRule type="expression" dxfId="4" priority="1128">
      <formula>COUNTIF($A226, "FALSE") = 1</formula>
    </cfRule>
    <cfRule type="notContainsBlanks" dxfId="1" priority="1129">
      <formula>LEN(TRIM(A226))&gt;0</formula>
    </cfRule>
  </conditionalFormatting>
  <conditionalFormatting sqref="A227">
    <cfRule type="notContainsBlanks" dxfId="5" priority="1135">
      <formula>LEN(TRIM(A227))&gt;0</formula>
    </cfRule>
  </conditionalFormatting>
  <conditionalFormatting sqref="A227:D227">
    <cfRule type="expression" dxfId="3" priority="1132">
      <formula>COUNTIF($A227, "TRUE") = 1</formula>
    </cfRule>
    <cfRule type="expression" dxfId="4" priority="1133">
      <formula>COUNTIF($A227, "FALSE") = 1</formula>
    </cfRule>
    <cfRule type="notContainsBlanks" dxfId="1" priority="1134">
      <formula>LEN(TRIM(A227))&gt;0</formula>
    </cfRule>
  </conditionalFormatting>
  <conditionalFormatting sqref="A228">
    <cfRule type="notContainsBlanks" dxfId="5" priority="1140">
      <formula>LEN(TRIM(A228))&gt;0</formula>
    </cfRule>
  </conditionalFormatting>
  <conditionalFormatting sqref="A228:D228">
    <cfRule type="expression" dxfId="3" priority="1137">
      <formula>COUNTIF($A228, "TRUE") = 1</formula>
    </cfRule>
    <cfRule type="expression" dxfId="4" priority="1138">
      <formula>COUNTIF($A228, "FALSE") = 1</formula>
    </cfRule>
    <cfRule type="notContainsBlanks" dxfId="1" priority="1139">
      <formula>LEN(TRIM(A228))&gt;0</formula>
    </cfRule>
  </conditionalFormatting>
  <conditionalFormatting sqref="A229">
    <cfRule type="notContainsBlanks" dxfId="5" priority="1145">
      <formula>LEN(TRIM(A229))&gt;0</formula>
    </cfRule>
  </conditionalFormatting>
  <conditionalFormatting sqref="A229:D229">
    <cfRule type="expression" dxfId="3" priority="1142">
      <formula>COUNTIF($A229, "TRUE") = 1</formula>
    </cfRule>
    <cfRule type="expression" dxfId="4" priority="1143">
      <formula>COUNTIF($A229, "FALSE") = 1</formula>
    </cfRule>
    <cfRule type="notContainsBlanks" dxfId="1" priority="1144">
      <formula>LEN(TRIM(A229))&gt;0</formula>
    </cfRule>
  </conditionalFormatting>
  <conditionalFormatting sqref="A22:D22">
    <cfRule type="expression" dxfId="3" priority="107">
      <formula>COUNTIF($A22, "TRUE") = 1</formula>
    </cfRule>
    <cfRule type="expression" dxfId="4" priority="108">
      <formula>COUNTIF($A22, "FALSE") = 1</formula>
    </cfRule>
    <cfRule type="notContainsBlanks" dxfId="1" priority="109">
      <formula>LEN(TRIM(A22))&gt;0</formula>
    </cfRule>
  </conditionalFormatting>
  <conditionalFormatting sqref="A23">
    <cfRule type="notContainsBlanks" dxfId="5" priority="115">
      <formula>LEN(TRIM(A23))&gt;0</formula>
    </cfRule>
  </conditionalFormatting>
  <conditionalFormatting sqref="A230">
    <cfRule type="notContainsBlanks" dxfId="5" priority="1150">
      <formula>LEN(TRIM(A230))&gt;0</formula>
    </cfRule>
  </conditionalFormatting>
  <conditionalFormatting sqref="A230:D230">
    <cfRule type="expression" dxfId="3" priority="1147">
      <formula>COUNTIF($A230, "TRUE") = 1</formula>
    </cfRule>
    <cfRule type="expression" dxfId="4" priority="1148">
      <formula>COUNTIF($A230, "FALSE") = 1</formula>
    </cfRule>
    <cfRule type="notContainsBlanks" dxfId="1" priority="1149">
      <formula>LEN(TRIM(A230))&gt;0</formula>
    </cfRule>
  </conditionalFormatting>
  <conditionalFormatting sqref="A231">
    <cfRule type="notContainsBlanks" dxfId="5" priority="1155">
      <formula>LEN(TRIM(A231))&gt;0</formula>
    </cfRule>
  </conditionalFormatting>
  <conditionalFormatting sqref="A231:D231">
    <cfRule type="expression" dxfId="3" priority="1152">
      <formula>COUNTIF($A231, "TRUE") = 1</formula>
    </cfRule>
    <cfRule type="expression" dxfId="4" priority="1153">
      <formula>COUNTIF($A231, "FALSE") = 1</formula>
    </cfRule>
    <cfRule type="notContainsBlanks" dxfId="1" priority="1154">
      <formula>LEN(TRIM(A231))&gt;0</formula>
    </cfRule>
  </conditionalFormatting>
  <conditionalFormatting sqref="A232">
    <cfRule type="notContainsBlanks" dxfId="5" priority="1160">
      <formula>LEN(TRIM(A232))&gt;0</formula>
    </cfRule>
  </conditionalFormatting>
  <conditionalFormatting sqref="A232:D232">
    <cfRule type="expression" dxfId="3" priority="1157">
      <formula>COUNTIF($A232, "TRUE") = 1</formula>
    </cfRule>
    <cfRule type="expression" dxfId="4" priority="1158">
      <formula>COUNTIF($A232, "FALSE") = 1</formula>
    </cfRule>
    <cfRule type="notContainsBlanks" dxfId="1" priority="1159">
      <formula>LEN(TRIM(A232))&gt;0</formula>
    </cfRule>
  </conditionalFormatting>
  <conditionalFormatting sqref="A233">
    <cfRule type="notContainsBlanks" dxfId="5" priority="1165">
      <formula>LEN(TRIM(A233))&gt;0</formula>
    </cfRule>
  </conditionalFormatting>
  <conditionalFormatting sqref="A233:D233">
    <cfRule type="expression" dxfId="3" priority="1162">
      <formula>COUNTIF($A233, "TRUE") = 1</formula>
    </cfRule>
    <cfRule type="expression" dxfId="4" priority="1163">
      <formula>COUNTIF($A233, "FALSE") = 1</formula>
    </cfRule>
    <cfRule type="notContainsBlanks" dxfId="1" priority="1164">
      <formula>LEN(TRIM(A233))&gt;0</formula>
    </cfRule>
  </conditionalFormatting>
  <conditionalFormatting sqref="A234">
    <cfRule type="notContainsBlanks" dxfId="5" priority="1170">
      <formula>LEN(TRIM(A234))&gt;0</formula>
    </cfRule>
  </conditionalFormatting>
  <conditionalFormatting sqref="A234:D234">
    <cfRule type="expression" dxfId="3" priority="1167">
      <formula>COUNTIF($A234, "TRUE") = 1</formula>
    </cfRule>
    <cfRule type="expression" dxfId="4" priority="1168">
      <formula>COUNTIF($A234, "FALSE") = 1</formula>
    </cfRule>
    <cfRule type="notContainsBlanks" dxfId="1" priority="1169">
      <formula>LEN(TRIM(A234))&gt;0</formula>
    </cfRule>
  </conditionalFormatting>
  <conditionalFormatting sqref="A235">
    <cfRule type="notContainsBlanks" dxfId="5" priority="1175">
      <formula>LEN(TRIM(A235))&gt;0</formula>
    </cfRule>
  </conditionalFormatting>
  <conditionalFormatting sqref="A235:D235">
    <cfRule type="expression" dxfId="3" priority="1172">
      <formula>COUNTIF($A235, "TRUE") = 1</formula>
    </cfRule>
    <cfRule type="expression" dxfId="4" priority="1173">
      <formula>COUNTIF($A235, "FALSE") = 1</formula>
    </cfRule>
    <cfRule type="notContainsBlanks" dxfId="1" priority="1174">
      <formula>LEN(TRIM(A235))&gt;0</formula>
    </cfRule>
  </conditionalFormatting>
  <conditionalFormatting sqref="A236">
    <cfRule type="notContainsBlanks" dxfId="5" priority="1180">
      <formula>LEN(TRIM(A236))&gt;0</formula>
    </cfRule>
  </conditionalFormatting>
  <conditionalFormatting sqref="A236:D236">
    <cfRule type="expression" dxfId="3" priority="1177">
      <formula>COUNTIF($A236, "TRUE") = 1</formula>
    </cfRule>
    <cfRule type="expression" dxfId="4" priority="1178">
      <formula>COUNTIF($A236, "FALSE") = 1</formula>
    </cfRule>
    <cfRule type="notContainsBlanks" dxfId="1" priority="1179">
      <formula>LEN(TRIM(A236))&gt;0</formula>
    </cfRule>
  </conditionalFormatting>
  <conditionalFormatting sqref="A237">
    <cfRule type="notContainsBlanks" dxfId="5" priority="1185">
      <formula>LEN(TRIM(A237))&gt;0</formula>
    </cfRule>
  </conditionalFormatting>
  <conditionalFormatting sqref="A237:D237">
    <cfRule type="expression" dxfId="3" priority="1182">
      <formula>COUNTIF($A237, "TRUE") = 1</formula>
    </cfRule>
    <cfRule type="expression" dxfId="4" priority="1183">
      <formula>COUNTIF($A237, "FALSE") = 1</formula>
    </cfRule>
    <cfRule type="notContainsBlanks" dxfId="1" priority="1184">
      <formula>LEN(TRIM(A237))&gt;0</formula>
    </cfRule>
  </conditionalFormatting>
  <conditionalFormatting sqref="A238">
    <cfRule type="notContainsBlanks" dxfId="5" priority="1190">
      <formula>LEN(TRIM(A238))&gt;0</formula>
    </cfRule>
  </conditionalFormatting>
  <conditionalFormatting sqref="A238:D238">
    <cfRule type="expression" dxfId="3" priority="1187">
      <formula>COUNTIF($A238, "TRUE") = 1</formula>
    </cfRule>
    <cfRule type="expression" dxfId="4" priority="1188">
      <formula>COUNTIF($A238, "FALSE") = 1</formula>
    </cfRule>
    <cfRule type="notContainsBlanks" dxfId="1" priority="1189">
      <formula>LEN(TRIM(A238))&gt;0</formula>
    </cfRule>
  </conditionalFormatting>
  <conditionalFormatting sqref="A239">
    <cfRule type="notContainsBlanks" dxfId="5" priority="1195">
      <formula>LEN(TRIM(A239))&gt;0</formula>
    </cfRule>
  </conditionalFormatting>
  <conditionalFormatting sqref="A239:D239">
    <cfRule type="expression" dxfId="3" priority="1192">
      <formula>COUNTIF($A239, "TRUE") = 1</formula>
    </cfRule>
    <cfRule type="expression" dxfId="4" priority="1193">
      <formula>COUNTIF($A239, "FALSE") = 1</formula>
    </cfRule>
    <cfRule type="notContainsBlanks" dxfId="1" priority="1194">
      <formula>LEN(TRIM(A239))&gt;0</formula>
    </cfRule>
  </conditionalFormatting>
  <conditionalFormatting sqref="A23:D23">
    <cfRule type="expression" dxfId="3" priority="112">
      <formula>COUNTIF($A23, "TRUE") = 1</formula>
    </cfRule>
    <cfRule type="expression" dxfId="4" priority="113">
      <formula>COUNTIF($A23, "FALSE") = 1</formula>
    </cfRule>
    <cfRule type="notContainsBlanks" dxfId="1" priority="114">
      <formula>LEN(TRIM(A23))&gt;0</formula>
    </cfRule>
  </conditionalFormatting>
  <conditionalFormatting sqref="A24">
    <cfRule type="notContainsBlanks" dxfId="5" priority="120">
      <formula>LEN(TRIM(A24))&gt;0</formula>
    </cfRule>
  </conditionalFormatting>
  <conditionalFormatting sqref="A240">
    <cfRule type="notContainsBlanks" dxfId="5" priority="1200">
      <formula>LEN(TRIM(A240))&gt;0</formula>
    </cfRule>
  </conditionalFormatting>
  <conditionalFormatting sqref="A240:D240">
    <cfRule type="expression" dxfId="3" priority="1197">
      <formula>COUNTIF($A240, "TRUE") = 1</formula>
    </cfRule>
    <cfRule type="expression" dxfId="4" priority="1198">
      <formula>COUNTIF($A240, "FALSE") = 1</formula>
    </cfRule>
    <cfRule type="notContainsBlanks" dxfId="1" priority="1199">
      <formula>LEN(TRIM(A240))&gt;0</formula>
    </cfRule>
  </conditionalFormatting>
  <conditionalFormatting sqref="A241">
    <cfRule type="notContainsBlanks" dxfId="5" priority="1205">
      <formula>LEN(TRIM(A241))&gt;0</formula>
    </cfRule>
  </conditionalFormatting>
  <conditionalFormatting sqref="A241:D241">
    <cfRule type="expression" dxfId="3" priority="1202">
      <formula>COUNTIF($A241, "TRUE") = 1</formula>
    </cfRule>
    <cfRule type="expression" dxfId="4" priority="1203">
      <formula>COUNTIF($A241, "FALSE") = 1</formula>
    </cfRule>
    <cfRule type="notContainsBlanks" dxfId="1" priority="1204">
      <formula>LEN(TRIM(A241))&gt;0</formula>
    </cfRule>
  </conditionalFormatting>
  <conditionalFormatting sqref="A242">
    <cfRule type="notContainsBlanks" dxfId="5" priority="1210">
      <formula>LEN(TRIM(A242))&gt;0</formula>
    </cfRule>
  </conditionalFormatting>
  <conditionalFormatting sqref="A242:D242">
    <cfRule type="expression" dxfId="3" priority="1207">
      <formula>COUNTIF($A242, "TRUE") = 1</formula>
    </cfRule>
    <cfRule type="expression" dxfId="4" priority="1208">
      <formula>COUNTIF($A242, "FALSE") = 1</formula>
    </cfRule>
    <cfRule type="notContainsBlanks" dxfId="1" priority="1209">
      <formula>LEN(TRIM(A242))&gt;0</formula>
    </cfRule>
  </conditionalFormatting>
  <conditionalFormatting sqref="A243">
    <cfRule type="notContainsBlanks" dxfId="5" priority="1215">
      <formula>LEN(TRIM(A243))&gt;0</formula>
    </cfRule>
  </conditionalFormatting>
  <conditionalFormatting sqref="A243:D243">
    <cfRule type="expression" dxfId="3" priority="1212">
      <formula>COUNTIF($A243, "TRUE") = 1</formula>
    </cfRule>
    <cfRule type="expression" dxfId="4" priority="1213">
      <formula>COUNTIF($A243, "FALSE") = 1</formula>
    </cfRule>
    <cfRule type="notContainsBlanks" dxfId="1" priority="1214">
      <formula>LEN(TRIM(A243))&gt;0</formula>
    </cfRule>
  </conditionalFormatting>
  <conditionalFormatting sqref="A244">
    <cfRule type="notContainsBlanks" dxfId="5" priority="1220">
      <formula>LEN(TRIM(A244))&gt;0</formula>
    </cfRule>
  </conditionalFormatting>
  <conditionalFormatting sqref="A244:D244">
    <cfRule type="expression" dxfId="3" priority="1217">
      <formula>COUNTIF($A244, "TRUE") = 1</formula>
    </cfRule>
    <cfRule type="expression" dxfId="4" priority="1218">
      <formula>COUNTIF($A244, "FALSE") = 1</formula>
    </cfRule>
    <cfRule type="notContainsBlanks" dxfId="1" priority="1219">
      <formula>LEN(TRIM(A244))&gt;0</formula>
    </cfRule>
  </conditionalFormatting>
  <conditionalFormatting sqref="A245">
    <cfRule type="notContainsBlanks" dxfId="5" priority="1225">
      <formula>LEN(TRIM(A245))&gt;0</formula>
    </cfRule>
  </conditionalFormatting>
  <conditionalFormatting sqref="A245:D245">
    <cfRule type="expression" dxfId="3" priority="1222">
      <formula>COUNTIF($A245, "TRUE") = 1</formula>
    </cfRule>
    <cfRule type="expression" dxfId="4" priority="1223">
      <formula>COUNTIF($A245, "FALSE") = 1</formula>
    </cfRule>
    <cfRule type="notContainsBlanks" dxfId="1" priority="1224">
      <formula>LEN(TRIM(A245))&gt;0</formula>
    </cfRule>
  </conditionalFormatting>
  <conditionalFormatting sqref="A246">
    <cfRule type="notContainsBlanks" dxfId="5" priority="1230">
      <formula>LEN(TRIM(A246))&gt;0</formula>
    </cfRule>
  </conditionalFormatting>
  <conditionalFormatting sqref="A246:D246">
    <cfRule type="expression" dxfId="3" priority="1227">
      <formula>COUNTIF($A246, "TRUE") = 1</formula>
    </cfRule>
    <cfRule type="expression" dxfId="4" priority="1228">
      <formula>COUNTIF($A246, "FALSE") = 1</formula>
    </cfRule>
    <cfRule type="notContainsBlanks" dxfId="1" priority="1229">
      <formula>LEN(TRIM(A246))&gt;0</formula>
    </cfRule>
  </conditionalFormatting>
  <conditionalFormatting sqref="A247">
    <cfRule type="notContainsBlanks" dxfId="5" priority="1235">
      <formula>LEN(TRIM(A247))&gt;0</formula>
    </cfRule>
  </conditionalFormatting>
  <conditionalFormatting sqref="A247:D247">
    <cfRule type="expression" dxfId="3" priority="1232">
      <formula>COUNTIF($A247, "TRUE") = 1</formula>
    </cfRule>
    <cfRule type="expression" dxfId="4" priority="1233">
      <formula>COUNTIF($A247, "FALSE") = 1</formula>
    </cfRule>
    <cfRule type="notContainsBlanks" dxfId="1" priority="1234">
      <formula>LEN(TRIM(A247))&gt;0</formula>
    </cfRule>
  </conditionalFormatting>
  <conditionalFormatting sqref="A248">
    <cfRule type="notContainsBlanks" dxfId="5" priority="1240">
      <formula>LEN(TRIM(A248))&gt;0</formula>
    </cfRule>
  </conditionalFormatting>
  <conditionalFormatting sqref="A248:D248">
    <cfRule type="expression" dxfId="3" priority="1237">
      <formula>COUNTIF($A248, "TRUE") = 1</formula>
    </cfRule>
    <cfRule type="expression" dxfId="4" priority="1238">
      <formula>COUNTIF($A248, "FALSE") = 1</formula>
    </cfRule>
    <cfRule type="notContainsBlanks" dxfId="1" priority="1239">
      <formula>LEN(TRIM(A248))&gt;0</formula>
    </cfRule>
  </conditionalFormatting>
  <conditionalFormatting sqref="A249">
    <cfRule type="notContainsBlanks" dxfId="5" priority="1245">
      <formula>LEN(TRIM(A249))&gt;0</formula>
    </cfRule>
  </conditionalFormatting>
  <conditionalFormatting sqref="A249:D249">
    <cfRule type="expression" dxfId="3" priority="1242">
      <formula>COUNTIF($A249, "TRUE") = 1</formula>
    </cfRule>
    <cfRule type="expression" dxfId="4" priority="1243">
      <formula>COUNTIF($A249, "FALSE") = 1</formula>
    </cfRule>
    <cfRule type="notContainsBlanks" dxfId="1" priority="1244">
      <formula>LEN(TRIM(A249))&gt;0</formula>
    </cfRule>
  </conditionalFormatting>
  <conditionalFormatting sqref="A24:D24">
    <cfRule type="expression" dxfId="3" priority="117">
      <formula>COUNTIF($A24, "TRUE") = 1</formula>
    </cfRule>
    <cfRule type="expression" dxfId="4" priority="118">
      <formula>COUNTIF($A24, "FALSE") = 1</formula>
    </cfRule>
    <cfRule type="notContainsBlanks" dxfId="1" priority="119">
      <formula>LEN(TRIM(A24))&gt;0</formula>
    </cfRule>
  </conditionalFormatting>
  <conditionalFormatting sqref="A25">
    <cfRule type="notContainsBlanks" dxfId="5" priority="125">
      <formula>LEN(TRIM(A25))&gt;0</formula>
    </cfRule>
  </conditionalFormatting>
  <conditionalFormatting sqref="A250">
    <cfRule type="notContainsBlanks" dxfId="5" priority="1250">
      <formula>LEN(TRIM(A250))&gt;0</formula>
    </cfRule>
  </conditionalFormatting>
  <conditionalFormatting sqref="A250:D250">
    <cfRule type="expression" dxfId="3" priority="1247">
      <formula>COUNTIF($A250, "TRUE") = 1</formula>
    </cfRule>
    <cfRule type="expression" dxfId="4" priority="1248">
      <formula>COUNTIF($A250, "FALSE") = 1</formula>
    </cfRule>
    <cfRule type="notContainsBlanks" dxfId="1" priority="1249">
      <formula>LEN(TRIM(A250))&gt;0</formula>
    </cfRule>
  </conditionalFormatting>
  <conditionalFormatting sqref="A251">
    <cfRule type="notContainsBlanks" dxfId="5" priority="1255">
      <formula>LEN(TRIM(A251))&gt;0</formula>
    </cfRule>
  </conditionalFormatting>
  <conditionalFormatting sqref="A251:D251">
    <cfRule type="expression" dxfId="3" priority="1252">
      <formula>COUNTIF($A251, "TRUE") = 1</formula>
    </cfRule>
    <cfRule type="expression" dxfId="4" priority="1253">
      <formula>COUNTIF($A251, "FALSE") = 1</formula>
    </cfRule>
    <cfRule type="notContainsBlanks" dxfId="1" priority="1254">
      <formula>LEN(TRIM(A251))&gt;0</formula>
    </cfRule>
  </conditionalFormatting>
  <conditionalFormatting sqref="A252">
    <cfRule type="notContainsBlanks" dxfId="5" priority="1260">
      <formula>LEN(TRIM(A252))&gt;0</formula>
    </cfRule>
  </conditionalFormatting>
  <conditionalFormatting sqref="A252:D252">
    <cfRule type="expression" dxfId="3" priority="1257">
      <formula>COUNTIF($A252, "TRUE") = 1</formula>
    </cfRule>
    <cfRule type="expression" dxfId="4" priority="1258">
      <formula>COUNTIF($A252, "FALSE") = 1</formula>
    </cfRule>
    <cfRule type="notContainsBlanks" dxfId="1" priority="1259">
      <formula>LEN(TRIM(A252))&gt;0</formula>
    </cfRule>
  </conditionalFormatting>
  <conditionalFormatting sqref="A253">
    <cfRule type="notContainsBlanks" dxfId="5" priority="1265">
      <formula>LEN(TRIM(A253))&gt;0</formula>
    </cfRule>
  </conditionalFormatting>
  <conditionalFormatting sqref="A253:D253">
    <cfRule type="expression" dxfId="3" priority="1262">
      <formula>COUNTIF($A253, "TRUE") = 1</formula>
    </cfRule>
    <cfRule type="expression" dxfId="4" priority="1263">
      <formula>COUNTIF($A253, "FALSE") = 1</formula>
    </cfRule>
    <cfRule type="notContainsBlanks" dxfId="1" priority="1264">
      <formula>LEN(TRIM(A253))&gt;0</formula>
    </cfRule>
  </conditionalFormatting>
  <conditionalFormatting sqref="A254">
    <cfRule type="notContainsBlanks" dxfId="5" priority="1270">
      <formula>LEN(TRIM(A254))&gt;0</formula>
    </cfRule>
  </conditionalFormatting>
  <conditionalFormatting sqref="A254:D254">
    <cfRule type="expression" dxfId="3" priority="1267">
      <formula>COUNTIF($A254, "TRUE") = 1</formula>
    </cfRule>
    <cfRule type="expression" dxfId="4" priority="1268">
      <formula>COUNTIF($A254, "FALSE") = 1</formula>
    </cfRule>
    <cfRule type="notContainsBlanks" dxfId="1" priority="1269">
      <formula>LEN(TRIM(A254))&gt;0</formula>
    </cfRule>
  </conditionalFormatting>
  <conditionalFormatting sqref="A255">
    <cfRule type="notContainsBlanks" dxfId="5" priority="1275">
      <formula>LEN(TRIM(A255))&gt;0</formula>
    </cfRule>
  </conditionalFormatting>
  <conditionalFormatting sqref="A255:D255">
    <cfRule type="expression" dxfId="3" priority="1272">
      <formula>COUNTIF($A255, "TRUE") = 1</formula>
    </cfRule>
    <cfRule type="expression" dxfId="4" priority="1273">
      <formula>COUNTIF($A255, "FALSE") = 1</formula>
    </cfRule>
    <cfRule type="notContainsBlanks" dxfId="1" priority="1274">
      <formula>LEN(TRIM(A255))&gt;0</formula>
    </cfRule>
  </conditionalFormatting>
  <conditionalFormatting sqref="A256">
    <cfRule type="notContainsBlanks" dxfId="5" priority="1280">
      <formula>LEN(TRIM(A256))&gt;0</formula>
    </cfRule>
  </conditionalFormatting>
  <conditionalFormatting sqref="A256:D256">
    <cfRule type="expression" dxfId="3" priority="1277">
      <formula>COUNTIF($A256, "TRUE") = 1</formula>
    </cfRule>
    <cfRule type="expression" dxfId="4" priority="1278">
      <formula>COUNTIF($A256, "FALSE") = 1</formula>
    </cfRule>
    <cfRule type="notContainsBlanks" dxfId="1" priority="1279">
      <formula>LEN(TRIM(A256))&gt;0</formula>
    </cfRule>
  </conditionalFormatting>
  <conditionalFormatting sqref="A257">
    <cfRule type="notContainsBlanks" dxfId="5" priority="1285">
      <formula>LEN(TRIM(A257))&gt;0</formula>
    </cfRule>
  </conditionalFormatting>
  <conditionalFormatting sqref="A257:D257">
    <cfRule type="expression" dxfId="3" priority="1282">
      <formula>COUNTIF($A257, "TRUE") = 1</formula>
    </cfRule>
    <cfRule type="expression" dxfId="4" priority="1283">
      <formula>COUNTIF($A257, "FALSE") = 1</formula>
    </cfRule>
    <cfRule type="notContainsBlanks" dxfId="1" priority="1284">
      <formula>LEN(TRIM(A257))&gt;0</formula>
    </cfRule>
  </conditionalFormatting>
  <conditionalFormatting sqref="A258">
    <cfRule type="notContainsBlanks" dxfId="5" priority="1290">
      <formula>LEN(TRIM(A258))&gt;0</formula>
    </cfRule>
  </conditionalFormatting>
  <conditionalFormatting sqref="A258:D258">
    <cfRule type="expression" dxfId="3" priority="1287">
      <formula>COUNTIF($A258, "TRUE") = 1</formula>
    </cfRule>
    <cfRule type="expression" dxfId="4" priority="1288">
      <formula>COUNTIF($A258, "FALSE") = 1</formula>
    </cfRule>
    <cfRule type="notContainsBlanks" dxfId="1" priority="1289">
      <formula>LEN(TRIM(A258))&gt;0</formula>
    </cfRule>
  </conditionalFormatting>
  <conditionalFormatting sqref="A259">
    <cfRule type="notContainsBlanks" dxfId="5" priority="1295">
      <formula>LEN(TRIM(A259))&gt;0</formula>
    </cfRule>
  </conditionalFormatting>
  <conditionalFormatting sqref="A259:D259">
    <cfRule type="expression" dxfId="3" priority="1292">
      <formula>COUNTIF($A259, "TRUE") = 1</formula>
    </cfRule>
    <cfRule type="expression" dxfId="4" priority="1293">
      <formula>COUNTIF($A259, "FALSE") = 1</formula>
    </cfRule>
    <cfRule type="notContainsBlanks" dxfId="1" priority="1294">
      <formula>LEN(TRIM(A259))&gt;0</formula>
    </cfRule>
  </conditionalFormatting>
  <conditionalFormatting sqref="A25:D25">
    <cfRule type="expression" dxfId="3" priority="122">
      <formula>COUNTIF($A25, "TRUE") = 1</formula>
    </cfRule>
    <cfRule type="expression" dxfId="4" priority="123">
      <formula>COUNTIF($A25, "FALSE") = 1</formula>
    </cfRule>
    <cfRule type="notContainsBlanks" dxfId="1" priority="124">
      <formula>LEN(TRIM(A25))&gt;0</formula>
    </cfRule>
  </conditionalFormatting>
  <conditionalFormatting sqref="A26">
    <cfRule type="notContainsBlanks" dxfId="5" priority="130">
      <formula>LEN(TRIM(A26))&gt;0</formula>
    </cfRule>
  </conditionalFormatting>
  <conditionalFormatting sqref="A260">
    <cfRule type="notContainsBlanks" dxfId="5" priority="1300">
      <formula>LEN(TRIM(A260))&gt;0</formula>
    </cfRule>
  </conditionalFormatting>
  <conditionalFormatting sqref="A260:D260">
    <cfRule type="expression" dxfId="3" priority="1297">
      <formula>COUNTIF($A260, "TRUE") = 1</formula>
    </cfRule>
    <cfRule type="expression" dxfId="4" priority="1298">
      <formula>COUNTIF($A260, "FALSE") = 1</formula>
    </cfRule>
    <cfRule type="notContainsBlanks" dxfId="1" priority="1299">
      <formula>LEN(TRIM(A260))&gt;0</formula>
    </cfRule>
  </conditionalFormatting>
  <conditionalFormatting sqref="A261">
    <cfRule type="notContainsBlanks" dxfId="5" priority="1305">
      <formula>LEN(TRIM(A261))&gt;0</formula>
    </cfRule>
  </conditionalFormatting>
  <conditionalFormatting sqref="A261:D261">
    <cfRule type="expression" dxfId="3" priority="1302">
      <formula>COUNTIF($A261, "TRUE") = 1</formula>
    </cfRule>
    <cfRule type="expression" dxfId="4" priority="1303">
      <formula>COUNTIF($A261, "FALSE") = 1</formula>
    </cfRule>
    <cfRule type="notContainsBlanks" dxfId="1" priority="1304">
      <formula>LEN(TRIM(A261))&gt;0</formula>
    </cfRule>
  </conditionalFormatting>
  <conditionalFormatting sqref="A262">
    <cfRule type="notContainsBlanks" dxfId="5" priority="1310">
      <formula>LEN(TRIM(A262))&gt;0</formula>
    </cfRule>
  </conditionalFormatting>
  <conditionalFormatting sqref="A262:D262">
    <cfRule type="expression" dxfId="3" priority="1307">
      <formula>COUNTIF($A262, "TRUE") = 1</formula>
    </cfRule>
    <cfRule type="expression" dxfId="4" priority="1308">
      <formula>COUNTIF($A262, "FALSE") = 1</formula>
    </cfRule>
    <cfRule type="notContainsBlanks" dxfId="1" priority="1309">
      <formula>LEN(TRIM(A262))&gt;0</formula>
    </cfRule>
  </conditionalFormatting>
  <conditionalFormatting sqref="A263">
    <cfRule type="notContainsBlanks" dxfId="5" priority="1315">
      <formula>LEN(TRIM(A263))&gt;0</formula>
    </cfRule>
  </conditionalFormatting>
  <conditionalFormatting sqref="A263:D263">
    <cfRule type="expression" dxfId="3" priority="1312">
      <formula>COUNTIF($A263, "TRUE") = 1</formula>
    </cfRule>
    <cfRule type="expression" dxfId="4" priority="1313">
      <formula>COUNTIF($A263, "FALSE") = 1</formula>
    </cfRule>
    <cfRule type="notContainsBlanks" dxfId="1" priority="1314">
      <formula>LEN(TRIM(A263))&gt;0</formula>
    </cfRule>
  </conditionalFormatting>
  <conditionalFormatting sqref="A264">
    <cfRule type="notContainsBlanks" dxfId="5" priority="1320">
      <formula>LEN(TRIM(A264))&gt;0</formula>
    </cfRule>
  </conditionalFormatting>
  <conditionalFormatting sqref="A264:D264">
    <cfRule type="expression" dxfId="3" priority="1317">
      <formula>COUNTIF($A264, "TRUE") = 1</formula>
    </cfRule>
    <cfRule type="expression" dxfId="4" priority="1318">
      <formula>COUNTIF($A264, "FALSE") = 1</formula>
    </cfRule>
    <cfRule type="notContainsBlanks" dxfId="1" priority="1319">
      <formula>LEN(TRIM(A264))&gt;0</formula>
    </cfRule>
  </conditionalFormatting>
  <conditionalFormatting sqref="A265">
    <cfRule type="notContainsBlanks" dxfId="5" priority="1325">
      <formula>LEN(TRIM(A265))&gt;0</formula>
    </cfRule>
  </conditionalFormatting>
  <conditionalFormatting sqref="A265:D265">
    <cfRule type="expression" dxfId="3" priority="1322">
      <formula>COUNTIF($A265, "TRUE") = 1</formula>
    </cfRule>
    <cfRule type="expression" dxfId="4" priority="1323">
      <formula>COUNTIF($A265, "FALSE") = 1</formula>
    </cfRule>
    <cfRule type="notContainsBlanks" dxfId="1" priority="1324">
      <formula>LEN(TRIM(A265))&gt;0</formula>
    </cfRule>
  </conditionalFormatting>
  <conditionalFormatting sqref="A266">
    <cfRule type="notContainsBlanks" dxfId="5" priority="1330">
      <formula>LEN(TRIM(A266))&gt;0</formula>
    </cfRule>
  </conditionalFormatting>
  <conditionalFormatting sqref="A266:D266">
    <cfRule type="expression" dxfId="3" priority="1327">
      <formula>COUNTIF($A266, "TRUE") = 1</formula>
    </cfRule>
    <cfRule type="expression" dxfId="4" priority="1328">
      <formula>COUNTIF($A266, "FALSE") = 1</formula>
    </cfRule>
    <cfRule type="notContainsBlanks" dxfId="1" priority="1329">
      <formula>LEN(TRIM(A266))&gt;0</formula>
    </cfRule>
  </conditionalFormatting>
  <conditionalFormatting sqref="A267">
    <cfRule type="notContainsBlanks" dxfId="5" priority="1335">
      <formula>LEN(TRIM(A267))&gt;0</formula>
    </cfRule>
  </conditionalFormatting>
  <conditionalFormatting sqref="A267:D267">
    <cfRule type="expression" dxfId="3" priority="1332">
      <formula>COUNTIF($A267, "TRUE") = 1</formula>
    </cfRule>
    <cfRule type="expression" dxfId="4" priority="1333">
      <formula>COUNTIF($A267, "FALSE") = 1</formula>
    </cfRule>
    <cfRule type="notContainsBlanks" dxfId="1" priority="1334">
      <formula>LEN(TRIM(A267))&gt;0</formula>
    </cfRule>
  </conditionalFormatting>
  <conditionalFormatting sqref="A268">
    <cfRule type="notContainsBlanks" dxfId="5" priority="1340">
      <formula>LEN(TRIM(A268))&gt;0</formula>
    </cfRule>
  </conditionalFormatting>
  <conditionalFormatting sqref="A268:D268">
    <cfRule type="expression" dxfId="3" priority="1337">
      <formula>COUNTIF($A268, "TRUE") = 1</formula>
    </cfRule>
    <cfRule type="expression" dxfId="4" priority="1338">
      <formula>COUNTIF($A268, "FALSE") = 1</formula>
    </cfRule>
    <cfRule type="notContainsBlanks" dxfId="1" priority="1339">
      <formula>LEN(TRIM(A268))&gt;0</formula>
    </cfRule>
  </conditionalFormatting>
  <conditionalFormatting sqref="A269">
    <cfRule type="notContainsBlanks" dxfId="5" priority="1345">
      <formula>LEN(TRIM(A269))&gt;0</formula>
    </cfRule>
  </conditionalFormatting>
  <conditionalFormatting sqref="A269:D269">
    <cfRule type="expression" dxfId="3" priority="1342">
      <formula>COUNTIF($A269, "TRUE") = 1</formula>
    </cfRule>
    <cfRule type="expression" dxfId="4" priority="1343">
      <formula>COUNTIF($A269, "FALSE") = 1</formula>
    </cfRule>
    <cfRule type="notContainsBlanks" dxfId="1" priority="1344">
      <formula>LEN(TRIM(A269))&gt;0</formula>
    </cfRule>
  </conditionalFormatting>
  <conditionalFormatting sqref="A26:D26">
    <cfRule type="expression" dxfId="3" priority="127">
      <formula>COUNTIF($A26, "TRUE") = 1</formula>
    </cfRule>
    <cfRule type="expression" dxfId="4" priority="128">
      <formula>COUNTIF($A26, "FALSE") = 1</formula>
    </cfRule>
    <cfRule type="notContainsBlanks" dxfId="1" priority="129">
      <formula>LEN(TRIM(A26))&gt;0</formula>
    </cfRule>
  </conditionalFormatting>
  <conditionalFormatting sqref="A27">
    <cfRule type="notContainsBlanks" dxfId="5" priority="135">
      <formula>LEN(TRIM(A27))&gt;0</formula>
    </cfRule>
  </conditionalFormatting>
  <conditionalFormatting sqref="A270">
    <cfRule type="notContainsBlanks" dxfId="5" priority="1350">
      <formula>LEN(TRIM(A270))&gt;0</formula>
    </cfRule>
  </conditionalFormatting>
  <conditionalFormatting sqref="A270:D270">
    <cfRule type="expression" dxfId="3" priority="1347">
      <formula>COUNTIF($A270, "TRUE") = 1</formula>
    </cfRule>
    <cfRule type="expression" dxfId="4" priority="1348">
      <formula>COUNTIF($A270, "FALSE") = 1</formula>
    </cfRule>
    <cfRule type="notContainsBlanks" dxfId="1" priority="1349">
      <formula>LEN(TRIM(A270))&gt;0</formula>
    </cfRule>
  </conditionalFormatting>
  <conditionalFormatting sqref="A271">
    <cfRule type="notContainsBlanks" dxfId="5" priority="1355">
      <formula>LEN(TRIM(A271))&gt;0</formula>
    </cfRule>
  </conditionalFormatting>
  <conditionalFormatting sqref="A271:D271">
    <cfRule type="expression" dxfId="3" priority="1352">
      <formula>COUNTIF($A271, "TRUE") = 1</formula>
    </cfRule>
    <cfRule type="expression" dxfId="4" priority="1353">
      <formula>COUNTIF($A271, "FALSE") = 1</formula>
    </cfRule>
    <cfRule type="notContainsBlanks" dxfId="1" priority="1354">
      <formula>LEN(TRIM(A271))&gt;0</formula>
    </cfRule>
  </conditionalFormatting>
  <conditionalFormatting sqref="A272">
    <cfRule type="notContainsBlanks" dxfId="5" priority="1360">
      <formula>LEN(TRIM(A272))&gt;0</formula>
    </cfRule>
  </conditionalFormatting>
  <conditionalFormatting sqref="A272:D272">
    <cfRule type="expression" dxfId="3" priority="1357">
      <formula>COUNTIF($A272, "TRUE") = 1</formula>
    </cfRule>
    <cfRule type="expression" dxfId="4" priority="1358">
      <formula>COUNTIF($A272, "FALSE") = 1</formula>
    </cfRule>
    <cfRule type="notContainsBlanks" dxfId="1" priority="1359">
      <formula>LEN(TRIM(A272))&gt;0</formula>
    </cfRule>
  </conditionalFormatting>
  <conditionalFormatting sqref="A273">
    <cfRule type="notContainsBlanks" dxfId="5" priority="1365">
      <formula>LEN(TRIM(A273))&gt;0</formula>
    </cfRule>
  </conditionalFormatting>
  <conditionalFormatting sqref="A273:D273">
    <cfRule type="expression" dxfId="3" priority="1362">
      <formula>COUNTIF($A273, "TRUE") = 1</formula>
    </cfRule>
    <cfRule type="expression" dxfId="4" priority="1363">
      <formula>COUNTIF($A273, "FALSE") = 1</formula>
    </cfRule>
    <cfRule type="notContainsBlanks" dxfId="1" priority="1364">
      <formula>LEN(TRIM(A273))&gt;0</formula>
    </cfRule>
  </conditionalFormatting>
  <conditionalFormatting sqref="A274">
    <cfRule type="notContainsBlanks" dxfId="5" priority="1370">
      <formula>LEN(TRIM(A274))&gt;0</formula>
    </cfRule>
  </conditionalFormatting>
  <conditionalFormatting sqref="A274:D274">
    <cfRule type="expression" dxfId="3" priority="1367">
      <formula>COUNTIF($A274, "TRUE") = 1</formula>
    </cfRule>
    <cfRule type="expression" dxfId="4" priority="1368">
      <formula>COUNTIF($A274, "FALSE") = 1</formula>
    </cfRule>
    <cfRule type="notContainsBlanks" dxfId="1" priority="1369">
      <formula>LEN(TRIM(A274))&gt;0</formula>
    </cfRule>
  </conditionalFormatting>
  <conditionalFormatting sqref="A275">
    <cfRule type="notContainsBlanks" dxfId="5" priority="1375">
      <formula>LEN(TRIM(A275))&gt;0</formula>
    </cfRule>
  </conditionalFormatting>
  <conditionalFormatting sqref="A275:D275">
    <cfRule type="expression" dxfId="3" priority="1372">
      <formula>COUNTIF($A275, "TRUE") = 1</formula>
    </cfRule>
    <cfRule type="expression" dxfId="4" priority="1373">
      <formula>COUNTIF($A275, "FALSE") = 1</formula>
    </cfRule>
    <cfRule type="notContainsBlanks" dxfId="1" priority="1374">
      <formula>LEN(TRIM(A275))&gt;0</formula>
    </cfRule>
  </conditionalFormatting>
  <conditionalFormatting sqref="A276">
    <cfRule type="notContainsBlanks" dxfId="5" priority="1380">
      <formula>LEN(TRIM(A276))&gt;0</formula>
    </cfRule>
  </conditionalFormatting>
  <conditionalFormatting sqref="A276:D276">
    <cfRule type="expression" dxfId="3" priority="1377">
      <formula>COUNTIF($A276, "TRUE") = 1</formula>
    </cfRule>
    <cfRule type="expression" dxfId="4" priority="1378">
      <formula>COUNTIF($A276, "FALSE") = 1</formula>
    </cfRule>
    <cfRule type="notContainsBlanks" dxfId="1" priority="1379">
      <formula>LEN(TRIM(A276))&gt;0</formula>
    </cfRule>
  </conditionalFormatting>
  <conditionalFormatting sqref="A277">
    <cfRule type="notContainsBlanks" dxfId="5" priority="1385">
      <formula>LEN(TRIM(A277))&gt;0</formula>
    </cfRule>
  </conditionalFormatting>
  <conditionalFormatting sqref="A277:D277">
    <cfRule type="expression" dxfId="3" priority="1382">
      <formula>COUNTIF($A277, "TRUE") = 1</formula>
    </cfRule>
    <cfRule type="expression" dxfId="4" priority="1383">
      <formula>COUNTIF($A277, "FALSE") = 1</formula>
    </cfRule>
    <cfRule type="notContainsBlanks" dxfId="1" priority="1384">
      <formula>LEN(TRIM(A277))&gt;0</formula>
    </cfRule>
  </conditionalFormatting>
  <conditionalFormatting sqref="A278">
    <cfRule type="notContainsBlanks" dxfId="5" priority="1390">
      <formula>LEN(TRIM(A278))&gt;0</formula>
    </cfRule>
  </conditionalFormatting>
  <conditionalFormatting sqref="A278:D278">
    <cfRule type="expression" dxfId="3" priority="1387">
      <formula>COUNTIF($A278, "TRUE") = 1</formula>
    </cfRule>
    <cfRule type="expression" dxfId="4" priority="1388">
      <formula>COUNTIF($A278, "FALSE") = 1</formula>
    </cfRule>
    <cfRule type="notContainsBlanks" dxfId="1" priority="1389">
      <formula>LEN(TRIM(A278))&gt;0</formula>
    </cfRule>
  </conditionalFormatting>
  <conditionalFormatting sqref="A279">
    <cfRule type="notContainsBlanks" dxfId="5" priority="1395">
      <formula>LEN(TRIM(A279))&gt;0</formula>
    </cfRule>
  </conditionalFormatting>
  <conditionalFormatting sqref="A279:D279">
    <cfRule type="expression" dxfId="3" priority="1392">
      <formula>COUNTIF($A279, "TRUE") = 1</formula>
    </cfRule>
    <cfRule type="expression" dxfId="4" priority="1393">
      <formula>COUNTIF($A279, "FALSE") = 1</formula>
    </cfRule>
    <cfRule type="notContainsBlanks" dxfId="1" priority="1394">
      <formula>LEN(TRIM(A279))&gt;0</formula>
    </cfRule>
  </conditionalFormatting>
  <conditionalFormatting sqref="A27:D27">
    <cfRule type="expression" dxfId="3" priority="132">
      <formula>COUNTIF($A27, "TRUE") = 1</formula>
    </cfRule>
    <cfRule type="expression" dxfId="4" priority="133">
      <formula>COUNTIF($A27, "FALSE") = 1</formula>
    </cfRule>
    <cfRule type="notContainsBlanks" dxfId="1" priority="134">
      <formula>LEN(TRIM(A27))&gt;0</formula>
    </cfRule>
  </conditionalFormatting>
  <conditionalFormatting sqref="A28">
    <cfRule type="notContainsBlanks" dxfId="5" priority="140">
      <formula>LEN(TRIM(A28))&gt;0</formula>
    </cfRule>
  </conditionalFormatting>
  <conditionalFormatting sqref="A280">
    <cfRule type="notContainsBlanks" dxfId="5" priority="1400">
      <formula>LEN(TRIM(A280))&gt;0</formula>
    </cfRule>
  </conditionalFormatting>
  <conditionalFormatting sqref="A280:D280">
    <cfRule type="expression" dxfId="3" priority="1397">
      <formula>COUNTIF($A280, "TRUE") = 1</formula>
    </cfRule>
    <cfRule type="expression" dxfId="4" priority="1398">
      <formula>COUNTIF($A280, "FALSE") = 1</formula>
    </cfRule>
    <cfRule type="notContainsBlanks" dxfId="1" priority="1399">
      <formula>LEN(TRIM(A280))&gt;0</formula>
    </cfRule>
  </conditionalFormatting>
  <conditionalFormatting sqref="A281">
    <cfRule type="notContainsBlanks" dxfId="5" priority="1405">
      <formula>LEN(TRIM(A281))&gt;0</formula>
    </cfRule>
  </conditionalFormatting>
  <conditionalFormatting sqref="A281:D281">
    <cfRule type="expression" dxfId="3" priority="1402">
      <formula>COUNTIF($A281, "TRUE") = 1</formula>
    </cfRule>
    <cfRule type="expression" dxfId="4" priority="1403">
      <formula>COUNTIF($A281, "FALSE") = 1</formula>
    </cfRule>
    <cfRule type="notContainsBlanks" dxfId="1" priority="1404">
      <formula>LEN(TRIM(A281))&gt;0</formula>
    </cfRule>
  </conditionalFormatting>
  <conditionalFormatting sqref="A282">
    <cfRule type="notContainsBlanks" dxfId="5" priority="1410">
      <formula>LEN(TRIM(A282))&gt;0</formula>
    </cfRule>
  </conditionalFormatting>
  <conditionalFormatting sqref="A282:D282">
    <cfRule type="expression" dxfId="3" priority="1407">
      <formula>COUNTIF($A282, "TRUE") = 1</formula>
    </cfRule>
    <cfRule type="expression" dxfId="4" priority="1408">
      <formula>COUNTIF($A282, "FALSE") = 1</formula>
    </cfRule>
    <cfRule type="notContainsBlanks" dxfId="1" priority="1409">
      <formula>LEN(TRIM(A282))&gt;0</formula>
    </cfRule>
  </conditionalFormatting>
  <conditionalFormatting sqref="A283">
    <cfRule type="notContainsBlanks" dxfId="5" priority="1415">
      <formula>LEN(TRIM(A283))&gt;0</formula>
    </cfRule>
  </conditionalFormatting>
  <conditionalFormatting sqref="A283:D283">
    <cfRule type="expression" dxfId="3" priority="1412">
      <formula>COUNTIF($A283, "TRUE") = 1</formula>
    </cfRule>
    <cfRule type="expression" dxfId="4" priority="1413">
      <formula>COUNTIF($A283, "FALSE") = 1</formula>
    </cfRule>
    <cfRule type="notContainsBlanks" dxfId="1" priority="1414">
      <formula>LEN(TRIM(A283))&gt;0</formula>
    </cfRule>
  </conditionalFormatting>
  <conditionalFormatting sqref="A284">
    <cfRule type="notContainsBlanks" dxfId="5" priority="1420">
      <formula>LEN(TRIM(A284))&gt;0</formula>
    </cfRule>
  </conditionalFormatting>
  <conditionalFormatting sqref="A284:D284">
    <cfRule type="expression" dxfId="3" priority="1417">
      <formula>COUNTIF($A284, "TRUE") = 1</formula>
    </cfRule>
    <cfRule type="expression" dxfId="4" priority="1418">
      <formula>COUNTIF($A284, "FALSE") = 1</formula>
    </cfRule>
    <cfRule type="notContainsBlanks" dxfId="1" priority="1419">
      <formula>LEN(TRIM(A284))&gt;0</formula>
    </cfRule>
  </conditionalFormatting>
  <conditionalFormatting sqref="A285">
    <cfRule type="notContainsBlanks" dxfId="5" priority="1425">
      <formula>LEN(TRIM(A285))&gt;0</formula>
    </cfRule>
  </conditionalFormatting>
  <conditionalFormatting sqref="A285:D285">
    <cfRule type="expression" dxfId="3" priority="1422">
      <formula>COUNTIF($A285, "TRUE") = 1</formula>
    </cfRule>
    <cfRule type="expression" dxfId="4" priority="1423">
      <formula>COUNTIF($A285, "FALSE") = 1</formula>
    </cfRule>
    <cfRule type="notContainsBlanks" dxfId="1" priority="1424">
      <formula>LEN(TRIM(A285))&gt;0</formula>
    </cfRule>
  </conditionalFormatting>
  <conditionalFormatting sqref="A286">
    <cfRule type="notContainsBlanks" dxfId="5" priority="1430">
      <formula>LEN(TRIM(A286))&gt;0</formula>
    </cfRule>
  </conditionalFormatting>
  <conditionalFormatting sqref="A286:D286">
    <cfRule type="expression" dxfId="3" priority="1427">
      <formula>COUNTIF($A286, "TRUE") = 1</formula>
    </cfRule>
    <cfRule type="expression" dxfId="4" priority="1428">
      <formula>COUNTIF($A286, "FALSE") = 1</formula>
    </cfRule>
    <cfRule type="notContainsBlanks" dxfId="1" priority="1429">
      <formula>LEN(TRIM(A286))&gt;0</formula>
    </cfRule>
  </conditionalFormatting>
  <conditionalFormatting sqref="A287">
    <cfRule type="notContainsBlanks" dxfId="5" priority="1435">
      <formula>LEN(TRIM(A287))&gt;0</formula>
    </cfRule>
  </conditionalFormatting>
  <conditionalFormatting sqref="A287:D287">
    <cfRule type="expression" dxfId="3" priority="1432">
      <formula>COUNTIF($A287, "TRUE") = 1</formula>
    </cfRule>
    <cfRule type="expression" dxfId="4" priority="1433">
      <formula>COUNTIF($A287, "FALSE") = 1</formula>
    </cfRule>
    <cfRule type="notContainsBlanks" dxfId="1" priority="1434">
      <formula>LEN(TRIM(A287))&gt;0</formula>
    </cfRule>
  </conditionalFormatting>
  <conditionalFormatting sqref="A288">
    <cfRule type="notContainsBlanks" dxfId="5" priority="1440">
      <formula>LEN(TRIM(A288))&gt;0</formula>
    </cfRule>
  </conditionalFormatting>
  <conditionalFormatting sqref="A288:D288">
    <cfRule type="expression" dxfId="3" priority="1437">
      <formula>COUNTIF($A288, "TRUE") = 1</formula>
    </cfRule>
    <cfRule type="expression" dxfId="4" priority="1438">
      <formula>COUNTIF($A288, "FALSE") = 1</formula>
    </cfRule>
    <cfRule type="notContainsBlanks" dxfId="1" priority="1439">
      <formula>LEN(TRIM(A288))&gt;0</formula>
    </cfRule>
  </conditionalFormatting>
  <conditionalFormatting sqref="A289">
    <cfRule type="notContainsBlanks" dxfId="5" priority="1445">
      <formula>LEN(TRIM(A289))&gt;0</formula>
    </cfRule>
  </conditionalFormatting>
  <conditionalFormatting sqref="A289:D289">
    <cfRule type="expression" dxfId="3" priority="1442">
      <formula>COUNTIF($A289, "TRUE") = 1</formula>
    </cfRule>
    <cfRule type="expression" dxfId="4" priority="1443">
      <formula>COUNTIF($A289, "FALSE") = 1</formula>
    </cfRule>
    <cfRule type="notContainsBlanks" dxfId="1" priority="1444">
      <formula>LEN(TRIM(A289))&gt;0</formula>
    </cfRule>
  </conditionalFormatting>
  <conditionalFormatting sqref="A28:D28">
    <cfRule type="expression" dxfId="3" priority="137">
      <formula>COUNTIF($A28, "TRUE") = 1</formula>
    </cfRule>
    <cfRule type="expression" dxfId="4" priority="138">
      <formula>COUNTIF($A28, "FALSE") = 1</formula>
    </cfRule>
    <cfRule type="notContainsBlanks" dxfId="1" priority="139">
      <formula>LEN(TRIM(A28))&gt;0</formula>
    </cfRule>
  </conditionalFormatting>
  <conditionalFormatting sqref="A29">
    <cfRule type="notContainsBlanks" dxfId="5" priority="145">
      <formula>LEN(TRIM(A29))&gt;0</formula>
    </cfRule>
  </conditionalFormatting>
  <conditionalFormatting sqref="A290">
    <cfRule type="notContainsBlanks" dxfId="5" priority="1450">
      <formula>LEN(TRIM(A290))&gt;0</formula>
    </cfRule>
  </conditionalFormatting>
  <conditionalFormatting sqref="A290:D290">
    <cfRule type="expression" dxfId="3" priority="1447">
      <formula>COUNTIF($A290, "TRUE") = 1</formula>
    </cfRule>
    <cfRule type="expression" dxfId="4" priority="1448">
      <formula>COUNTIF($A290, "FALSE") = 1</formula>
    </cfRule>
    <cfRule type="notContainsBlanks" dxfId="1" priority="1449">
      <formula>LEN(TRIM(A290))&gt;0</formula>
    </cfRule>
  </conditionalFormatting>
  <conditionalFormatting sqref="A291">
    <cfRule type="notContainsBlanks" dxfId="5" priority="1455">
      <formula>LEN(TRIM(A291))&gt;0</formula>
    </cfRule>
  </conditionalFormatting>
  <conditionalFormatting sqref="A291:D291">
    <cfRule type="expression" dxfId="3" priority="1452">
      <formula>COUNTIF($A291, "TRUE") = 1</formula>
    </cfRule>
    <cfRule type="expression" dxfId="4" priority="1453">
      <formula>COUNTIF($A291, "FALSE") = 1</formula>
    </cfRule>
    <cfRule type="notContainsBlanks" dxfId="1" priority="1454">
      <formula>LEN(TRIM(A291))&gt;0</formula>
    </cfRule>
  </conditionalFormatting>
  <conditionalFormatting sqref="A292">
    <cfRule type="notContainsBlanks" dxfId="5" priority="1460">
      <formula>LEN(TRIM(A292))&gt;0</formula>
    </cfRule>
  </conditionalFormatting>
  <conditionalFormatting sqref="A292:D292">
    <cfRule type="expression" dxfId="3" priority="1457">
      <formula>COUNTIF($A292, "TRUE") = 1</formula>
    </cfRule>
    <cfRule type="expression" dxfId="4" priority="1458">
      <formula>COUNTIF($A292, "FALSE") = 1</formula>
    </cfRule>
    <cfRule type="notContainsBlanks" dxfId="1" priority="1459">
      <formula>LEN(TRIM(A292))&gt;0</formula>
    </cfRule>
  </conditionalFormatting>
  <conditionalFormatting sqref="A293">
    <cfRule type="notContainsBlanks" dxfId="5" priority="1465">
      <formula>LEN(TRIM(A293))&gt;0</formula>
    </cfRule>
  </conditionalFormatting>
  <conditionalFormatting sqref="A293:D293">
    <cfRule type="expression" dxfId="3" priority="1462">
      <formula>COUNTIF($A293, "TRUE") = 1</formula>
    </cfRule>
    <cfRule type="expression" dxfId="4" priority="1463">
      <formula>COUNTIF($A293, "FALSE") = 1</formula>
    </cfRule>
    <cfRule type="notContainsBlanks" dxfId="1" priority="1464">
      <formula>LEN(TRIM(A293))&gt;0</formula>
    </cfRule>
  </conditionalFormatting>
  <conditionalFormatting sqref="A294">
    <cfRule type="notContainsBlanks" dxfId="5" priority="1470">
      <formula>LEN(TRIM(A294))&gt;0</formula>
    </cfRule>
  </conditionalFormatting>
  <conditionalFormatting sqref="A294:D294">
    <cfRule type="expression" dxfId="3" priority="1467">
      <formula>COUNTIF($A294, "TRUE") = 1</formula>
    </cfRule>
    <cfRule type="expression" dxfId="4" priority="1468">
      <formula>COUNTIF($A294, "FALSE") = 1</formula>
    </cfRule>
    <cfRule type="notContainsBlanks" dxfId="1" priority="1469">
      <formula>LEN(TRIM(A294))&gt;0</formula>
    </cfRule>
  </conditionalFormatting>
  <conditionalFormatting sqref="A295">
    <cfRule type="notContainsBlanks" dxfId="5" priority="1475">
      <formula>LEN(TRIM(A295))&gt;0</formula>
    </cfRule>
  </conditionalFormatting>
  <conditionalFormatting sqref="A295:D295">
    <cfRule type="expression" dxfId="3" priority="1472">
      <formula>COUNTIF($A295, "TRUE") = 1</formula>
    </cfRule>
    <cfRule type="expression" dxfId="4" priority="1473">
      <formula>COUNTIF($A295, "FALSE") = 1</formula>
    </cfRule>
    <cfRule type="notContainsBlanks" dxfId="1" priority="1474">
      <formula>LEN(TRIM(A295))&gt;0</formula>
    </cfRule>
  </conditionalFormatting>
  <conditionalFormatting sqref="A296">
    <cfRule type="notContainsBlanks" dxfId="5" priority="1480">
      <formula>LEN(TRIM(A296))&gt;0</formula>
    </cfRule>
  </conditionalFormatting>
  <conditionalFormatting sqref="A296:D296">
    <cfRule type="expression" dxfId="3" priority="1477">
      <formula>COUNTIF($A296, "TRUE") = 1</formula>
    </cfRule>
    <cfRule type="expression" dxfId="4" priority="1478">
      <formula>COUNTIF($A296, "FALSE") = 1</formula>
    </cfRule>
    <cfRule type="notContainsBlanks" dxfId="1" priority="1479">
      <formula>LEN(TRIM(A296))&gt;0</formula>
    </cfRule>
  </conditionalFormatting>
  <conditionalFormatting sqref="A297">
    <cfRule type="notContainsBlanks" dxfId="5" priority="1485">
      <formula>LEN(TRIM(A297))&gt;0</formula>
    </cfRule>
  </conditionalFormatting>
  <conditionalFormatting sqref="A297:D297">
    <cfRule type="expression" dxfId="3" priority="1482">
      <formula>COUNTIF($A297, "TRUE") = 1</formula>
    </cfRule>
    <cfRule type="expression" dxfId="4" priority="1483">
      <formula>COUNTIF($A297, "FALSE") = 1</formula>
    </cfRule>
    <cfRule type="notContainsBlanks" dxfId="1" priority="1484">
      <formula>LEN(TRIM(A297))&gt;0</formula>
    </cfRule>
  </conditionalFormatting>
  <conditionalFormatting sqref="A298">
    <cfRule type="notContainsBlanks" dxfId="5" priority="1490">
      <formula>LEN(TRIM(A298))&gt;0</formula>
    </cfRule>
  </conditionalFormatting>
  <conditionalFormatting sqref="A298:D298">
    <cfRule type="expression" dxfId="3" priority="1487">
      <formula>COUNTIF($A298, "TRUE") = 1</formula>
    </cfRule>
    <cfRule type="expression" dxfId="4" priority="1488">
      <formula>COUNTIF($A298, "FALSE") = 1</formula>
    </cfRule>
    <cfRule type="notContainsBlanks" dxfId="1" priority="1489">
      <formula>LEN(TRIM(A298))&gt;0</formula>
    </cfRule>
  </conditionalFormatting>
  <conditionalFormatting sqref="A299">
    <cfRule type="notContainsBlanks" dxfId="5" priority="1495">
      <formula>LEN(TRIM(A299))&gt;0</formula>
    </cfRule>
  </conditionalFormatting>
  <conditionalFormatting sqref="A299:D299">
    <cfRule type="expression" dxfId="3" priority="1492">
      <formula>COUNTIF($A299, "TRUE") = 1</formula>
    </cfRule>
    <cfRule type="expression" dxfId="4" priority="1493">
      <formula>COUNTIF($A299, "FALSE") = 1</formula>
    </cfRule>
    <cfRule type="notContainsBlanks" dxfId="1" priority="1494">
      <formula>LEN(TRIM(A299))&gt;0</formula>
    </cfRule>
  </conditionalFormatting>
  <conditionalFormatting sqref="A29:D29">
    <cfRule type="expression" dxfId="3" priority="142">
      <formula>COUNTIF($A29, "TRUE") = 1</formula>
    </cfRule>
    <cfRule type="expression" dxfId="4" priority="143">
      <formula>COUNTIF($A29, "FALSE") = 1</formula>
    </cfRule>
    <cfRule type="notContainsBlanks" dxfId="1" priority="144">
      <formula>LEN(TRIM(A29))&gt;0</formula>
    </cfRule>
  </conditionalFormatting>
  <conditionalFormatting sqref="A2:D2">
    <cfRule type="expression" dxfId="3" priority="7">
      <formula>COUNTIF($A2, "TRUE") = 1</formula>
    </cfRule>
    <cfRule type="expression" dxfId="4" priority="8">
      <formula>COUNTIF($A2, "FALSE") = 1</formula>
    </cfRule>
    <cfRule type="notContainsBlanks" dxfId="1" priority="9">
      <formula>LEN(TRIM(A2))&gt;0</formula>
    </cfRule>
  </conditionalFormatting>
  <conditionalFormatting sqref="A3">
    <cfRule type="notContainsBlanks" dxfId="5" priority="15">
      <formula>LEN(TRIM(A3))&gt;0</formula>
    </cfRule>
  </conditionalFormatting>
  <conditionalFormatting sqref="A30">
    <cfRule type="notContainsBlanks" dxfId="5" priority="150">
      <formula>LEN(TRIM(A30))&gt;0</formula>
    </cfRule>
  </conditionalFormatting>
  <conditionalFormatting sqref="A300">
    <cfRule type="notContainsBlanks" dxfId="5" priority="1500">
      <formula>LEN(TRIM(A300))&gt;0</formula>
    </cfRule>
  </conditionalFormatting>
  <conditionalFormatting sqref="A300:D300">
    <cfRule type="expression" dxfId="3" priority="1497">
      <formula>COUNTIF($A300, "TRUE") = 1</formula>
    </cfRule>
    <cfRule type="expression" dxfId="4" priority="1498">
      <formula>COUNTIF($A300, "FALSE") = 1</formula>
    </cfRule>
    <cfRule type="notContainsBlanks" dxfId="1" priority="1499">
      <formula>LEN(TRIM(A300))&gt;0</formula>
    </cfRule>
  </conditionalFormatting>
  <conditionalFormatting sqref="A301">
    <cfRule type="notContainsBlanks" dxfId="5" priority="1505">
      <formula>LEN(TRIM(A301))&gt;0</formula>
    </cfRule>
  </conditionalFormatting>
  <conditionalFormatting sqref="A301:D301">
    <cfRule type="expression" dxfId="3" priority="1502">
      <formula>COUNTIF($A301, "TRUE") = 1</formula>
    </cfRule>
    <cfRule type="expression" dxfId="4" priority="1503">
      <formula>COUNTIF($A301, "FALSE") = 1</formula>
    </cfRule>
    <cfRule type="notContainsBlanks" dxfId="1" priority="1504">
      <formula>LEN(TRIM(A301))&gt;0</formula>
    </cfRule>
  </conditionalFormatting>
  <conditionalFormatting sqref="A302">
    <cfRule type="notContainsBlanks" dxfId="5" priority="1510">
      <formula>LEN(TRIM(A302))&gt;0</formula>
    </cfRule>
  </conditionalFormatting>
  <conditionalFormatting sqref="A302:D302">
    <cfRule type="expression" dxfId="3" priority="1507">
      <formula>COUNTIF($A302, "TRUE") = 1</formula>
    </cfRule>
    <cfRule type="expression" dxfId="4" priority="1508">
      <formula>COUNTIF($A302, "FALSE") = 1</formula>
    </cfRule>
    <cfRule type="notContainsBlanks" dxfId="1" priority="1509">
      <formula>LEN(TRIM(A302))&gt;0</formula>
    </cfRule>
  </conditionalFormatting>
  <conditionalFormatting sqref="A303">
    <cfRule type="notContainsBlanks" dxfId="5" priority="1515">
      <formula>LEN(TRIM(A303))&gt;0</formula>
    </cfRule>
  </conditionalFormatting>
  <conditionalFormatting sqref="A303:D303">
    <cfRule type="expression" dxfId="3" priority="1512">
      <formula>COUNTIF($A303, "TRUE") = 1</formula>
    </cfRule>
    <cfRule type="expression" dxfId="4" priority="1513">
      <formula>COUNTIF($A303, "FALSE") = 1</formula>
    </cfRule>
    <cfRule type="notContainsBlanks" dxfId="1" priority="1514">
      <formula>LEN(TRIM(A303))&gt;0</formula>
    </cfRule>
  </conditionalFormatting>
  <conditionalFormatting sqref="A304">
    <cfRule type="notContainsBlanks" dxfId="5" priority="1520">
      <formula>LEN(TRIM(A304))&gt;0</formula>
    </cfRule>
  </conditionalFormatting>
  <conditionalFormatting sqref="A304:D304">
    <cfRule type="expression" dxfId="3" priority="1517">
      <formula>COUNTIF($A304, "TRUE") = 1</formula>
    </cfRule>
    <cfRule type="expression" dxfId="4" priority="1518">
      <formula>COUNTIF($A304, "FALSE") = 1</formula>
    </cfRule>
    <cfRule type="notContainsBlanks" dxfId="1" priority="1519">
      <formula>LEN(TRIM(A304))&gt;0</formula>
    </cfRule>
  </conditionalFormatting>
  <conditionalFormatting sqref="A305">
    <cfRule type="notContainsBlanks" dxfId="5" priority="1525">
      <formula>LEN(TRIM(A305))&gt;0</formula>
    </cfRule>
  </conditionalFormatting>
  <conditionalFormatting sqref="A305:D305">
    <cfRule type="expression" dxfId="3" priority="1522">
      <formula>COUNTIF($A305, "TRUE") = 1</formula>
    </cfRule>
    <cfRule type="expression" dxfId="4" priority="1523">
      <formula>COUNTIF($A305, "FALSE") = 1</formula>
    </cfRule>
    <cfRule type="notContainsBlanks" dxfId="1" priority="1524">
      <formula>LEN(TRIM(A305))&gt;0</formula>
    </cfRule>
  </conditionalFormatting>
  <conditionalFormatting sqref="A306">
    <cfRule type="notContainsBlanks" dxfId="5" priority="1530">
      <formula>LEN(TRIM(A306))&gt;0</formula>
    </cfRule>
  </conditionalFormatting>
  <conditionalFormatting sqref="A306:D306">
    <cfRule type="expression" dxfId="3" priority="1527">
      <formula>COUNTIF($A306, "TRUE") = 1</formula>
    </cfRule>
    <cfRule type="expression" dxfId="4" priority="1528">
      <formula>COUNTIF($A306, "FALSE") = 1</formula>
    </cfRule>
    <cfRule type="notContainsBlanks" dxfId="1" priority="1529">
      <formula>LEN(TRIM(A306))&gt;0</formula>
    </cfRule>
  </conditionalFormatting>
  <conditionalFormatting sqref="A307">
    <cfRule type="notContainsBlanks" dxfId="5" priority="1535">
      <formula>LEN(TRIM(A307))&gt;0</formula>
    </cfRule>
  </conditionalFormatting>
  <conditionalFormatting sqref="A307:D307">
    <cfRule type="expression" dxfId="3" priority="1532">
      <formula>COUNTIF($A307, "TRUE") = 1</formula>
    </cfRule>
    <cfRule type="expression" dxfId="4" priority="1533">
      <formula>COUNTIF($A307, "FALSE") = 1</formula>
    </cfRule>
    <cfRule type="notContainsBlanks" dxfId="1" priority="1534">
      <formula>LEN(TRIM(A307))&gt;0</formula>
    </cfRule>
  </conditionalFormatting>
  <conditionalFormatting sqref="A308">
    <cfRule type="notContainsBlanks" dxfId="5" priority="1540">
      <formula>LEN(TRIM(A308))&gt;0</formula>
    </cfRule>
  </conditionalFormatting>
  <conditionalFormatting sqref="A308:D308">
    <cfRule type="expression" dxfId="3" priority="1537">
      <formula>COUNTIF($A308, "TRUE") = 1</formula>
    </cfRule>
    <cfRule type="expression" dxfId="4" priority="1538">
      <formula>COUNTIF($A308, "FALSE") = 1</formula>
    </cfRule>
    <cfRule type="notContainsBlanks" dxfId="1" priority="1539">
      <formula>LEN(TRIM(A308))&gt;0</formula>
    </cfRule>
  </conditionalFormatting>
  <conditionalFormatting sqref="A309">
    <cfRule type="notContainsBlanks" dxfId="5" priority="1545">
      <formula>LEN(TRIM(A309))&gt;0</formula>
    </cfRule>
  </conditionalFormatting>
  <conditionalFormatting sqref="A309:D309">
    <cfRule type="expression" dxfId="3" priority="1542">
      <formula>COUNTIF($A309, "TRUE") = 1</formula>
    </cfRule>
    <cfRule type="expression" dxfId="4" priority="1543">
      <formula>COUNTIF($A309, "FALSE") = 1</formula>
    </cfRule>
    <cfRule type="notContainsBlanks" dxfId="1" priority="1544">
      <formula>LEN(TRIM(A309))&gt;0</formula>
    </cfRule>
  </conditionalFormatting>
  <conditionalFormatting sqref="A30:D30">
    <cfRule type="expression" dxfId="3" priority="147">
      <formula>COUNTIF($A30, "TRUE") = 1</formula>
    </cfRule>
    <cfRule type="expression" dxfId="4" priority="148">
      <formula>COUNTIF($A30, "FALSE") = 1</formula>
    </cfRule>
    <cfRule type="notContainsBlanks" dxfId="1" priority="149">
      <formula>LEN(TRIM(A30))&gt;0</formula>
    </cfRule>
  </conditionalFormatting>
  <conditionalFormatting sqref="A31">
    <cfRule type="notContainsBlanks" dxfId="5" priority="155">
      <formula>LEN(TRIM(A31))&gt;0</formula>
    </cfRule>
  </conditionalFormatting>
  <conditionalFormatting sqref="A310">
    <cfRule type="notContainsBlanks" dxfId="5" priority="1550">
      <formula>LEN(TRIM(A310))&gt;0</formula>
    </cfRule>
  </conditionalFormatting>
  <conditionalFormatting sqref="A310:D310">
    <cfRule type="expression" dxfId="3" priority="1547">
      <formula>COUNTIF($A310, "TRUE") = 1</formula>
    </cfRule>
    <cfRule type="expression" dxfId="4" priority="1548">
      <formula>COUNTIF($A310, "FALSE") = 1</formula>
    </cfRule>
    <cfRule type="notContainsBlanks" dxfId="1" priority="1549">
      <formula>LEN(TRIM(A310))&gt;0</formula>
    </cfRule>
  </conditionalFormatting>
  <conditionalFormatting sqref="A311">
    <cfRule type="notContainsBlanks" dxfId="5" priority="1555">
      <formula>LEN(TRIM(A311))&gt;0</formula>
    </cfRule>
  </conditionalFormatting>
  <conditionalFormatting sqref="A311:D311">
    <cfRule type="expression" dxfId="3" priority="1552">
      <formula>COUNTIF($A311, "TRUE") = 1</formula>
    </cfRule>
    <cfRule type="expression" dxfId="4" priority="1553">
      <formula>COUNTIF($A311, "FALSE") = 1</formula>
    </cfRule>
    <cfRule type="notContainsBlanks" dxfId="1" priority="1554">
      <formula>LEN(TRIM(A311))&gt;0</formula>
    </cfRule>
  </conditionalFormatting>
  <conditionalFormatting sqref="A312">
    <cfRule type="notContainsBlanks" dxfId="5" priority="1560">
      <formula>LEN(TRIM(A312))&gt;0</formula>
    </cfRule>
  </conditionalFormatting>
  <conditionalFormatting sqref="A312:D312">
    <cfRule type="expression" dxfId="3" priority="1557">
      <formula>COUNTIF($A312, "TRUE") = 1</formula>
    </cfRule>
    <cfRule type="expression" dxfId="4" priority="1558">
      <formula>COUNTIF($A312, "FALSE") = 1</formula>
    </cfRule>
    <cfRule type="notContainsBlanks" dxfId="1" priority="1559">
      <formula>LEN(TRIM(A312))&gt;0</formula>
    </cfRule>
  </conditionalFormatting>
  <conditionalFormatting sqref="A313">
    <cfRule type="notContainsBlanks" dxfId="5" priority="1565">
      <formula>LEN(TRIM(A313))&gt;0</formula>
    </cfRule>
  </conditionalFormatting>
  <conditionalFormatting sqref="A313:D313">
    <cfRule type="expression" dxfId="3" priority="1562">
      <formula>COUNTIF($A313, "TRUE") = 1</formula>
    </cfRule>
    <cfRule type="expression" dxfId="4" priority="1563">
      <formula>COUNTIF($A313, "FALSE") = 1</formula>
    </cfRule>
    <cfRule type="notContainsBlanks" dxfId="1" priority="1564">
      <formula>LEN(TRIM(A313))&gt;0</formula>
    </cfRule>
  </conditionalFormatting>
  <conditionalFormatting sqref="A314">
    <cfRule type="notContainsBlanks" dxfId="5" priority="1570">
      <formula>LEN(TRIM(A314))&gt;0</formula>
    </cfRule>
  </conditionalFormatting>
  <conditionalFormatting sqref="A314:D314">
    <cfRule type="expression" dxfId="3" priority="1567">
      <formula>COUNTIF($A314, "TRUE") = 1</formula>
    </cfRule>
    <cfRule type="expression" dxfId="4" priority="1568">
      <formula>COUNTIF($A314, "FALSE") = 1</formula>
    </cfRule>
    <cfRule type="notContainsBlanks" dxfId="1" priority="1569">
      <formula>LEN(TRIM(A314))&gt;0</formula>
    </cfRule>
  </conditionalFormatting>
  <conditionalFormatting sqref="A315">
    <cfRule type="notContainsBlanks" dxfId="5" priority="1575">
      <formula>LEN(TRIM(A315))&gt;0</formula>
    </cfRule>
  </conditionalFormatting>
  <conditionalFormatting sqref="A315:D315">
    <cfRule type="expression" dxfId="3" priority="1572">
      <formula>COUNTIF($A315, "TRUE") = 1</formula>
    </cfRule>
    <cfRule type="expression" dxfId="4" priority="1573">
      <formula>COUNTIF($A315, "FALSE") = 1</formula>
    </cfRule>
    <cfRule type="notContainsBlanks" dxfId="1" priority="1574">
      <formula>LEN(TRIM(A315))&gt;0</formula>
    </cfRule>
  </conditionalFormatting>
  <conditionalFormatting sqref="A316">
    <cfRule type="notContainsBlanks" dxfId="5" priority="1580">
      <formula>LEN(TRIM(A316))&gt;0</formula>
    </cfRule>
  </conditionalFormatting>
  <conditionalFormatting sqref="A316:D316">
    <cfRule type="expression" dxfId="3" priority="1577">
      <formula>COUNTIF($A316, "TRUE") = 1</formula>
    </cfRule>
    <cfRule type="expression" dxfId="4" priority="1578">
      <formula>COUNTIF($A316, "FALSE") = 1</formula>
    </cfRule>
    <cfRule type="notContainsBlanks" dxfId="1" priority="1579">
      <formula>LEN(TRIM(A316))&gt;0</formula>
    </cfRule>
  </conditionalFormatting>
  <conditionalFormatting sqref="A317">
    <cfRule type="notContainsBlanks" dxfId="5" priority="1585">
      <formula>LEN(TRIM(A317))&gt;0</formula>
    </cfRule>
  </conditionalFormatting>
  <conditionalFormatting sqref="A317:D317">
    <cfRule type="expression" dxfId="3" priority="1582">
      <formula>COUNTIF($A317, "TRUE") = 1</formula>
    </cfRule>
    <cfRule type="expression" dxfId="4" priority="1583">
      <formula>COUNTIF($A317, "FALSE") = 1</formula>
    </cfRule>
    <cfRule type="notContainsBlanks" dxfId="1" priority="1584">
      <formula>LEN(TRIM(A317))&gt;0</formula>
    </cfRule>
  </conditionalFormatting>
  <conditionalFormatting sqref="A318">
    <cfRule type="notContainsBlanks" dxfId="5" priority="1590">
      <formula>LEN(TRIM(A318))&gt;0</formula>
    </cfRule>
  </conditionalFormatting>
  <conditionalFormatting sqref="A318:D318">
    <cfRule type="expression" dxfId="3" priority="1587">
      <formula>COUNTIF($A318, "TRUE") = 1</formula>
    </cfRule>
    <cfRule type="expression" dxfId="4" priority="1588">
      <formula>COUNTIF($A318, "FALSE") = 1</formula>
    </cfRule>
    <cfRule type="notContainsBlanks" dxfId="1" priority="1589">
      <formula>LEN(TRIM(A318))&gt;0</formula>
    </cfRule>
  </conditionalFormatting>
  <conditionalFormatting sqref="A319">
    <cfRule type="notContainsBlanks" dxfId="5" priority="1595">
      <formula>LEN(TRIM(A319))&gt;0</formula>
    </cfRule>
  </conditionalFormatting>
  <conditionalFormatting sqref="A319:D319">
    <cfRule type="expression" dxfId="3" priority="1592">
      <formula>COUNTIF($A319, "TRUE") = 1</formula>
    </cfRule>
    <cfRule type="expression" dxfId="4" priority="1593">
      <formula>COUNTIF($A319, "FALSE") = 1</formula>
    </cfRule>
    <cfRule type="notContainsBlanks" dxfId="1" priority="1594">
      <formula>LEN(TRIM(A319))&gt;0</formula>
    </cfRule>
  </conditionalFormatting>
  <conditionalFormatting sqref="A31:D31">
    <cfRule type="expression" dxfId="3" priority="152">
      <formula>COUNTIF($A31, "TRUE") = 1</formula>
    </cfRule>
    <cfRule type="expression" dxfId="4" priority="153">
      <formula>COUNTIF($A31, "FALSE") = 1</formula>
    </cfRule>
    <cfRule type="notContainsBlanks" dxfId="1" priority="154">
      <formula>LEN(TRIM(A31))&gt;0</formula>
    </cfRule>
  </conditionalFormatting>
  <conditionalFormatting sqref="A32">
    <cfRule type="notContainsBlanks" dxfId="5" priority="160">
      <formula>LEN(TRIM(A32))&gt;0</formula>
    </cfRule>
  </conditionalFormatting>
  <conditionalFormatting sqref="A320">
    <cfRule type="notContainsBlanks" dxfId="5" priority="1600">
      <formula>LEN(TRIM(A320))&gt;0</formula>
    </cfRule>
  </conditionalFormatting>
  <conditionalFormatting sqref="A320:D320">
    <cfRule type="expression" dxfId="3" priority="1597">
      <formula>COUNTIF($A320, "TRUE") = 1</formula>
    </cfRule>
    <cfRule type="expression" dxfId="4" priority="1598">
      <formula>COUNTIF($A320, "FALSE") = 1</formula>
    </cfRule>
    <cfRule type="notContainsBlanks" dxfId="1" priority="1599">
      <formula>LEN(TRIM(A320))&gt;0</formula>
    </cfRule>
  </conditionalFormatting>
  <conditionalFormatting sqref="A321">
    <cfRule type="notContainsBlanks" dxfId="5" priority="1605">
      <formula>LEN(TRIM(A321))&gt;0</formula>
    </cfRule>
  </conditionalFormatting>
  <conditionalFormatting sqref="A321:D321">
    <cfRule type="expression" dxfId="3" priority="1602">
      <formula>COUNTIF($A321, "TRUE") = 1</formula>
    </cfRule>
    <cfRule type="expression" dxfId="4" priority="1603">
      <formula>COUNTIF($A321, "FALSE") = 1</formula>
    </cfRule>
    <cfRule type="notContainsBlanks" dxfId="1" priority="1604">
      <formula>LEN(TRIM(A321))&gt;0</formula>
    </cfRule>
  </conditionalFormatting>
  <conditionalFormatting sqref="A322">
    <cfRule type="notContainsBlanks" dxfId="5" priority="1610">
      <formula>LEN(TRIM(A322))&gt;0</formula>
    </cfRule>
  </conditionalFormatting>
  <conditionalFormatting sqref="A322:D322">
    <cfRule type="expression" dxfId="3" priority="1607">
      <formula>COUNTIF($A322, "TRUE") = 1</formula>
    </cfRule>
    <cfRule type="expression" dxfId="4" priority="1608">
      <formula>COUNTIF($A322, "FALSE") = 1</formula>
    </cfRule>
    <cfRule type="notContainsBlanks" dxfId="1" priority="1609">
      <formula>LEN(TRIM(A322))&gt;0</formula>
    </cfRule>
  </conditionalFormatting>
  <conditionalFormatting sqref="A323">
    <cfRule type="notContainsBlanks" dxfId="5" priority="1615">
      <formula>LEN(TRIM(A323))&gt;0</formula>
    </cfRule>
  </conditionalFormatting>
  <conditionalFormatting sqref="A323:D323">
    <cfRule type="expression" dxfId="3" priority="1612">
      <formula>COUNTIF($A323, "TRUE") = 1</formula>
    </cfRule>
    <cfRule type="expression" dxfId="4" priority="1613">
      <formula>COUNTIF($A323, "FALSE") = 1</formula>
    </cfRule>
    <cfRule type="notContainsBlanks" dxfId="1" priority="1614">
      <formula>LEN(TRIM(A323))&gt;0</formula>
    </cfRule>
  </conditionalFormatting>
  <conditionalFormatting sqref="A324">
    <cfRule type="notContainsBlanks" dxfId="5" priority="1620">
      <formula>LEN(TRIM(A324))&gt;0</formula>
    </cfRule>
  </conditionalFormatting>
  <conditionalFormatting sqref="A324:D324">
    <cfRule type="expression" dxfId="3" priority="1617">
      <formula>COUNTIF($A324, "TRUE") = 1</formula>
    </cfRule>
    <cfRule type="expression" dxfId="4" priority="1618">
      <formula>COUNTIF($A324, "FALSE") = 1</formula>
    </cfRule>
    <cfRule type="notContainsBlanks" dxfId="1" priority="1619">
      <formula>LEN(TRIM(A324))&gt;0</formula>
    </cfRule>
  </conditionalFormatting>
  <conditionalFormatting sqref="A325">
    <cfRule type="notContainsBlanks" dxfId="5" priority="1625">
      <formula>LEN(TRIM(A325))&gt;0</formula>
    </cfRule>
  </conditionalFormatting>
  <conditionalFormatting sqref="A325:D325">
    <cfRule type="expression" dxfId="3" priority="1622">
      <formula>COUNTIF($A325, "TRUE") = 1</formula>
    </cfRule>
    <cfRule type="expression" dxfId="4" priority="1623">
      <formula>COUNTIF($A325, "FALSE") = 1</formula>
    </cfRule>
    <cfRule type="notContainsBlanks" dxfId="1" priority="1624">
      <formula>LEN(TRIM(A325))&gt;0</formula>
    </cfRule>
  </conditionalFormatting>
  <conditionalFormatting sqref="A326">
    <cfRule type="notContainsBlanks" dxfId="5" priority="1630">
      <formula>LEN(TRIM(A326))&gt;0</formula>
    </cfRule>
  </conditionalFormatting>
  <conditionalFormatting sqref="A326:D326">
    <cfRule type="expression" dxfId="3" priority="1627">
      <formula>COUNTIF($A326, "TRUE") = 1</formula>
    </cfRule>
    <cfRule type="expression" dxfId="4" priority="1628">
      <formula>COUNTIF($A326, "FALSE") = 1</formula>
    </cfRule>
    <cfRule type="notContainsBlanks" dxfId="1" priority="1629">
      <formula>LEN(TRIM(A326))&gt;0</formula>
    </cfRule>
  </conditionalFormatting>
  <conditionalFormatting sqref="A327">
    <cfRule type="notContainsBlanks" dxfId="5" priority="1635">
      <formula>LEN(TRIM(A327))&gt;0</formula>
    </cfRule>
  </conditionalFormatting>
  <conditionalFormatting sqref="A327:D327">
    <cfRule type="expression" dxfId="3" priority="1632">
      <formula>COUNTIF($A327, "TRUE") = 1</formula>
    </cfRule>
    <cfRule type="expression" dxfId="4" priority="1633">
      <formula>COUNTIF($A327, "FALSE") = 1</formula>
    </cfRule>
    <cfRule type="notContainsBlanks" dxfId="1" priority="1634">
      <formula>LEN(TRIM(A327))&gt;0</formula>
    </cfRule>
  </conditionalFormatting>
  <conditionalFormatting sqref="A328">
    <cfRule type="notContainsBlanks" dxfId="5" priority="1640">
      <formula>LEN(TRIM(A328))&gt;0</formula>
    </cfRule>
  </conditionalFormatting>
  <conditionalFormatting sqref="A328:D328">
    <cfRule type="expression" dxfId="3" priority="1637">
      <formula>COUNTIF($A328, "TRUE") = 1</formula>
    </cfRule>
    <cfRule type="expression" dxfId="4" priority="1638">
      <formula>COUNTIF($A328, "FALSE") = 1</formula>
    </cfRule>
    <cfRule type="notContainsBlanks" dxfId="1" priority="1639">
      <formula>LEN(TRIM(A328))&gt;0</formula>
    </cfRule>
  </conditionalFormatting>
  <conditionalFormatting sqref="A329">
    <cfRule type="notContainsBlanks" dxfId="5" priority="1645">
      <formula>LEN(TRIM(A329))&gt;0</formula>
    </cfRule>
  </conditionalFormatting>
  <conditionalFormatting sqref="A329:D329">
    <cfRule type="expression" dxfId="3" priority="1642">
      <formula>COUNTIF($A329, "TRUE") = 1</formula>
    </cfRule>
    <cfRule type="expression" dxfId="4" priority="1643">
      <formula>COUNTIF($A329, "FALSE") = 1</formula>
    </cfRule>
    <cfRule type="notContainsBlanks" dxfId="1" priority="1644">
      <formula>LEN(TRIM(A329))&gt;0</formula>
    </cfRule>
  </conditionalFormatting>
  <conditionalFormatting sqref="A32:D32">
    <cfRule type="expression" dxfId="3" priority="157">
      <formula>COUNTIF($A32, "TRUE") = 1</formula>
    </cfRule>
    <cfRule type="expression" dxfId="4" priority="158">
      <formula>COUNTIF($A32, "FALSE") = 1</formula>
    </cfRule>
    <cfRule type="notContainsBlanks" dxfId="1" priority="159">
      <formula>LEN(TRIM(A32))&gt;0</formula>
    </cfRule>
  </conditionalFormatting>
  <conditionalFormatting sqref="A33">
    <cfRule type="notContainsBlanks" dxfId="5" priority="165">
      <formula>LEN(TRIM(A33))&gt;0</formula>
    </cfRule>
  </conditionalFormatting>
  <conditionalFormatting sqref="A330">
    <cfRule type="notContainsBlanks" dxfId="5" priority="1650">
      <formula>LEN(TRIM(A330))&gt;0</formula>
    </cfRule>
  </conditionalFormatting>
  <conditionalFormatting sqref="A330:D330">
    <cfRule type="expression" dxfId="3" priority="1647">
      <formula>COUNTIF($A330, "TRUE") = 1</formula>
    </cfRule>
    <cfRule type="expression" dxfId="4" priority="1648">
      <formula>COUNTIF($A330, "FALSE") = 1</formula>
    </cfRule>
    <cfRule type="notContainsBlanks" dxfId="1" priority="1649">
      <formula>LEN(TRIM(A330))&gt;0</formula>
    </cfRule>
  </conditionalFormatting>
  <conditionalFormatting sqref="A331">
    <cfRule type="notContainsBlanks" dxfId="5" priority="1655">
      <formula>LEN(TRIM(A331))&gt;0</formula>
    </cfRule>
  </conditionalFormatting>
  <conditionalFormatting sqref="A331:D331">
    <cfRule type="expression" dxfId="3" priority="1652">
      <formula>COUNTIF($A331, "TRUE") = 1</formula>
    </cfRule>
    <cfRule type="expression" dxfId="4" priority="1653">
      <formula>COUNTIF($A331, "FALSE") = 1</formula>
    </cfRule>
    <cfRule type="notContainsBlanks" dxfId="1" priority="1654">
      <formula>LEN(TRIM(A331))&gt;0</formula>
    </cfRule>
  </conditionalFormatting>
  <conditionalFormatting sqref="A332">
    <cfRule type="notContainsBlanks" dxfId="5" priority="1660">
      <formula>LEN(TRIM(A332))&gt;0</formula>
    </cfRule>
  </conditionalFormatting>
  <conditionalFormatting sqref="A332:D332">
    <cfRule type="expression" dxfId="3" priority="1657">
      <formula>COUNTIF($A332, "TRUE") = 1</formula>
    </cfRule>
    <cfRule type="expression" dxfId="4" priority="1658">
      <formula>COUNTIF($A332, "FALSE") = 1</formula>
    </cfRule>
    <cfRule type="notContainsBlanks" dxfId="1" priority="1659">
      <formula>LEN(TRIM(A332))&gt;0</formula>
    </cfRule>
  </conditionalFormatting>
  <conditionalFormatting sqref="A333">
    <cfRule type="notContainsBlanks" dxfId="5" priority="1665">
      <formula>LEN(TRIM(A333))&gt;0</formula>
    </cfRule>
  </conditionalFormatting>
  <conditionalFormatting sqref="A333:D333">
    <cfRule type="expression" dxfId="3" priority="1662">
      <formula>COUNTIF($A333, "TRUE") = 1</formula>
    </cfRule>
    <cfRule type="expression" dxfId="4" priority="1663">
      <formula>COUNTIF($A333, "FALSE") = 1</formula>
    </cfRule>
    <cfRule type="notContainsBlanks" dxfId="1" priority="1664">
      <formula>LEN(TRIM(A333))&gt;0</formula>
    </cfRule>
  </conditionalFormatting>
  <conditionalFormatting sqref="A334">
    <cfRule type="notContainsBlanks" dxfId="5" priority="1670">
      <formula>LEN(TRIM(A334))&gt;0</formula>
    </cfRule>
  </conditionalFormatting>
  <conditionalFormatting sqref="A334:D334">
    <cfRule type="expression" dxfId="3" priority="1667">
      <formula>COUNTIF($A334, "TRUE") = 1</formula>
    </cfRule>
    <cfRule type="expression" dxfId="4" priority="1668">
      <formula>COUNTIF($A334, "FALSE") = 1</formula>
    </cfRule>
    <cfRule type="notContainsBlanks" dxfId="1" priority="1669">
      <formula>LEN(TRIM(A334))&gt;0</formula>
    </cfRule>
  </conditionalFormatting>
  <conditionalFormatting sqref="A335">
    <cfRule type="notContainsBlanks" dxfId="5" priority="1675">
      <formula>LEN(TRIM(A335))&gt;0</formula>
    </cfRule>
  </conditionalFormatting>
  <conditionalFormatting sqref="A335:D335">
    <cfRule type="expression" dxfId="3" priority="1672">
      <formula>COUNTIF($A335, "TRUE") = 1</formula>
    </cfRule>
    <cfRule type="expression" dxfId="4" priority="1673">
      <formula>COUNTIF($A335, "FALSE") = 1</formula>
    </cfRule>
    <cfRule type="notContainsBlanks" dxfId="1" priority="1674">
      <formula>LEN(TRIM(A335))&gt;0</formula>
    </cfRule>
  </conditionalFormatting>
  <conditionalFormatting sqref="A336">
    <cfRule type="notContainsBlanks" dxfId="5" priority="1680">
      <formula>LEN(TRIM(A336))&gt;0</formula>
    </cfRule>
  </conditionalFormatting>
  <conditionalFormatting sqref="A336:D336">
    <cfRule type="expression" dxfId="3" priority="1677">
      <formula>COUNTIF($A336, "TRUE") = 1</formula>
    </cfRule>
    <cfRule type="expression" dxfId="4" priority="1678">
      <formula>COUNTIF($A336, "FALSE") = 1</formula>
    </cfRule>
    <cfRule type="notContainsBlanks" dxfId="1" priority="1679">
      <formula>LEN(TRIM(A336))&gt;0</formula>
    </cfRule>
  </conditionalFormatting>
  <conditionalFormatting sqref="A337">
    <cfRule type="notContainsBlanks" dxfId="5" priority="1685">
      <formula>LEN(TRIM(A337))&gt;0</formula>
    </cfRule>
  </conditionalFormatting>
  <conditionalFormatting sqref="A337:D337">
    <cfRule type="expression" dxfId="3" priority="1682">
      <formula>COUNTIF($A337, "TRUE") = 1</formula>
    </cfRule>
    <cfRule type="expression" dxfId="4" priority="1683">
      <formula>COUNTIF($A337, "FALSE") = 1</formula>
    </cfRule>
    <cfRule type="notContainsBlanks" dxfId="1" priority="1684">
      <formula>LEN(TRIM(A337))&gt;0</formula>
    </cfRule>
  </conditionalFormatting>
  <conditionalFormatting sqref="A338">
    <cfRule type="notContainsBlanks" dxfId="5" priority="1690">
      <formula>LEN(TRIM(A338))&gt;0</formula>
    </cfRule>
  </conditionalFormatting>
  <conditionalFormatting sqref="A338:D338">
    <cfRule type="expression" dxfId="3" priority="1687">
      <formula>COUNTIF($A338, "TRUE") = 1</formula>
    </cfRule>
    <cfRule type="expression" dxfId="4" priority="1688">
      <formula>COUNTIF($A338, "FALSE") = 1</formula>
    </cfRule>
    <cfRule type="notContainsBlanks" dxfId="1" priority="1689">
      <formula>LEN(TRIM(A338))&gt;0</formula>
    </cfRule>
  </conditionalFormatting>
  <conditionalFormatting sqref="A339">
    <cfRule type="notContainsBlanks" dxfId="5" priority="1695">
      <formula>LEN(TRIM(A339))&gt;0</formula>
    </cfRule>
  </conditionalFormatting>
  <conditionalFormatting sqref="A339:D339">
    <cfRule type="expression" dxfId="3" priority="1692">
      <formula>COUNTIF($A339, "TRUE") = 1</formula>
    </cfRule>
    <cfRule type="expression" dxfId="4" priority="1693">
      <formula>COUNTIF($A339, "FALSE") = 1</formula>
    </cfRule>
    <cfRule type="notContainsBlanks" dxfId="1" priority="1694">
      <formula>LEN(TRIM(A339))&gt;0</formula>
    </cfRule>
  </conditionalFormatting>
  <conditionalFormatting sqref="A33:D33">
    <cfRule type="expression" dxfId="3" priority="162">
      <formula>COUNTIF($A33, "TRUE") = 1</formula>
    </cfRule>
    <cfRule type="expression" dxfId="4" priority="163">
      <formula>COUNTIF($A33, "FALSE") = 1</formula>
    </cfRule>
    <cfRule type="notContainsBlanks" dxfId="1" priority="164">
      <formula>LEN(TRIM(A33))&gt;0</formula>
    </cfRule>
  </conditionalFormatting>
  <conditionalFormatting sqref="A34">
    <cfRule type="notContainsBlanks" dxfId="5" priority="170">
      <formula>LEN(TRIM(A34))&gt;0</formula>
    </cfRule>
  </conditionalFormatting>
  <conditionalFormatting sqref="A340">
    <cfRule type="notContainsBlanks" dxfId="5" priority="1700">
      <formula>LEN(TRIM(A340))&gt;0</formula>
    </cfRule>
  </conditionalFormatting>
  <conditionalFormatting sqref="A340:D340">
    <cfRule type="expression" dxfId="3" priority="1697">
      <formula>COUNTIF($A340, "TRUE") = 1</formula>
    </cfRule>
    <cfRule type="expression" dxfId="4" priority="1698">
      <formula>COUNTIF($A340, "FALSE") = 1</formula>
    </cfRule>
    <cfRule type="notContainsBlanks" dxfId="1" priority="1699">
      <formula>LEN(TRIM(A340))&gt;0</formula>
    </cfRule>
  </conditionalFormatting>
  <conditionalFormatting sqref="A341">
    <cfRule type="notContainsBlanks" dxfId="5" priority="1705">
      <formula>LEN(TRIM(A341))&gt;0</formula>
    </cfRule>
  </conditionalFormatting>
  <conditionalFormatting sqref="A341:D341">
    <cfRule type="expression" dxfId="3" priority="1702">
      <formula>COUNTIF($A341, "TRUE") = 1</formula>
    </cfRule>
    <cfRule type="expression" dxfId="4" priority="1703">
      <formula>COUNTIF($A341, "FALSE") = 1</formula>
    </cfRule>
    <cfRule type="notContainsBlanks" dxfId="1" priority="1704">
      <formula>LEN(TRIM(A341))&gt;0</formula>
    </cfRule>
  </conditionalFormatting>
  <conditionalFormatting sqref="A342">
    <cfRule type="notContainsBlanks" dxfId="5" priority="1710">
      <formula>LEN(TRIM(A342))&gt;0</formula>
    </cfRule>
  </conditionalFormatting>
  <conditionalFormatting sqref="A342:D342">
    <cfRule type="expression" dxfId="3" priority="1707">
      <formula>COUNTIF($A342, "TRUE") = 1</formula>
    </cfRule>
    <cfRule type="expression" dxfId="4" priority="1708">
      <formula>COUNTIF($A342, "FALSE") = 1</formula>
    </cfRule>
    <cfRule type="notContainsBlanks" dxfId="1" priority="1709">
      <formula>LEN(TRIM(A342))&gt;0</formula>
    </cfRule>
  </conditionalFormatting>
  <conditionalFormatting sqref="A343">
    <cfRule type="notContainsBlanks" dxfId="5" priority="1715">
      <formula>LEN(TRIM(A343))&gt;0</formula>
    </cfRule>
  </conditionalFormatting>
  <conditionalFormatting sqref="A343:D343">
    <cfRule type="expression" dxfId="3" priority="1712">
      <formula>COUNTIF($A343, "TRUE") = 1</formula>
    </cfRule>
    <cfRule type="expression" dxfId="4" priority="1713">
      <formula>COUNTIF($A343, "FALSE") = 1</formula>
    </cfRule>
    <cfRule type="notContainsBlanks" dxfId="1" priority="1714">
      <formula>LEN(TRIM(A343))&gt;0</formula>
    </cfRule>
  </conditionalFormatting>
  <conditionalFormatting sqref="A344">
    <cfRule type="notContainsBlanks" dxfId="5" priority="1720">
      <formula>LEN(TRIM(A344))&gt;0</formula>
    </cfRule>
  </conditionalFormatting>
  <conditionalFormatting sqref="A344:D344">
    <cfRule type="expression" dxfId="3" priority="1717">
      <formula>COUNTIF($A344, "TRUE") = 1</formula>
    </cfRule>
    <cfRule type="expression" dxfId="4" priority="1718">
      <formula>COUNTIF($A344, "FALSE") = 1</formula>
    </cfRule>
    <cfRule type="notContainsBlanks" dxfId="1" priority="1719">
      <formula>LEN(TRIM(A344))&gt;0</formula>
    </cfRule>
  </conditionalFormatting>
  <conditionalFormatting sqref="A345">
    <cfRule type="notContainsBlanks" dxfId="5" priority="1725">
      <formula>LEN(TRIM(A345))&gt;0</formula>
    </cfRule>
  </conditionalFormatting>
  <conditionalFormatting sqref="A345:D345">
    <cfRule type="expression" dxfId="3" priority="1722">
      <formula>COUNTIF($A345, "TRUE") = 1</formula>
    </cfRule>
    <cfRule type="expression" dxfId="4" priority="1723">
      <formula>COUNTIF($A345, "FALSE") = 1</formula>
    </cfRule>
    <cfRule type="notContainsBlanks" dxfId="1" priority="1724">
      <formula>LEN(TRIM(A345))&gt;0</formula>
    </cfRule>
  </conditionalFormatting>
  <conditionalFormatting sqref="A346">
    <cfRule type="notContainsBlanks" dxfId="5" priority="1730">
      <formula>LEN(TRIM(A346))&gt;0</formula>
    </cfRule>
  </conditionalFormatting>
  <conditionalFormatting sqref="A346:D346">
    <cfRule type="expression" dxfId="3" priority="1727">
      <formula>COUNTIF($A346, "TRUE") = 1</formula>
    </cfRule>
    <cfRule type="expression" dxfId="4" priority="1728">
      <formula>COUNTIF($A346, "FALSE") = 1</formula>
    </cfRule>
    <cfRule type="notContainsBlanks" dxfId="1" priority="1729">
      <formula>LEN(TRIM(A346))&gt;0</formula>
    </cfRule>
  </conditionalFormatting>
  <conditionalFormatting sqref="A347">
    <cfRule type="notContainsBlanks" dxfId="5" priority="1735">
      <formula>LEN(TRIM(A347))&gt;0</formula>
    </cfRule>
  </conditionalFormatting>
  <conditionalFormatting sqref="A347:D347">
    <cfRule type="expression" dxfId="3" priority="1732">
      <formula>COUNTIF($A347, "TRUE") = 1</formula>
    </cfRule>
    <cfRule type="expression" dxfId="4" priority="1733">
      <formula>COUNTIF($A347, "FALSE") = 1</formula>
    </cfRule>
    <cfRule type="notContainsBlanks" dxfId="1" priority="1734">
      <formula>LEN(TRIM(A347))&gt;0</formula>
    </cfRule>
  </conditionalFormatting>
  <conditionalFormatting sqref="A348">
    <cfRule type="notContainsBlanks" dxfId="5" priority="1740">
      <formula>LEN(TRIM(A348))&gt;0</formula>
    </cfRule>
  </conditionalFormatting>
  <conditionalFormatting sqref="A348:D348">
    <cfRule type="expression" dxfId="3" priority="1737">
      <formula>COUNTIF($A348, "TRUE") = 1</formula>
    </cfRule>
    <cfRule type="expression" dxfId="4" priority="1738">
      <formula>COUNTIF($A348, "FALSE") = 1</formula>
    </cfRule>
    <cfRule type="notContainsBlanks" dxfId="1" priority="1739">
      <formula>LEN(TRIM(A348))&gt;0</formula>
    </cfRule>
  </conditionalFormatting>
  <conditionalFormatting sqref="A349">
    <cfRule type="notContainsBlanks" dxfId="5" priority="1745">
      <formula>LEN(TRIM(A349))&gt;0</formula>
    </cfRule>
  </conditionalFormatting>
  <conditionalFormatting sqref="A349:D349">
    <cfRule type="expression" dxfId="3" priority="1742">
      <formula>COUNTIF($A349, "TRUE") = 1</formula>
    </cfRule>
    <cfRule type="expression" dxfId="4" priority="1743">
      <formula>COUNTIF($A349, "FALSE") = 1</formula>
    </cfRule>
    <cfRule type="notContainsBlanks" dxfId="1" priority="1744">
      <formula>LEN(TRIM(A349))&gt;0</formula>
    </cfRule>
  </conditionalFormatting>
  <conditionalFormatting sqref="A34:D34">
    <cfRule type="expression" dxfId="3" priority="167">
      <formula>COUNTIF($A34, "TRUE") = 1</formula>
    </cfRule>
    <cfRule type="expression" dxfId="4" priority="168">
      <formula>COUNTIF($A34, "FALSE") = 1</formula>
    </cfRule>
    <cfRule type="notContainsBlanks" dxfId="1" priority="169">
      <formula>LEN(TRIM(A34))&gt;0</formula>
    </cfRule>
  </conditionalFormatting>
  <conditionalFormatting sqref="A35">
    <cfRule type="notContainsBlanks" dxfId="5" priority="175">
      <formula>LEN(TRIM(A35))&gt;0</formula>
    </cfRule>
  </conditionalFormatting>
  <conditionalFormatting sqref="A350">
    <cfRule type="notContainsBlanks" dxfId="5" priority="1750">
      <formula>LEN(TRIM(A350))&gt;0</formula>
    </cfRule>
  </conditionalFormatting>
  <conditionalFormatting sqref="A350:D350">
    <cfRule type="expression" dxfId="3" priority="1747">
      <formula>COUNTIF($A350, "TRUE") = 1</formula>
    </cfRule>
    <cfRule type="expression" dxfId="4" priority="1748">
      <formula>COUNTIF($A350, "FALSE") = 1</formula>
    </cfRule>
    <cfRule type="notContainsBlanks" dxfId="1" priority="1749">
      <formula>LEN(TRIM(A350))&gt;0</formula>
    </cfRule>
  </conditionalFormatting>
  <conditionalFormatting sqref="A351">
    <cfRule type="notContainsBlanks" dxfId="5" priority="1755">
      <formula>LEN(TRIM(A351))&gt;0</formula>
    </cfRule>
  </conditionalFormatting>
  <conditionalFormatting sqref="A351:D351">
    <cfRule type="expression" dxfId="3" priority="1752">
      <formula>COUNTIF($A351, "TRUE") = 1</formula>
    </cfRule>
    <cfRule type="expression" dxfId="4" priority="1753">
      <formula>COUNTIF($A351, "FALSE") = 1</formula>
    </cfRule>
    <cfRule type="notContainsBlanks" dxfId="1" priority="1754">
      <formula>LEN(TRIM(A351))&gt;0</formula>
    </cfRule>
  </conditionalFormatting>
  <conditionalFormatting sqref="A352">
    <cfRule type="notContainsBlanks" dxfId="5" priority="1760">
      <formula>LEN(TRIM(A352))&gt;0</formula>
    </cfRule>
  </conditionalFormatting>
  <conditionalFormatting sqref="A352:D352">
    <cfRule type="expression" dxfId="3" priority="1757">
      <formula>COUNTIF($A352, "TRUE") = 1</formula>
    </cfRule>
    <cfRule type="expression" dxfId="4" priority="1758">
      <formula>COUNTIF($A352, "FALSE") = 1</formula>
    </cfRule>
    <cfRule type="notContainsBlanks" dxfId="1" priority="1759">
      <formula>LEN(TRIM(A352))&gt;0</formula>
    </cfRule>
  </conditionalFormatting>
  <conditionalFormatting sqref="A353">
    <cfRule type="notContainsBlanks" dxfId="5" priority="1765">
      <formula>LEN(TRIM(A353))&gt;0</formula>
    </cfRule>
  </conditionalFormatting>
  <conditionalFormatting sqref="A353:D353">
    <cfRule type="expression" dxfId="3" priority="1762">
      <formula>COUNTIF($A353, "TRUE") = 1</formula>
    </cfRule>
    <cfRule type="expression" dxfId="4" priority="1763">
      <formula>COUNTIF($A353, "FALSE") = 1</formula>
    </cfRule>
    <cfRule type="notContainsBlanks" dxfId="1" priority="1764">
      <formula>LEN(TRIM(A353))&gt;0</formula>
    </cfRule>
  </conditionalFormatting>
  <conditionalFormatting sqref="A354">
    <cfRule type="notContainsBlanks" dxfId="5" priority="1770">
      <formula>LEN(TRIM(A354))&gt;0</formula>
    </cfRule>
  </conditionalFormatting>
  <conditionalFormatting sqref="A354:D354">
    <cfRule type="expression" dxfId="3" priority="1767">
      <formula>COUNTIF($A354, "TRUE") = 1</formula>
    </cfRule>
    <cfRule type="expression" dxfId="4" priority="1768">
      <formula>COUNTIF($A354, "FALSE") = 1</formula>
    </cfRule>
    <cfRule type="notContainsBlanks" dxfId="1" priority="1769">
      <formula>LEN(TRIM(A354))&gt;0</formula>
    </cfRule>
  </conditionalFormatting>
  <conditionalFormatting sqref="A355">
    <cfRule type="notContainsBlanks" dxfId="5" priority="1775">
      <formula>LEN(TRIM(A355))&gt;0</formula>
    </cfRule>
  </conditionalFormatting>
  <conditionalFormatting sqref="A355:D355">
    <cfRule type="expression" dxfId="3" priority="1772">
      <formula>COUNTIF($A355, "TRUE") = 1</formula>
    </cfRule>
    <cfRule type="expression" dxfId="4" priority="1773">
      <formula>COUNTIF($A355, "FALSE") = 1</formula>
    </cfRule>
    <cfRule type="notContainsBlanks" dxfId="1" priority="1774">
      <formula>LEN(TRIM(A355))&gt;0</formula>
    </cfRule>
  </conditionalFormatting>
  <conditionalFormatting sqref="A356">
    <cfRule type="notContainsBlanks" dxfId="5" priority="1780">
      <formula>LEN(TRIM(A356))&gt;0</formula>
    </cfRule>
  </conditionalFormatting>
  <conditionalFormatting sqref="A356:D356">
    <cfRule type="expression" dxfId="3" priority="1777">
      <formula>COUNTIF($A356, "TRUE") = 1</formula>
    </cfRule>
    <cfRule type="expression" dxfId="4" priority="1778">
      <formula>COUNTIF($A356, "FALSE") = 1</formula>
    </cfRule>
    <cfRule type="notContainsBlanks" dxfId="1" priority="1779">
      <formula>LEN(TRIM(A356))&gt;0</formula>
    </cfRule>
  </conditionalFormatting>
  <conditionalFormatting sqref="A357">
    <cfRule type="notContainsBlanks" dxfId="5" priority="1785">
      <formula>LEN(TRIM(A357))&gt;0</formula>
    </cfRule>
  </conditionalFormatting>
  <conditionalFormatting sqref="A357:D357">
    <cfRule type="expression" dxfId="3" priority="1782">
      <formula>COUNTIF($A357, "TRUE") = 1</formula>
    </cfRule>
    <cfRule type="expression" dxfId="4" priority="1783">
      <formula>COUNTIF($A357, "FALSE") = 1</formula>
    </cfRule>
    <cfRule type="notContainsBlanks" dxfId="1" priority="1784">
      <formula>LEN(TRIM(A357))&gt;0</formula>
    </cfRule>
  </conditionalFormatting>
  <conditionalFormatting sqref="A358">
    <cfRule type="notContainsBlanks" dxfId="5" priority="1790">
      <formula>LEN(TRIM(A358))&gt;0</formula>
    </cfRule>
  </conditionalFormatting>
  <conditionalFormatting sqref="A358:D358">
    <cfRule type="expression" dxfId="3" priority="1787">
      <formula>COUNTIF($A358, "TRUE") = 1</formula>
    </cfRule>
    <cfRule type="expression" dxfId="4" priority="1788">
      <formula>COUNTIF($A358, "FALSE") = 1</formula>
    </cfRule>
    <cfRule type="notContainsBlanks" dxfId="1" priority="1789">
      <formula>LEN(TRIM(A358))&gt;0</formula>
    </cfRule>
  </conditionalFormatting>
  <conditionalFormatting sqref="A359">
    <cfRule type="notContainsBlanks" dxfId="5" priority="1795">
      <formula>LEN(TRIM(A359))&gt;0</formula>
    </cfRule>
  </conditionalFormatting>
  <conditionalFormatting sqref="A359:D359">
    <cfRule type="expression" dxfId="3" priority="1792">
      <formula>COUNTIF($A359, "TRUE") = 1</formula>
    </cfRule>
    <cfRule type="expression" dxfId="4" priority="1793">
      <formula>COUNTIF($A359, "FALSE") = 1</formula>
    </cfRule>
    <cfRule type="notContainsBlanks" dxfId="1" priority="1794">
      <formula>LEN(TRIM(A359))&gt;0</formula>
    </cfRule>
  </conditionalFormatting>
  <conditionalFormatting sqref="A35:D35">
    <cfRule type="expression" dxfId="3" priority="172">
      <formula>COUNTIF($A35, "TRUE") = 1</formula>
    </cfRule>
    <cfRule type="expression" dxfId="4" priority="173">
      <formula>COUNTIF($A35, "FALSE") = 1</formula>
    </cfRule>
    <cfRule type="notContainsBlanks" dxfId="1" priority="174">
      <formula>LEN(TRIM(A35))&gt;0</formula>
    </cfRule>
  </conditionalFormatting>
  <conditionalFormatting sqref="A36">
    <cfRule type="notContainsBlanks" dxfId="5" priority="180">
      <formula>LEN(TRIM(A36))&gt;0</formula>
    </cfRule>
  </conditionalFormatting>
  <conditionalFormatting sqref="A360">
    <cfRule type="notContainsBlanks" dxfId="5" priority="1800">
      <formula>LEN(TRIM(A360))&gt;0</formula>
    </cfRule>
  </conditionalFormatting>
  <conditionalFormatting sqref="A360:D360">
    <cfRule type="expression" dxfId="3" priority="1797">
      <formula>COUNTIF($A360, "TRUE") = 1</formula>
    </cfRule>
    <cfRule type="expression" dxfId="4" priority="1798">
      <formula>COUNTIF($A360, "FALSE") = 1</formula>
    </cfRule>
    <cfRule type="notContainsBlanks" dxfId="1" priority="1799">
      <formula>LEN(TRIM(A360))&gt;0</formula>
    </cfRule>
  </conditionalFormatting>
  <conditionalFormatting sqref="A361">
    <cfRule type="notContainsBlanks" dxfId="5" priority="1805">
      <formula>LEN(TRIM(A361))&gt;0</formula>
    </cfRule>
  </conditionalFormatting>
  <conditionalFormatting sqref="A361:D361">
    <cfRule type="expression" dxfId="3" priority="1802">
      <formula>COUNTIF($A361, "TRUE") = 1</formula>
    </cfRule>
    <cfRule type="expression" dxfId="4" priority="1803">
      <formula>COUNTIF($A361, "FALSE") = 1</formula>
    </cfRule>
    <cfRule type="notContainsBlanks" dxfId="1" priority="1804">
      <formula>LEN(TRIM(A361))&gt;0</formula>
    </cfRule>
  </conditionalFormatting>
  <conditionalFormatting sqref="A362">
    <cfRule type="notContainsBlanks" dxfId="5" priority="1810">
      <formula>LEN(TRIM(A362))&gt;0</formula>
    </cfRule>
  </conditionalFormatting>
  <conditionalFormatting sqref="A362:D362">
    <cfRule type="expression" dxfId="3" priority="1807">
      <formula>COUNTIF($A362, "TRUE") = 1</formula>
    </cfRule>
    <cfRule type="expression" dxfId="4" priority="1808">
      <formula>COUNTIF($A362, "FALSE") = 1</formula>
    </cfRule>
    <cfRule type="notContainsBlanks" dxfId="1" priority="1809">
      <formula>LEN(TRIM(A362))&gt;0</formula>
    </cfRule>
  </conditionalFormatting>
  <conditionalFormatting sqref="A363">
    <cfRule type="notContainsBlanks" dxfId="5" priority="1815">
      <formula>LEN(TRIM(A363))&gt;0</formula>
    </cfRule>
  </conditionalFormatting>
  <conditionalFormatting sqref="A363:D363">
    <cfRule type="expression" dxfId="3" priority="1812">
      <formula>COUNTIF($A363, "TRUE") = 1</formula>
    </cfRule>
    <cfRule type="expression" dxfId="4" priority="1813">
      <formula>COUNTIF($A363, "FALSE") = 1</formula>
    </cfRule>
    <cfRule type="notContainsBlanks" dxfId="1" priority="1814">
      <formula>LEN(TRIM(A363))&gt;0</formula>
    </cfRule>
  </conditionalFormatting>
  <conditionalFormatting sqref="A364">
    <cfRule type="notContainsBlanks" dxfId="5" priority="1820">
      <formula>LEN(TRIM(A364))&gt;0</formula>
    </cfRule>
  </conditionalFormatting>
  <conditionalFormatting sqref="A364:D364">
    <cfRule type="expression" dxfId="3" priority="1817">
      <formula>COUNTIF($A364, "TRUE") = 1</formula>
    </cfRule>
    <cfRule type="expression" dxfId="4" priority="1818">
      <formula>COUNTIF($A364, "FALSE") = 1</formula>
    </cfRule>
    <cfRule type="notContainsBlanks" dxfId="1" priority="1819">
      <formula>LEN(TRIM(A364))&gt;0</formula>
    </cfRule>
  </conditionalFormatting>
  <conditionalFormatting sqref="A365">
    <cfRule type="notContainsBlanks" dxfId="5" priority="1825">
      <formula>LEN(TRIM(A365))&gt;0</formula>
    </cfRule>
  </conditionalFormatting>
  <conditionalFormatting sqref="A365:D365">
    <cfRule type="expression" dxfId="3" priority="1822">
      <formula>COUNTIF($A365, "TRUE") = 1</formula>
    </cfRule>
    <cfRule type="expression" dxfId="4" priority="1823">
      <formula>COUNTIF($A365, "FALSE") = 1</formula>
    </cfRule>
    <cfRule type="notContainsBlanks" dxfId="1" priority="1824">
      <formula>LEN(TRIM(A365))&gt;0</formula>
    </cfRule>
  </conditionalFormatting>
  <conditionalFormatting sqref="A366">
    <cfRule type="notContainsBlanks" dxfId="5" priority="1830">
      <formula>LEN(TRIM(A366))&gt;0</formula>
    </cfRule>
  </conditionalFormatting>
  <conditionalFormatting sqref="A366:D366">
    <cfRule type="expression" dxfId="3" priority="1827">
      <formula>COUNTIF($A366, "TRUE") = 1</formula>
    </cfRule>
    <cfRule type="expression" dxfId="4" priority="1828">
      <formula>COUNTIF($A366, "FALSE") = 1</formula>
    </cfRule>
    <cfRule type="notContainsBlanks" dxfId="1" priority="1829">
      <formula>LEN(TRIM(A366))&gt;0</formula>
    </cfRule>
  </conditionalFormatting>
  <conditionalFormatting sqref="A367">
    <cfRule type="notContainsBlanks" dxfId="5" priority="1835">
      <formula>LEN(TRIM(A367))&gt;0</formula>
    </cfRule>
  </conditionalFormatting>
  <conditionalFormatting sqref="A367:D367">
    <cfRule type="expression" dxfId="3" priority="1832">
      <formula>COUNTIF($A367, "TRUE") = 1</formula>
    </cfRule>
    <cfRule type="expression" dxfId="4" priority="1833">
      <formula>COUNTIF($A367, "FALSE") = 1</formula>
    </cfRule>
    <cfRule type="notContainsBlanks" dxfId="1" priority="1834">
      <formula>LEN(TRIM(A367))&gt;0</formula>
    </cfRule>
  </conditionalFormatting>
  <conditionalFormatting sqref="A368">
    <cfRule type="notContainsBlanks" dxfId="5" priority="1840">
      <formula>LEN(TRIM(A368))&gt;0</formula>
    </cfRule>
  </conditionalFormatting>
  <conditionalFormatting sqref="A368:D368">
    <cfRule type="expression" dxfId="3" priority="1837">
      <formula>COUNTIF($A368, "TRUE") = 1</formula>
    </cfRule>
    <cfRule type="expression" dxfId="4" priority="1838">
      <formula>COUNTIF($A368, "FALSE") = 1</formula>
    </cfRule>
    <cfRule type="notContainsBlanks" dxfId="1" priority="1839">
      <formula>LEN(TRIM(A368))&gt;0</formula>
    </cfRule>
  </conditionalFormatting>
  <conditionalFormatting sqref="A369">
    <cfRule type="notContainsBlanks" dxfId="5" priority="1845">
      <formula>LEN(TRIM(A369))&gt;0</formula>
    </cfRule>
  </conditionalFormatting>
  <conditionalFormatting sqref="A369:D369">
    <cfRule type="expression" dxfId="3" priority="1842">
      <formula>COUNTIF($A369, "TRUE") = 1</formula>
    </cfRule>
    <cfRule type="expression" dxfId="4" priority="1843">
      <formula>COUNTIF($A369, "FALSE") = 1</formula>
    </cfRule>
    <cfRule type="notContainsBlanks" dxfId="1" priority="1844">
      <formula>LEN(TRIM(A369))&gt;0</formula>
    </cfRule>
  </conditionalFormatting>
  <conditionalFormatting sqref="A36:D36">
    <cfRule type="expression" dxfId="3" priority="177">
      <formula>COUNTIF($A36, "TRUE") = 1</formula>
    </cfRule>
    <cfRule type="expression" dxfId="4" priority="178">
      <formula>COUNTIF($A36, "FALSE") = 1</formula>
    </cfRule>
    <cfRule type="notContainsBlanks" dxfId="1" priority="179">
      <formula>LEN(TRIM(A36))&gt;0</formula>
    </cfRule>
  </conditionalFormatting>
  <conditionalFormatting sqref="A37">
    <cfRule type="notContainsBlanks" dxfId="5" priority="185">
      <formula>LEN(TRIM(A37))&gt;0</formula>
    </cfRule>
  </conditionalFormatting>
  <conditionalFormatting sqref="A370">
    <cfRule type="notContainsBlanks" dxfId="5" priority="1850">
      <formula>LEN(TRIM(A370))&gt;0</formula>
    </cfRule>
  </conditionalFormatting>
  <conditionalFormatting sqref="A370:D370">
    <cfRule type="expression" dxfId="3" priority="1847">
      <formula>COUNTIF($A370, "TRUE") = 1</formula>
    </cfRule>
    <cfRule type="expression" dxfId="4" priority="1848">
      <formula>COUNTIF($A370, "FALSE") = 1</formula>
    </cfRule>
    <cfRule type="notContainsBlanks" dxfId="1" priority="1849">
      <formula>LEN(TRIM(A370))&gt;0</formula>
    </cfRule>
  </conditionalFormatting>
  <conditionalFormatting sqref="A371">
    <cfRule type="notContainsBlanks" dxfId="5" priority="1855">
      <formula>LEN(TRIM(A371))&gt;0</formula>
    </cfRule>
  </conditionalFormatting>
  <conditionalFormatting sqref="A371:D371">
    <cfRule type="expression" dxfId="3" priority="1852">
      <formula>COUNTIF($A371, "TRUE") = 1</formula>
    </cfRule>
    <cfRule type="expression" dxfId="4" priority="1853">
      <formula>COUNTIF($A371, "FALSE") = 1</formula>
    </cfRule>
    <cfRule type="notContainsBlanks" dxfId="1" priority="1854">
      <formula>LEN(TRIM(A371))&gt;0</formula>
    </cfRule>
  </conditionalFormatting>
  <conditionalFormatting sqref="A372">
    <cfRule type="notContainsBlanks" dxfId="5" priority="1860">
      <formula>LEN(TRIM(A372))&gt;0</formula>
    </cfRule>
  </conditionalFormatting>
  <conditionalFormatting sqref="A372:D372">
    <cfRule type="expression" dxfId="3" priority="1857">
      <formula>COUNTIF($A372, "TRUE") = 1</formula>
    </cfRule>
    <cfRule type="expression" dxfId="4" priority="1858">
      <formula>COUNTIF($A372, "FALSE") = 1</formula>
    </cfRule>
    <cfRule type="notContainsBlanks" dxfId="1" priority="1859">
      <formula>LEN(TRIM(A372))&gt;0</formula>
    </cfRule>
  </conditionalFormatting>
  <conditionalFormatting sqref="A373">
    <cfRule type="notContainsBlanks" dxfId="5" priority="1865">
      <formula>LEN(TRIM(A373))&gt;0</formula>
    </cfRule>
  </conditionalFormatting>
  <conditionalFormatting sqref="A373:D373">
    <cfRule type="expression" dxfId="3" priority="1862">
      <formula>COUNTIF($A373, "TRUE") = 1</formula>
    </cfRule>
    <cfRule type="expression" dxfId="4" priority="1863">
      <formula>COUNTIF($A373, "FALSE") = 1</formula>
    </cfRule>
    <cfRule type="notContainsBlanks" dxfId="1" priority="1864">
      <formula>LEN(TRIM(A373))&gt;0</formula>
    </cfRule>
  </conditionalFormatting>
  <conditionalFormatting sqref="A374">
    <cfRule type="notContainsBlanks" dxfId="5" priority="1870">
      <formula>LEN(TRIM(A374))&gt;0</formula>
    </cfRule>
  </conditionalFormatting>
  <conditionalFormatting sqref="A374:D374">
    <cfRule type="expression" dxfId="3" priority="1867">
      <formula>COUNTIF($A374, "TRUE") = 1</formula>
    </cfRule>
    <cfRule type="expression" dxfId="4" priority="1868">
      <formula>COUNTIF($A374, "FALSE") = 1</formula>
    </cfRule>
    <cfRule type="notContainsBlanks" dxfId="1" priority="1869">
      <formula>LEN(TRIM(A374))&gt;0</formula>
    </cfRule>
  </conditionalFormatting>
  <conditionalFormatting sqref="A375">
    <cfRule type="notContainsBlanks" dxfId="5" priority="1875">
      <formula>LEN(TRIM(A375))&gt;0</formula>
    </cfRule>
  </conditionalFormatting>
  <conditionalFormatting sqref="A375:D375">
    <cfRule type="expression" dxfId="3" priority="1872">
      <formula>COUNTIF($A375, "TRUE") = 1</formula>
    </cfRule>
    <cfRule type="expression" dxfId="4" priority="1873">
      <formula>COUNTIF($A375, "FALSE") = 1</formula>
    </cfRule>
    <cfRule type="notContainsBlanks" dxfId="1" priority="1874">
      <formula>LEN(TRIM(A375))&gt;0</formula>
    </cfRule>
  </conditionalFormatting>
  <conditionalFormatting sqref="A376">
    <cfRule type="notContainsBlanks" dxfId="5" priority="1880">
      <formula>LEN(TRIM(A376))&gt;0</formula>
    </cfRule>
  </conditionalFormatting>
  <conditionalFormatting sqref="A376:D376">
    <cfRule type="expression" dxfId="3" priority="1877">
      <formula>COUNTIF($A376, "TRUE") = 1</formula>
    </cfRule>
    <cfRule type="expression" dxfId="4" priority="1878">
      <formula>COUNTIF($A376, "FALSE") = 1</formula>
    </cfRule>
    <cfRule type="notContainsBlanks" dxfId="1" priority="1879">
      <formula>LEN(TRIM(A376))&gt;0</formula>
    </cfRule>
  </conditionalFormatting>
  <conditionalFormatting sqref="A377">
    <cfRule type="notContainsBlanks" dxfId="5" priority="1885">
      <formula>LEN(TRIM(A377))&gt;0</formula>
    </cfRule>
  </conditionalFormatting>
  <conditionalFormatting sqref="A377:D377">
    <cfRule type="expression" dxfId="3" priority="1882">
      <formula>COUNTIF($A377, "TRUE") = 1</formula>
    </cfRule>
    <cfRule type="expression" dxfId="4" priority="1883">
      <formula>COUNTIF($A377, "FALSE") = 1</formula>
    </cfRule>
    <cfRule type="notContainsBlanks" dxfId="1" priority="1884">
      <formula>LEN(TRIM(A377))&gt;0</formula>
    </cfRule>
  </conditionalFormatting>
  <conditionalFormatting sqref="A378">
    <cfRule type="notContainsBlanks" dxfId="5" priority="1890">
      <formula>LEN(TRIM(A378))&gt;0</formula>
    </cfRule>
  </conditionalFormatting>
  <conditionalFormatting sqref="A378:D378">
    <cfRule type="expression" dxfId="3" priority="1887">
      <formula>COUNTIF($A378, "TRUE") = 1</formula>
    </cfRule>
    <cfRule type="expression" dxfId="4" priority="1888">
      <formula>COUNTIF($A378, "FALSE") = 1</formula>
    </cfRule>
    <cfRule type="notContainsBlanks" dxfId="1" priority="1889">
      <formula>LEN(TRIM(A378))&gt;0</formula>
    </cfRule>
  </conditionalFormatting>
  <conditionalFormatting sqref="A379">
    <cfRule type="notContainsBlanks" dxfId="5" priority="1895">
      <formula>LEN(TRIM(A379))&gt;0</formula>
    </cfRule>
  </conditionalFormatting>
  <conditionalFormatting sqref="A379:D379">
    <cfRule type="expression" dxfId="3" priority="1892">
      <formula>COUNTIF($A379, "TRUE") = 1</formula>
    </cfRule>
    <cfRule type="expression" dxfId="4" priority="1893">
      <formula>COUNTIF($A379, "FALSE") = 1</formula>
    </cfRule>
    <cfRule type="notContainsBlanks" dxfId="1" priority="1894">
      <formula>LEN(TRIM(A379))&gt;0</formula>
    </cfRule>
  </conditionalFormatting>
  <conditionalFormatting sqref="A37:D37">
    <cfRule type="expression" dxfId="3" priority="182">
      <formula>COUNTIF($A37, "TRUE") = 1</formula>
    </cfRule>
    <cfRule type="expression" dxfId="4" priority="183">
      <formula>COUNTIF($A37, "FALSE") = 1</formula>
    </cfRule>
    <cfRule type="notContainsBlanks" dxfId="1" priority="184">
      <formula>LEN(TRIM(A37))&gt;0</formula>
    </cfRule>
  </conditionalFormatting>
  <conditionalFormatting sqref="A38">
    <cfRule type="notContainsBlanks" dxfId="5" priority="190">
      <formula>LEN(TRIM(A38))&gt;0</formula>
    </cfRule>
  </conditionalFormatting>
  <conditionalFormatting sqref="A380">
    <cfRule type="notContainsBlanks" dxfId="5" priority="1900">
      <formula>LEN(TRIM(A380))&gt;0</formula>
    </cfRule>
  </conditionalFormatting>
  <conditionalFormatting sqref="A380:D380">
    <cfRule type="expression" dxfId="3" priority="1897">
      <formula>COUNTIF($A380, "TRUE") = 1</formula>
    </cfRule>
    <cfRule type="expression" dxfId="4" priority="1898">
      <formula>COUNTIF($A380, "FALSE") = 1</formula>
    </cfRule>
    <cfRule type="notContainsBlanks" dxfId="1" priority="1899">
      <formula>LEN(TRIM(A380))&gt;0</formula>
    </cfRule>
  </conditionalFormatting>
  <conditionalFormatting sqref="A381">
    <cfRule type="notContainsBlanks" dxfId="5" priority="1905">
      <formula>LEN(TRIM(A381))&gt;0</formula>
    </cfRule>
  </conditionalFormatting>
  <conditionalFormatting sqref="A381:D381">
    <cfRule type="expression" dxfId="3" priority="1902">
      <formula>COUNTIF($A381, "TRUE") = 1</formula>
    </cfRule>
    <cfRule type="expression" dxfId="4" priority="1903">
      <formula>COUNTIF($A381, "FALSE") = 1</formula>
    </cfRule>
    <cfRule type="notContainsBlanks" dxfId="1" priority="1904">
      <formula>LEN(TRIM(A381))&gt;0</formula>
    </cfRule>
  </conditionalFormatting>
  <conditionalFormatting sqref="A382">
    <cfRule type="notContainsBlanks" dxfId="5" priority="1910">
      <formula>LEN(TRIM(A382))&gt;0</formula>
    </cfRule>
  </conditionalFormatting>
  <conditionalFormatting sqref="A382:D382">
    <cfRule type="expression" dxfId="3" priority="1907">
      <formula>COUNTIF($A382, "TRUE") = 1</formula>
    </cfRule>
    <cfRule type="expression" dxfId="4" priority="1908">
      <formula>COUNTIF($A382, "FALSE") = 1</formula>
    </cfRule>
    <cfRule type="notContainsBlanks" dxfId="1" priority="1909">
      <formula>LEN(TRIM(A382))&gt;0</formula>
    </cfRule>
  </conditionalFormatting>
  <conditionalFormatting sqref="A383">
    <cfRule type="notContainsBlanks" dxfId="5" priority="1915">
      <formula>LEN(TRIM(A383))&gt;0</formula>
    </cfRule>
  </conditionalFormatting>
  <conditionalFormatting sqref="A383:D383">
    <cfRule type="expression" dxfId="3" priority="1912">
      <formula>COUNTIF($A383, "TRUE") = 1</formula>
    </cfRule>
    <cfRule type="expression" dxfId="4" priority="1913">
      <formula>COUNTIF($A383, "FALSE") = 1</formula>
    </cfRule>
    <cfRule type="notContainsBlanks" dxfId="1" priority="1914">
      <formula>LEN(TRIM(A383))&gt;0</formula>
    </cfRule>
  </conditionalFormatting>
  <conditionalFormatting sqref="A384">
    <cfRule type="notContainsBlanks" dxfId="5" priority="1920">
      <formula>LEN(TRIM(A384))&gt;0</formula>
    </cfRule>
  </conditionalFormatting>
  <conditionalFormatting sqref="A384:D384">
    <cfRule type="expression" dxfId="3" priority="1917">
      <formula>COUNTIF($A384, "TRUE") = 1</formula>
    </cfRule>
    <cfRule type="expression" dxfId="4" priority="1918">
      <formula>COUNTIF($A384, "FALSE") = 1</formula>
    </cfRule>
    <cfRule type="notContainsBlanks" dxfId="1" priority="1919">
      <formula>LEN(TRIM(A384))&gt;0</formula>
    </cfRule>
  </conditionalFormatting>
  <conditionalFormatting sqref="A385">
    <cfRule type="notContainsBlanks" dxfId="5" priority="1925">
      <formula>LEN(TRIM(A385))&gt;0</formula>
    </cfRule>
  </conditionalFormatting>
  <conditionalFormatting sqref="A385:D385">
    <cfRule type="expression" dxfId="3" priority="1922">
      <formula>COUNTIF($A385, "TRUE") = 1</formula>
    </cfRule>
    <cfRule type="expression" dxfId="4" priority="1923">
      <formula>COUNTIF($A385, "FALSE") = 1</formula>
    </cfRule>
    <cfRule type="notContainsBlanks" dxfId="1" priority="1924">
      <formula>LEN(TRIM(A385))&gt;0</formula>
    </cfRule>
  </conditionalFormatting>
  <conditionalFormatting sqref="A386">
    <cfRule type="notContainsBlanks" dxfId="5" priority="1930">
      <formula>LEN(TRIM(A386))&gt;0</formula>
    </cfRule>
  </conditionalFormatting>
  <conditionalFormatting sqref="A386:D386">
    <cfRule type="expression" dxfId="3" priority="1927">
      <formula>COUNTIF($A386, "TRUE") = 1</formula>
    </cfRule>
    <cfRule type="expression" dxfId="4" priority="1928">
      <formula>COUNTIF($A386, "FALSE") = 1</formula>
    </cfRule>
    <cfRule type="notContainsBlanks" dxfId="1" priority="1929">
      <formula>LEN(TRIM(A386))&gt;0</formula>
    </cfRule>
  </conditionalFormatting>
  <conditionalFormatting sqref="A387">
    <cfRule type="notContainsBlanks" dxfId="5" priority="1935">
      <formula>LEN(TRIM(A387))&gt;0</formula>
    </cfRule>
  </conditionalFormatting>
  <conditionalFormatting sqref="A387:D387">
    <cfRule type="expression" dxfId="3" priority="1932">
      <formula>COUNTIF($A387, "TRUE") = 1</formula>
    </cfRule>
    <cfRule type="expression" dxfId="4" priority="1933">
      <formula>COUNTIF($A387, "FALSE") = 1</formula>
    </cfRule>
    <cfRule type="notContainsBlanks" dxfId="1" priority="1934">
      <formula>LEN(TRIM(A387))&gt;0</formula>
    </cfRule>
  </conditionalFormatting>
  <conditionalFormatting sqref="A388">
    <cfRule type="notContainsBlanks" dxfId="5" priority="1940">
      <formula>LEN(TRIM(A388))&gt;0</formula>
    </cfRule>
  </conditionalFormatting>
  <conditionalFormatting sqref="A388:D388">
    <cfRule type="expression" dxfId="3" priority="1937">
      <formula>COUNTIF($A388, "TRUE") = 1</formula>
    </cfRule>
    <cfRule type="expression" dxfId="4" priority="1938">
      <formula>COUNTIF($A388, "FALSE") = 1</formula>
    </cfRule>
    <cfRule type="notContainsBlanks" dxfId="1" priority="1939">
      <formula>LEN(TRIM(A388))&gt;0</formula>
    </cfRule>
  </conditionalFormatting>
  <conditionalFormatting sqref="A389">
    <cfRule type="notContainsBlanks" dxfId="5" priority="1945">
      <formula>LEN(TRIM(A389))&gt;0</formula>
    </cfRule>
  </conditionalFormatting>
  <conditionalFormatting sqref="A389:D389">
    <cfRule type="expression" dxfId="3" priority="1942">
      <formula>COUNTIF($A389, "TRUE") = 1</formula>
    </cfRule>
    <cfRule type="expression" dxfId="4" priority="1943">
      <formula>COUNTIF($A389, "FALSE") = 1</formula>
    </cfRule>
    <cfRule type="notContainsBlanks" dxfId="1" priority="1944">
      <formula>LEN(TRIM(A389))&gt;0</formula>
    </cfRule>
  </conditionalFormatting>
  <conditionalFormatting sqref="A38:D38">
    <cfRule type="expression" dxfId="3" priority="187">
      <formula>COUNTIF($A38, "TRUE") = 1</formula>
    </cfRule>
    <cfRule type="expression" dxfId="4" priority="188">
      <formula>COUNTIF($A38, "FALSE") = 1</formula>
    </cfRule>
    <cfRule type="notContainsBlanks" dxfId="1" priority="189">
      <formula>LEN(TRIM(A38))&gt;0</formula>
    </cfRule>
  </conditionalFormatting>
  <conditionalFormatting sqref="A39">
    <cfRule type="notContainsBlanks" dxfId="5" priority="195">
      <formula>LEN(TRIM(A39))&gt;0</formula>
    </cfRule>
  </conditionalFormatting>
  <conditionalFormatting sqref="A390">
    <cfRule type="notContainsBlanks" dxfId="5" priority="1950">
      <formula>LEN(TRIM(A390))&gt;0</formula>
    </cfRule>
  </conditionalFormatting>
  <conditionalFormatting sqref="A390:D390">
    <cfRule type="expression" dxfId="3" priority="1947">
      <formula>COUNTIF($A390, "TRUE") = 1</formula>
    </cfRule>
    <cfRule type="expression" dxfId="4" priority="1948">
      <formula>COUNTIF($A390, "FALSE") = 1</formula>
    </cfRule>
    <cfRule type="notContainsBlanks" dxfId="1" priority="1949">
      <formula>LEN(TRIM(A390))&gt;0</formula>
    </cfRule>
  </conditionalFormatting>
  <conditionalFormatting sqref="A391">
    <cfRule type="notContainsBlanks" dxfId="5" priority="1955">
      <formula>LEN(TRIM(A391))&gt;0</formula>
    </cfRule>
  </conditionalFormatting>
  <conditionalFormatting sqref="A391:D391">
    <cfRule type="expression" dxfId="3" priority="1952">
      <formula>COUNTIF($A391, "TRUE") = 1</formula>
    </cfRule>
    <cfRule type="expression" dxfId="4" priority="1953">
      <formula>COUNTIF($A391, "FALSE") = 1</formula>
    </cfRule>
    <cfRule type="notContainsBlanks" dxfId="1" priority="1954">
      <formula>LEN(TRIM(A391))&gt;0</formula>
    </cfRule>
  </conditionalFormatting>
  <conditionalFormatting sqref="A392">
    <cfRule type="notContainsBlanks" dxfId="5" priority="1960">
      <formula>LEN(TRIM(A392))&gt;0</formula>
    </cfRule>
  </conditionalFormatting>
  <conditionalFormatting sqref="A392:D392">
    <cfRule type="expression" dxfId="3" priority="1957">
      <formula>COUNTIF($A392, "TRUE") = 1</formula>
    </cfRule>
    <cfRule type="expression" dxfId="4" priority="1958">
      <formula>COUNTIF($A392, "FALSE") = 1</formula>
    </cfRule>
    <cfRule type="notContainsBlanks" dxfId="1" priority="1959">
      <formula>LEN(TRIM(A392))&gt;0</formula>
    </cfRule>
  </conditionalFormatting>
  <conditionalFormatting sqref="A393">
    <cfRule type="notContainsBlanks" dxfId="5" priority="1965">
      <formula>LEN(TRIM(A393))&gt;0</formula>
    </cfRule>
  </conditionalFormatting>
  <conditionalFormatting sqref="A393:D393">
    <cfRule type="expression" dxfId="3" priority="1962">
      <formula>COUNTIF($A393, "TRUE") = 1</formula>
    </cfRule>
    <cfRule type="expression" dxfId="4" priority="1963">
      <formula>COUNTIF($A393, "FALSE") = 1</formula>
    </cfRule>
    <cfRule type="notContainsBlanks" dxfId="1" priority="1964">
      <formula>LEN(TRIM(A393))&gt;0</formula>
    </cfRule>
  </conditionalFormatting>
  <conditionalFormatting sqref="A394">
    <cfRule type="notContainsBlanks" dxfId="5" priority="1970">
      <formula>LEN(TRIM(A394))&gt;0</formula>
    </cfRule>
  </conditionalFormatting>
  <conditionalFormatting sqref="A394:D394">
    <cfRule type="expression" dxfId="3" priority="1967">
      <formula>COUNTIF($A394, "TRUE") = 1</formula>
    </cfRule>
    <cfRule type="expression" dxfId="4" priority="1968">
      <formula>COUNTIF($A394, "FALSE") = 1</formula>
    </cfRule>
    <cfRule type="notContainsBlanks" dxfId="1" priority="1969">
      <formula>LEN(TRIM(A394))&gt;0</formula>
    </cfRule>
  </conditionalFormatting>
  <conditionalFormatting sqref="A395">
    <cfRule type="notContainsBlanks" dxfId="5" priority="1975">
      <formula>LEN(TRIM(A395))&gt;0</formula>
    </cfRule>
  </conditionalFormatting>
  <conditionalFormatting sqref="A395:D395">
    <cfRule type="expression" dxfId="3" priority="1972">
      <formula>COUNTIF($A395, "TRUE") = 1</formula>
    </cfRule>
    <cfRule type="expression" dxfId="4" priority="1973">
      <formula>COUNTIF($A395, "FALSE") = 1</formula>
    </cfRule>
    <cfRule type="notContainsBlanks" dxfId="1" priority="1974">
      <formula>LEN(TRIM(A395))&gt;0</formula>
    </cfRule>
  </conditionalFormatting>
  <conditionalFormatting sqref="A396">
    <cfRule type="notContainsBlanks" dxfId="5" priority="1980">
      <formula>LEN(TRIM(A396))&gt;0</formula>
    </cfRule>
  </conditionalFormatting>
  <conditionalFormatting sqref="A396:D396">
    <cfRule type="expression" dxfId="3" priority="1977">
      <formula>COUNTIF($A396, "TRUE") = 1</formula>
    </cfRule>
    <cfRule type="expression" dxfId="4" priority="1978">
      <formula>COUNTIF($A396, "FALSE") = 1</formula>
    </cfRule>
    <cfRule type="notContainsBlanks" dxfId="1" priority="1979">
      <formula>LEN(TRIM(A396))&gt;0</formula>
    </cfRule>
  </conditionalFormatting>
  <conditionalFormatting sqref="A397">
    <cfRule type="notContainsBlanks" dxfId="5" priority="1985">
      <formula>LEN(TRIM(A397))&gt;0</formula>
    </cfRule>
  </conditionalFormatting>
  <conditionalFormatting sqref="A397:D397">
    <cfRule type="expression" dxfId="3" priority="1982">
      <formula>COUNTIF($A397, "TRUE") = 1</formula>
    </cfRule>
    <cfRule type="expression" dxfId="4" priority="1983">
      <formula>COUNTIF($A397, "FALSE") = 1</formula>
    </cfRule>
    <cfRule type="notContainsBlanks" dxfId="1" priority="1984">
      <formula>LEN(TRIM(A397))&gt;0</formula>
    </cfRule>
  </conditionalFormatting>
  <conditionalFormatting sqref="A398">
    <cfRule type="notContainsBlanks" dxfId="5" priority="1990">
      <formula>LEN(TRIM(A398))&gt;0</formula>
    </cfRule>
  </conditionalFormatting>
  <conditionalFormatting sqref="A398:D398">
    <cfRule type="expression" dxfId="3" priority="1987">
      <formula>COUNTIF($A398, "TRUE") = 1</formula>
    </cfRule>
    <cfRule type="expression" dxfId="4" priority="1988">
      <formula>COUNTIF($A398, "FALSE") = 1</formula>
    </cfRule>
    <cfRule type="notContainsBlanks" dxfId="1" priority="1989">
      <formula>LEN(TRIM(A398))&gt;0</formula>
    </cfRule>
  </conditionalFormatting>
  <conditionalFormatting sqref="A399">
    <cfRule type="notContainsBlanks" dxfId="5" priority="1995">
      <formula>LEN(TRIM(A399))&gt;0</formula>
    </cfRule>
  </conditionalFormatting>
  <conditionalFormatting sqref="A399:D399">
    <cfRule type="expression" dxfId="3" priority="1992">
      <formula>COUNTIF($A399, "TRUE") = 1</formula>
    </cfRule>
    <cfRule type="expression" dxfId="4" priority="1993">
      <formula>COUNTIF($A399, "FALSE") = 1</formula>
    </cfRule>
    <cfRule type="notContainsBlanks" dxfId="1" priority="1994">
      <formula>LEN(TRIM(A399))&gt;0</formula>
    </cfRule>
  </conditionalFormatting>
  <conditionalFormatting sqref="A39:D39">
    <cfRule type="expression" dxfId="3" priority="192">
      <formula>COUNTIF($A39, "TRUE") = 1</formula>
    </cfRule>
    <cfRule type="expression" dxfId="4" priority="193">
      <formula>COUNTIF($A39, "FALSE") = 1</formula>
    </cfRule>
    <cfRule type="notContainsBlanks" dxfId="1" priority="194">
      <formula>LEN(TRIM(A39))&gt;0</formula>
    </cfRule>
  </conditionalFormatting>
  <conditionalFormatting sqref="A3:D3">
    <cfRule type="expression" dxfId="3" priority="12">
      <formula>COUNTIF($A3, "TRUE") = 1</formula>
    </cfRule>
    <cfRule type="expression" dxfId="4" priority="13">
      <formula>COUNTIF($A3, "FALSE") = 1</formula>
    </cfRule>
    <cfRule type="notContainsBlanks" dxfId="1" priority="14">
      <formula>LEN(TRIM(A3))&gt;0</formula>
    </cfRule>
  </conditionalFormatting>
  <conditionalFormatting sqref="A4">
    <cfRule type="notContainsBlanks" dxfId="5" priority="20">
      <formula>LEN(TRIM(A4))&gt;0</formula>
    </cfRule>
  </conditionalFormatting>
  <conditionalFormatting sqref="A40">
    <cfRule type="notContainsBlanks" dxfId="5" priority="200">
      <formula>LEN(TRIM(A40))&gt;0</formula>
    </cfRule>
  </conditionalFormatting>
  <conditionalFormatting sqref="A400">
    <cfRule type="notContainsBlanks" dxfId="5" priority="2000">
      <formula>LEN(TRIM(A400))&gt;0</formula>
    </cfRule>
  </conditionalFormatting>
  <conditionalFormatting sqref="A400:D400">
    <cfRule type="expression" dxfId="3" priority="1997">
      <formula>COUNTIF($A400, "TRUE") = 1</formula>
    </cfRule>
    <cfRule type="expression" dxfId="4" priority="1998">
      <formula>COUNTIF($A400, "FALSE") = 1</formula>
    </cfRule>
    <cfRule type="notContainsBlanks" dxfId="1" priority="1999">
      <formula>LEN(TRIM(A400))&gt;0</formula>
    </cfRule>
  </conditionalFormatting>
  <conditionalFormatting sqref="A401">
    <cfRule type="notContainsBlanks" dxfId="5" priority="2005">
      <formula>LEN(TRIM(A401))&gt;0</formula>
    </cfRule>
  </conditionalFormatting>
  <conditionalFormatting sqref="A401:D401">
    <cfRule type="expression" dxfId="3" priority="2002">
      <formula>COUNTIF($A401, "TRUE") = 1</formula>
    </cfRule>
    <cfRule type="expression" dxfId="4" priority="2003">
      <formula>COUNTIF($A401, "FALSE") = 1</formula>
    </cfRule>
    <cfRule type="notContainsBlanks" dxfId="1" priority="2004">
      <formula>LEN(TRIM(A401))&gt;0</formula>
    </cfRule>
  </conditionalFormatting>
  <conditionalFormatting sqref="A402">
    <cfRule type="notContainsBlanks" dxfId="5" priority="2010">
      <formula>LEN(TRIM(A402))&gt;0</formula>
    </cfRule>
  </conditionalFormatting>
  <conditionalFormatting sqref="A402:D402">
    <cfRule type="expression" dxfId="3" priority="2007">
      <formula>COUNTIF($A402, "TRUE") = 1</formula>
    </cfRule>
    <cfRule type="expression" dxfId="4" priority="2008">
      <formula>COUNTIF($A402, "FALSE") = 1</formula>
    </cfRule>
    <cfRule type="notContainsBlanks" dxfId="1" priority="2009">
      <formula>LEN(TRIM(A402))&gt;0</formula>
    </cfRule>
  </conditionalFormatting>
  <conditionalFormatting sqref="A403">
    <cfRule type="notContainsBlanks" dxfId="5" priority="2015">
      <formula>LEN(TRIM(A403))&gt;0</formula>
    </cfRule>
  </conditionalFormatting>
  <conditionalFormatting sqref="A403:D403">
    <cfRule type="expression" dxfId="3" priority="2012">
      <formula>COUNTIF($A403, "TRUE") = 1</formula>
    </cfRule>
    <cfRule type="expression" dxfId="4" priority="2013">
      <formula>COUNTIF($A403, "FALSE") = 1</formula>
    </cfRule>
    <cfRule type="notContainsBlanks" dxfId="1" priority="2014">
      <formula>LEN(TRIM(A403))&gt;0</formula>
    </cfRule>
  </conditionalFormatting>
  <conditionalFormatting sqref="A404">
    <cfRule type="notContainsBlanks" dxfId="5" priority="2020">
      <formula>LEN(TRIM(A404))&gt;0</formula>
    </cfRule>
  </conditionalFormatting>
  <conditionalFormatting sqref="A404:D404">
    <cfRule type="expression" dxfId="3" priority="2017">
      <formula>COUNTIF($A404, "TRUE") = 1</formula>
    </cfRule>
    <cfRule type="expression" dxfId="4" priority="2018">
      <formula>COUNTIF($A404, "FALSE") = 1</formula>
    </cfRule>
    <cfRule type="notContainsBlanks" dxfId="1" priority="2019">
      <formula>LEN(TRIM(A404))&gt;0</formula>
    </cfRule>
  </conditionalFormatting>
  <conditionalFormatting sqref="A405">
    <cfRule type="notContainsBlanks" dxfId="5" priority="2025">
      <formula>LEN(TRIM(A405))&gt;0</formula>
    </cfRule>
  </conditionalFormatting>
  <conditionalFormatting sqref="A405:D405">
    <cfRule type="expression" dxfId="3" priority="2022">
      <formula>COUNTIF($A405, "TRUE") = 1</formula>
    </cfRule>
    <cfRule type="expression" dxfId="4" priority="2023">
      <formula>COUNTIF($A405, "FALSE") = 1</formula>
    </cfRule>
    <cfRule type="notContainsBlanks" dxfId="1" priority="2024">
      <formula>LEN(TRIM(A405))&gt;0</formula>
    </cfRule>
  </conditionalFormatting>
  <conditionalFormatting sqref="A406">
    <cfRule type="notContainsBlanks" dxfId="5" priority="2030">
      <formula>LEN(TRIM(A406))&gt;0</formula>
    </cfRule>
  </conditionalFormatting>
  <conditionalFormatting sqref="A406:D406">
    <cfRule type="expression" dxfId="3" priority="2027">
      <formula>COUNTIF($A406, "TRUE") = 1</formula>
    </cfRule>
    <cfRule type="expression" dxfId="4" priority="2028">
      <formula>COUNTIF($A406, "FALSE") = 1</formula>
    </cfRule>
    <cfRule type="notContainsBlanks" dxfId="1" priority="2029">
      <formula>LEN(TRIM(A406))&gt;0</formula>
    </cfRule>
  </conditionalFormatting>
  <conditionalFormatting sqref="A407">
    <cfRule type="notContainsBlanks" dxfId="5" priority="2035">
      <formula>LEN(TRIM(A407))&gt;0</formula>
    </cfRule>
  </conditionalFormatting>
  <conditionalFormatting sqref="A407:D407">
    <cfRule type="expression" dxfId="3" priority="2032">
      <formula>COUNTIF($A407, "TRUE") = 1</formula>
    </cfRule>
    <cfRule type="expression" dxfId="4" priority="2033">
      <formula>COUNTIF($A407, "FALSE") = 1</formula>
    </cfRule>
    <cfRule type="notContainsBlanks" dxfId="1" priority="2034">
      <formula>LEN(TRIM(A407))&gt;0</formula>
    </cfRule>
  </conditionalFormatting>
  <conditionalFormatting sqref="A408">
    <cfRule type="notContainsBlanks" dxfId="5" priority="2040">
      <formula>LEN(TRIM(A408))&gt;0</formula>
    </cfRule>
  </conditionalFormatting>
  <conditionalFormatting sqref="A408:D408">
    <cfRule type="expression" dxfId="3" priority="2037">
      <formula>COUNTIF($A408, "TRUE") = 1</formula>
    </cfRule>
    <cfRule type="expression" dxfId="4" priority="2038">
      <formula>COUNTIF($A408, "FALSE") = 1</formula>
    </cfRule>
    <cfRule type="notContainsBlanks" dxfId="1" priority="2039">
      <formula>LEN(TRIM(A408))&gt;0</formula>
    </cfRule>
  </conditionalFormatting>
  <conditionalFormatting sqref="A409">
    <cfRule type="notContainsBlanks" dxfId="5" priority="2045">
      <formula>LEN(TRIM(A409))&gt;0</formula>
    </cfRule>
  </conditionalFormatting>
  <conditionalFormatting sqref="A409:D409">
    <cfRule type="expression" dxfId="3" priority="2042">
      <formula>COUNTIF($A409, "TRUE") = 1</formula>
    </cfRule>
    <cfRule type="expression" dxfId="4" priority="2043">
      <formula>COUNTIF($A409, "FALSE") = 1</formula>
    </cfRule>
    <cfRule type="notContainsBlanks" dxfId="1" priority="2044">
      <formula>LEN(TRIM(A409))&gt;0</formula>
    </cfRule>
  </conditionalFormatting>
  <conditionalFormatting sqref="A40:D40">
    <cfRule type="expression" dxfId="3" priority="197">
      <formula>COUNTIF($A40, "TRUE") = 1</formula>
    </cfRule>
    <cfRule type="expression" dxfId="4" priority="198">
      <formula>COUNTIF($A40, "FALSE") = 1</formula>
    </cfRule>
    <cfRule type="notContainsBlanks" dxfId="1" priority="199">
      <formula>LEN(TRIM(A40))&gt;0</formula>
    </cfRule>
  </conditionalFormatting>
  <conditionalFormatting sqref="A41">
    <cfRule type="notContainsBlanks" dxfId="5" priority="205">
      <formula>LEN(TRIM(A41))&gt;0</formula>
    </cfRule>
  </conditionalFormatting>
  <conditionalFormatting sqref="A410">
    <cfRule type="notContainsBlanks" dxfId="5" priority="2050">
      <formula>LEN(TRIM(A410))&gt;0</formula>
    </cfRule>
  </conditionalFormatting>
  <conditionalFormatting sqref="A410:D410">
    <cfRule type="expression" dxfId="3" priority="2047">
      <formula>COUNTIF($A410, "TRUE") = 1</formula>
    </cfRule>
    <cfRule type="expression" dxfId="4" priority="2048">
      <formula>COUNTIF($A410, "FALSE") = 1</formula>
    </cfRule>
    <cfRule type="notContainsBlanks" dxfId="1" priority="2049">
      <formula>LEN(TRIM(A410))&gt;0</formula>
    </cfRule>
  </conditionalFormatting>
  <conditionalFormatting sqref="A411">
    <cfRule type="notContainsBlanks" dxfId="5" priority="2055">
      <formula>LEN(TRIM(A411))&gt;0</formula>
    </cfRule>
  </conditionalFormatting>
  <conditionalFormatting sqref="A411:D411">
    <cfRule type="expression" dxfId="3" priority="2052">
      <formula>COUNTIF($A411, "TRUE") = 1</formula>
    </cfRule>
    <cfRule type="expression" dxfId="4" priority="2053">
      <formula>COUNTIF($A411, "FALSE") = 1</formula>
    </cfRule>
    <cfRule type="notContainsBlanks" dxfId="1" priority="2054">
      <formula>LEN(TRIM(A411))&gt;0</formula>
    </cfRule>
  </conditionalFormatting>
  <conditionalFormatting sqref="A412">
    <cfRule type="notContainsBlanks" dxfId="5" priority="2060">
      <formula>LEN(TRIM(A412))&gt;0</formula>
    </cfRule>
  </conditionalFormatting>
  <conditionalFormatting sqref="A412:D412">
    <cfRule type="expression" dxfId="3" priority="2057">
      <formula>COUNTIF($A412, "TRUE") = 1</formula>
    </cfRule>
    <cfRule type="expression" dxfId="4" priority="2058">
      <formula>COUNTIF($A412, "FALSE") = 1</formula>
    </cfRule>
    <cfRule type="notContainsBlanks" dxfId="1" priority="2059">
      <formula>LEN(TRIM(A412))&gt;0</formula>
    </cfRule>
  </conditionalFormatting>
  <conditionalFormatting sqref="A413">
    <cfRule type="notContainsBlanks" dxfId="5" priority="2065">
      <formula>LEN(TRIM(A413))&gt;0</formula>
    </cfRule>
  </conditionalFormatting>
  <conditionalFormatting sqref="A413:D413">
    <cfRule type="expression" dxfId="3" priority="2062">
      <formula>COUNTIF($A413, "TRUE") = 1</formula>
    </cfRule>
    <cfRule type="expression" dxfId="4" priority="2063">
      <formula>COUNTIF($A413, "FALSE") = 1</formula>
    </cfRule>
    <cfRule type="notContainsBlanks" dxfId="1" priority="2064">
      <formula>LEN(TRIM(A413))&gt;0</formula>
    </cfRule>
  </conditionalFormatting>
  <conditionalFormatting sqref="A414">
    <cfRule type="notContainsBlanks" dxfId="5" priority="2070">
      <formula>LEN(TRIM(A414))&gt;0</formula>
    </cfRule>
  </conditionalFormatting>
  <conditionalFormatting sqref="A414:D414">
    <cfRule type="expression" dxfId="3" priority="2067">
      <formula>COUNTIF($A414, "TRUE") = 1</formula>
    </cfRule>
    <cfRule type="expression" dxfId="4" priority="2068">
      <formula>COUNTIF($A414, "FALSE") = 1</formula>
    </cfRule>
    <cfRule type="notContainsBlanks" dxfId="1" priority="2069">
      <formula>LEN(TRIM(A414))&gt;0</formula>
    </cfRule>
  </conditionalFormatting>
  <conditionalFormatting sqref="A415">
    <cfRule type="notContainsBlanks" dxfId="5" priority="2075">
      <formula>LEN(TRIM(A415))&gt;0</formula>
    </cfRule>
  </conditionalFormatting>
  <conditionalFormatting sqref="A415:D415">
    <cfRule type="expression" dxfId="3" priority="2072">
      <formula>COUNTIF($A415, "TRUE") = 1</formula>
    </cfRule>
    <cfRule type="expression" dxfId="4" priority="2073">
      <formula>COUNTIF($A415, "FALSE") = 1</formula>
    </cfRule>
    <cfRule type="notContainsBlanks" dxfId="1" priority="2074">
      <formula>LEN(TRIM(A415))&gt;0</formula>
    </cfRule>
  </conditionalFormatting>
  <conditionalFormatting sqref="A416">
    <cfRule type="notContainsBlanks" dxfId="5" priority="2080">
      <formula>LEN(TRIM(A416))&gt;0</formula>
    </cfRule>
  </conditionalFormatting>
  <conditionalFormatting sqref="A416:D416">
    <cfRule type="expression" dxfId="3" priority="2077">
      <formula>COUNTIF($A416, "TRUE") = 1</formula>
    </cfRule>
    <cfRule type="expression" dxfId="4" priority="2078">
      <formula>COUNTIF($A416, "FALSE") = 1</formula>
    </cfRule>
    <cfRule type="notContainsBlanks" dxfId="1" priority="2079">
      <formula>LEN(TRIM(A416))&gt;0</formula>
    </cfRule>
  </conditionalFormatting>
  <conditionalFormatting sqref="A417">
    <cfRule type="notContainsBlanks" dxfId="5" priority="2085">
      <formula>LEN(TRIM(A417))&gt;0</formula>
    </cfRule>
  </conditionalFormatting>
  <conditionalFormatting sqref="A417:D417">
    <cfRule type="expression" dxfId="3" priority="2082">
      <formula>COUNTIF($A417, "TRUE") = 1</formula>
    </cfRule>
    <cfRule type="expression" dxfId="4" priority="2083">
      <formula>COUNTIF($A417, "FALSE") = 1</formula>
    </cfRule>
    <cfRule type="notContainsBlanks" dxfId="1" priority="2084">
      <formula>LEN(TRIM(A417))&gt;0</formula>
    </cfRule>
  </conditionalFormatting>
  <conditionalFormatting sqref="A418">
    <cfRule type="notContainsBlanks" dxfId="5" priority="2090">
      <formula>LEN(TRIM(A418))&gt;0</formula>
    </cfRule>
  </conditionalFormatting>
  <conditionalFormatting sqref="A418:D418">
    <cfRule type="expression" dxfId="3" priority="2087">
      <formula>COUNTIF($A418, "TRUE") = 1</formula>
    </cfRule>
    <cfRule type="expression" dxfId="4" priority="2088">
      <formula>COUNTIF($A418, "FALSE") = 1</formula>
    </cfRule>
    <cfRule type="notContainsBlanks" dxfId="1" priority="2089">
      <formula>LEN(TRIM(A418))&gt;0</formula>
    </cfRule>
  </conditionalFormatting>
  <conditionalFormatting sqref="A419">
    <cfRule type="notContainsBlanks" dxfId="5" priority="2095">
      <formula>LEN(TRIM(A419))&gt;0</formula>
    </cfRule>
  </conditionalFormatting>
  <conditionalFormatting sqref="A419:D419">
    <cfRule type="expression" dxfId="3" priority="2092">
      <formula>COUNTIF($A419, "TRUE") = 1</formula>
    </cfRule>
    <cfRule type="expression" dxfId="4" priority="2093">
      <formula>COUNTIF($A419, "FALSE") = 1</formula>
    </cfRule>
    <cfRule type="notContainsBlanks" dxfId="1" priority="2094">
      <formula>LEN(TRIM(A419))&gt;0</formula>
    </cfRule>
  </conditionalFormatting>
  <conditionalFormatting sqref="A41:D41">
    <cfRule type="expression" dxfId="3" priority="202">
      <formula>COUNTIF($A41, "TRUE") = 1</formula>
    </cfRule>
    <cfRule type="expression" dxfId="4" priority="203">
      <formula>COUNTIF($A41, "FALSE") = 1</formula>
    </cfRule>
    <cfRule type="notContainsBlanks" dxfId="1" priority="204">
      <formula>LEN(TRIM(A41))&gt;0</formula>
    </cfRule>
  </conditionalFormatting>
  <conditionalFormatting sqref="A42">
    <cfRule type="notContainsBlanks" dxfId="5" priority="210">
      <formula>LEN(TRIM(A42))&gt;0</formula>
    </cfRule>
  </conditionalFormatting>
  <conditionalFormatting sqref="A420">
    <cfRule type="notContainsBlanks" dxfId="5" priority="2100">
      <formula>LEN(TRIM(A420))&gt;0</formula>
    </cfRule>
  </conditionalFormatting>
  <conditionalFormatting sqref="A420:D420">
    <cfRule type="expression" dxfId="3" priority="2097">
      <formula>COUNTIF($A420, "TRUE") = 1</formula>
    </cfRule>
    <cfRule type="expression" dxfId="4" priority="2098">
      <formula>COUNTIF($A420, "FALSE") = 1</formula>
    </cfRule>
    <cfRule type="notContainsBlanks" dxfId="1" priority="2099">
      <formula>LEN(TRIM(A420))&gt;0</formula>
    </cfRule>
  </conditionalFormatting>
  <conditionalFormatting sqref="A421">
    <cfRule type="notContainsBlanks" dxfId="5" priority="2105">
      <formula>LEN(TRIM(A421))&gt;0</formula>
    </cfRule>
  </conditionalFormatting>
  <conditionalFormatting sqref="A421:D421">
    <cfRule type="expression" dxfId="3" priority="2102">
      <formula>COUNTIF($A421, "TRUE") = 1</formula>
    </cfRule>
    <cfRule type="expression" dxfId="4" priority="2103">
      <formula>COUNTIF($A421, "FALSE") = 1</formula>
    </cfRule>
    <cfRule type="notContainsBlanks" dxfId="1" priority="2104">
      <formula>LEN(TRIM(A421))&gt;0</formula>
    </cfRule>
  </conditionalFormatting>
  <conditionalFormatting sqref="A422">
    <cfRule type="notContainsBlanks" dxfId="5" priority="2110">
      <formula>LEN(TRIM(A422))&gt;0</formula>
    </cfRule>
  </conditionalFormatting>
  <conditionalFormatting sqref="A422:D422">
    <cfRule type="expression" dxfId="3" priority="2107">
      <formula>COUNTIF($A422, "TRUE") = 1</formula>
    </cfRule>
    <cfRule type="expression" dxfId="4" priority="2108">
      <formula>COUNTIF($A422, "FALSE") = 1</formula>
    </cfRule>
    <cfRule type="notContainsBlanks" dxfId="1" priority="2109">
      <formula>LEN(TRIM(A422))&gt;0</formula>
    </cfRule>
  </conditionalFormatting>
  <conditionalFormatting sqref="A423">
    <cfRule type="notContainsBlanks" dxfId="5" priority="2115">
      <formula>LEN(TRIM(A423))&gt;0</formula>
    </cfRule>
  </conditionalFormatting>
  <conditionalFormatting sqref="A423:D423">
    <cfRule type="expression" dxfId="3" priority="2112">
      <formula>COUNTIF($A423, "TRUE") = 1</formula>
    </cfRule>
    <cfRule type="expression" dxfId="4" priority="2113">
      <formula>COUNTIF($A423, "FALSE") = 1</formula>
    </cfRule>
    <cfRule type="notContainsBlanks" dxfId="1" priority="2114">
      <formula>LEN(TRIM(A423))&gt;0</formula>
    </cfRule>
  </conditionalFormatting>
  <conditionalFormatting sqref="A424">
    <cfRule type="notContainsBlanks" dxfId="5" priority="2120">
      <formula>LEN(TRIM(A424))&gt;0</formula>
    </cfRule>
  </conditionalFormatting>
  <conditionalFormatting sqref="A424:D424">
    <cfRule type="expression" dxfId="3" priority="2117">
      <formula>COUNTIF($A424, "TRUE") = 1</formula>
    </cfRule>
    <cfRule type="expression" dxfId="4" priority="2118">
      <formula>COUNTIF($A424, "FALSE") = 1</formula>
    </cfRule>
    <cfRule type="notContainsBlanks" dxfId="1" priority="2119">
      <formula>LEN(TRIM(A424))&gt;0</formula>
    </cfRule>
  </conditionalFormatting>
  <conditionalFormatting sqref="A425">
    <cfRule type="notContainsBlanks" dxfId="5" priority="2125">
      <formula>LEN(TRIM(A425))&gt;0</formula>
    </cfRule>
  </conditionalFormatting>
  <conditionalFormatting sqref="A425:D425">
    <cfRule type="expression" dxfId="3" priority="2122">
      <formula>COUNTIF($A425, "TRUE") = 1</formula>
    </cfRule>
    <cfRule type="expression" dxfId="4" priority="2123">
      <formula>COUNTIF($A425, "FALSE") = 1</formula>
    </cfRule>
    <cfRule type="notContainsBlanks" dxfId="1" priority="2124">
      <formula>LEN(TRIM(A425))&gt;0</formula>
    </cfRule>
  </conditionalFormatting>
  <conditionalFormatting sqref="A426">
    <cfRule type="notContainsBlanks" dxfId="5" priority="2130">
      <formula>LEN(TRIM(A426))&gt;0</formula>
    </cfRule>
  </conditionalFormatting>
  <conditionalFormatting sqref="A426:D426">
    <cfRule type="expression" dxfId="3" priority="2127">
      <formula>COUNTIF($A426, "TRUE") = 1</formula>
    </cfRule>
    <cfRule type="expression" dxfId="4" priority="2128">
      <formula>COUNTIF($A426, "FALSE") = 1</formula>
    </cfRule>
    <cfRule type="notContainsBlanks" dxfId="1" priority="2129">
      <formula>LEN(TRIM(A426))&gt;0</formula>
    </cfRule>
  </conditionalFormatting>
  <conditionalFormatting sqref="A427">
    <cfRule type="notContainsBlanks" dxfId="5" priority="2135">
      <formula>LEN(TRIM(A427))&gt;0</formula>
    </cfRule>
  </conditionalFormatting>
  <conditionalFormatting sqref="A427:D427">
    <cfRule type="expression" dxfId="3" priority="2132">
      <formula>COUNTIF($A427, "TRUE") = 1</formula>
    </cfRule>
    <cfRule type="expression" dxfId="4" priority="2133">
      <formula>COUNTIF($A427, "FALSE") = 1</formula>
    </cfRule>
    <cfRule type="notContainsBlanks" dxfId="1" priority="2134">
      <formula>LEN(TRIM(A427))&gt;0</formula>
    </cfRule>
  </conditionalFormatting>
  <conditionalFormatting sqref="A428">
    <cfRule type="notContainsBlanks" dxfId="5" priority="2140">
      <formula>LEN(TRIM(A428))&gt;0</formula>
    </cfRule>
  </conditionalFormatting>
  <conditionalFormatting sqref="A428:D428">
    <cfRule type="expression" dxfId="3" priority="2137">
      <formula>COUNTIF($A428, "TRUE") = 1</formula>
    </cfRule>
    <cfRule type="expression" dxfId="4" priority="2138">
      <formula>COUNTIF($A428, "FALSE") = 1</formula>
    </cfRule>
    <cfRule type="notContainsBlanks" dxfId="1" priority="2139">
      <formula>LEN(TRIM(A428))&gt;0</formula>
    </cfRule>
  </conditionalFormatting>
  <conditionalFormatting sqref="A429">
    <cfRule type="notContainsBlanks" dxfId="5" priority="2145">
      <formula>LEN(TRIM(A429))&gt;0</formula>
    </cfRule>
  </conditionalFormatting>
  <conditionalFormatting sqref="A429:D429">
    <cfRule type="expression" dxfId="3" priority="2142">
      <formula>COUNTIF($A429, "TRUE") = 1</formula>
    </cfRule>
    <cfRule type="expression" dxfId="4" priority="2143">
      <formula>COUNTIF($A429, "FALSE") = 1</formula>
    </cfRule>
    <cfRule type="notContainsBlanks" dxfId="1" priority="2144">
      <formula>LEN(TRIM(A429))&gt;0</formula>
    </cfRule>
  </conditionalFormatting>
  <conditionalFormatting sqref="A42:D42">
    <cfRule type="expression" dxfId="3" priority="207">
      <formula>COUNTIF($A42, "TRUE") = 1</formula>
    </cfRule>
    <cfRule type="expression" dxfId="4" priority="208">
      <formula>COUNTIF($A42, "FALSE") = 1</formula>
    </cfRule>
    <cfRule type="notContainsBlanks" dxfId="1" priority="209">
      <formula>LEN(TRIM(A42))&gt;0</formula>
    </cfRule>
  </conditionalFormatting>
  <conditionalFormatting sqref="A43">
    <cfRule type="notContainsBlanks" dxfId="5" priority="215">
      <formula>LEN(TRIM(A43))&gt;0</formula>
    </cfRule>
  </conditionalFormatting>
  <conditionalFormatting sqref="A430">
    <cfRule type="notContainsBlanks" dxfId="5" priority="2150">
      <formula>LEN(TRIM(A430))&gt;0</formula>
    </cfRule>
  </conditionalFormatting>
  <conditionalFormatting sqref="A430:D430">
    <cfRule type="expression" dxfId="3" priority="2147">
      <formula>COUNTIF($A430, "TRUE") = 1</formula>
    </cfRule>
    <cfRule type="expression" dxfId="4" priority="2148">
      <formula>COUNTIF($A430, "FALSE") = 1</formula>
    </cfRule>
    <cfRule type="notContainsBlanks" dxfId="1" priority="2149">
      <formula>LEN(TRIM(A430))&gt;0</formula>
    </cfRule>
  </conditionalFormatting>
  <conditionalFormatting sqref="A431">
    <cfRule type="notContainsBlanks" dxfId="5" priority="2155">
      <formula>LEN(TRIM(A431))&gt;0</formula>
    </cfRule>
  </conditionalFormatting>
  <conditionalFormatting sqref="A431:D431">
    <cfRule type="expression" dxfId="3" priority="2152">
      <formula>COUNTIF($A431, "TRUE") = 1</formula>
    </cfRule>
    <cfRule type="expression" dxfId="4" priority="2153">
      <formula>COUNTIF($A431, "FALSE") = 1</formula>
    </cfRule>
    <cfRule type="notContainsBlanks" dxfId="1" priority="2154">
      <formula>LEN(TRIM(A431))&gt;0</formula>
    </cfRule>
  </conditionalFormatting>
  <conditionalFormatting sqref="A432">
    <cfRule type="notContainsBlanks" dxfId="5" priority="2160">
      <formula>LEN(TRIM(A432))&gt;0</formula>
    </cfRule>
  </conditionalFormatting>
  <conditionalFormatting sqref="A432:D432">
    <cfRule type="expression" dxfId="3" priority="2157">
      <formula>COUNTIF($A432, "TRUE") = 1</formula>
    </cfRule>
    <cfRule type="expression" dxfId="4" priority="2158">
      <formula>COUNTIF($A432, "FALSE") = 1</formula>
    </cfRule>
    <cfRule type="notContainsBlanks" dxfId="1" priority="2159">
      <formula>LEN(TRIM(A432))&gt;0</formula>
    </cfRule>
  </conditionalFormatting>
  <conditionalFormatting sqref="A433">
    <cfRule type="notContainsBlanks" dxfId="5" priority="2165">
      <formula>LEN(TRIM(A433))&gt;0</formula>
    </cfRule>
  </conditionalFormatting>
  <conditionalFormatting sqref="A433:D433">
    <cfRule type="expression" dxfId="3" priority="2162">
      <formula>COUNTIF($A433, "TRUE") = 1</formula>
    </cfRule>
    <cfRule type="expression" dxfId="4" priority="2163">
      <formula>COUNTIF($A433, "FALSE") = 1</formula>
    </cfRule>
    <cfRule type="notContainsBlanks" dxfId="1" priority="2164">
      <formula>LEN(TRIM(A433))&gt;0</formula>
    </cfRule>
  </conditionalFormatting>
  <conditionalFormatting sqref="A434">
    <cfRule type="notContainsBlanks" dxfId="5" priority="2170">
      <formula>LEN(TRIM(A434))&gt;0</formula>
    </cfRule>
  </conditionalFormatting>
  <conditionalFormatting sqref="A434:D434">
    <cfRule type="expression" dxfId="3" priority="2167">
      <formula>COUNTIF($A434, "TRUE") = 1</formula>
    </cfRule>
    <cfRule type="expression" dxfId="4" priority="2168">
      <formula>COUNTIF($A434, "FALSE") = 1</formula>
    </cfRule>
    <cfRule type="notContainsBlanks" dxfId="1" priority="2169">
      <formula>LEN(TRIM(A434))&gt;0</formula>
    </cfRule>
  </conditionalFormatting>
  <conditionalFormatting sqref="A435">
    <cfRule type="notContainsBlanks" dxfId="5" priority="2175">
      <formula>LEN(TRIM(A435))&gt;0</formula>
    </cfRule>
  </conditionalFormatting>
  <conditionalFormatting sqref="A435:D435">
    <cfRule type="expression" dxfId="3" priority="2172">
      <formula>COUNTIF($A435, "TRUE") = 1</formula>
    </cfRule>
    <cfRule type="expression" dxfId="4" priority="2173">
      <formula>COUNTIF($A435, "FALSE") = 1</formula>
    </cfRule>
    <cfRule type="notContainsBlanks" dxfId="1" priority="2174">
      <formula>LEN(TRIM(A435))&gt;0</formula>
    </cfRule>
  </conditionalFormatting>
  <conditionalFormatting sqref="A436">
    <cfRule type="notContainsBlanks" dxfId="5" priority="2180">
      <formula>LEN(TRIM(A436))&gt;0</formula>
    </cfRule>
  </conditionalFormatting>
  <conditionalFormatting sqref="A436:D436">
    <cfRule type="expression" dxfId="3" priority="2177">
      <formula>COUNTIF($A436, "TRUE") = 1</formula>
    </cfRule>
    <cfRule type="expression" dxfId="4" priority="2178">
      <formula>COUNTIF($A436, "FALSE") = 1</formula>
    </cfRule>
    <cfRule type="notContainsBlanks" dxfId="1" priority="2179">
      <formula>LEN(TRIM(A436))&gt;0</formula>
    </cfRule>
  </conditionalFormatting>
  <conditionalFormatting sqref="A437">
    <cfRule type="notContainsBlanks" dxfId="5" priority="2185">
      <formula>LEN(TRIM(A437))&gt;0</formula>
    </cfRule>
  </conditionalFormatting>
  <conditionalFormatting sqref="A437:D437">
    <cfRule type="expression" dxfId="3" priority="2182">
      <formula>COUNTIF($A437, "TRUE") = 1</formula>
    </cfRule>
    <cfRule type="expression" dxfId="4" priority="2183">
      <formula>COUNTIF($A437, "FALSE") = 1</formula>
    </cfRule>
    <cfRule type="notContainsBlanks" dxfId="1" priority="2184">
      <formula>LEN(TRIM(A437))&gt;0</formula>
    </cfRule>
  </conditionalFormatting>
  <conditionalFormatting sqref="A438">
    <cfRule type="notContainsBlanks" dxfId="5" priority="2190">
      <formula>LEN(TRIM(A438))&gt;0</formula>
    </cfRule>
  </conditionalFormatting>
  <conditionalFormatting sqref="A438:D438">
    <cfRule type="expression" dxfId="3" priority="2187">
      <formula>COUNTIF($A438, "TRUE") = 1</formula>
    </cfRule>
    <cfRule type="expression" dxfId="4" priority="2188">
      <formula>COUNTIF($A438, "FALSE") = 1</formula>
    </cfRule>
    <cfRule type="notContainsBlanks" dxfId="1" priority="2189">
      <formula>LEN(TRIM(A438))&gt;0</formula>
    </cfRule>
  </conditionalFormatting>
  <conditionalFormatting sqref="A439">
    <cfRule type="notContainsBlanks" dxfId="5" priority="2195">
      <formula>LEN(TRIM(A439))&gt;0</formula>
    </cfRule>
  </conditionalFormatting>
  <conditionalFormatting sqref="A439:D439">
    <cfRule type="expression" dxfId="3" priority="2192">
      <formula>COUNTIF($A439, "TRUE") = 1</formula>
    </cfRule>
    <cfRule type="expression" dxfId="4" priority="2193">
      <formula>COUNTIF($A439, "FALSE") = 1</formula>
    </cfRule>
    <cfRule type="notContainsBlanks" dxfId="1" priority="2194">
      <formula>LEN(TRIM(A439))&gt;0</formula>
    </cfRule>
  </conditionalFormatting>
  <conditionalFormatting sqref="A43:D43">
    <cfRule type="expression" dxfId="3" priority="212">
      <formula>COUNTIF($A43, "TRUE") = 1</formula>
    </cfRule>
    <cfRule type="expression" dxfId="4" priority="213">
      <formula>COUNTIF($A43, "FALSE") = 1</formula>
    </cfRule>
    <cfRule type="notContainsBlanks" dxfId="1" priority="214">
      <formula>LEN(TRIM(A43))&gt;0</formula>
    </cfRule>
  </conditionalFormatting>
  <conditionalFormatting sqref="A44">
    <cfRule type="notContainsBlanks" dxfId="5" priority="220">
      <formula>LEN(TRIM(A44))&gt;0</formula>
    </cfRule>
  </conditionalFormatting>
  <conditionalFormatting sqref="A440">
    <cfRule type="notContainsBlanks" dxfId="5" priority="2200">
      <formula>LEN(TRIM(A440))&gt;0</formula>
    </cfRule>
  </conditionalFormatting>
  <conditionalFormatting sqref="A440:D440">
    <cfRule type="expression" dxfId="3" priority="2197">
      <formula>COUNTIF($A440, "TRUE") = 1</formula>
    </cfRule>
    <cfRule type="expression" dxfId="4" priority="2198">
      <formula>COUNTIF($A440, "FALSE") = 1</formula>
    </cfRule>
    <cfRule type="notContainsBlanks" dxfId="1" priority="2199">
      <formula>LEN(TRIM(A440))&gt;0</formula>
    </cfRule>
  </conditionalFormatting>
  <conditionalFormatting sqref="A441">
    <cfRule type="notContainsBlanks" dxfId="5" priority="2205">
      <formula>LEN(TRIM(A441))&gt;0</formula>
    </cfRule>
  </conditionalFormatting>
  <conditionalFormatting sqref="A441:D441">
    <cfRule type="expression" dxfId="3" priority="2202">
      <formula>COUNTIF($A441, "TRUE") = 1</formula>
    </cfRule>
    <cfRule type="expression" dxfId="4" priority="2203">
      <formula>COUNTIF($A441, "FALSE") = 1</formula>
    </cfRule>
    <cfRule type="notContainsBlanks" dxfId="1" priority="2204">
      <formula>LEN(TRIM(A441))&gt;0</formula>
    </cfRule>
  </conditionalFormatting>
  <conditionalFormatting sqref="A442">
    <cfRule type="notContainsBlanks" dxfId="5" priority="2210">
      <formula>LEN(TRIM(A442))&gt;0</formula>
    </cfRule>
  </conditionalFormatting>
  <conditionalFormatting sqref="A442:D442">
    <cfRule type="expression" dxfId="3" priority="2207">
      <formula>COUNTIF($A442, "TRUE") = 1</formula>
    </cfRule>
    <cfRule type="expression" dxfId="4" priority="2208">
      <formula>COUNTIF($A442, "FALSE") = 1</formula>
    </cfRule>
    <cfRule type="notContainsBlanks" dxfId="1" priority="2209">
      <formula>LEN(TRIM(A442))&gt;0</formula>
    </cfRule>
  </conditionalFormatting>
  <conditionalFormatting sqref="A443">
    <cfRule type="notContainsBlanks" dxfId="5" priority="2215">
      <formula>LEN(TRIM(A443))&gt;0</formula>
    </cfRule>
  </conditionalFormatting>
  <conditionalFormatting sqref="A443:D443">
    <cfRule type="expression" dxfId="3" priority="2212">
      <formula>COUNTIF($A443, "TRUE") = 1</formula>
    </cfRule>
    <cfRule type="expression" dxfId="4" priority="2213">
      <formula>COUNTIF($A443, "FALSE") = 1</formula>
    </cfRule>
    <cfRule type="notContainsBlanks" dxfId="1" priority="2214">
      <formula>LEN(TRIM(A443))&gt;0</formula>
    </cfRule>
  </conditionalFormatting>
  <conditionalFormatting sqref="A444">
    <cfRule type="notContainsBlanks" dxfId="5" priority="2220">
      <formula>LEN(TRIM(A444))&gt;0</formula>
    </cfRule>
  </conditionalFormatting>
  <conditionalFormatting sqref="A444:D444">
    <cfRule type="expression" dxfId="3" priority="2217">
      <formula>COUNTIF($A444, "TRUE") = 1</formula>
    </cfRule>
    <cfRule type="expression" dxfId="4" priority="2218">
      <formula>COUNTIF($A444, "FALSE") = 1</formula>
    </cfRule>
    <cfRule type="notContainsBlanks" dxfId="1" priority="2219">
      <formula>LEN(TRIM(A444))&gt;0</formula>
    </cfRule>
  </conditionalFormatting>
  <conditionalFormatting sqref="A445">
    <cfRule type="notContainsBlanks" dxfId="5" priority="2225">
      <formula>LEN(TRIM(A445))&gt;0</formula>
    </cfRule>
  </conditionalFormatting>
  <conditionalFormatting sqref="A445:D445">
    <cfRule type="expression" dxfId="3" priority="2222">
      <formula>COUNTIF($A445, "TRUE") = 1</formula>
    </cfRule>
    <cfRule type="expression" dxfId="4" priority="2223">
      <formula>COUNTIF($A445, "FALSE") = 1</formula>
    </cfRule>
    <cfRule type="notContainsBlanks" dxfId="1" priority="2224">
      <formula>LEN(TRIM(A445))&gt;0</formula>
    </cfRule>
  </conditionalFormatting>
  <conditionalFormatting sqref="A446">
    <cfRule type="notContainsBlanks" dxfId="5" priority="2230">
      <formula>LEN(TRIM(A446))&gt;0</formula>
    </cfRule>
  </conditionalFormatting>
  <conditionalFormatting sqref="A446:D446">
    <cfRule type="expression" dxfId="3" priority="2227">
      <formula>COUNTIF($A446, "TRUE") = 1</formula>
    </cfRule>
    <cfRule type="expression" dxfId="4" priority="2228">
      <formula>COUNTIF($A446, "FALSE") = 1</formula>
    </cfRule>
    <cfRule type="notContainsBlanks" dxfId="1" priority="2229">
      <formula>LEN(TRIM(A446))&gt;0</formula>
    </cfRule>
  </conditionalFormatting>
  <conditionalFormatting sqref="A447">
    <cfRule type="notContainsBlanks" dxfId="5" priority="2235">
      <formula>LEN(TRIM(A447))&gt;0</formula>
    </cfRule>
  </conditionalFormatting>
  <conditionalFormatting sqref="A447:D447">
    <cfRule type="expression" dxfId="3" priority="2232">
      <formula>COUNTIF($A447, "TRUE") = 1</formula>
    </cfRule>
    <cfRule type="expression" dxfId="4" priority="2233">
      <formula>COUNTIF($A447, "FALSE") = 1</formula>
    </cfRule>
    <cfRule type="notContainsBlanks" dxfId="1" priority="2234">
      <formula>LEN(TRIM(A447))&gt;0</formula>
    </cfRule>
  </conditionalFormatting>
  <conditionalFormatting sqref="A448">
    <cfRule type="notContainsBlanks" dxfId="5" priority="2240">
      <formula>LEN(TRIM(A448))&gt;0</formula>
    </cfRule>
  </conditionalFormatting>
  <conditionalFormatting sqref="A448:D448">
    <cfRule type="expression" dxfId="3" priority="2237">
      <formula>COUNTIF($A448, "TRUE") = 1</formula>
    </cfRule>
    <cfRule type="expression" dxfId="4" priority="2238">
      <formula>COUNTIF($A448, "FALSE") = 1</formula>
    </cfRule>
    <cfRule type="notContainsBlanks" dxfId="1" priority="2239">
      <formula>LEN(TRIM(A448))&gt;0</formula>
    </cfRule>
  </conditionalFormatting>
  <conditionalFormatting sqref="A449">
    <cfRule type="notContainsBlanks" dxfId="5" priority="2245">
      <formula>LEN(TRIM(A449))&gt;0</formula>
    </cfRule>
  </conditionalFormatting>
  <conditionalFormatting sqref="A449:D449">
    <cfRule type="expression" dxfId="3" priority="2242">
      <formula>COUNTIF($A449, "TRUE") = 1</formula>
    </cfRule>
    <cfRule type="expression" dxfId="4" priority="2243">
      <formula>COUNTIF($A449, "FALSE") = 1</formula>
    </cfRule>
    <cfRule type="notContainsBlanks" dxfId="1" priority="2244">
      <formula>LEN(TRIM(A449))&gt;0</formula>
    </cfRule>
  </conditionalFormatting>
  <conditionalFormatting sqref="A44:D44">
    <cfRule type="expression" dxfId="3" priority="217">
      <formula>COUNTIF($A44, "TRUE") = 1</formula>
    </cfRule>
    <cfRule type="expression" dxfId="4" priority="218">
      <formula>COUNTIF($A44, "FALSE") = 1</formula>
    </cfRule>
    <cfRule type="notContainsBlanks" dxfId="1" priority="219">
      <formula>LEN(TRIM(A44))&gt;0</formula>
    </cfRule>
  </conditionalFormatting>
  <conditionalFormatting sqref="A45">
    <cfRule type="notContainsBlanks" dxfId="5" priority="225">
      <formula>LEN(TRIM(A45))&gt;0</formula>
    </cfRule>
  </conditionalFormatting>
  <conditionalFormatting sqref="A450">
    <cfRule type="notContainsBlanks" dxfId="5" priority="2250">
      <formula>LEN(TRIM(A450))&gt;0</formula>
    </cfRule>
  </conditionalFormatting>
  <conditionalFormatting sqref="A450:D450">
    <cfRule type="expression" dxfId="3" priority="2247">
      <formula>COUNTIF($A450, "TRUE") = 1</formula>
    </cfRule>
    <cfRule type="expression" dxfId="4" priority="2248">
      <formula>COUNTIF($A450, "FALSE") = 1</formula>
    </cfRule>
    <cfRule type="notContainsBlanks" dxfId="1" priority="2249">
      <formula>LEN(TRIM(A450))&gt;0</formula>
    </cfRule>
  </conditionalFormatting>
  <conditionalFormatting sqref="A451">
    <cfRule type="notContainsBlanks" dxfId="5" priority="2255">
      <formula>LEN(TRIM(A451))&gt;0</formula>
    </cfRule>
  </conditionalFormatting>
  <conditionalFormatting sqref="A451:D451">
    <cfRule type="expression" dxfId="3" priority="2252">
      <formula>COUNTIF($A451, "TRUE") = 1</formula>
    </cfRule>
    <cfRule type="expression" dxfId="4" priority="2253">
      <formula>COUNTIF($A451, "FALSE") = 1</formula>
    </cfRule>
    <cfRule type="notContainsBlanks" dxfId="1" priority="2254">
      <formula>LEN(TRIM(A451))&gt;0</formula>
    </cfRule>
  </conditionalFormatting>
  <conditionalFormatting sqref="A452">
    <cfRule type="notContainsBlanks" dxfId="5" priority="2260">
      <formula>LEN(TRIM(A452))&gt;0</formula>
    </cfRule>
  </conditionalFormatting>
  <conditionalFormatting sqref="A452:D452">
    <cfRule type="expression" dxfId="3" priority="2257">
      <formula>COUNTIF($A452, "TRUE") = 1</formula>
    </cfRule>
    <cfRule type="expression" dxfId="4" priority="2258">
      <formula>COUNTIF($A452, "FALSE") = 1</formula>
    </cfRule>
    <cfRule type="notContainsBlanks" dxfId="1" priority="2259">
      <formula>LEN(TRIM(A452))&gt;0</formula>
    </cfRule>
  </conditionalFormatting>
  <conditionalFormatting sqref="A453">
    <cfRule type="notContainsBlanks" dxfId="5" priority="2265">
      <formula>LEN(TRIM(A453))&gt;0</formula>
    </cfRule>
  </conditionalFormatting>
  <conditionalFormatting sqref="A453:D453">
    <cfRule type="expression" dxfId="3" priority="2262">
      <formula>COUNTIF($A453, "TRUE") = 1</formula>
    </cfRule>
    <cfRule type="expression" dxfId="4" priority="2263">
      <formula>COUNTIF($A453, "FALSE") = 1</formula>
    </cfRule>
    <cfRule type="notContainsBlanks" dxfId="1" priority="2264">
      <formula>LEN(TRIM(A453))&gt;0</formula>
    </cfRule>
  </conditionalFormatting>
  <conditionalFormatting sqref="A454">
    <cfRule type="notContainsBlanks" dxfId="5" priority="2270">
      <formula>LEN(TRIM(A454))&gt;0</formula>
    </cfRule>
  </conditionalFormatting>
  <conditionalFormatting sqref="A454:D454">
    <cfRule type="expression" dxfId="3" priority="2267">
      <formula>COUNTIF($A454, "TRUE") = 1</formula>
    </cfRule>
    <cfRule type="expression" dxfId="4" priority="2268">
      <formula>COUNTIF($A454, "FALSE") = 1</formula>
    </cfRule>
    <cfRule type="notContainsBlanks" dxfId="1" priority="2269">
      <formula>LEN(TRIM(A454))&gt;0</formula>
    </cfRule>
  </conditionalFormatting>
  <conditionalFormatting sqref="A455">
    <cfRule type="notContainsBlanks" dxfId="5" priority="2275">
      <formula>LEN(TRIM(A455))&gt;0</formula>
    </cfRule>
  </conditionalFormatting>
  <conditionalFormatting sqref="A455:D455">
    <cfRule type="expression" dxfId="3" priority="2272">
      <formula>COUNTIF($A455, "TRUE") = 1</formula>
    </cfRule>
    <cfRule type="expression" dxfId="4" priority="2273">
      <formula>COUNTIF($A455, "FALSE") = 1</formula>
    </cfRule>
    <cfRule type="notContainsBlanks" dxfId="1" priority="2274">
      <formula>LEN(TRIM(A455))&gt;0</formula>
    </cfRule>
  </conditionalFormatting>
  <conditionalFormatting sqref="A456">
    <cfRule type="notContainsBlanks" dxfId="5" priority="2280">
      <formula>LEN(TRIM(A456))&gt;0</formula>
    </cfRule>
  </conditionalFormatting>
  <conditionalFormatting sqref="A456:D456">
    <cfRule type="expression" dxfId="3" priority="2277">
      <formula>COUNTIF($A456, "TRUE") = 1</formula>
    </cfRule>
    <cfRule type="expression" dxfId="4" priority="2278">
      <formula>COUNTIF($A456, "FALSE") = 1</formula>
    </cfRule>
    <cfRule type="notContainsBlanks" dxfId="1" priority="2279">
      <formula>LEN(TRIM(A456))&gt;0</formula>
    </cfRule>
  </conditionalFormatting>
  <conditionalFormatting sqref="A457">
    <cfRule type="notContainsBlanks" dxfId="5" priority="2285">
      <formula>LEN(TRIM(A457))&gt;0</formula>
    </cfRule>
  </conditionalFormatting>
  <conditionalFormatting sqref="A457:D457">
    <cfRule type="expression" dxfId="3" priority="2282">
      <formula>COUNTIF($A457, "TRUE") = 1</formula>
    </cfRule>
    <cfRule type="expression" dxfId="4" priority="2283">
      <formula>COUNTIF($A457, "FALSE") = 1</formula>
    </cfRule>
    <cfRule type="notContainsBlanks" dxfId="1" priority="2284">
      <formula>LEN(TRIM(A457))&gt;0</formula>
    </cfRule>
  </conditionalFormatting>
  <conditionalFormatting sqref="A458">
    <cfRule type="notContainsBlanks" dxfId="5" priority="2290">
      <formula>LEN(TRIM(A458))&gt;0</formula>
    </cfRule>
  </conditionalFormatting>
  <conditionalFormatting sqref="A458:D458">
    <cfRule type="expression" dxfId="3" priority="2287">
      <formula>COUNTIF($A458, "TRUE") = 1</formula>
    </cfRule>
    <cfRule type="expression" dxfId="4" priority="2288">
      <formula>COUNTIF($A458, "FALSE") = 1</formula>
    </cfRule>
    <cfRule type="notContainsBlanks" dxfId="1" priority="2289">
      <formula>LEN(TRIM(A458))&gt;0</formula>
    </cfRule>
  </conditionalFormatting>
  <conditionalFormatting sqref="A459">
    <cfRule type="notContainsBlanks" dxfId="5" priority="2295">
      <formula>LEN(TRIM(A459))&gt;0</formula>
    </cfRule>
  </conditionalFormatting>
  <conditionalFormatting sqref="A459:D459">
    <cfRule type="expression" dxfId="3" priority="2292">
      <formula>COUNTIF($A459, "TRUE") = 1</formula>
    </cfRule>
    <cfRule type="expression" dxfId="4" priority="2293">
      <formula>COUNTIF($A459, "FALSE") = 1</formula>
    </cfRule>
    <cfRule type="notContainsBlanks" dxfId="1" priority="2294">
      <formula>LEN(TRIM(A459))&gt;0</formula>
    </cfRule>
  </conditionalFormatting>
  <conditionalFormatting sqref="A45:D45">
    <cfRule type="expression" dxfId="3" priority="222">
      <formula>COUNTIF($A45, "TRUE") = 1</formula>
    </cfRule>
    <cfRule type="expression" dxfId="4" priority="223">
      <formula>COUNTIF($A45, "FALSE") = 1</formula>
    </cfRule>
    <cfRule type="notContainsBlanks" dxfId="1" priority="224">
      <formula>LEN(TRIM(A45))&gt;0</formula>
    </cfRule>
  </conditionalFormatting>
  <conditionalFormatting sqref="A46">
    <cfRule type="notContainsBlanks" dxfId="5" priority="230">
      <formula>LEN(TRIM(A46))&gt;0</formula>
    </cfRule>
  </conditionalFormatting>
  <conditionalFormatting sqref="A460">
    <cfRule type="notContainsBlanks" dxfId="5" priority="2300">
      <formula>LEN(TRIM(A460))&gt;0</formula>
    </cfRule>
  </conditionalFormatting>
  <conditionalFormatting sqref="A460:D460">
    <cfRule type="expression" dxfId="3" priority="2297">
      <formula>COUNTIF($A460, "TRUE") = 1</formula>
    </cfRule>
    <cfRule type="expression" dxfId="4" priority="2298">
      <formula>COUNTIF($A460, "FALSE") = 1</formula>
    </cfRule>
    <cfRule type="notContainsBlanks" dxfId="1" priority="2299">
      <formula>LEN(TRIM(A460))&gt;0</formula>
    </cfRule>
  </conditionalFormatting>
  <conditionalFormatting sqref="A461">
    <cfRule type="notContainsBlanks" dxfId="5" priority="2305">
      <formula>LEN(TRIM(A461))&gt;0</formula>
    </cfRule>
  </conditionalFormatting>
  <conditionalFormatting sqref="A461:D461">
    <cfRule type="expression" dxfId="3" priority="2302">
      <formula>COUNTIF($A461, "TRUE") = 1</formula>
    </cfRule>
    <cfRule type="expression" dxfId="4" priority="2303">
      <formula>COUNTIF($A461, "FALSE") = 1</formula>
    </cfRule>
    <cfRule type="notContainsBlanks" dxfId="1" priority="2304">
      <formula>LEN(TRIM(A461))&gt;0</formula>
    </cfRule>
  </conditionalFormatting>
  <conditionalFormatting sqref="A462">
    <cfRule type="notContainsBlanks" dxfId="5" priority="2310">
      <formula>LEN(TRIM(A462))&gt;0</formula>
    </cfRule>
  </conditionalFormatting>
  <conditionalFormatting sqref="A462:D462">
    <cfRule type="expression" dxfId="3" priority="2307">
      <formula>COUNTIF($A462, "TRUE") = 1</formula>
    </cfRule>
    <cfRule type="expression" dxfId="4" priority="2308">
      <formula>COUNTIF($A462, "FALSE") = 1</formula>
    </cfRule>
    <cfRule type="notContainsBlanks" dxfId="1" priority="2309">
      <formula>LEN(TRIM(A462))&gt;0</formula>
    </cfRule>
  </conditionalFormatting>
  <conditionalFormatting sqref="A463">
    <cfRule type="notContainsBlanks" dxfId="5" priority="2315">
      <formula>LEN(TRIM(A463))&gt;0</formula>
    </cfRule>
  </conditionalFormatting>
  <conditionalFormatting sqref="A463:D463">
    <cfRule type="expression" dxfId="3" priority="2312">
      <formula>COUNTIF($A463, "TRUE") = 1</formula>
    </cfRule>
    <cfRule type="expression" dxfId="4" priority="2313">
      <formula>COUNTIF($A463, "FALSE") = 1</formula>
    </cfRule>
    <cfRule type="notContainsBlanks" dxfId="1" priority="2314">
      <formula>LEN(TRIM(A463))&gt;0</formula>
    </cfRule>
  </conditionalFormatting>
  <conditionalFormatting sqref="A464">
    <cfRule type="notContainsBlanks" dxfId="5" priority="2320">
      <formula>LEN(TRIM(A464))&gt;0</formula>
    </cfRule>
  </conditionalFormatting>
  <conditionalFormatting sqref="A464:D464">
    <cfRule type="expression" dxfId="3" priority="2317">
      <formula>COUNTIF($A464, "TRUE") = 1</formula>
    </cfRule>
    <cfRule type="expression" dxfId="4" priority="2318">
      <formula>COUNTIF($A464, "FALSE") = 1</formula>
    </cfRule>
    <cfRule type="notContainsBlanks" dxfId="1" priority="2319">
      <formula>LEN(TRIM(A464))&gt;0</formula>
    </cfRule>
  </conditionalFormatting>
  <conditionalFormatting sqref="A465">
    <cfRule type="notContainsBlanks" dxfId="5" priority="2325">
      <formula>LEN(TRIM(A465))&gt;0</formula>
    </cfRule>
  </conditionalFormatting>
  <conditionalFormatting sqref="A465:D465">
    <cfRule type="expression" dxfId="3" priority="2322">
      <formula>COUNTIF($A465, "TRUE") = 1</formula>
    </cfRule>
    <cfRule type="expression" dxfId="4" priority="2323">
      <formula>COUNTIF($A465, "FALSE") = 1</formula>
    </cfRule>
    <cfRule type="notContainsBlanks" dxfId="1" priority="2324">
      <formula>LEN(TRIM(A465))&gt;0</formula>
    </cfRule>
  </conditionalFormatting>
  <conditionalFormatting sqref="A466">
    <cfRule type="notContainsBlanks" dxfId="5" priority="2330">
      <formula>LEN(TRIM(A466))&gt;0</formula>
    </cfRule>
  </conditionalFormatting>
  <conditionalFormatting sqref="A466:D466">
    <cfRule type="expression" dxfId="3" priority="2327">
      <formula>COUNTIF($A466, "TRUE") = 1</formula>
    </cfRule>
    <cfRule type="expression" dxfId="4" priority="2328">
      <formula>COUNTIF($A466, "FALSE") = 1</formula>
    </cfRule>
    <cfRule type="notContainsBlanks" dxfId="1" priority="2329">
      <formula>LEN(TRIM(A466))&gt;0</formula>
    </cfRule>
  </conditionalFormatting>
  <conditionalFormatting sqref="A467">
    <cfRule type="notContainsBlanks" dxfId="5" priority="2335">
      <formula>LEN(TRIM(A467))&gt;0</formula>
    </cfRule>
  </conditionalFormatting>
  <conditionalFormatting sqref="A467:D467">
    <cfRule type="expression" dxfId="3" priority="2332">
      <formula>COUNTIF($A467, "TRUE") = 1</formula>
    </cfRule>
    <cfRule type="expression" dxfId="4" priority="2333">
      <formula>COUNTIF($A467, "FALSE") = 1</formula>
    </cfRule>
    <cfRule type="notContainsBlanks" dxfId="1" priority="2334">
      <formula>LEN(TRIM(A467))&gt;0</formula>
    </cfRule>
  </conditionalFormatting>
  <conditionalFormatting sqref="A468">
    <cfRule type="notContainsBlanks" dxfId="5" priority="2340">
      <formula>LEN(TRIM(A468))&gt;0</formula>
    </cfRule>
  </conditionalFormatting>
  <conditionalFormatting sqref="A468:D468">
    <cfRule type="expression" dxfId="3" priority="2337">
      <formula>COUNTIF($A468, "TRUE") = 1</formula>
    </cfRule>
    <cfRule type="expression" dxfId="4" priority="2338">
      <formula>COUNTIF($A468, "FALSE") = 1</formula>
    </cfRule>
    <cfRule type="notContainsBlanks" dxfId="1" priority="2339">
      <formula>LEN(TRIM(A468))&gt;0</formula>
    </cfRule>
  </conditionalFormatting>
  <conditionalFormatting sqref="A469">
    <cfRule type="notContainsBlanks" dxfId="5" priority="2345">
      <formula>LEN(TRIM(A469))&gt;0</formula>
    </cfRule>
  </conditionalFormatting>
  <conditionalFormatting sqref="A469:D469">
    <cfRule type="expression" dxfId="3" priority="2342">
      <formula>COUNTIF($A469, "TRUE") = 1</formula>
    </cfRule>
    <cfRule type="expression" dxfId="4" priority="2343">
      <formula>COUNTIF($A469, "FALSE") = 1</formula>
    </cfRule>
    <cfRule type="notContainsBlanks" dxfId="1" priority="2344">
      <formula>LEN(TRIM(A469))&gt;0</formula>
    </cfRule>
  </conditionalFormatting>
  <conditionalFormatting sqref="A46:D46">
    <cfRule type="expression" dxfId="3" priority="227">
      <formula>COUNTIF($A46, "TRUE") = 1</formula>
    </cfRule>
    <cfRule type="expression" dxfId="4" priority="228">
      <formula>COUNTIF($A46, "FALSE") = 1</formula>
    </cfRule>
    <cfRule type="notContainsBlanks" dxfId="1" priority="229">
      <formula>LEN(TRIM(A46))&gt;0</formula>
    </cfRule>
  </conditionalFormatting>
  <conditionalFormatting sqref="A47">
    <cfRule type="notContainsBlanks" dxfId="5" priority="235">
      <formula>LEN(TRIM(A47))&gt;0</formula>
    </cfRule>
  </conditionalFormatting>
  <conditionalFormatting sqref="A470">
    <cfRule type="notContainsBlanks" dxfId="5" priority="2350">
      <formula>LEN(TRIM(A470))&gt;0</formula>
    </cfRule>
  </conditionalFormatting>
  <conditionalFormatting sqref="A470:D470">
    <cfRule type="expression" dxfId="3" priority="2347">
      <formula>COUNTIF($A470, "TRUE") = 1</formula>
    </cfRule>
    <cfRule type="expression" dxfId="4" priority="2348">
      <formula>COUNTIF($A470, "FALSE") = 1</formula>
    </cfRule>
    <cfRule type="notContainsBlanks" dxfId="1" priority="2349">
      <formula>LEN(TRIM(A470))&gt;0</formula>
    </cfRule>
  </conditionalFormatting>
  <conditionalFormatting sqref="A471">
    <cfRule type="notContainsBlanks" dxfId="5" priority="2355">
      <formula>LEN(TRIM(A471))&gt;0</formula>
    </cfRule>
  </conditionalFormatting>
  <conditionalFormatting sqref="A471:D471">
    <cfRule type="expression" dxfId="3" priority="2352">
      <formula>COUNTIF($A471, "TRUE") = 1</formula>
    </cfRule>
    <cfRule type="expression" dxfId="4" priority="2353">
      <formula>COUNTIF($A471, "FALSE") = 1</formula>
    </cfRule>
    <cfRule type="notContainsBlanks" dxfId="1" priority="2354">
      <formula>LEN(TRIM(A471))&gt;0</formula>
    </cfRule>
  </conditionalFormatting>
  <conditionalFormatting sqref="A472">
    <cfRule type="notContainsBlanks" dxfId="5" priority="2360">
      <formula>LEN(TRIM(A472))&gt;0</formula>
    </cfRule>
  </conditionalFormatting>
  <conditionalFormatting sqref="A472:D472">
    <cfRule type="expression" dxfId="3" priority="2357">
      <formula>COUNTIF($A472, "TRUE") = 1</formula>
    </cfRule>
    <cfRule type="expression" dxfId="4" priority="2358">
      <formula>COUNTIF($A472, "FALSE") = 1</formula>
    </cfRule>
    <cfRule type="notContainsBlanks" dxfId="1" priority="2359">
      <formula>LEN(TRIM(A472))&gt;0</formula>
    </cfRule>
  </conditionalFormatting>
  <conditionalFormatting sqref="A473">
    <cfRule type="notContainsBlanks" dxfId="5" priority="2365">
      <formula>LEN(TRIM(A473))&gt;0</formula>
    </cfRule>
  </conditionalFormatting>
  <conditionalFormatting sqref="A473:D473">
    <cfRule type="expression" dxfId="3" priority="2362">
      <formula>COUNTIF($A473, "TRUE") = 1</formula>
    </cfRule>
    <cfRule type="expression" dxfId="4" priority="2363">
      <formula>COUNTIF($A473, "FALSE") = 1</formula>
    </cfRule>
    <cfRule type="notContainsBlanks" dxfId="1" priority="2364">
      <formula>LEN(TRIM(A473))&gt;0</formula>
    </cfRule>
  </conditionalFormatting>
  <conditionalFormatting sqref="A474">
    <cfRule type="notContainsBlanks" dxfId="5" priority="2370">
      <formula>LEN(TRIM(A474))&gt;0</formula>
    </cfRule>
  </conditionalFormatting>
  <conditionalFormatting sqref="A474:D474">
    <cfRule type="expression" dxfId="3" priority="2367">
      <formula>COUNTIF($A474, "TRUE") = 1</formula>
    </cfRule>
    <cfRule type="expression" dxfId="4" priority="2368">
      <formula>COUNTIF($A474, "FALSE") = 1</formula>
    </cfRule>
    <cfRule type="notContainsBlanks" dxfId="1" priority="2369">
      <formula>LEN(TRIM(A474))&gt;0</formula>
    </cfRule>
  </conditionalFormatting>
  <conditionalFormatting sqref="A475">
    <cfRule type="notContainsBlanks" dxfId="5" priority="2375">
      <formula>LEN(TRIM(A475))&gt;0</formula>
    </cfRule>
  </conditionalFormatting>
  <conditionalFormatting sqref="A475:D475">
    <cfRule type="expression" dxfId="3" priority="2372">
      <formula>COUNTIF($A475, "TRUE") = 1</formula>
    </cfRule>
    <cfRule type="expression" dxfId="4" priority="2373">
      <formula>COUNTIF($A475, "FALSE") = 1</formula>
    </cfRule>
    <cfRule type="notContainsBlanks" dxfId="1" priority="2374">
      <formula>LEN(TRIM(A475))&gt;0</formula>
    </cfRule>
  </conditionalFormatting>
  <conditionalFormatting sqref="A476">
    <cfRule type="notContainsBlanks" dxfId="5" priority="2380">
      <formula>LEN(TRIM(A476))&gt;0</formula>
    </cfRule>
  </conditionalFormatting>
  <conditionalFormatting sqref="A476:D476">
    <cfRule type="expression" dxfId="3" priority="2377">
      <formula>COUNTIF($A476, "TRUE") = 1</formula>
    </cfRule>
    <cfRule type="expression" dxfId="4" priority="2378">
      <formula>COUNTIF($A476, "FALSE") = 1</formula>
    </cfRule>
    <cfRule type="notContainsBlanks" dxfId="1" priority="2379">
      <formula>LEN(TRIM(A476))&gt;0</formula>
    </cfRule>
  </conditionalFormatting>
  <conditionalFormatting sqref="A477">
    <cfRule type="notContainsBlanks" dxfId="5" priority="2385">
      <formula>LEN(TRIM(A477))&gt;0</formula>
    </cfRule>
  </conditionalFormatting>
  <conditionalFormatting sqref="A477:D477">
    <cfRule type="expression" dxfId="3" priority="2382">
      <formula>COUNTIF($A477, "TRUE") = 1</formula>
    </cfRule>
    <cfRule type="expression" dxfId="4" priority="2383">
      <formula>COUNTIF($A477, "FALSE") = 1</formula>
    </cfRule>
    <cfRule type="notContainsBlanks" dxfId="1" priority="2384">
      <formula>LEN(TRIM(A477))&gt;0</formula>
    </cfRule>
  </conditionalFormatting>
  <conditionalFormatting sqref="A478">
    <cfRule type="notContainsBlanks" dxfId="5" priority="2390">
      <formula>LEN(TRIM(A478))&gt;0</formula>
    </cfRule>
  </conditionalFormatting>
  <conditionalFormatting sqref="A478:D478">
    <cfRule type="expression" dxfId="3" priority="2387">
      <formula>COUNTIF($A478, "TRUE") = 1</formula>
    </cfRule>
    <cfRule type="expression" dxfId="4" priority="2388">
      <formula>COUNTIF($A478, "FALSE") = 1</formula>
    </cfRule>
    <cfRule type="notContainsBlanks" dxfId="1" priority="2389">
      <formula>LEN(TRIM(A478))&gt;0</formula>
    </cfRule>
  </conditionalFormatting>
  <conditionalFormatting sqref="A479">
    <cfRule type="notContainsBlanks" dxfId="5" priority="2395">
      <formula>LEN(TRIM(A479))&gt;0</formula>
    </cfRule>
  </conditionalFormatting>
  <conditionalFormatting sqref="A479:D479">
    <cfRule type="expression" dxfId="3" priority="2392">
      <formula>COUNTIF($A479, "TRUE") = 1</formula>
    </cfRule>
    <cfRule type="expression" dxfId="4" priority="2393">
      <formula>COUNTIF($A479, "FALSE") = 1</formula>
    </cfRule>
    <cfRule type="notContainsBlanks" dxfId="1" priority="2394">
      <formula>LEN(TRIM(A479))&gt;0</formula>
    </cfRule>
  </conditionalFormatting>
  <conditionalFormatting sqref="A47:D47">
    <cfRule type="expression" dxfId="3" priority="232">
      <formula>COUNTIF($A47, "TRUE") = 1</formula>
    </cfRule>
    <cfRule type="expression" dxfId="4" priority="233">
      <formula>COUNTIF($A47, "FALSE") = 1</formula>
    </cfRule>
    <cfRule type="notContainsBlanks" dxfId="1" priority="234">
      <formula>LEN(TRIM(A47))&gt;0</formula>
    </cfRule>
  </conditionalFormatting>
  <conditionalFormatting sqref="A48">
    <cfRule type="notContainsBlanks" dxfId="5" priority="240">
      <formula>LEN(TRIM(A48))&gt;0</formula>
    </cfRule>
  </conditionalFormatting>
  <conditionalFormatting sqref="A480">
    <cfRule type="notContainsBlanks" dxfId="5" priority="2400">
      <formula>LEN(TRIM(A480))&gt;0</formula>
    </cfRule>
  </conditionalFormatting>
  <conditionalFormatting sqref="A480:D480">
    <cfRule type="expression" dxfId="3" priority="2397">
      <formula>COUNTIF($A480, "TRUE") = 1</formula>
    </cfRule>
    <cfRule type="expression" dxfId="4" priority="2398">
      <formula>COUNTIF($A480, "FALSE") = 1</formula>
    </cfRule>
    <cfRule type="notContainsBlanks" dxfId="1" priority="2399">
      <formula>LEN(TRIM(A480))&gt;0</formula>
    </cfRule>
  </conditionalFormatting>
  <conditionalFormatting sqref="A481">
    <cfRule type="notContainsBlanks" dxfId="5" priority="2405">
      <formula>LEN(TRIM(A481))&gt;0</formula>
    </cfRule>
  </conditionalFormatting>
  <conditionalFormatting sqref="A481:D481">
    <cfRule type="expression" dxfId="3" priority="2402">
      <formula>COUNTIF($A481, "TRUE") = 1</formula>
    </cfRule>
    <cfRule type="expression" dxfId="4" priority="2403">
      <formula>COUNTIF($A481, "FALSE") = 1</formula>
    </cfRule>
    <cfRule type="notContainsBlanks" dxfId="1" priority="2404">
      <formula>LEN(TRIM(A481))&gt;0</formula>
    </cfRule>
  </conditionalFormatting>
  <conditionalFormatting sqref="A482">
    <cfRule type="notContainsBlanks" dxfId="5" priority="2410">
      <formula>LEN(TRIM(A482))&gt;0</formula>
    </cfRule>
  </conditionalFormatting>
  <conditionalFormatting sqref="A482:D482">
    <cfRule type="expression" dxfId="3" priority="2407">
      <formula>COUNTIF($A482, "TRUE") = 1</formula>
    </cfRule>
    <cfRule type="expression" dxfId="4" priority="2408">
      <formula>COUNTIF($A482, "FALSE") = 1</formula>
    </cfRule>
    <cfRule type="notContainsBlanks" dxfId="1" priority="2409">
      <formula>LEN(TRIM(A482))&gt;0</formula>
    </cfRule>
  </conditionalFormatting>
  <conditionalFormatting sqref="A483">
    <cfRule type="notContainsBlanks" dxfId="5" priority="2415">
      <formula>LEN(TRIM(A483))&gt;0</formula>
    </cfRule>
  </conditionalFormatting>
  <conditionalFormatting sqref="A483:D483">
    <cfRule type="expression" dxfId="3" priority="2412">
      <formula>COUNTIF($A483, "TRUE") = 1</formula>
    </cfRule>
    <cfRule type="expression" dxfId="4" priority="2413">
      <formula>COUNTIF($A483, "FALSE") = 1</formula>
    </cfRule>
    <cfRule type="notContainsBlanks" dxfId="1" priority="2414">
      <formula>LEN(TRIM(A483))&gt;0</formula>
    </cfRule>
  </conditionalFormatting>
  <conditionalFormatting sqref="A484">
    <cfRule type="notContainsBlanks" dxfId="5" priority="2420">
      <formula>LEN(TRIM(A484))&gt;0</formula>
    </cfRule>
  </conditionalFormatting>
  <conditionalFormatting sqref="A484:D484">
    <cfRule type="expression" dxfId="3" priority="2417">
      <formula>COUNTIF($A484, "TRUE") = 1</formula>
    </cfRule>
    <cfRule type="expression" dxfId="4" priority="2418">
      <formula>COUNTIF($A484, "FALSE") = 1</formula>
    </cfRule>
    <cfRule type="notContainsBlanks" dxfId="1" priority="2419">
      <formula>LEN(TRIM(A484))&gt;0</formula>
    </cfRule>
  </conditionalFormatting>
  <conditionalFormatting sqref="A485">
    <cfRule type="notContainsBlanks" dxfId="5" priority="2425">
      <formula>LEN(TRIM(A485))&gt;0</formula>
    </cfRule>
  </conditionalFormatting>
  <conditionalFormatting sqref="A485:D485">
    <cfRule type="expression" dxfId="3" priority="2422">
      <formula>COUNTIF($A485, "TRUE") = 1</formula>
    </cfRule>
    <cfRule type="expression" dxfId="4" priority="2423">
      <formula>COUNTIF($A485, "FALSE") = 1</formula>
    </cfRule>
    <cfRule type="notContainsBlanks" dxfId="1" priority="2424">
      <formula>LEN(TRIM(A485))&gt;0</formula>
    </cfRule>
  </conditionalFormatting>
  <conditionalFormatting sqref="A486">
    <cfRule type="notContainsBlanks" dxfId="5" priority="2430">
      <formula>LEN(TRIM(A486))&gt;0</formula>
    </cfRule>
  </conditionalFormatting>
  <conditionalFormatting sqref="A486:D486">
    <cfRule type="expression" dxfId="3" priority="2427">
      <formula>COUNTIF($A486, "TRUE") = 1</formula>
    </cfRule>
    <cfRule type="expression" dxfId="4" priority="2428">
      <formula>COUNTIF($A486, "FALSE") = 1</formula>
    </cfRule>
    <cfRule type="notContainsBlanks" dxfId="1" priority="2429">
      <formula>LEN(TRIM(A486))&gt;0</formula>
    </cfRule>
  </conditionalFormatting>
  <conditionalFormatting sqref="A487">
    <cfRule type="notContainsBlanks" dxfId="5" priority="2435">
      <formula>LEN(TRIM(A487))&gt;0</formula>
    </cfRule>
  </conditionalFormatting>
  <conditionalFormatting sqref="A487:D487">
    <cfRule type="expression" dxfId="3" priority="2432">
      <formula>COUNTIF($A487, "TRUE") = 1</formula>
    </cfRule>
    <cfRule type="expression" dxfId="4" priority="2433">
      <formula>COUNTIF($A487, "FALSE") = 1</formula>
    </cfRule>
    <cfRule type="notContainsBlanks" dxfId="1" priority="2434">
      <formula>LEN(TRIM(A487))&gt;0</formula>
    </cfRule>
  </conditionalFormatting>
  <conditionalFormatting sqref="A488">
    <cfRule type="notContainsBlanks" dxfId="5" priority="2440">
      <formula>LEN(TRIM(A488))&gt;0</formula>
    </cfRule>
  </conditionalFormatting>
  <conditionalFormatting sqref="A488:D488">
    <cfRule type="expression" dxfId="3" priority="2437">
      <formula>COUNTIF($A488, "TRUE") = 1</formula>
    </cfRule>
    <cfRule type="expression" dxfId="4" priority="2438">
      <formula>COUNTIF($A488, "FALSE") = 1</formula>
    </cfRule>
    <cfRule type="notContainsBlanks" dxfId="1" priority="2439">
      <formula>LEN(TRIM(A488))&gt;0</formula>
    </cfRule>
  </conditionalFormatting>
  <conditionalFormatting sqref="A489">
    <cfRule type="notContainsBlanks" dxfId="5" priority="2445">
      <formula>LEN(TRIM(A489))&gt;0</formula>
    </cfRule>
  </conditionalFormatting>
  <conditionalFormatting sqref="A489:D489">
    <cfRule type="expression" dxfId="3" priority="2442">
      <formula>COUNTIF($A489, "TRUE") = 1</formula>
    </cfRule>
    <cfRule type="expression" dxfId="4" priority="2443">
      <formula>COUNTIF($A489, "FALSE") = 1</formula>
    </cfRule>
    <cfRule type="notContainsBlanks" dxfId="1" priority="2444">
      <formula>LEN(TRIM(A489))&gt;0</formula>
    </cfRule>
  </conditionalFormatting>
  <conditionalFormatting sqref="A48:D48">
    <cfRule type="expression" dxfId="3" priority="237">
      <formula>COUNTIF($A48, "TRUE") = 1</formula>
    </cfRule>
    <cfRule type="expression" dxfId="4" priority="238">
      <formula>COUNTIF($A48, "FALSE") = 1</formula>
    </cfRule>
    <cfRule type="notContainsBlanks" dxfId="1" priority="239">
      <formula>LEN(TRIM(A48))&gt;0</formula>
    </cfRule>
  </conditionalFormatting>
  <conditionalFormatting sqref="A49">
    <cfRule type="notContainsBlanks" dxfId="5" priority="245">
      <formula>LEN(TRIM(A49))&gt;0</formula>
    </cfRule>
  </conditionalFormatting>
  <conditionalFormatting sqref="A490">
    <cfRule type="notContainsBlanks" dxfId="5" priority="2450">
      <formula>LEN(TRIM(A490))&gt;0</formula>
    </cfRule>
  </conditionalFormatting>
  <conditionalFormatting sqref="A490:D490">
    <cfRule type="expression" dxfId="3" priority="2447">
      <formula>COUNTIF($A490, "TRUE") = 1</formula>
    </cfRule>
    <cfRule type="expression" dxfId="4" priority="2448">
      <formula>COUNTIF($A490, "FALSE") = 1</formula>
    </cfRule>
    <cfRule type="notContainsBlanks" dxfId="1" priority="2449">
      <formula>LEN(TRIM(A490))&gt;0</formula>
    </cfRule>
  </conditionalFormatting>
  <conditionalFormatting sqref="A491">
    <cfRule type="notContainsBlanks" dxfId="5" priority="2455">
      <formula>LEN(TRIM(A491))&gt;0</formula>
    </cfRule>
  </conditionalFormatting>
  <conditionalFormatting sqref="A491:D491">
    <cfRule type="expression" dxfId="3" priority="2452">
      <formula>COUNTIF($A491, "TRUE") = 1</formula>
    </cfRule>
    <cfRule type="expression" dxfId="4" priority="2453">
      <formula>COUNTIF($A491, "FALSE") = 1</formula>
    </cfRule>
    <cfRule type="notContainsBlanks" dxfId="1" priority="2454">
      <formula>LEN(TRIM(A491))&gt;0</formula>
    </cfRule>
  </conditionalFormatting>
  <conditionalFormatting sqref="A492">
    <cfRule type="notContainsBlanks" dxfId="5" priority="2460">
      <formula>LEN(TRIM(A492))&gt;0</formula>
    </cfRule>
  </conditionalFormatting>
  <conditionalFormatting sqref="A492:D492">
    <cfRule type="expression" dxfId="3" priority="2457">
      <formula>COUNTIF($A492, "TRUE") = 1</formula>
    </cfRule>
    <cfRule type="expression" dxfId="4" priority="2458">
      <formula>COUNTIF($A492, "FALSE") = 1</formula>
    </cfRule>
    <cfRule type="notContainsBlanks" dxfId="1" priority="2459">
      <formula>LEN(TRIM(A492))&gt;0</formula>
    </cfRule>
  </conditionalFormatting>
  <conditionalFormatting sqref="A493">
    <cfRule type="notContainsBlanks" dxfId="5" priority="2465">
      <formula>LEN(TRIM(A493))&gt;0</formula>
    </cfRule>
  </conditionalFormatting>
  <conditionalFormatting sqref="A493:D493">
    <cfRule type="expression" dxfId="3" priority="2462">
      <formula>COUNTIF($A493, "TRUE") = 1</formula>
    </cfRule>
    <cfRule type="expression" dxfId="4" priority="2463">
      <formula>COUNTIF($A493, "FALSE") = 1</formula>
    </cfRule>
    <cfRule type="notContainsBlanks" dxfId="1" priority="2464">
      <formula>LEN(TRIM(A493))&gt;0</formula>
    </cfRule>
  </conditionalFormatting>
  <conditionalFormatting sqref="A494">
    <cfRule type="notContainsBlanks" dxfId="5" priority="2470">
      <formula>LEN(TRIM(A494))&gt;0</formula>
    </cfRule>
  </conditionalFormatting>
  <conditionalFormatting sqref="A494:D494">
    <cfRule type="expression" dxfId="3" priority="2467">
      <formula>COUNTIF($A494, "TRUE") = 1</formula>
    </cfRule>
    <cfRule type="expression" dxfId="4" priority="2468">
      <formula>COUNTIF($A494, "FALSE") = 1</formula>
    </cfRule>
    <cfRule type="notContainsBlanks" dxfId="1" priority="2469">
      <formula>LEN(TRIM(A494))&gt;0</formula>
    </cfRule>
  </conditionalFormatting>
  <conditionalFormatting sqref="A495">
    <cfRule type="notContainsBlanks" dxfId="5" priority="2475">
      <formula>LEN(TRIM(A495))&gt;0</formula>
    </cfRule>
  </conditionalFormatting>
  <conditionalFormatting sqref="A495:D495">
    <cfRule type="expression" dxfId="3" priority="2472">
      <formula>COUNTIF($A495, "TRUE") = 1</formula>
    </cfRule>
    <cfRule type="expression" dxfId="4" priority="2473">
      <formula>COUNTIF($A495, "FALSE") = 1</formula>
    </cfRule>
    <cfRule type="notContainsBlanks" dxfId="1" priority="2474">
      <formula>LEN(TRIM(A495))&gt;0</formula>
    </cfRule>
  </conditionalFormatting>
  <conditionalFormatting sqref="A496">
    <cfRule type="notContainsBlanks" dxfId="5" priority="2480">
      <formula>LEN(TRIM(A496))&gt;0</formula>
    </cfRule>
  </conditionalFormatting>
  <conditionalFormatting sqref="A496:D496">
    <cfRule type="expression" dxfId="3" priority="2477">
      <formula>COUNTIF($A496, "TRUE") = 1</formula>
    </cfRule>
    <cfRule type="expression" dxfId="4" priority="2478">
      <formula>COUNTIF($A496, "FALSE") = 1</formula>
    </cfRule>
    <cfRule type="notContainsBlanks" dxfId="1" priority="2479">
      <formula>LEN(TRIM(A496))&gt;0</formula>
    </cfRule>
  </conditionalFormatting>
  <conditionalFormatting sqref="A497">
    <cfRule type="notContainsBlanks" dxfId="5" priority="2485">
      <formula>LEN(TRIM(A497))&gt;0</formula>
    </cfRule>
  </conditionalFormatting>
  <conditionalFormatting sqref="A497:D497">
    <cfRule type="expression" dxfId="3" priority="2482">
      <formula>COUNTIF($A497, "TRUE") = 1</formula>
    </cfRule>
    <cfRule type="expression" dxfId="4" priority="2483">
      <formula>COUNTIF($A497, "FALSE") = 1</formula>
    </cfRule>
    <cfRule type="notContainsBlanks" dxfId="1" priority="2484">
      <formula>LEN(TRIM(A497))&gt;0</formula>
    </cfRule>
  </conditionalFormatting>
  <conditionalFormatting sqref="A498">
    <cfRule type="notContainsBlanks" dxfId="5" priority="2490">
      <formula>LEN(TRIM(A498))&gt;0</formula>
    </cfRule>
  </conditionalFormatting>
  <conditionalFormatting sqref="A498:D498">
    <cfRule type="expression" dxfId="3" priority="2487">
      <formula>COUNTIF($A498, "TRUE") = 1</formula>
    </cfRule>
    <cfRule type="expression" dxfId="4" priority="2488">
      <formula>COUNTIF($A498, "FALSE") = 1</formula>
    </cfRule>
    <cfRule type="notContainsBlanks" dxfId="1" priority="2489">
      <formula>LEN(TRIM(A498))&gt;0</formula>
    </cfRule>
  </conditionalFormatting>
  <conditionalFormatting sqref="A499">
    <cfRule type="notContainsBlanks" dxfId="5" priority="2495">
      <formula>LEN(TRIM(A499))&gt;0</formula>
    </cfRule>
  </conditionalFormatting>
  <conditionalFormatting sqref="A499:D499">
    <cfRule type="expression" dxfId="3" priority="2492">
      <formula>COUNTIF($A499, "TRUE") = 1</formula>
    </cfRule>
    <cfRule type="expression" dxfId="4" priority="2493">
      <formula>COUNTIF($A499, "FALSE") = 1</formula>
    </cfRule>
    <cfRule type="notContainsBlanks" dxfId="1" priority="2494">
      <formula>LEN(TRIM(A499))&gt;0</formula>
    </cfRule>
  </conditionalFormatting>
  <conditionalFormatting sqref="A49:D49">
    <cfRule type="expression" dxfId="3" priority="242">
      <formula>COUNTIF($A49, "TRUE") = 1</formula>
    </cfRule>
    <cfRule type="expression" dxfId="4" priority="243">
      <formula>COUNTIF($A49, "FALSE") = 1</formula>
    </cfRule>
    <cfRule type="notContainsBlanks" dxfId="1" priority="244">
      <formula>LEN(TRIM(A49))&gt;0</formula>
    </cfRule>
  </conditionalFormatting>
  <conditionalFormatting sqref="A4:D4">
    <cfRule type="expression" dxfId="3" priority="17">
      <formula>COUNTIF($A4, "TRUE") = 1</formula>
    </cfRule>
    <cfRule type="expression" dxfId="4" priority="18">
      <formula>COUNTIF($A4, "FALSE") = 1</formula>
    </cfRule>
    <cfRule type="notContainsBlanks" dxfId="1" priority="19">
      <formula>LEN(TRIM(A4))&gt;0</formula>
    </cfRule>
  </conditionalFormatting>
  <conditionalFormatting sqref="A5">
    <cfRule type="notContainsBlanks" dxfId="5" priority="25">
      <formula>LEN(TRIM(A5))&gt;0</formula>
    </cfRule>
  </conditionalFormatting>
  <conditionalFormatting sqref="A50">
    <cfRule type="notContainsBlanks" dxfId="5" priority="250">
      <formula>LEN(TRIM(A50))&gt;0</formula>
    </cfRule>
  </conditionalFormatting>
  <conditionalFormatting sqref="A500">
    <cfRule type="notContainsBlanks" dxfId="5" priority="2500">
      <formula>LEN(TRIM(A500))&gt;0</formula>
    </cfRule>
  </conditionalFormatting>
  <conditionalFormatting sqref="A500:D500">
    <cfRule type="expression" dxfId="3" priority="2497">
      <formula>COUNTIF($A500, "TRUE") = 1</formula>
    </cfRule>
    <cfRule type="expression" dxfId="4" priority="2498">
      <formula>COUNTIF($A500, "FALSE") = 1</formula>
    </cfRule>
    <cfRule type="notContainsBlanks" dxfId="1" priority="2499">
      <formula>LEN(TRIM(A500))&gt;0</formula>
    </cfRule>
  </conditionalFormatting>
  <conditionalFormatting sqref="A501">
    <cfRule type="notContainsBlanks" dxfId="5" priority="2505">
      <formula>LEN(TRIM(A501))&gt;0</formula>
    </cfRule>
  </conditionalFormatting>
  <conditionalFormatting sqref="A501:D501">
    <cfRule type="expression" dxfId="3" priority="2502">
      <formula>COUNTIF($A501, "TRUE") = 1</formula>
    </cfRule>
    <cfRule type="expression" dxfId="4" priority="2503">
      <formula>COUNTIF($A501, "FALSE") = 1</formula>
    </cfRule>
    <cfRule type="notContainsBlanks" dxfId="1" priority="2504">
      <formula>LEN(TRIM(A501))&gt;0</formula>
    </cfRule>
  </conditionalFormatting>
  <conditionalFormatting sqref="A502">
    <cfRule type="notContainsBlanks" dxfId="5" priority="2510">
      <formula>LEN(TRIM(A502))&gt;0</formula>
    </cfRule>
  </conditionalFormatting>
  <conditionalFormatting sqref="A502:D502">
    <cfRule type="expression" dxfId="3" priority="2507">
      <formula>COUNTIF($A502, "TRUE") = 1</formula>
    </cfRule>
    <cfRule type="expression" dxfId="4" priority="2508">
      <formula>COUNTIF($A502, "FALSE") = 1</formula>
    </cfRule>
    <cfRule type="notContainsBlanks" dxfId="1" priority="2509">
      <formula>LEN(TRIM(A502))&gt;0</formula>
    </cfRule>
  </conditionalFormatting>
  <conditionalFormatting sqref="A503">
    <cfRule type="notContainsBlanks" dxfId="5" priority="2515">
      <formula>LEN(TRIM(A503))&gt;0</formula>
    </cfRule>
  </conditionalFormatting>
  <conditionalFormatting sqref="A503:D503">
    <cfRule type="expression" dxfId="3" priority="2512">
      <formula>COUNTIF($A503, "TRUE") = 1</formula>
    </cfRule>
    <cfRule type="expression" dxfId="4" priority="2513">
      <formula>COUNTIF($A503, "FALSE") = 1</formula>
    </cfRule>
    <cfRule type="notContainsBlanks" dxfId="1" priority="2514">
      <formula>LEN(TRIM(A503))&gt;0</formula>
    </cfRule>
  </conditionalFormatting>
  <conditionalFormatting sqref="A504">
    <cfRule type="notContainsBlanks" dxfId="5" priority="2520">
      <formula>LEN(TRIM(A504))&gt;0</formula>
    </cfRule>
  </conditionalFormatting>
  <conditionalFormatting sqref="A504:D504">
    <cfRule type="expression" dxfId="3" priority="2517">
      <formula>COUNTIF($A504, "TRUE") = 1</formula>
    </cfRule>
    <cfRule type="expression" dxfId="4" priority="2518">
      <formula>COUNTIF($A504, "FALSE") = 1</formula>
    </cfRule>
    <cfRule type="notContainsBlanks" dxfId="1" priority="2519">
      <formula>LEN(TRIM(A504))&gt;0</formula>
    </cfRule>
  </conditionalFormatting>
  <conditionalFormatting sqref="A505">
    <cfRule type="notContainsBlanks" dxfId="5" priority="2525">
      <formula>LEN(TRIM(A505))&gt;0</formula>
    </cfRule>
  </conditionalFormatting>
  <conditionalFormatting sqref="A505:D505">
    <cfRule type="expression" dxfId="3" priority="2522">
      <formula>COUNTIF($A505, "TRUE") = 1</formula>
    </cfRule>
    <cfRule type="expression" dxfId="4" priority="2523">
      <formula>COUNTIF($A505, "FALSE") = 1</formula>
    </cfRule>
    <cfRule type="notContainsBlanks" dxfId="1" priority="2524">
      <formula>LEN(TRIM(A505))&gt;0</formula>
    </cfRule>
  </conditionalFormatting>
  <conditionalFormatting sqref="A506">
    <cfRule type="notContainsBlanks" dxfId="5" priority="2530">
      <formula>LEN(TRIM(A506))&gt;0</formula>
    </cfRule>
  </conditionalFormatting>
  <conditionalFormatting sqref="A506:D506">
    <cfRule type="expression" dxfId="3" priority="2527">
      <formula>COUNTIF($A506, "TRUE") = 1</formula>
    </cfRule>
    <cfRule type="expression" dxfId="4" priority="2528">
      <formula>COUNTIF($A506, "FALSE") = 1</formula>
    </cfRule>
    <cfRule type="notContainsBlanks" dxfId="1" priority="2529">
      <formula>LEN(TRIM(A506))&gt;0</formula>
    </cfRule>
  </conditionalFormatting>
  <conditionalFormatting sqref="A507">
    <cfRule type="notContainsBlanks" dxfId="5" priority="2535">
      <formula>LEN(TRIM(A507))&gt;0</formula>
    </cfRule>
  </conditionalFormatting>
  <conditionalFormatting sqref="A507:D507">
    <cfRule type="expression" dxfId="3" priority="2532">
      <formula>COUNTIF($A507, "TRUE") = 1</formula>
    </cfRule>
    <cfRule type="expression" dxfId="4" priority="2533">
      <formula>COUNTIF($A507, "FALSE") = 1</formula>
    </cfRule>
    <cfRule type="notContainsBlanks" dxfId="1" priority="2534">
      <formula>LEN(TRIM(A507))&gt;0</formula>
    </cfRule>
  </conditionalFormatting>
  <conditionalFormatting sqref="A508">
    <cfRule type="notContainsBlanks" dxfId="5" priority="2540">
      <formula>LEN(TRIM(A508))&gt;0</formula>
    </cfRule>
  </conditionalFormatting>
  <conditionalFormatting sqref="A508:D508">
    <cfRule type="expression" dxfId="3" priority="2537">
      <formula>COUNTIF($A508, "TRUE") = 1</formula>
    </cfRule>
    <cfRule type="expression" dxfId="4" priority="2538">
      <formula>COUNTIF($A508, "FALSE") = 1</formula>
    </cfRule>
    <cfRule type="notContainsBlanks" dxfId="1" priority="2539">
      <formula>LEN(TRIM(A508))&gt;0</formula>
    </cfRule>
  </conditionalFormatting>
  <conditionalFormatting sqref="A509">
    <cfRule type="notContainsBlanks" dxfId="5" priority="2545">
      <formula>LEN(TRIM(A509))&gt;0</formula>
    </cfRule>
  </conditionalFormatting>
  <conditionalFormatting sqref="A509:D509">
    <cfRule type="expression" dxfId="3" priority="2542">
      <formula>COUNTIF($A509, "TRUE") = 1</formula>
    </cfRule>
    <cfRule type="expression" dxfId="4" priority="2543">
      <formula>COUNTIF($A509, "FALSE") = 1</formula>
    </cfRule>
    <cfRule type="notContainsBlanks" dxfId="1" priority="2544">
      <formula>LEN(TRIM(A509))&gt;0</formula>
    </cfRule>
  </conditionalFormatting>
  <conditionalFormatting sqref="A50:D50">
    <cfRule type="expression" dxfId="3" priority="247">
      <formula>COUNTIF($A50, "TRUE") = 1</formula>
    </cfRule>
    <cfRule type="expression" dxfId="4" priority="248">
      <formula>COUNTIF($A50, "FALSE") = 1</formula>
    </cfRule>
    <cfRule type="notContainsBlanks" dxfId="1" priority="249">
      <formula>LEN(TRIM(A50))&gt;0</formula>
    </cfRule>
  </conditionalFormatting>
  <conditionalFormatting sqref="A51">
    <cfRule type="notContainsBlanks" dxfId="5" priority="255">
      <formula>LEN(TRIM(A51))&gt;0</formula>
    </cfRule>
  </conditionalFormatting>
  <conditionalFormatting sqref="A510">
    <cfRule type="notContainsBlanks" dxfId="5" priority="2550">
      <formula>LEN(TRIM(A510))&gt;0</formula>
    </cfRule>
  </conditionalFormatting>
  <conditionalFormatting sqref="A510:D510">
    <cfRule type="expression" dxfId="3" priority="2547">
      <formula>COUNTIF($A510, "TRUE") = 1</formula>
    </cfRule>
    <cfRule type="expression" dxfId="4" priority="2548">
      <formula>COUNTIF($A510, "FALSE") = 1</formula>
    </cfRule>
    <cfRule type="notContainsBlanks" dxfId="1" priority="2549">
      <formula>LEN(TRIM(A510))&gt;0</formula>
    </cfRule>
  </conditionalFormatting>
  <conditionalFormatting sqref="A511">
    <cfRule type="notContainsBlanks" dxfId="5" priority="2555">
      <formula>LEN(TRIM(A511))&gt;0</formula>
    </cfRule>
  </conditionalFormatting>
  <conditionalFormatting sqref="A511:D511">
    <cfRule type="expression" dxfId="3" priority="2552">
      <formula>COUNTIF($A511, "TRUE") = 1</formula>
    </cfRule>
    <cfRule type="expression" dxfId="4" priority="2553">
      <formula>COUNTIF($A511, "FALSE") = 1</formula>
    </cfRule>
    <cfRule type="notContainsBlanks" dxfId="1" priority="2554">
      <formula>LEN(TRIM(A511))&gt;0</formula>
    </cfRule>
  </conditionalFormatting>
  <conditionalFormatting sqref="A512">
    <cfRule type="notContainsBlanks" dxfId="5" priority="2560">
      <formula>LEN(TRIM(A512))&gt;0</formula>
    </cfRule>
  </conditionalFormatting>
  <conditionalFormatting sqref="A512:D512">
    <cfRule type="expression" dxfId="3" priority="2557">
      <formula>COUNTIF($A512, "TRUE") = 1</formula>
    </cfRule>
    <cfRule type="expression" dxfId="4" priority="2558">
      <formula>COUNTIF($A512, "FALSE") = 1</formula>
    </cfRule>
    <cfRule type="notContainsBlanks" dxfId="1" priority="2559">
      <formula>LEN(TRIM(A512))&gt;0</formula>
    </cfRule>
  </conditionalFormatting>
  <conditionalFormatting sqref="A513">
    <cfRule type="notContainsBlanks" dxfId="5" priority="2565">
      <formula>LEN(TRIM(A513))&gt;0</formula>
    </cfRule>
  </conditionalFormatting>
  <conditionalFormatting sqref="A513:D513">
    <cfRule type="expression" dxfId="3" priority="2562">
      <formula>COUNTIF($A513, "TRUE") = 1</formula>
    </cfRule>
    <cfRule type="expression" dxfId="4" priority="2563">
      <formula>COUNTIF($A513, "FALSE") = 1</formula>
    </cfRule>
    <cfRule type="notContainsBlanks" dxfId="1" priority="2564">
      <formula>LEN(TRIM(A513))&gt;0</formula>
    </cfRule>
  </conditionalFormatting>
  <conditionalFormatting sqref="A514">
    <cfRule type="notContainsBlanks" dxfId="5" priority="2570">
      <formula>LEN(TRIM(A514))&gt;0</formula>
    </cfRule>
  </conditionalFormatting>
  <conditionalFormatting sqref="A514:D514">
    <cfRule type="expression" dxfId="3" priority="2567">
      <formula>COUNTIF($A514, "TRUE") = 1</formula>
    </cfRule>
    <cfRule type="expression" dxfId="4" priority="2568">
      <formula>COUNTIF($A514, "FALSE") = 1</formula>
    </cfRule>
    <cfRule type="notContainsBlanks" dxfId="1" priority="2569">
      <formula>LEN(TRIM(A514))&gt;0</formula>
    </cfRule>
  </conditionalFormatting>
  <conditionalFormatting sqref="A515">
    <cfRule type="notContainsBlanks" dxfId="5" priority="2575">
      <formula>LEN(TRIM(A515))&gt;0</formula>
    </cfRule>
  </conditionalFormatting>
  <conditionalFormatting sqref="A515:D515">
    <cfRule type="expression" dxfId="3" priority="2572">
      <formula>COUNTIF($A515, "TRUE") = 1</formula>
    </cfRule>
    <cfRule type="expression" dxfId="4" priority="2573">
      <formula>COUNTIF($A515, "FALSE") = 1</formula>
    </cfRule>
    <cfRule type="notContainsBlanks" dxfId="1" priority="2574">
      <formula>LEN(TRIM(A515))&gt;0</formula>
    </cfRule>
  </conditionalFormatting>
  <conditionalFormatting sqref="A516">
    <cfRule type="notContainsBlanks" dxfId="5" priority="2580">
      <formula>LEN(TRIM(A516))&gt;0</formula>
    </cfRule>
  </conditionalFormatting>
  <conditionalFormatting sqref="A516:D516">
    <cfRule type="expression" dxfId="3" priority="2577">
      <formula>COUNTIF($A516, "TRUE") = 1</formula>
    </cfRule>
    <cfRule type="expression" dxfId="4" priority="2578">
      <formula>COUNTIF($A516, "FALSE") = 1</formula>
    </cfRule>
    <cfRule type="notContainsBlanks" dxfId="1" priority="2579">
      <formula>LEN(TRIM(A516))&gt;0</formula>
    </cfRule>
  </conditionalFormatting>
  <conditionalFormatting sqref="A517">
    <cfRule type="notContainsBlanks" dxfId="5" priority="2585">
      <formula>LEN(TRIM(A517))&gt;0</formula>
    </cfRule>
  </conditionalFormatting>
  <conditionalFormatting sqref="A517:D517">
    <cfRule type="expression" dxfId="3" priority="2582">
      <formula>COUNTIF($A517, "TRUE") = 1</formula>
    </cfRule>
    <cfRule type="expression" dxfId="4" priority="2583">
      <formula>COUNTIF($A517, "FALSE") = 1</formula>
    </cfRule>
    <cfRule type="notContainsBlanks" dxfId="1" priority="2584">
      <formula>LEN(TRIM(A517))&gt;0</formula>
    </cfRule>
  </conditionalFormatting>
  <conditionalFormatting sqref="A518">
    <cfRule type="notContainsBlanks" dxfId="5" priority="2590">
      <formula>LEN(TRIM(A518))&gt;0</formula>
    </cfRule>
  </conditionalFormatting>
  <conditionalFormatting sqref="A518:D518">
    <cfRule type="expression" dxfId="3" priority="2587">
      <formula>COUNTIF($A518, "TRUE") = 1</formula>
    </cfRule>
    <cfRule type="expression" dxfId="4" priority="2588">
      <formula>COUNTIF($A518, "FALSE") = 1</formula>
    </cfRule>
    <cfRule type="notContainsBlanks" dxfId="1" priority="2589">
      <formula>LEN(TRIM(A518))&gt;0</formula>
    </cfRule>
  </conditionalFormatting>
  <conditionalFormatting sqref="A519">
    <cfRule type="notContainsBlanks" dxfId="5" priority="2595">
      <formula>LEN(TRIM(A519))&gt;0</formula>
    </cfRule>
  </conditionalFormatting>
  <conditionalFormatting sqref="A519:D519">
    <cfRule type="expression" dxfId="3" priority="2592">
      <formula>COUNTIF($A519, "TRUE") = 1</formula>
    </cfRule>
    <cfRule type="expression" dxfId="4" priority="2593">
      <formula>COUNTIF($A519, "FALSE") = 1</formula>
    </cfRule>
    <cfRule type="notContainsBlanks" dxfId="1" priority="2594">
      <formula>LEN(TRIM(A519))&gt;0</formula>
    </cfRule>
  </conditionalFormatting>
  <conditionalFormatting sqref="A51:D51">
    <cfRule type="expression" dxfId="3" priority="252">
      <formula>COUNTIF($A51, "TRUE") = 1</formula>
    </cfRule>
    <cfRule type="expression" dxfId="4" priority="253">
      <formula>COUNTIF($A51, "FALSE") = 1</formula>
    </cfRule>
    <cfRule type="notContainsBlanks" dxfId="1" priority="254">
      <formula>LEN(TRIM(A51))&gt;0</formula>
    </cfRule>
  </conditionalFormatting>
  <conditionalFormatting sqref="A52">
    <cfRule type="notContainsBlanks" dxfId="5" priority="260">
      <formula>LEN(TRIM(A52))&gt;0</formula>
    </cfRule>
  </conditionalFormatting>
  <conditionalFormatting sqref="A520">
    <cfRule type="notContainsBlanks" dxfId="5" priority="2600">
      <formula>LEN(TRIM(A520))&gt;0</formula>
    </cfRule>
  </conditionalFormatting>
  <conditionalFormatting sqref="A520:D520">
    <cfRule type="expression" dxfId="3" priority="2597">
      <formula>COUNTIF($A520, "TRUE") = 1</formula>
    </cfRule>
    <cfRule type="expression" dxfId="4" priority="2598">
      <formula>COUNTIF($A520, "FALSE") = 1</formula>
    </cfRule>
    <cfRule type="notContainsBlanks" dxfId="1" priority="2599">
      <formula>LEN(TRIM(A520))&gt;0</formula>
    </cfRule>
  </conditionalFormatting>
  <conditionalFormatting sqref="A521">
    <cfRule type="notContainsBlanks" dxfId="5" priority="2605">
      <formula>LEN(TRIM(A521))&gt;0</formula>
    </cfRule>
  </conditionalFormatting>
  <conditionalFormatting sqref="A521:D521">
    <cfRule type="expression" dxfId="3" priority="2602">
      <formula>COUNTIF($A521, "TRUE") = 1</formula>
    </cfRule>
    <cfRule type="expression" dxfId="4" priority="2603">
      <formula>COUNTIF($A521, "FALSE") = 1</formula>
    </cfRule>
    <cfRule type="notContainsBlanks" dxfId="1" priority="2604">
      <formula>LEN(TRIM(A521))&gt;0</formula>
    </cfRule>
  </conditionalFormatting>
  <conditionalFormatting sqref="A522">
    <cfRule type="notContainsBlanks" dxfId="5" priority="2610">
      <formula>LEN(TRIM(A522))&gt;0</formula>
    </cfRule>
  </conditionalFormatting>
  <conditionalFormatting sqref="A522:D522">
    <cfRule type="expression" dxfId="3" priority="2607">
      <formula>COUNTIF($A522, "TRUE") = 1</formula>
    </cfRule>
    <cfRule type="expression" dxfId="4" priority="2608">
      <formula>COUNTIF($A522, "FALSE") = 1</formula>
    </cfRule>
    <cfRule type="notContainsBlanks" dxfId="1" priority="2609">
      <formula>LEN(TRIM(A522))&gt;0</formula>
    </cfRule>
  </conditionalFormatting>
  <conditionalFormatting sqref="A523">
    <cfRule type="notContainsBlanks" dxfId="5" priority="2615">
      <formula>LEN(TRIM(A523))&gt;0</formula>
    </cfRule>
  </conditionalFormatting>
  <conditionalFormatting sqref="A523:D523">
    <cfRule type="expression" dxfId="3" priority="2612">
      <formula>COUNTIF($A523, "TRUE") = 1</formula>
    </cfRule>
    <cfRule type="expression" dxfId="4" priority="2613">
      <formula>COUNTIF($A523, "FALSE") = 1</formula>
    </cfRule>
    <cfRule type="notContainsBlanks" dxfId="1" priority="2614">
      <formula>LEN(TRIM(A523))&gt;0</formula>
    </cfRule>
  </conditionalFormatting>
  <conditionalFormatting sqref="A524">
    <cfRule type="notContainsBlanks" dxfId="5" priority="2620">
      <formula>LEN(TRIM(A524))&gt;0</formula>
    </cfRule>
  </conditionalFormatting>
  <conditionalFormatting sqref="A524:D524">
    <cfRule type="expression" dxfId="3" priority="2617">
      <formula>COUNTIF($A524, "TRUE") = 1</formula>
    </cfRule>
    <cfRule type="expression" dxfId="4" priority="2618">
      <formula>COUNTIF($A524, "FALSE") = 1</formula>
    </cfRule>
    <cfRule type="notContainsBlanks" dxfId="1" priority="2619">
      <formula>LEN(TRIM(A524))&gt;0</formula>
    </cfRule>
  </conditionalFormatting>
  <conditionalFormatting sqref="A525">
    <cfRule type="notContainsBlanks" dxfId="5" priority="2625">
      <formula>LEN(TRIM(A525))&gt;0</formula>
    </cfRule>
  </conditionalFormatting>
  <conditionalFormatting sqref="A525:D525">
    <cfRule type="expression" dxfId="3" priority="2622">
      <formula>COUNTIF($A525, "TRUE") = 1</formula>
    </cfRule>
    <cfRule type="expression" dxfId="4" priority="2623">
      <formula>COUNTIF($A525, "FALSE") = 1</formula>
    </cfRule>
    <cfRule type="notContainsBlanks" dxfId="1" priority="2624">
      <formula>LEN(TRIM(A525))&gt;0</formula>
    </cfRule>
  </conditionalFormatting>
  <conditionalFormatting sqref="A526">
    <cfRule type="notContainsBlanks" dxfId="5" priority="2630">
      <formula>LEN(TRIM(A526))&gt;0</formula>
    </cfRule>
  </conditionalFormatting>
  <conditionalFormatting sqref="A526:D526">
    <cfRule type="expression" dxfId="3" priority="2627">
      <formula>COUNTIF($A526, "TRUE") = 1</formula>
    </cfRule>
    <cfRule type="expression" dxfId="4" priority="2628">
      <formula>COUNTIF($A526, "FALSE") = 1</formula>
    </cfRule>
    <cfRule type="notContainsBlanks" dxfId="1" priority="2629">
      <formula>LEN(TRIM(A526))&gt;0</formula>
    </cfRule>
  </conditionalFormatting>
  <conditionalFormatting sqref="A527">
    <cfRule type="notContainsBlanks" dxfId="5" priority="2635">
      <formula>LEN(TRIM(A527))&gt;0</formula>
    </cfRule>
  </conditionalFormatting>
  <conditionalFormatting sqref="A527:D527">
    <cfRule type="expression" dxfId="3" priority="2632">
      <formula>COUNTIF($A527, "TRUE") = 1</formula>
    </cfRule>
    <cfRule type="expression" dxfId="4" priority="2633">
      <formula>COUNTIF($A527, "FALSE") = 1</formula>
    </cfRule>
    <cfRule type="notContainsBlanks" dxfId="1" priority="2634">
      <formula>LEN(TRIM(A527))&gt;0</formula>
    </cfRule>
  </conditionalFormatting>
  <conditionalFormatting sqref="A528">
    <cfRule type="notContainsBlanks" dxfId="5" priority="2640">
      <formula>LEN(TRIM(A528))&gt;0</formula>
    </cfRule>
  </conditionalFormatting>
  <conditionalFormatting sqref="A528:D528">
    <cfRule type="expression" dxfId="3" priority="2637">
      <formula>COUNTIF($A528, "TRUE") = 1</formula>
    </cfRule>
    <cfRule type="expression" dxfId="4" priority="2638">
      <formula>COUNTIF($A528, "FALSE") = 1</formula>
    </cfRule>
    <cfRule type="notContainsBlanks" dxfId="1" priority="2639">
      <formula>LEN(TRIM(A528))&gt;0</formula>
    </cfRule>
  </conditionalFormatting>
  <conditionalFormatting sqref="A529">
    <cfRule type="notContainsBlanks" dxfId="5" priority="2645">
      <formula>LEN(TRIM(A529))&gt;0</formula>
    </cfRule>
  </conditionalFormatting>
  <conditionalFormatting sqref="A529:D529">
    <cfRule type="expression" dxfId="3" priority="2642">
      <formula>COUNTIF($A529, "TRUE") = 1</formula>
    </cfRule>
    <cfRule type="expression" dxfId="4" priority="2643">
      <formula>COUNTIF($A529, "FALSE") = 1</formula>
    </cfRule>
    <cfRule type="notContainsBlanks" dxfId="1" priority="2644">
      <formula>LEN(TRIM(A529))&gt;0</formula>
    </cfRule>
  </conditionalFormatting>
  <conditionalFormatting sqref="A52:D52">
    <cfRule type="expression" dxfId="3" priority="257">
      <formula>COUNTIF($A52, "TRUE") = 1</formula>
    </cfRule>
    <cfRule type="expression" dxfId="4" priority="258">
      <formula>COUNTIF($A52, "FALSE") = 1</formula>
    </cfRule>
    <cfRule type="notContainsBlanks" dxfId="1" priority="259">
      <formula>LEN(TRIM(A52))&gt;0</formula>
    </cfRule>
  </conditionalFormatting>
  <conditionalFormatting sqref="A53">
    <cfRule type="notContainsBlanks" dxfId="5" priority="265">
      <formula>LEN(TRIM(A53))&gt;0</formula>
    </cfRule>
  </conditionalFormatting>
  <conditionalFormatting sqref="A530">
    <cfRule type="notContainsBlanks" dxfId="5" priority="2650">
      <formula>LEN(TRIM(A530))&gt;0</formula>
    </cfRule>
  </conditionalFormatting>
  <conditionalFormatting sqref="A530:D530">
    <cfRule type="expression" dxfId="3" priority="2647">
      <formula>COUNTIF($A530, "TRUE") = 1</formula>
    </cfRule>
    <cfRule type="expression" dxfId="4" priority="2648">
      <formula>COUNTIF($A530, "FALSE") = 1</formula>
    </cfRule>
    <cfRule type="notContainsBlanks" dxfId="1" priority="2649">
      <formula>LEN(TRIM(A530))&gt;0</formula>
    </cfRule>
  </conditionalFormatting>
  <conditionalFormatting sqref="A531">
    <cfRule type="notContainsBlanks" dxfId="5" priority="2655">
      <formula>LEN(TRIM(A531))&gt;0</formula>
    </cfRule>
  </conditionalFormatting>
  <conditionalFormatting sqref="A531:D531">
    <cfRule type="expression" dxfId="3" priority="2652">
      <formula>COUNTIF($A531, "TRUE") = 1</formula>
    </cfRule>
    <cfRule type="expression" dxfId="4" priority="2653">
      <formula>COUNTIF($A531, "FALSE") = 1</formula>
    </cfRule>
    <cfRule type="notContainsBlanks" dxfId="1" priority="2654">
      <formula>LEN(TRIM(A531))&gt;0</formula>
    </cfRule>
  </conditionalFormatting>
  <conditionalFormatting sqref="A532">
    <cfRule type="notContainsBlanks" dxfId="5" priority="2660">
      <formula>LEN(TRIM(A532))&gt;0</formula>
    </cfRule>
  </conditionalFormatting>
  <conditionalFormatting sqref="A532:D532">
    <cfRule type="expression" dxfId="3" priority="2657">
      <formula>COUNTIF($A532, "TRUE") = 1</formula>
    </cfRule>
    <cfRule type="expression" dxfId="4" priority="2658">
      <formula>COUNTIF($A532, "FALSE") = 1</formula>
    </cfRule>
    <cfRule type="notContainsBlanks" dxfId="1" priority="2659">
      <formula>LEN(TRIM(A532))&gt;0</formula>
    </cfRule>
  </conditionalFormatting>
  <conditionalFormatting sqref="A533">
    <cfRule type="notContainsBlanks" dxfId="5" priority="2665">
      <formula>LEN(TRIM(A533))&gt;0</formula>
    </cfRule>
  </conditionalFormatting>
  <conditionalFormatting sqref="A533:D533">
    <cfRule type="expression" dxfId="3" priority="2662">
      <formula>COUNTIF($A533, "TRUE") = 1</formula>
    </cfRule>
    <cfRule type="expression" dxfId="4" priority="2663">
      <formula>COUNTIF($A533, "FALSE") = 1</formula>
    </cfRule>
    <cfRule type="notContainsBlanks" dxfId="1" priority="2664">
      <formula>LEN(TRIM(A533))&gt;0</formula>
    </cfRule>
  </conditionalFormatting>
  <conditionalFormatting sqref="A534">
    <cfRule type="notContainsBlanks" dxfId="5" priority="2670">
      <formula>LEN(TRIM(A534))&gt;0</formula>
    </cfRule>
  </conditionalFormatting>
  <conditionalFormatting sqref="A534:D534">
    <cfRule type="expression" dxfId="3" priority="2667">
      <formula>COUNTIF($A534, "TRUE") = 1</formula>
    </cfRule>
    <cfRule type="expression" dxfId="4" priority="2668">
      <formula>COUNTIF($A534, "FALSE") = 1</formula>
    </cfRule>
    <cfRule type="notContainsBlanks" dxfId="1" priority="2669">
      <formula>LEN(TRIM(A534))&gt;0</formula>
    </cfRule>
  </conditionalFormatting>
  <conditionalFormatting sqref="A535">
    <cfRule type="notContainsBlanks" dxfId="5" priority="2675">
      <formula>LEN(TRIM(A535))&gt;0</formula>
    </cfRule>
  </conditionalFormatting>
  <conditionalFormatting sqref="A535:D535">
    <cfRule type="expression" dxfId="3" priority="2672">
      <formula>COUNTIF($A535, "TRUE") = 1</formula>
    </cfRule>
    <cfRule type="expression" dxfId="4" priority="2673">
      <formula>COUNTIF($A535, "FALSE") = 1</formula>
    </cfRule>
    <cfRule type="notContainsBlanks" dxfId="1" priority="2674">
      <formula>LEN(TRIM(A535))&gt;0</formula>
    </cfRule>
  </conditionalFormatting>
  <conditionalFormatting sqref="A536">
    <cfRule type="notContainsBlanks" dxfId="5" priority="2680">
      <formula>LEN(TRIM(A536))&gt;0</formula>
    </cfRule>
  </conditionalFormatting>
  <conditionalFormatting sqref="A536:D536">
    <cfRule type="expression" dxfId="3" priority="2677">
      <formula>COUNTIF($A536, "TRUE") = 1</formula>
    </cfRule>
    <cfRule type="expression" dxfId="4" priority="2678">
      <formula>COUNTIF($A536, "FALSE") = 1</formula>
    </cfRule>
    <cfRule type="notContainsBlanks" dxfId="1" priority="2679">
      <formula>LEN(TRIM(A536))&gt;0</formula>
    </cfRule>
  </conditionalFormatting>
  <conditionalFormatting sqref="A537">
    <cfRule type="notContainsBlanks" dxfId="5" priority="2685">
      <formula>LEN(TRIM(A537))&gt;0</formula>
    </cfRule>
  </conditionalFormatting>
  <conditionalFormatting sqref="A537:D537">
    <cfRule type="expression" dxfId="3" priority="2682">
      <formula>COUNTIF($A537, "TRUE") = 1</formula>
    </cfRule>
    <cfRule type="expression" dxfId="4" priority="2683">
      <formula>COUNTIF($A537, "FALSE") = 1</formula>
    </cfRule>
    <cfRule type="notContainsBlanks" dxfId="1" priority="2684">
      <formula>LEN(TRIM(A537))&gt;0</formula>
    </cfRule>
  </conditionalFormatting>
  <conditionalFormatting sqref="A538">
    <cfRule type="notContainsBlanks" dxfId="5" priority="2690">
      <formula>LEN(TRIM(A538))&gt;0</formula>
    </cfRule>
  </conditionalFormatting>
  <conditionalFormatting sqref="A538:D538">
    <cfRule type="expression" dxfId="3" priority="2687">
      <formula>COUNTIF($A538, "TRUE") = 1</formula>
    </cfRule>
    <cfRule type="expression" dxfId="4" priority="2688">
      <formula>COUNTIF($A538, "FALSE") = 1</formula>
    </cfRule>
    <cfRule type="notContainsBlanks" dxfId="1" priority="2689">
      <formula>LEN(TRIM(A538))&gt;0</formula>
    </cfRule>
  </conditionalFormatting>
  <conditionalFormatting sqref="A539">
    <cfRule type="notContainsBlanks" dxfId="5" priority="2695">
      <formula>LEN(TRIM(A539))&gt;0</formula>
    </cfRule>
  </conditionalFormatting>
  <conditionalFormatting sqref="A539:D539">
    <cfRule type="expression" dxfId="3" priority="2692">
      <formula>COUNTIF($A539, "TRUE") = 1</formula>
    </cfRule>
    <cfRule type="expression" dxfId="4" priority="2693">
      <formula>COUNTIF($A539, "FALSE") = 1</formula>
    </cfRule>
    <cfRule type="notContainsBlanks" dxfId="1" priority="2694">
      <formula>LEN(TRIM(A539))&gt;0</formula>
    </cfRule>
  </conditionalFormatting>
  <conditionalFormatting sqref="A53:D53">
    <cfRule type="expression" dxfId="3" priority="262">
      <formula>COUNTIF($A53, "TRUE") = 1</formula>
    </cfRule>
    <cfRule type="expression" dxfId="4" priority="263">
      <formula>COUNTIF($A53, "FALSE") = 1</formula>
    </cfRule>
    <cfRule type="notContainsBlanks" dxfId="1" priority="264">
      <formula>LEN(TRIM(A53))&gt;0</formula>
    </cfRule>
  </conditionalFormatting>
  <conditionalFormatting sqref="A54">
    <cfRule type="notContainsBlanks" dxfId="5" priority="270">
      <formula>LEN(TRIM(A54))&gt;0</formula>
    </cfRule>
  </conditionalFormatting>
  <conditionalFormatting sqref="A540">
    <cfRule type="notContainsBlanks" dxfId="5" priority="2700">
      <formula>LEN(TRIM(A540))&gt;0</formula>
    </cfRule>
  </conditionalFormatting>
  <conditionalFormatting sqref="A540:D540">
    <cfRule type="expression" dxfId="3" priority="2697">
      <formula>COUNTIF($A540, "TRUE") = 1</formula>
    </cfRule>
    <cfRule type="expression" dxfId="4" priority="2698">
      <formula>COUNTIF($A540, "FALSE") = 1</formula>
    </cfRule>
    <cfRule type="notContainsBlanks" dxfId="1" priority="2699">
      <formula>LEN(TRIM(A540))&gt;0</formula>
    </cfRule>
  </conditionalFormatting>
  <conditionalFormatting sqref="A541">
    <cfRule type="notContainsBlanks" dxfId="5" priority="2705">
      <formula>LEN(TRIM(A541))&gt;0</formula>
    </cfRule>
  </conditionalFormatting>
  <conditionalFormatting sqref="A541:D541">
    <cfRule type="expression" dxfId="3" priority="2702">
      <formula>COUNTIF($A541, "TRUE") = 1</formula>
    </cfRule>
    <cfRule type="expression" dxfId="4" priority="2703">
      <formula>COUNTIF($A541, "FALSE") = 1</formula>
    </cfRule>
    <cfRule type="notContainsBlanks" dxfId="1" priority="2704">
      <formula>LEN(TRIM(A541))&gt;0</formula>
    </cfRule>
  </conditionalFormatting>
  <conditionalFormatting sqref="A542">
    <cfRule type="notContainsBlanks" dxfId="5" priority="2710">
      <formula>LEN(TRIM(A542))&gt;0</formula>
    </cfRule>
  </conditionalFormatting>
  <conditionalFormatting sqref="A542:D542">
    <cfRule type="expression" dxfId="3" priority="2707">
      <formula>COUNTIF($A542, "TRUE") = 1</formula>
    </cfRule>
    <cfRule type="expression" dxfId="4" priority="2708">
      <formula>COUNTIF($A542, "FALSE") = 1</formula>
    </cfRule>
    <cfRule type="notContainsBlanks" dxfId="1" priority="2709">
      <formula>LEN(TRIM(A542))&gt;0</formula>
    </cfRule>
  </conditionalFormatting>
  <conditionalFormatting sqref="A543">
    <cfRule type="notContainsBlanks" dxfId="5" priority="2715">
      <formula>LEN(TRIM(A543))&gt;0</formula>
    </cfRule>
  </conditionalFormatting>
  <conditionalFormatting sqref="A543:D543">
    <cfRule type="expression" dxfId="3" priority="2712">
      <formula>COUNTIF($A543, "TRUE") = 1</formula>
    </cfRule>
    <cfRule type="expression" dxfId="4" priority="2713">
      <formula>COUNTIF($A543, "FALSE") = 1</formula>
    </cfRule>
    <cfRule type="notContainsBlanks" dxfId="1" priority="2714">
      <formula>LEN(TRIM(A543))&gt;0</formula>
    </cfRule>
  </conditionalFormatting>
  <conditionalFormatting sqref="A544">
    <cfRule type="notContainsBlanks" dxfId="5" priority="2720">
      <formula>LEN(TRIM(A544))&gt;0</formula>
    </cfRule>
  </conditionalFormatting>
  <conditionalFormatting sqref="A544:D544">
    <cfRule type="expression" dxfId="3" priority="2717">
      <formula>COUNTIF($A544, "TRUE") = 1</formula>
    </cfRule>
    <cfRule type="expression" dxfId="4" priority="2718">
      <formula>COUNTIF($A544, "FALSE") = 1</formula>
    </cfRule>
    <cfRule type="notContainsBlanks" dxfId="1" priority="2719">
      <formula>LEN(TRIM(A544))&gt;0</formula>
    </cfRule>
  </conditionalFormatting>
  <conditionalFormatting sqref="A545">
    <cfRule type="notContainsBlanks" dxfId="5" priority="2725">
      <formula>LEN(TRIM(A545))&gt;0</formula>
    </cfRule>
  </conditionalFormatting>
  <conditionalFormatting sqref="A545:D545">
    <cfRule type="expression" dxfId="3" priority="2722">
      <formula>COUNTIF($A545, "TRUE") = 1</formula>
    </cfRule>
    <cfRule type="expression" dxfId="4" priority="2723">
      <formula>COUNTIF($A545, "FALSE") = 1</formula>
    </cfRule>
    <cfRule type="notContainsBlanks" dxfId="1" priority="2724">
      <formula>LEN(TRIM(A545))&gt;0</formula>
    </cfRule>
  </conditionalFormatting>
  <conditionalFormatting sqref="A546">
    <cfRule type="notContainsBlanks" dxfId="5" priority="2730">
      <formula>LEN(TRIM(A546))&gt;0</formula>
    </cfRule>
  </conditionalFormatting>
  <conditionalFormatting sqref="A546:D546">
    <cfRule type="expression" dxfId="3" priority="2727">
      <formula>COUNTIF($A546, "TRUE") = 1</formula>
    </cfRule>
    <cfRule type="expression" dxfId="4" priority="2728">
      <formula>COUNTIF($A546, "FALSE") = 1</formula>
    </cfRule>
    <cfRule type="notContainsBlanks" dxfId="1" priority="2729">
      <formula>LEN(TRIM(A546))&gt;0</formula>
    </cfRule>
  </conditionalFormatting>
  <conditionalFormatting sqref="A547">
    <cfRule type="notContainsBlanks" dxfId="5" priority="2735">
      <formula>LEN(TRIM(A547))&gt;0</formula>
    </cfRule>
  </conditionalFormatting>
  <conditionalFormatting sqref="A547:D547">
    <cfRule type="expression" dxfId="3" priority="2732">
      <formula>COUNTIF($A547, "TRUE") = 1</formula>
    </cfRule>
    <cfRule type="expression" dxfId="4" priority="2733">
      <formula>COUNTIF($A547, "FALSE") = 1</formula>
    </cfRule>
    <cfRule type="notContainsBlanks" dxfId="1" priority="2734">
      <formula>LEN(TRIM(A547))&gt;0</formula>
    </cfRule>
  </conditionalFormatting>
  <conditionalFormatting sqref="A548">
    <cfRule type="notContainsBlanks" dxfId="5" priority="2740">
      <formula>LEN(TRIM(A548))&gt;0</formula>
    </cfRule>
  </conditionalFormatting>
  <conditionalFormatting sqref="A548:D548">
    <cfRule type="expression" dxfId="3" priority="2737">
      <formula>COUNTIF($A548, "TRUE") = 1</formula>
    </cfRule>
    <cfRule type="expression" dxfId="4" priority="2738">
      <formula>COUNTIF($A548, "FALSE") = 1</formula>
    </cfRule>
    <cfRule type="notContainsBlanks" dxfId="1" priority="2739">
      <formula>LEN(TRIM(A548))&gt;0</formula>
    </cfRule>
  </conditionalFormatting>
  <conditionalFormatting sqref="A549">
    <cfRule type="notContainsBlanks" dxfId="5" priority="2745">
      <formula>LEN(TRIM(A549))&gt;0</formula>
    </cfRule>
  </conditionalFormatting>
  <conditionalFormatting sqref="A549:D549">
    <cfRule type="expression" dxfId="3" priority="2742">
      <formula>COUNTIF($A549, "TRUE") = 1</formula>
    </cfRule>
    <cfRule type="expression" dxfId="4" priority="2743">
      <formula>COUNTIF($A549, "FALSE") = 1</formula>
    </cfRule>
    <cfRule type="notContainsBlanks" dxfId="1" priority="2744">
      <formula>LEN(TRIM(A549))&gt;0</formula>
    </cfRule>
  </conditionalFormatting>
  <conditionalFormatting sqref="A54:D54">
    <cfRule type="expression" dxfId="3" priority="267">
      <formula>COUNTIF($A54, "TRUE") = 1</formula>
    </cfRule>
    <cfRule type="expression" dxfId="4" priority="268">
      <formula>COUNTIF($A54, "FALSE") = 1</formula>
    </cfRule>
    <cfRule type="notContainsBlanks" dxfId="1" priority="269">
      <formula>LEN(TRIM(A54))&gt;0</formula>
    </cfRule>
  </conditionalFormatting>
  <conditionalFormatting sqref="A55">
    <cfRule type="notContainsBlanks" dxfId="5" priority="275">
      <formula>LEN(TRIM(A55))&gt;0</formula>
    </cfRule>
  </conditionalFormatting>
  <conditionalFormatting sqref="A550">
    <cfRule type="notContainsBlanks" dxfId="5" priority="2750">
      <formula>LEN(TRIM(A550))&gt;0</formula>
    </cfRule>
  </conditionalFormatting>
  <conditionalFormatting sqref="A550:D550">
    <cfRule type="expression" dxfId="3" priority="2747">
      <formula>COUNTIF($A550, "TRUE") = 1</formula>
    </cfRule>
    <cfRule type="expression" dxfId="4" priority="2748">
      <formula>COUNTIF($A550, "FALSE") = 1</formula>
    </cfRule>
    <cfRule type="notContainsBlanks" dxfId="1" priority="2749">
      <formula>LEN(TRIM(A550))&gt;0</formula>
    </cfRule>
  </conditionalFormatting>
  <conditionalFormatting sqref="A551">
    <cfRule type="notContainsBlanks" dxfId="5" priority="2755">
      <formula>LEN(TRIM(A551))&gt;0</formula>
    </cfRule>
  </conditionalFormatting>
  <conditionalFormatting sqref="A551:D551">
    <cfRule type="expression" dxfId="3" priority="2752">
      <formula>COUNTIF($A551, "TRUE") = 1</formula>
    </cfRule>
    <cfRule type="expression" dxfId="4" priority="2753">
      <formula>COUNTIF($A551, "FALSE") = 1</formula>
    </cfRule>
    <cfRule type="notContainsBlanks" dxfId="1" priority="2754">
      <formula>LEN(TRIM(A551))&gt;0</formula>
    </cfRule>
  </conditionalFormatting>
  <conditionalFormatting sqref="A552">
    <cfRule type="notContainsBlanks" dxfId="5" priority="2760">
      <formula>LEN(TRIM(A552))&gt;0</formula>
    </cfRule>
  </conditionalFormatting>
  <conditionalFormatting sqref="A552:D552">
    <cfRule type="expression" dxfId="3" priority="2757">
      <formula>COUNTIF($A552, "TRUE") = 1</formula>
    </cfRule>
    <cfRule type="expression" dxfId="4" priority="2758">
      <formula>COUNTIF($A552, "FALSE") = 1</formula>
    </cfRule>
    <cfRule type="notContainsBlanks" dxfId="1" priority="2759">
      <formula>LEN(TRIM(A552))&gt;0</formula>
    </cfRule>
  </conditionalFormatting>
  <conditionalFormatting sqref="A553">
    <cfRule type="notContainsBlanks" dxfId="5" priority="2765">
      <formula>LEN(TRIM(A553))&gt;0</formula>
    </cfRule>
  </conditionalFormatting>
  <conditionalFormatting sqref="A553:D553">
    <cfRule type="expression" dxfId="3" priority="2762">
      <formula>COUNTIF($A553, "TRUE") = 1</formula>
    </cfRule>
    <cfRule type="expression" dxfId="4" priority="2763">
      <formula>COUNTIF($A553, "FALSE") = 1</formula>
    </cfRule>
    <cfRule type="notContainsBlanks" dxfId="1" priority="2764">
      <formula>LEN(TRIM(A553))&gt;0</formula>
    </cfRule>
  </conditionalFormatting>
  <conditionalFormatting sqref="A554">
    <cfRule type="notContainsBlanks" dxfId="5" priority="2770">
      <formula>LEN(TRIM(A554))&gt;0</formula>
    </cfRule>
  </conditionalFormatting>
  <conditionalFormatting sqref="A554:D554">
    <cfRule type="expression" dxfId="3" priority="2767">
      <formula>COUNTIF($A554, "TRUE") = 1</formula>
    </cfRule>
    <cfRule type="expression" dxfId="4" priority="2768">
      <formula>COUNTIF($A554, "FALSE") = 1</formula>
    </cfRule>
    <cfRule type="notContainsBlanks" dxfId="1" priority="2769">
      <formula>LEN(TRIM(A554))&gt;0</formula>
    </cfRule>
  </conditionalFormatting>
  <conditionalFormatting sqref="A555">
    <cfRule type="notContainsBlanks" dxfId="5" priority="2775">
      <formula>LEN(TRIM(A555))&gt;0</formula>
    </cfRule>
  </conditionalFormatting>
  <conditionalFormatting sqref="A555:D555">
    <cfRule type="expression" dxfId="3" priority="2772">
      <formula>COUNTIF($A555, "TRUE") = 1</formula>
    </cfRule>
    <cfRule type="expression" dxfId="4" priority="2773">
      <formula>COUNTIF($A555, "FALSE") = 1</formula>
    </cfRule>
    <cfRule type="notContainsBlanks" dxfId="1" priority="2774">
      <formula>LEN(TRIM(A555))&gt;0</formula>
    </cfRule>
  </conditionalFormatting>
  <conditionalFormatting sqref="A556">
    <cfRule type="notContainsBlanks" dxfId="5" priority="2780">
      <formula>LEN(TRIM(A556))&gt;0</formula>
    </cfRule>
  </conditionalFormatting>
  <conditionalFormatting sqref="A556:D556">
    <cfRule type="expression" dxfId="3" priority="2777">
      <formula>COUNTIF($A556, "TRUE") = 1</formula>
    </cfRule>
    <cfRule type="expression" dxfId="4" priority="2778">
      <formula>COUNTIF($A556, "FALSE") = 1</formula>
    </cfRule>
    <cfRule type="notContainsBlanks" dxfId="1" priority="2779">
      <formula>LEN(TRIM(A556))&gt;0</formula>
    </cfRule>
  </conditionalFormatting>
  <conditionalFormatting sqref="A557">
    <cfRule type="notContainsBlanks" dxfId="5" priority="2785">
      <formula>LEN(TRIM(A557))&gt;0</formula>
    </cfRule>
  </conditionalFormatting>
  <conditionalFormatting sqref="A557:D557">
    <cfRule type="expression" dxfId="3" priority="2782">
      <formula>COUNTIF($A557, "TRUE") = 1</formula>
    </cfRule>
    <cfRule type="expression" dxfId="4" priority="2783">
      <formula>COUNTIF($A557, "FALSE") = 1</formula>
    </cfRule>
    <cfRule type="notContainsBlanks" dxfId="1" priority="2784">
      <formula>LEN(TRIM(A557))&gt;0</formula>
    </cfRule>
  </conditionalFormatting>
  <conditionalFormatting sqref="A558">
    <cfRule type="notContainsBlanks" dxfId="5" priority="2790">
      <formula>LEN(TRIM(A558))&gt;0</formula>
    </cfRule>
  </conditionalFormatting>
  <conditionalFormatting sqref="A558:D558">
    <cfRule type="expression" dxfId="3" priority="2787">
      <formula>COUNTIF($A558, "TRUE") = 1</formula>
    </cfRule>
    <cfRule type="expression" dxfId="4" priority="2788">
      <formula>COUNTIF($A558, "FALSE") = 1</formula>
    </cfRule>
    <cfRule type="notContainsBlanks" dxfId="1" priority="2789">
      <formula>LEN(TRIM(A558))&gt;0</formula>
    </cfRule>
  </conditionalFormatting>
  <conditionalFormatting sqref="A559">
    <cfRule type="notContainsBlanks" dxfId="5" priority="2795">
      <formula>LEN(TRIM(A559))&gt;0</formula>
    </cfRule>
  </conditionalFormatting>
  <conditionalFormatting sqref="A559:D559">
    <cfRule type="expression" dxfId="3" priority="2792">
      <formula>COUNTIF($A559, "TRUE") = 1</formula>
    </cfRule>
    <cfRule type="expression" dxfId="4" priority="2793">
      <formula>COUNTIF($A559, "FALSE") = 1</formula>
    </cfRule>
    <cfRule type="notContainsBlanks" dxfId="1" priority="2794">
      <formula>LEN(TRIM(A559))&gt;0</formula>
    </cfRule>
  </conditionalFormatting>
  <conditionalFormatting sqref="A55:D55">
    <cfRule type="expression" dxfId="3" priority="272">
      <formula>COUNTIF($A55, "TRUE") = 1</formula>
    </cfRule>
    <cfRule type="expression" dxfId="4" priority="273">
      <formula>COUNTIF($A55, "FALSE") = 1</formula>
    </cfRule>
    <cfRule type="notContainsBlanks" dxfId="1" priority="274">
      <formula>LEN(TRIM(A55))&gt;0</formula>
    </cfRule>
  </conditionalFormatting>
  <conditionalFormatting sqref="A56">
    <cfRule type="notContainsBlanks" dxfId="5" priority="280">
      <formula>LEN(TRIM(A56))&gt;0</formula>
    </cfRule>
  </conditionalFormatting>
  <conditionalFormatting sqref="A560">
    <cfRule type="notContainsBlanks" dxfId="5" priority="2800">
      <formula>LEN(TRIM(A560))&gt;0</formula>
    </cfRule>
  </conditionalFormatting>
  <conditionalFormatting sqref="A560:D560">
    <cfRule type="expression" dxfId="3" priority="2797">
      <formula>COUNTIF($A560, "TRUE") = 1</formula>
    </cfRule>
    <cfRule type="expression" dxfId="4" priority="2798">
      <formula>COUNTIF($A560, "FALSE") = 1</formula>
    </cfRule>
    <cfRule type="notContainsBlanks" dxfId="1" priority="2799">
      <formula>LEN(TRIM(A560))&gt;0</formula>
    </cfRule>
  </conditionalFormatting>
  <conditionalFormatting sqref="A561">
    <cfRule type="notContainsBlanks" dxfId="5" priority="2805">
      <formula>LEN(TRIM(A561))&gt;0</formula>
    </cfRule>
  </conditionalFormatting>
  <conditionalFormatting sqref="A561:D561">
    <cfRule type="expression" dxfId="3" priority="2802">
      <formula>COUNTIF($A561, "TRUE") = 1</formula>
    </cfRule>
    <cfRule type="expression" dxfId="4" priority="2803">
      <formula>COUNTIF($A561, "FALSE") = 1</formula>
    </cfRule>
    <cfRule type="notContainsBlanks" dxfId="1" priority="2804">
      <formula>LEN(TRIM(A561))&gt;0</formula>
    </cfRule>
  </conditionalFormatting>
  <conditionalFormatting sqref="A562">
    <cfRule type="notContainsBlanks" dxfId="5" priority="2810">
      <formula>LEN(TRIM(A562))&gt;0</formula>
    </cfRule>
  </conditionalFormatting>
  <conditionalFormatting sqref="A562:D562">
    <cfRule type="expression" dxfId="3" priority="2807">
      <formula>COUNTIF($A562, "TRUE") = 1</formula>
    </cfRule>
    <cfRule type="expression" dxfId="4" priority="2808">
      <formula>COUNTIF($A562, "FALSE") = 1</formula>
    </cfRule>
    <cfRule type="notContainsBlanks" dxfId="1" priority="2809">
      <formula>LEN(TRIM(A562))&gt;0</formula>
    </cfRule>
  </conditionalFormatting>
  <conditionalFormatting sqref="A563">
    <cfRule type="notContainsBlanks" dxfId="5" priority="2815">
      <formula>LEN(TRIM(A563))&gt;0</formula>
    </cfRule>
  </conditionalFormatting>
  <conditionalFormatting sqref="A563:D563">
    <cfRule type="expression" dxfId="3" priority="2812">
      <formula>COUNTIF($A563, "TRUE") = 1</formula>
    </cfRule>
    <cfRule type="expression" dxfId="4" priority="2813">
      <formula>COUNTIF($A563, "FALSE") = 1</formula>
    </cfRule>
    <cfRule type="notContainsBlanks" dxfId="1" priority="2814">
      <formula>LEN(TRIM(A563))&gt;0</formula>
    </cfRule>
  </conditionalFormatting>
  <conditionalFormatting sqref="A564">
    <cfRule type="notContainsBlanks" dxfId="5" priority="2820">
      <formula>LEN(TRIM(A564))&gt;0</formula>
    </cfRule>
  </conditionalFormatting>
  <conditionalFormatting sqref="A564:D564">
    <cfRule type="expression" dxfId="3" priority="2817">
      <formula>COUNTIF($A564, "TRUE") = 1</formula>
    </cfRule>
    <cfRule type="expression" dxfId="4" priority="2818">
      <formula>COUNTIF($A564, "FALSE") = 1</formula>
    </cfRule>
    <cfRule type="notContainsBlanks" dxfId="1" priority="2819">
      <formula>LEN(TRIM(A564))&gt;0</formula>
    </cfRule>
  </conditionalFormatting>
  <conditionalFormatting sqref="A565">
    <cfRule type="notContainsBlanks" dxfId="5" priority="2825">
      <formula>LEN(TRIM(A565))&gt;0</formula>
    </cfRule>
  </conditionalFormatting>
  <conditionalFormatting sqref="A565:D565">
    <cfRule type="expression" dxfId="3" priority="2822">
      <formula>COUNTIF($A565, "TRUE") = 1</formula>
    </cfRule>
    <cfRule type="expression" dxfId="4" priority="2823">
      <formula>COUNTIF($A565, "FALSE") = 1</formula>
    </cfRule>
    <cfRule type="notContainsBlanks" dxfId="1" priority="2824">
      <formula>LEN(TRIM(A565))&gt;0</formula>
    </cfRule>
  </conditionalFormatting>
  <conditionalFormatting sqref="A566">
    <cfRule type="notContainsBlanks" dxfId="5" priority="2830">
      <formula>LEN(TRIM(A566))&gt;0</formula>
    </cfRule>
  </conditionalFormatting>
  <conditionalFormatting sqref="A566:D566">
    <cfRule type="expression" dxfId="3" priority="2827">
      <formula>COUNTIF($A566, "TRUE") = 1</formula>
    </cfRule>
    <cfRule type="expression" dxfId="4" priority="2828">
      <formula>COUNTIF($A566, "FALSE") = 1</formula>
    </cfRule>
    <cfRule type="notContainsBlanks" dxfId="1" priority="2829">
      <formula>LEN(TRIM(A566))&gt;0</formula>
    </cfRule>
  </conditionalFormatting>
  <conditionalFormatting sqref="A567">
    <cfRule type="notContainsBlanks" dxfId="5" priority="2835">
      <formula>LEN(TRIM(A567))&gt;0</formula>
    </cfRule>
  </conditionalFormatting>
  <conditionalFormatting sqref="A567:D567">
    <cfRule type="expression" dxfId="3" priority="2832">
      <formula>COUNTIF($A567, "TRUE") = 1</formula>
    </cfRule>
    <cfRule type="expression" dxfId="4" priority="2833">
      <formula>COUNTIF($A567, "FALSE") = 1</formula>
    </cfRule>
    <cfRule type="notContainsBlanks" dxfId="1" priority="2834">
      <formula>LEN(TRIM(A567))&gt;0</formula>
    </cfRule>
  </conditionalFormatting>
  <conditionalFormatting sqref="A568">
    <cfRule type="notContainsBlanks" dxfId="5" priority="2840">
      <formula>LEN(TRIM(A568))&gt;0</formula>
    </cfRule>
  </conditionalFormatting>
  <conditionalFormatting sqref="A568:D568">
    <cfRule type="expression" dxfId="3" priority="2837">
      <formula>COUNTIF($A568, "TRUE") = 1</formula>
    </cfRule>
    <cfRule type="expression" dxfId="4" priority="2838">
      <formula>COUNTIF($A568, "FALSE") = 1</formula>
    </cfRule>
    <cfRule type="notContainsBlanks" dxfId="1" priority="2839">
      <formula>LEN(TRIM(A568))&gt;0</formula>
    </cfRule>
  </conditionalFormatting>
  <conditionalFormatting sqref="A569">
    <cfRule type="notContainsBlanks" dxfId="5" priority="2845">
      <formula>LEN(TRIM(A569))&gt;0</formula>
    </cfRule>
  </conditionalFormatting>
  <conditionalFormatting sqref="A569:D569">
    <cfRule type="expression" dxfId="3" priority="2842">
      <formula>COUNTIF($A569, "TRUE") = 1</formula>
    </cfRule>
    <cfRule type="expression" dxfId="4" priority="2843">
      <formula>COUNTIF($A569, "FALSE") = 1</formula>
    </cfRule>
    <cfRule type="notContainsBlanks" dxfId="1" priority="2844">
      <formula>LEN(TRIM(A569))&gt;0</formula>
    </cfRule>
  </conditionalFormatting>
  <conditionalFormatting sqref="A56:D56">
    <cfRule type="expression" dxfId="3" priority="277">
      <formula>COUNTIF($A56, "TRUE") = 1</formula>
    </cfRule>
    <cfRule type="expression" dxfId="4" priority="278">
      <formula>COUNTIF($A56, "FALSE") = 1</formula>
    </cfRule>
    <cfRule type="notContainsBlanks" dxfId="1" priority="279">
      <formula>LEN(TRIM(A56))&gt;0</formula>
    </cfRule>
  </conditionalFormatting>
  <conditionalFormatting sqref="A57">
    <cfRule type="notContainsBlanks" dxfId="5" priority="285">
      <formula>LEN(TRIM(A57))&gt;0</formula>
    </cfRule>
  </conditionalFormatting>
  <conditionalFormatting sqref="A570">
    <cfRule type="notContainsBlanks" dxfId="5" priority="2850">
      <formula>LEN(TRIM(A570))&gt;0</formula>
    </cfRule>
  </conditionalFormatting>
  <conditionalFormatting sqref="A570:D570">
    <cfRule type="expression" dxfId="3" priority="2847">
      <formula>COUNTIF($A570, "TRUE") = 1</formula>
    </cfRule>
    <cfRule type="expression" dxfId="4" priority="2848">
      <formula>COUNTIF($A570, "FALSE") = 1</formula>
    </cfRule>
    <cfRule type="notContainsBlanks" dxfId="1" priority="2849">
      <formula>LEN(TRIM(A570))&gt;0</formula>
    </cfRule>
  </conditionalFormatting>
  <conditionalFormatting sqref="A571">
    <cfRule type="notContainsBlanks" dxfId="5" priority="2855">
      <formula>LEN(TRIM(A571))&gt;0</formula>
    </cfRule>
  </conditionalFormatting>
  <conditionalFormatting sqref="A571:D571">
    <cfRule type="expression" dxfId="3" priority="2852">
      <formula>COUNTIF($A571, "TRUE") = 1</formula>
    </cfRule>
    <cfRule type="expression" dxfId="4" priority="2853">
      <formula>COUNTIF($A571, "FALSE") = 1</formula>
    </cfRule>
    <cfRule type="notContainsBlanks" dxfId="1" priority="2854">
      <formula>LEN(TRIM(A571))&gt;0</formula>
    </cfRule>
  </conditionalFormatting>
  <conditionalFormatting sqref="A572">
    <cfRule type="notContainsBlanks" dxfId="5" priority="2860">
      <formula>LEN(TRIM(A572))&gt;0</formula>
    </cfRule>
  </conditionalFormatting>
  <conditionalFormatting sqref="A572:D572">
    <cfRule type="expression" dxfId="3" priority="2857">
      <formula>COUNTIF($A572, "TRUE") = 1</formula>
    </cfRule>
    <cfRule type="expression" dxfId="4" priority="2858">
      <formula>COUNTIF($A572, "FALSE") = 1</formula>
    </cfRule>
    <cfRule type="notContainsBlanks" dxfId="1" priority="2859">
      <formula>LEN(TRIM(A572))&gt;0</formula>
    </cfRule>
  </conditionalFormatting>
  <conditionalFormatting sqref="A573">
    <cfRule type="notContainsBlanks" dxfId="5" priority="2865">
      <formula>LEN(TRIM(A573))&gt;0</formula>
    </cfRule>
  </conditionalFormatting>
  <conditionalFormatting sqref="A573:D573">
    <cfRule type="expression" dxfId="3" priority="2862">
      <formula>COUNTIF($A573, "TRUE") = 1</formula>
    </cfRule>
    <cfRule type="expression" dxfId="4" priority="2863">
      <formula>COUNTIF($A573, "FALSE") = 1</formula>
    </cfRule>
    <cfRule type="notContainsBlanks" dxfId="1" priority="2864">
      <formula>LEN(TRIM(A573))&gt;0</formula>
    </cfRule>
  </conditionalFormatting>
  <conditionalFormatting sqref="A574">
    <cfRule type="notContainsBlanks" dxfId="5" priority="2870">
      <formula>LEN(TRIM(A574))&gt;0</formula>
    </cfRule>
  </conditionalFormatting>
  <conditionalFormatting sqref="A574:D574">
    <cfRule type="expression" dxfId="3" priority="2867">
      <formula>COUNTIF($A574, "TRUE") = 1</formula>
    </cfRule>
    <cfRule type="expression" dxfId="4" priority="2868">
      <formula>COUNTIF($A574, "FALSE") = 1</formula>
    </cfRule>
    <cfRule type="notContainsBlanks" dxfId="1" priority="2869">
      <formula>LEN(TRIM(A574))&gt;0</formula>
    </cfRule>
  </conditionalFormatting>
  <conditionalFormatting sqref="A575">
    <cfRule type="notContainsBlanks" dxfId="5" priority="2875">
      <formula>LEN(TRIM(A575))&gt;0</formula>
    </cfRule>
  </conditionalFormatting>
  <conditionalFormatting sqref="A575:D575">
    <cfRule type="expression" dxfId="3" priority="2872">
      <formula>COUNTIF($A575, "TRUE") = 1</formula>
    </cfRule>
    <cfRule type="expression" dxfId="4" priority="2873">
      <formula>COUNTIF($A575, "FALSE") = 1</formula>
    </cfRule>
    <cfRule type="notContainsBlanks" dxfId="1" priority="2874">
      <formula>LEN(TRIM(A575))&gt;0</formula>
    </cfRule>
  </conditionalFormatting>
  <conditionalFormatting sqref="A576">
    <cfRule type="notContainsBlanks" dxfId="5" priority="2880">
      <formula>LEN(TRIM(A576))&gt;0</formula>
    </cfRule>
  </conditionalFormatting>
  <conditionalFormatting sqref="A576:D576">
    <cfRule type="expression" dxfId="3" priority="2877">
      <formula>COUNTIF($A576, "TRUE") = 1</formula>
    </cfRule>
    <cfRule type="expression" dxfId="4" priority="2878">
      <formula>COUNTIF($A576, "FALSE") = 1</formula>
    </cfRule>
    <cfRule type="notContainsBlanks" dxfId="1" priority="2879">
      <formula>LEN(TRIM(A576))&gt;0</formula>
    </cfRule>
  </conditionalFormatting>
  <conditionalFormatting sqref="A577">
    <cfRule type="notContainsBlanks" dxfId="5" priority="2885">
      <formula>LEN(TRIM(A577))&gt;0</formula>
    </cfRule>
  </conditionalFormatting>
  <conditionalFormatting sqref="A577:D577">
    <cfRule type="expression" dxfId="3" priority="2882">
      <formula>COUNTIF($A577, "TRUE") = 1</formula>
    </cfRule>
    <cfRule type="expression" dxfId="4" priority="2883">
      <formula>COUNTIF($A577, "FALSE") = 1</formula>
    </cfRule>
    <cfRule type="notContainsBlanks" dxfId="1" priority="2884">
      <formula>LEN(TRIM(A577))&gt;0</formula>
    </cfRule>
  </conditionalFormatting>
  <conditionalFormatting sqref="A578">
    <cfRule type="notContainsBlanks" dxfId="5" priority="2890">
      <formula>LEN(TRIM(A578))&gt;0</formula>
    </cfRule>
  </conditionalFormatting>
  <conditionalFormatting sqref="A578:D578">
    <cfRule type="expression" dxfId="3" priority="2887">
      <formula>COUNTIF($A578, "TRUE") = 1</formula>
    </cfRule>
    <cfRule type="expression" dxfId="4" priority="2888">
      <formula>COUNTIF($A578, "FALSE") = 1</formula>
    </cfRule>
    <cfRule type="notContainsBlanks" dxfId="1" priority="2889">
      <formula>LEN(TRIM(A578))&gt;0</formula>
    </cfRule>
  </conditionalFormatting>
  <conditionalFormatting sqref="A579">
    <cfRule type="notContainsBlanks" dxfId="5" priority="2895">
      <formula>LEN(TRIM(A579))&gt;0</formula>
    </cfRule>
  </conditionalFormatting>
  <conditionalFormatting sqref="A579:D579">
    <cfRule type="expression" dxfId="3" priority="2892">
      <formula>COUNTIF($A579, "TRUE") = 1</formula>
    </cfRule>
    <cfRule type="expression" dxfId="4" priority="2893">
      <formula>COUNTIF($A579, "FALSE") = 1</formula>
    </cfRule>
    <cfRule type="notContainsBlanks" dxfId="1" priority="2894">
      <formula>LEN(TRIM(A579))&gt;0</formula>
    </cfRule>
  </conditionalFormatting>
  <conditionalFormatting sqref="A57:D57">
    <cfRule type="expression" dxfId="3" priority="282">
      <formula>COUNTIF($A57, "TRUE") = 1</formula>
    </cfRule>
    <cfRule type="expression" dxfId="4" priority="283">
      <formula>COUNTIF($A57, "FALSE") = 1</formula>
    </cfRule>
    <cfRule type="notContainsBlanks" dxfId="1" priority="284">
      <formula>LEN(TRIM(A57))&gt;0</formula>
    </cfRule>
  </conditionalFormatting>
  <conditionalFormatting sqref="A58">
    <cfRule type="notContainsBlanks" dxfId="5" priority="290">
      <formula>LEN(TRIM(A58))&gt;0</formula>
    </cfRule>
  </conditionalFormatting>
  <conditionalFormatting sqref="A580">
    <cfRule type="notContainsBlanks" dxfId="5" priority="2900">
      <formula>LEN(TRIM(A580))&gt;0</formula>
    </cfRule>
  </conditionalFormatting>
  <conditionalFormatting sqref="A580:D580">
    <cfRule type="expression" dxfId="3" priority="2897">
      <formula>COUNTIF($A580, "TRUE") = 1</formula>
    </cfRule>
    <cfRule type="expression" dxfId="4" priority="2898">
      <formula>COUNTIF($A580, "FALSE") = 1</formula>
    </cfRule>
    <cfRule type="notContainsBlanks" dxfId="1" priority="2899">
      <formula>LEN(TRIM(A580))&gt;0</formula>
    </cfRule>
  </conditionalFormatting>
  <conditionalFormatting sqref="A581">
    <cfRule type="notContainsBlanks" dxfId="5" priority="2905">
      <formula>LEN(TRIM(A581))&gt;0</formula>
    </cfRule>
  </conditionalFormatting>
  <conditionalFormatting sqref="A581:D581">
    <cfRule type="expression" dxfId="3" priority="2902">
      <formula>COUNTIF($A581, "TRUE") = 1</formula>
    </cfRule>
    <cfRule type="expression" dxfId="4" priority="2903">
      <formula>COUNTIF($A581, "FALSE") = 1</formula>
    </cfRule>
    <cfRule type="notContainsBlanks" dxfId="1" priority="2904">
      <formula>LEN(TRIM(A581))&gt;0</formula>
    </cfRule>
  </conditionalFormatting>
  <conditionalFormatting sqref="A582">
    <cfRule type="notContainsBlanks" dxfId="5" priority="2910">
      <formula>LEN(TRIM(A582))&gt;0</formula>
    </cfRule>
  </conditionalFormatting>
  <conditionalFormatting sqref="A582:D582">
    <cfRule type="expression" dxfId="3" priority="2907">
      <formula>COUNTIF($A582, "TRUE") = 1</formula>
    </cfRule>
    <cfRule type="expression" dxfId="4" priority="2908">
      <formula>COUNTIF($A582, "FALSE") = 1</formula>
    </cfRule>
    <cfRule type="notContainsBlanks" dxfId="1" priority="2909">
      <formula>LEN(TRIM(A582))&gt;0</formula>
    </cfRule>
  </conditionalFormatting>
  <conditionalFormatting sqref="A583">
    <cfRule type="notContainsBlanks" dxfId="5" priority="2915">
      <formula>LEN(TRIM(A583))&gt;0</formula>
    </cfRule>
  </conditionalFormatting>
  <conditionalFormatting sqref="A583:D583">
    <cfRule type="expression" dxfId="3" priority="2912">
      <formula>COUNTIF($A583, "TRUE") = 1</formula>
    </cfRule>
    <cfRule type="expression" dxfId="4" priority="2913">
      <formula>COUNTIF($A583, "FALSE") = 1</formula>
    </cfRule>
    <cfRule type="notContainsBlanks" dxfId="1" priority="2914">
      <formula>LEN(TRIM(A583))&gt;0</formula>
    </cfRule>
  </conditionalFormatting>
  <conditionalFormatting sqref="A584">
    <cfRule type="notContainsBlanks" dxfId="5" priority="2920">
      <formula>LEN(TRIM(A584))&gt;0</formula>
    </cfRule>
  </conditionalFormatting>
  <conditionalFormatting sqref="A584:D584">
    <cfRule type="expression" dxfId="3" priority="2917">
      <formula>COUNTIF($A584, "TRUE") = 1</formula>
    </cfRule>
    <cfRule type="expression" dxfId="4" priority="2918">
      <formula>COUNTIF($A584, "FALSE") = 1</formula>
    </cfRule>
    <cfRule type="notContainsBlanks" dxfId="1" priority="2919">
      <formula>LEN(TRIM(A584))&gt;0</formula>
    </cfRule>
  </conditionalFormatting>
  <conditionalFormatting sqref="A585">
    <cfRule type="notContainsBlanks" dxfId="5" priority="2925">
      <formula>LEN(TRIM(A585))&gt;0</formula>
    </cfRule>
  </conditionalFormatting>
  <conditionalFormatting sqref="A585:D585">
    <cfRule type="expression" dxfId="3" priority="2922">
      <formula>COUNTIF($A585, "TRUE") = 1</formula>
    </cfRule>
    <cfRule type="expression" dxfId="4" priority="2923">
      <formula>COUNTIF($A585, "FALSE") = 1</formula>
    </cfRule>
    <cfRule type="notContainsBlanks" dxfId="1" priority="2924">
      <formula>LEN(TRIM(A585))&gt;0</formula>
    </cfRule>
  </conditionalFormatting>
  <conditionalFormatting sqref="A586">
    <cfRule type="notContainsBlanks" dxfId="5" priority="2930">
      <formula>LEN(TRIM(A586))&gt;0</formula>
    </cfRule>
  </conditionalFormatting>
  <conditionalFormatting sqref="A586:D586">
    <cfRule type="expression" dxfId="3" priority="2927">
      <formula>COUNTIF($A586, "TRUE") = 1</formula>
    </cfRule>
    <cfRule type="expression" dxfId="4" priority="2928">
      <formula>COUNTIF($A586, "FALSE") = 1</formula>
    </cfRule>
    <cfRule type="notContainsBlanks" dxfId="1" priority="2929">
      <formula>LEN(TRIM(A586))&gt;0</formula>
    </cfRule>
  </conditionalFormatting>
  <conditionalFormatting sqref="A587">
    <cfRule type="notContainsBlanks" dxfId="5" priority="2935">
      <formula>LEN(TRIM(A587))&gt;0</formula>
    </cfRule>
  </conditionalFormatting>
  <conditionalFormatting sqref="A587:D587">
    <cfRule type="expression" dxfId="3" priority="2932">
      <formula>COUNTIF($A587, "TRUE") = 1</formula>
    </cfRule>
    <cfRule type="expression" dxfId="4" priority="2933">
      <formula>COUNTIF($A587, "FALSE") = 1</formula>
    </cfRule>
    <cfRule type="notContainsBlanks" dxfId="1" priority="2934">
      <formula>LEN(TRIM(A587))&gt;0</formula>
    </cfRule>
  </conditionalFormatting>
  <conditionalFormatting sqref="A588">
    <cfRule type="notContainsBlanks" dxfId="5" priority="2940">
      <formula>LEN(TRIM(A588))&gt;0</formula>
    </cfRule>
  </conditionalFormatting>
  <conditionalFormatting sqref="A588:D588">
    <cfRule type="expression" dxfId="3" priority="2937">
      <formula>COUNTIF($A588, "TRUE") = 1</formula>
    </cfRule>
    <cfRule type="expression" dxfId="4" priority="2938">
      <formula>COUNTIF($A588, "FALSE") = 1</formula>
    </cfRule>
    <cfRule type="notContainsBlanks" dxfId="1" priority="2939">
      <formula>LEN(TRIM(A588))&gt;0</formula>
    </cfRule>
  </conditionalFormatting>
  <conditionalFormatting sqref="A589">
    <cfRule type="notContainsBlanks" dxfId="5" priority="2945">
      <formula>LEN(TRIM(A589))&gt;0</formula>
    </cfRule>
  </conditionalFormatting>
  <conditionalFormatting sqref="A589:D589">
    <cfRule type="expression" dxfId="3" priority="2942">
      <formula>COUNTIF($A589, "TRUE") = 1</formula>
    </cfRule>
    <cfRule type="expression" dxfId="4" priority="2943">
      <formula>COUNTIF($A589, "FALSE") = 1</formula>
    </cfRule>
    <cfRule type="notContainsBlanks" dxfId="1" priority="2944">
      <formula>LEN(TRIM(A589))&gt;0</formula>
    </cfRule>
  </conditionalFormatting>
  <conditionalFormatting sqref="A58:D58">
    <cfRule type="expression" dxfId="3" priority="287">
      <formula>COUNTIF($A58, "TRUE") = 1</formula>
    </cfRule>
    <cfRule type="expression" dxfId="4" priority="288">
      <formula>COUNTIF($A58, "FALSE") = 1</formula>
    </cfRule>
    <cfRule type="notContainsBlanks" dxfId="1" priority="289">
      <formula>LEN(TRIM(A58))&gt;0</formula>
    </cfRule>
  </conditionalFormatting>
  <conditionalFormatting sqref="A59">
    <cfRule type="notContainsBlanks" dxfId="5" priority="295">
      <formula>LEN(TRIM(A59))&gt;0</formula>
    </cfRule>
  </conditionalFormatting>
  <conditionalFormatting sqref="A590">
    <cfRule type="notContainsBlanks" dxfId="5" priority="2950">
      <formula>LEN(TRIM(A590))&gt;0</formula>
    </cfRule>
  </conditionalFormatting>
  <conditionalFormatting sqref="A590:D590">
    <cfRule type="expression" dxfId="3" priority="2947">
      <formula>COUNTIF($A590, "TRUE") = 1</formula>
    </cfRule>
    <cfRule type="expression" dxfId="4" priority="2948">
      <formula>COUNTIF($A590, "FALSE") = 1</formula>
    </cfRule>
    <cfRule type="notContainsBlanks" dxfId="1" priority="2949">
      <formula>LEN(TRIM(A590))&gt;0</formula>
    </cfRule>
  </conditionalFormatting>
  <conditionalFormatting sqref="A591">
    <cfRule type="notContainsBlanks" dxfId="5" priority="2955">
      <formula>LEN(TRIM(A591))&gt;0</formula>
    </cfRule>
  </conditionalFormatting>
  <conditionalFormatting sqref="A591:D591">
    <cfRule type="expression" dxfId="3" priority="2952">
      <formula>COUNTIF($A591, "TRUE") = 1</formula>
    </cfRule>
    <cfRule type="expression" dxfId="4" priority="2953">
      <formula>COUNTIF($A591, "FALSE") = 1</formula>
    </cfRule>
    <cfRule type="notContainsBlanks" dxfId="1" priority="2954">
      <formula>LEN(TRIM(A591))&gt;0</formula>
    </cfRule>
  </conditionalFormatting>
  <conditionalFormatting sqref="A592">
    <cfRule type="notContainsBlanks" dxfId="5" priority="2960">
      <formula>LEN(TRIM(A592))&gt;0</formula>
    </cfRule>
  </conditionalFormatting>
  <conditionalFormatting sqref="A592:D592">
    <cfRule type="expression" dxfId="3" priority="2957">
      <formula>COUNTIF($A592, "TRUE") = 1</formula>
    </cfRule>
    <cfRule type="expression" dxfId="4" priority="2958">
      <formula>COUNTIF($A592, "FALSE") = 1</formula>
    </cfRule>
    <cfRule type="notContainsBlanks" dxfId="1" priority="2959">
      <formula>LEN(TRIM(A592))&gt;0</formula>
    </cfRule>
  </conditionalFormatting>
  <conditionalFormatting sqref="A593">
    <cfRule type="notContainsBlanks" dxfId="5" priority="2965">
      <formula>LEN(TRIM(A593))&gt;0</formula>
    </cfRule>
  </conditionalFormatting>
  <conditionalFormatting sqref="A593:D593">
    <cfRule type="expression" dxfId="3" priority="2962">
      <formula>COUNTIF($A593, "TRUE") = 1</formula>
    </cfRule>
    <cfRule type="expression" dxfId="4" priority="2963">
      <formula>COUNTIF($A593, "FALSE") = 1</formula>
    </cfRule>
    <cfRule type="notContainsBlanks" dxfId="1" priority="2964">
      <formula>LEN(TRIM(A593))&gt;0</formula>
    </cfRule>
  </conditionalFormatting>
  <conditionalFormatting sqref="A594">
    <cfRule type="notContainsBlanks" dxfId="5" priority="2970">
      <formula>LEN(TRIM(A594))&gt;0</formula>
    </cfRule>
  </conditionalFormatting>
  <conditionalFormatting sqref="A594:D594">
    <cfRule type="expression" dxfId="3" priority="2967">
      <formula>COUNTIF($A594, "TRUE") = 1</formula>
    </cfRule>
    <cfRule type="expression" dxfId="4" priority="2968">
      <formula>COUNTIF($A594, "FALSE") = 1</formula>
    </cfRule>
    <cfRule type="notContainsBlanks" dxfId="1" priority="2969">
      <formula>LEN(TRIM(A594))&gt;0</formula>
    </cfRule>
  </conditionalFormatting>
  <conditionalFormatting sqref="A595">
    <cfRule type="notContainsBlanks" dxfId="5" priority="2975">
      <formula>LEN(TRIM(A595))&gt;0</formula>
    </cfRule>
  </conditionalFormatting>
  <conditionalFormatting sqref="A595:D595">
    <cfRule type="expression" dxfId="3" priority="2972">
      <formula>COUNTIF($A595, "TRUE") = 1</formula>
    </cfRule>
    <cfRule type="expression" dxfId="4" priority="2973">
      <formula>COUNTIF($A595, "FALSE") = 1</formula>
    </cfRule>
    <cfRule type="notContainsBlanks" dxfId="1" priority="2974">
      <formula>LEN(TRIM(A595))&gt;0</formula>
    </cfRule>
  </conditionalFormatting>
  <conditionalFormatting sqref="A596">
    <cfRule type="notContainsBlanks" dxfId="5" priority="2980">
      <formula>LEN(TRIM(A596))&gt;0</formula>
    </cfRule>
  </conditionalFormatting>
  <conditionalFormatting sqref="A596:D596">
    <cfRule type="expression" dxfId="3" priority="2977">
      <formula>COUNTIF($A596, "TRUE") = 1</formula>
    </cfRule>
    <cfRule type="expression" dxfId="4" priority="2978">
      <formula>COUNTIF($A596, "FALSE") = 1</formula>
    </cfRule>
    <cfRule type="notContainsBlanks" dxfId="1" priority="2979">
      <formula>LEN(TRIM(A596))&gt;0</formula>
    </cfRule>
  </conditionalFormatting>
  <conditionalFormatting sqref="A597">
    <cfRule type="notContainsBlanks" dxfId="5" priority="2985">
      <formula>LEN(TRIM(A597))&gt;0</formula>
    </cfRule>
  </conditionalFormatting>
  <conditionalFormatting sqref="A597:D597">
    <cfRule type="expression" dxfId="3" priority="2982">
      <formula>COUNTIF($A597, "TRUE") = 1</formula>
    </cfRule>
    <cfRule type="expression" dxfId="4" priority="2983">
      <formula>COUNTIF($A597, "FALSE") = 1</formula>
    </cfRule>
    <cfRule type="notContainsBlanks" dxfId="1" priority="2984">
      <formula>LEN(TRIM(A597))&gt;0</formula>
    </cfRule>
  </conditionalFormatting>
  <conditionalFormatting sqref="A598">
    <cfRule type="notContainsBlanks" dxfId="5" priority="2990">
      <formula>LEN(TRIM(A598))&gt;0</formula>
    </cfRule>
  </conditionalFormatting>
  <conditionalFormatting sqref="A598:D598">
    <cfRule type="expression" dxfId="3" priority="2987">
      <formula>COUNTIF($A598, "TRUE") = 1</formula>
    </cfRule>
    <cfRule type="expression" dxfId="4" priority="2988">
      <formula>COUNTIF($A598, "FALSE") = 1</formula>
    </cfRule>
    <cfRule type="notContainsBlanks" dxfId="1" priority="2989">
      <formula>LEN(TRIM(A598))&gt;0</formula>
    </cfRule>
  </conditionalFormatting>
  <conditionalFormatting sqref="A599">
    <cfRule type="notContainsBlanks" dxfId="5" priority="2995">
      <formula>LEN(TRIM(A599))&gt;0</formula>
    </cfRule>
  </conditionalFormatting>
  <conditionalFormatting sqref="A599:D599">
    <cfRule type="expression" dxfId="3" priority="2992">
      <formula>COUNTIF($A599, "TRUE") = 1</formula>
    </cfRule>
    <cfRule type="expression" dxfId="4" priority="2993">
      <formula>COUNTIF($A599, "FALSE") = 1</formula>
    </cfRule>
    <cfRule type="notContainsBlanks" dxfId="1" priority="2994">
      <formula>LEN(TRIM(A599))&gt;0</formula>
    </cfRule>
  </conditionalFormatting>
  <conditionalFormatting sqref="A59:D59">
    <cfRule type="expression" dxfId="3" priority="292">
      <formula>COUNTIF($A59, "TRUE") = 1</formula>
    </cfRule>
    <cfRule type="expression" dxfId="4" priority="293">
      <formula>COUNTIF($A59, "FALSE") = 1</formula>
    </cfRule>
    <cfRule type="notContainsBlanks" dxfId="1" priority="294">
      <formula>LEN(TRIM(A59))&gt;0</formula>
    </cfRule>
  </conditionalFormatting>
  <conditionalFormatting sqref="A5:D5">
    <cfRule type="expression" dxfId="3" priority="22">
      <formula>COUNTIF($A5, "TRUE") = 1</formula>
    </cfRule>
    <cfRule type="expression" dxfId="4" priority="23">
      <formula>COUNTIF($A5, "FALSE") = 1</formula>
    </cfRule>
    <cfRule type="notContainsBlanks" dxfId="1" priority="24">
      <formula>LEN(TRIM(A5))&gt;0</formula>
    </cfRule>
  </conditionalFormatting>
  <conditionalFormatting sqref="A6">
    <cfRule type="notContainsBlanks" dxfId="5" priority="30">
      <formula>LEN(TRIM(A6))&gt;0</formula>
    </cfRule>
  </conditionalFormatting>
  <conditionalFormatting sqref="A60">
    <cfRule type="notContainsBlanks" dxfId="5" priority="300">
      <formula>LEN(TRIM(A60))&gt;0</formula>
    </cfRule>
  </conditionalFormatting>
  <conditionalFormatting sqref="A600">
    <cfRule type="notContainsBlanks" dxfId="5" priority="3000">
      <formula>LEN(TRIM(A600))&gt;0</formula>
    </cfRule>
  </conditionalFormatting>
  <conditionalFormatting sqref="A600:D600">
    <cfRule type="expression" dxfId="3" priority="2997">
      <formula>COUNTIF($A600, "TRUE") = 1</formula>
    </cfRule>
    <cfRule type="expression" dxfId="4" priority="2998">
      <formula>COUNTIF($A600, "FALSE") = 1</formula>
    </cfRule>
    <cfRule type="notContainsBlanks" dxfId="1" priority="2999">
      <formula>LEN(TRIM(A600))&gt;0</formula>
    </cfRule>
  </conditionalFormatting>
  <conditionalFormatting sqref="A601">
    <cfRule type="notContainsBlanks" dxfId="5" priority="3005">
      <formula>LEN(TRIM(A601))&gt;0</formula>
    </cfRule>
  </conditionalFormatting>
  <conditionalFormatting sqref="A601:D601">
    <cfRule type="expression" dxfId="3" priority="3002">
      <formula>COUNTIF($A601, "TRUE") = 1</formula>
    </cfRule>
    <cfRule type="expression" dxfId="4" priority="3003">
      <formula>COUNTIF($A601, "FALSE") = 1</formula>
    </cfRule>
    <cfRule type="notContainsBlanks" dxfId="1" priority="3004">
      <formula>LEN(TRIM(A601))&gt;0</formula>
    </cfRule>
  </conditionalFormatting>
  <conditionalFormatting sqref="A602">
    <cfRule type="notContainsBlanks" dxfId="5" priority="3010">
      <formula>LEN(TRIM(A602))&gt;0</formula>
    </cfRule>
  </conditionalFormatting>
  <conditionalFormatting sqref="A602:D602">
    <cfRule type="expression" dxfId="3" priority="3007">
      <formula>COUNTIF($A602, "TRUE") = 1</formula>
    </cfRule>
    <cfRule type="expression" dxfId="4" priority="3008">
      <formula>COUNTIF($A602, "FALSE") = 1</formula>
    </cfRule>
    <cfRule type="notContainsBlanks" dxfId="1" priority="3009">
      <formula>LEN(TRIM(A602))&gt;0</formula>
    </cfRule>
  </conditionalFormatting>
  <conditionalFormatting sqref="A603">
    <cfRule type="notContainsBlanks" dxfId="5" priority="3015">
      <formula>LEN(TRIM(A603))&gt;0</formula>
    </cfRule>
  </conditionalFormatting>
  <conditionalFormatting sqref="A603:D603">
    <cfRule type="expression" dxfId="3" priority="3012">
      <formula>COUNTIF($A603, "TRUE") = 1</formula>
    </cfRule>
    <cfRule type="expression" dxfId="4" priority="3013">
      <formula>COUNTIF($A603, "FALSE") = 1</formula>
    </cfRule>
    <cfRule type="notContainsBlanks" dxfId="1" priority="3014">
      <formula>LEN(TRIM(A603))&gt;0</formula>
    </cfRule>
  </conditionalFormatting>
  <conditionalFormatting sqref="A604">
    <cfRule type="notContainsBlanks" dxfId="5" priority="3020">
      <formula>LEN(TRIM(A604))&gt;0</formula>
    </cfRule>
  </conditionalFormatting>
  <conditionalFormatting sqref="A604:D604">
    <cfRule type="expression" dxfId="3" priority="3017">
      <formula>COUNTIF($A604, "TRUE") = 1</formula>
    </cfRule>
    <cfRule type="expression" dxfId="4" priority="3018">
      <formula>COUNTIF($A604, "FALSE") = 1</formula>
    </cfRule>
    <cfRule type="notContainsBlanks" dxfId="1" priority="3019">
      <formula>LEN(TRIM(A604))&gt;0</formula>
    </cfRule>
  </conditionalFormatting>
  <conditionalFormatting sqref="A605">
    <cfRule type="notContainsBlanks" dxfId="5" priority="3025">
      <formula>LEN(TRIM(A605))&gt;0</formula>
    </cfRule>
  </conditionalFormatting>
  <conditionalFormatting sqref="A605:D605">
    <cfRule type="expression" dxfId="3" priority="3022">
      <formula>COUNTIF($A605, "TRUE") = 1</formula>
    </cfRule>
    <cfRule type="expression" dxfId="4" priority="3023">
      <formula>COUNTIF($A605, "FALSE") = 1</formula>
    </cfRule>
    <cfRule type="notContainsBlanks" dxfId="1" priority="3024">
      <formula>LEN(TRIM(A605))&gt;0</formula>
    </cfRule>
  </conditionalFormatting>
  <conditionalFormatting sqref="A606">
    <cfRule type="notContainsBlanks" dxfId="5" priority="3030">
      <formula>LEN(TRIM(A606))&gt;0</formula>
    </cfRule>
  </conditionalFormatting>
  <conditionalFormatting sqref="A606:D606">
    <cfRule type="expression" dxfId="3" priority="3027">
      <formula>COUNTIF($A606, "TRUE") = 1</formula>
    </cfRule>
    <cfRule type="expression" dxfId="4" priority="3028">
      <formula>COUNTIF($A606, "FALSE") = 1</formula>
    </cfRule>
    <cfRule type="notContainsBlanks" dxfId="1" priority="3029">
      <formula>LEN(TRIM(A606))&gt;0</formula>
    </cfRule>
  </conditionalFormatting>
  <conditionalFormatting sqref="A607">
    <cfRule type="notContainsBlanks" dxfId="5" priority="3035">
      <formula>LEN(TRIM(A607))&gt;0</formula>
    </cfRule>
  </conditionalFormatting>
  <conditionalFormatting sqref="A607:D607">
    <cfRule type="expression" dxfId="3" priority="3032">
      <formula>COUNTIF($A607, "TRUE") = 1</formula>
    </cfRule>
    <cfRule type="expression" dxfId="4" priority="3033">
      <formula>COUNTIF($A607, "FALSE") = 1</formula>
    </cfRule>
    <cfRule type="notContainsBlanks" dxfId="1" priority="3034">
      <formula>LEN(TRIM(A607))&gt;0</formula>
    </cfRule>
  </conditionalFormatting>
  <conditionalFormatting sqref="A608">
    <cfRule type="notContainsBlanks" dxfId="5" priority="3040">
      <formula>LEN(TRIM(A608))&gt;0</formula>
    </cfRule>
  </conditionalFormatting>
  <conditionalFormatting sqref="A608:D608">
    <cfRule type="expression" dxfId="3" priority="3037">
      <formula>COUNTIF($A608, "TRUE") = 1</formula>
    </cfRule>
    <cfRule type="expression" dxfId="4" priority="3038">
      <formula>COUNTIF($A608, "FALSE") = 1</formula>
    </cfRule>
    <cfRule type="notContainsBlanks" dxfId="1" priority="3039">
      <formula>LEN(TRIM(A608))&gt;0</formula>
    </cfRule>
  </conditionalFormatting>
  <conditionalFormatting sqref="A609">
    <cfRule type="notContainsBlanks" dxfId="5" priority="3045">
      <formula>LEN(TRIM(A609))&gt;0</formula>
    </cfRule>
  </conditionalFormatting>
  <conditionalFormatting sqref="A609:D609">
    <cfRule type="expression" dxfId="3" priority="3042">
      <formula>COUNTIF($A609, "TRUE") = 1</formula>
    </cfRule>
    <cfRule type="expression" dxfId="4" priority="3043">
      <formula>COUNTIF($A609, "FALSE") = 1</formula>
    </cfRule>
    <cfRule type="notContainsBlanks" dxfId="1" priority="3044">
      <formula>LEN(TRIM(A609))&gt;0</formula>
    </cfRule>
  </conditionalFormatting>
  <conditionalFormatting sqref="A60:D60">
    <cfRule type="expression" dxfId="3" priority="297">
      <formula>COUNTIF($A60, "TRUE") = 1</formula>
    </cfRule>
    <cfRule type="expression" dxfId="4" priority="298">
      <formula>COUNTIF($A60, "FALSE") = 1</formula>
    </cfRule>
    <cfRule type="notContainsBlanks" dxfId="1" priority="299">
      <formula>LEN(TRIM(A60))&gt;0</formula>
    </cfRule>
  </conditionalFormatting>
  <conditionalFormatting sqref="A61">
    <cfRule type="notContainsBlanks" dxfId="5" priority="305">
      <formula>LEN(TRIM(A61))&gt;0</formula>
    </cfRule>
  </conditionalFormatting>
  <conditionalFormatting sqref="A610">
    <cfRule type="notContainsBlanks" dxfId="5" priority="3050">
      <formula>LEN(TRIM(A610))&gt;0</formula>
    </cfRule>
  </conditionalFormatting>
  <conditionalFormatting sqref="A610:D610">
    <cfRule type="expression" dxfId="3" priority="3047">
      <formula>COUNTIF($A610, "TRUE") = 1</formula>
    </cfRule>
    <cfRule type="expression" dxfId="4" priority="3048">
      <formula>COUNTIF($A610, "FALSE") = 1</formula>
    </cfRule>
    <cfRule type="notContainsBlanks" dxfId="1" priority="3049">
      <formula>LEN(TRIM(A610))&gt;0</formula>
    </cfRule>
  </conditionalFormatting>
  <conditionalFormatting sqref="A611">
    <cfRule type="notContainsBlanks" dxfId="5" priority="3055">
      <formula>LEN(TRIM(A611))&gt;0</formula>
    </cfRule>
  </conditionalFormatting>
  <conditionalFormatting sqref="A611:D611">
    <cfRule type="expression" dxfId="3" priority="3052">
      <formula>COUNTIF($A611, "TRUE") = 1</formula>
    </cfRule>
    <cfRule type="expression" dxfId="4" priority="3053">
      <formula>COUNTIF($A611, "FALSE") = 1</formula>
    </cfRule>
    <cfRule type="notContainsBlanks" dxfId="1" priority="3054">
      <formula>LEN(TRIM(A611))&gt;0</formula>
    </cfRule>
  </conditionalFormatting>
  <conditionalFormatting sqref="A612">
    <cfRule type="notContainsBlanks" dxfId="5" priority="3060">
      <formula>LEN(TRIM(A612))&gt;0</formula>
    </cfRule>
  </conditionalFormatting>
  <conditionalFormatting sqref="A612:D612">
    <cfRule type="expression" dxfId="3" priority="3057">
      <formula>COUNTIF($A612, "TRUE") = 1</formula>
    </cfRule>
    <cfRule type="expression" dxfId="4" priority="3058">
      <formula>COUNTIF($A612, "FALSE") = 1</formula>
    </cfRule>
    <cfRule type="notContainsBlanks" dxfId="1" priority="3059">
      <formula>LEN(TRIM(A612))&gt;0</formula>
    </cfRule>
  </conditionalFormatting>
  <conditionalFormatting sqref="A613">
    <cfRule type="notContainsBlanks" dxfId="5" priority="3065">
      <formula>LEN(TRIM(A613))&gt;0</formula>
    </cfRule>
  </conditionalFormatting>
  <conditionalFormatting sqref="A613:D613">
    <cfRule type="expression" dxfId="3" priority="3062">
      <formula>COUNTIF($A613, "TRUE") = 1</formula>
    </cfRule>
    <cfRule type="expression" dxfId="4" priority="3063">
      <formula>COUNTIF($A613, "FALSE") = 1</formula>
    </cfRule>
    <cfRule type="notContainsBlanks" dxfId="1" priority="3064">
      <formula>LEN(TRIM(A613))&gt;0</formula>
    </cfRule>
  </conditionalFormatting>
  <conditionalFormatting sqref="A614">
    <cfRule type="notContainsBlanks" dxfId="5" priority="3070">
      <formula>LEN(TRIM(A614))&gt;0</formula>
    </cfRule>
  </conditionalFormatting>
  <conditionalFormatting sqref="A614:D614">
    <cfRule type="expression" dxfId="3" priority="3067">
      <formula>COUNTIF($A614, "TRUE") = 1</formula>
    </cfRule>
    <cfRule type="expression" dxfId="4" priority="3068">
      <formula>COUNTIF($A614, "FALSE") = 1</formula>
    </cfRule>
    <cfRule type="notContainsBlanks" dxfId="1" priority="3069">
      <formula>LEN(TRIM(A614))&gt;0</formula>
    </cfRule>
  </conditionalFormatting>
  <conditionalFormatting sqref="A615">
    <cfRule type="notContainsBlanks" dxfId="5" priority="3075">
      <formula>LEN(TRIM(A615))&gt;0</formula>
    </cfRule>
  </conditionalFormatting>
  <conditionalFormatting sqref="A615:D615">
    <cfRule type="expression" dxfId="3" priority="3072">
      <formula>COUNTIF($A615, "TRUE") = 1</formula>
    </cfRule>
    <cfRule type="expression" dxfId="4" priority="3073">
      <formula>COUNTIF($A615, "FALSE") = 1</formula>
    </cfRule>
    <cfRule type="notContainsBlanks" dxfId="1" priority="3074">
      <formula>LEN(TRIM(A615))&gt;0</formula>
    </cfRule>
  </conditionalFormatting>
  <conditionalFormatting sqref="A616">
    <cfRule type="notContainsBlanks" dxfId="5" priority="3080">
      <formula>LEN(TRIM(A616))&gt;0</formula>
    </cfRule>
  </conditionalFormatting>
  <conditionalFormatting sqref="A616:D616">
    <cfRule type="expression" dxfId="3" priority="3077">
      <formula>COUNTIF($A616, "TRUE") = 1</formula>
    </cfRule>
    <cfRule type="expression" dxfId="4" priority="3078">
      <formula>COUNTIF($A616, "FALSE") = 1</formula>
    </cfRule>
    <cfRule type="notContainsBlanks" dxfId="1" priority="3079">
      <formula>LEN(TRIM(A616))&gt;0</formula>
    </cfRule>
  </conditionalFormatting>
  <conditionalFormatting sqref="A617">
    <cfRule type="notContainsBlanks" dxfId="5" priority="3085">
      <formula>LEN(TRIM(A617))&gt;0</formula>
    </cfRule>
  </conditionalFormatting>
  <conditionalFormatting sqref="A617:D617">
    <cfRule type="expression" dxfId="3" priority="3082">
      <formula>COUNTIF($A617, "TRUE") = 1</formula>
    </cfRule>
    <cfRule type="expression" dxfId="4" priority="3083">
      <formula>COUNTIF($A617, "FALSE") = 1</formula>
    </cfRule>
    <cfRule type="notContainsBlanks" dxfId="1" priority="3084">
      <formula>LEN(TRIM(A617))&gt;0</formula>
    </cfRule>
  </conditionalFormatting>
  <conditionalFormatting sqref="A618">
    <cfRule type="notContainsBlanks" dxfId="5" priority="3090">
      <formula>LEN(TRIM(A618))&gt;0</formula>
    </cfRule>
  </conditionalFormatting>
  <conditionalFormatting sqref="A618:D618">
    <cfRule type="expression" dxfId="3" priority="3087">
      <formula>COUNTIF($A618, "TRUE") = 1</formula>
    </cfRule>
    <cfRule type="expression" dxfId="4" priority="3088">
      <formula>COUNTIF($A618, "FALSE") = 1</formula>
    </cfRule>
    <cfRule type="notContainsBlanks" dxfId="1" priority="3089">
      <formula>LEN(TRIM(A618))&gt;0</formula>
    </cfRule>
  </conditionalFormatting>
  <conditionalFormatting sqref="A619">
    <cfRule type="notContainsBlanks" dxfId="5" priority="3095">
      <formula>LEN(TRIM(A619))&gt;0</formula>
    </cfRule>
  </conditionalFormatting>
  <conditionalFormatting sqref="A619:D619">
    <cfRule type="expression" dxfId="3" priority="3092">
      <formula>COUNTIF($A619, "TRUE") = 1</formula>
    </cfRule>
    <cfRule type="expression" dxfId="4" priority="3093">
      <formula>COUNTIF($A619, "FALSE") = 1</formula>
    </cfRule>
    <cfRule type="notContainsBlanks" dxfId="1" priority="3094">
      <formula>LEN(TRIM(A619))&gt;0</formula>
    </cfRule>
  </conditionalFormatting>
  <conditionalFormatting sqref="A61:D61">
    <cfRule type="expression" dxfId="3" priority="302">
      <formula>COUNTIF($A61, "TRUE") = 1</formula>
    </cfRule>
    <cfRule type="expression" dxfId="4" priority="303">
      <formula>COUNTIF($A61, "FALSE") = 1</formula>
    </cfRule>
    <cfRule type="notContainsBlanks" dxfId="1" priority="304">
      <formula>LEN(TRIM(A61))&gt;0</formula>
    </cfRule>
  </conditionalFormatting>
  <conditionalFormatting sqref="A62">
    <cfRule type="notContainsBlanks" dxfId="5" priority="310">
      <formula>LEN(TRIM(A62))&gt;0</formula>
    </cfRule>
  </conditionalFormatting>
  <conditionalFormatting sqref="A620">
    <cfRule type="notContainsBlanks" dxfId="5" priority="3100">
      <formula>LEN(TRIM(A620))&gt;0</formula>
    </cfRule>
  </conditionalFormatting>
  <conditionalFormatting sqref="A620:D620">
    <cfRule type="expression" dxfId="3" priority="3097">
      <formula>COUNTIF($A620, "TRUE") = 1</formula>
    </cfRule>
    <cfRule type="expression" dxfId="4" priority="3098">
      <formula>COUNTIF($A620, "FALSE") = 1</formula>
    </cfRule>
    <cfRule type="notContainsBlanks" dxfId="1" priority="3099">
      <formula>LEN(TRIM(A620))&gt;0</formula>
    </cfRule>
  </conditionalFormatting>
  <conditionalFormatting sqref="A621">
    <cfRule type="notContainsBlanks" dxfId="5" priority="3105">
      <formula>LEN(TRIM(A621))&gt;0</formula>
    </cfRule>
  </conditionalFormatting>
  <conditionalFormatting sqref="A621:D621">
    <cfRule type="expression" dxfId="3" priority="3102">
      <formula>COUNTIF($A621, "TRUE") = 1</formula>
    </cfRule>
    <cfRule type="expression" dxfId="4" priority="3103">
      <formula>COUNTIF($A621, "FALSE") = 1</formula>
    </cfRule>
    <cfRule type="notContainsBlanks" dxfId="1" priority="3104">
      <formula>LEN(TRIM(A621))&gt;0</formula>
    </cfRule>
  </conditionalFormatting>
  <conditionalFormatting sqref="A622">
    <cfRule type="notContainsBlanks" dxfId="5" priority="3110">
      <formula>LEN(TRIM(A622))&gt;0</formula>
    </cfRule>
  </conditionalFormatting>
  <conditionalFormatting sqref="A622:D622">
    <cfRule type="expression" dxfId="3" priority="3107">
      <formula>COUNTIF($A622, "TRUE") = 1</formula>
    </cfRule>
    <cfRule type="expression" dxfId="4" priority="3108">
      <formula>COUNTIF($A622, "FALSE") = 1</formula>
    </cfRule>
    <cfRule type="notContainsBlanks" dxfId="1" priority="3109">
      <formula>LEN(TRIM(A622))&gt;0</formula>
    </cfRule>
  </conditionalFormatting>
  <conditionalFormatting sqref="A623">
    <cfRule type="notContainsBlanks" dxfId="5" priority="3115">
      <formula>LEN(TRIM(A623))&gt;0</formula>
    </cfRule>
  </conditionalFormatting>
  <conditionalFormatting sqref="A623:D623">
    <cfRule type="expression" dxfId="3" priority="3112">
      <formula>COUNTIF($A623, "TRUE") = 1</formula>
    </cfRule>
    <cfRule type="expression" dxfId="4" priority="3113">
      <formula>COUNTIF($A623, "FALSE") = 1</formula>
    </cfRule>
    <cfRule type="notContainsBlanks" dxfId="1" priority="3114">
      <formula>LEN(TRIM(A623))&gt;0</formula>
    </cfRule>
  </conditionalFormatting>
  <conditionalFormatting sqref="A624">
    <cfRule type="notContainsBlanks" dxfId="5" priority="3120">
      <formula>LEN(TRIM(A624))&gt;0</formula>
    </cfRule>
  </conditionalFormatting>
  <conditionalFormatting sqref="A624:D624">
    <cfRule type="expression" dxfId="3" priority="3117">
      <formula>COUNTIF($A624, "TRUE") = 1</formula>
    </cfRule>
    <cfRule type="expression" dxfId="4" priority="3118">
      <formula>COUNTIF($A624, "FALSE") = 1</formula>
    </cfRule>
    <cfRule type="notContainsBlanks" dxfId="1" priority="3119">
      <formula>LEN(TRIM(A624))&gt;0</formula>
    </cfRule>
  </conditionalFormatting>
  <conditionalFormatting sqref="A625">
    <cfRule type="notContainsBlanks" dxfId="5" priority="3125">
      <formula>LEN(TRIM(A625))&gt;0</formula>
    </cfRule>
  </conditionalFormatting>
  <conditionalFormatting sqref="A625:D625">
    <cfRule type="expression" dxfId="3" priority="3122">
      <formula>COUNTIF($A625, "TRUE") = 1</formula>
    </cfRule>
    <cfRule type="expression" dxfId="4" priority="3123">
      <formula>COUNTIF($A625, "FALSE") = 1</formula>
    </cfRule>
    <cfRule type="notContainsBlanks" dxfId="1" priority="3124">
      <formula>LEN(TRIM(A625))&gt;0</formula>
    </cfRule>
  </conditionalFormatting>
  <conditionalFormatting sqref="A626">
    <cfRule type="notContainsBlanks" dxfId="5" priority="3130">
      <formula>LEN(TRIM(A626))&gt;0</formula>
    </cfRule>
  </conditionalFormatting>
  <conditionalFormatting sqref="A626:D626">
    <cfRule type="expression" dxfId="3" priority="3127">
      <formula>COUNTIF($A626, "TRUE") = 1</formula>
    </cfRule>
    <cfRule type="expression" dxfId="4" priority="3128">
      <formula>COUNTIF($A626, "FALSE") = 1</formula>
    </cfRule>
    <cfRule type="notContainsBlanks" dxfId="1" priority="3129">
      <formula>LEN(TRIM(A626))&gt;0</formula>
    </cfRule>
  </conditionalFormatting>
  <conditionalFormatting sqref="A627">
    <cfRule type="notContainsBlanks" dxfId="5" priority="3135">
      <formula>LEN(TRIM(A627))&gt;0</formula>
    </cfRule>
  </conditionalFormatting>
  <conditionalFormatting sqref="A627:D627">
    <cfRule type="expression" dxfId="3" priority="3132">
      <formula>COUNTIF($A627, "TRUE") = 1</formula>
    </cfRule>
    <cfRule type="expression" dxfId="4" priority="3133">
      <formula>COUNTIF($A627, "FALSE") = 1</formula>
    </cfRule>
    <cfRule type="notContainsBlanks" dxfId="1" priority="3134">
      <formula>LEN(TRIM(A627))&gt;0</formula>
    </cfRule>
  </conditionalFormatting>
  <conditionalFormatting sqref="A628">
    <cfRule type="notContainsBlanks" dxfId="5" priority="3140">
      <formula>LEN(TRIM(A628))&gt;0</formula>
    </cfRule>
  </conditionalFormatting>
  <conditionalFormatting sqref="A628:D628">
    <cfRule type="expression" dxfId="3" priority="3137">
      <formula>COUNTIF($A628, "TRUE") = 1</formula>
    </cfRule>
    <cfRule type="expression" dxfId="4" priority="3138">
      <formula>COUNTIF($A628, "FALSE") = 1</formula>
    </cfRule>
    <cfRule type="notContainsBlanks" dxfId="1" priority="3139">
      <formula>LEN(TRIM(A628))&gt;0</formula>
    </cfRule>
  </conditionalFormatting>
  <conditionalFormatting sqref="A629">
    <cfRule type="notContainsBlanks" dxfId="5" priority="3145">
      <formula>LEN(TRIM(A629))&gt;0</formula>
    </cfRule>
  </conditionalFormatting>
  <conditionalFormatting sqref="A629:D629">
    <cfRule type="expression" dxfId="3" priority="3142">
      <formula>COUNTIF($A629, "TRUE") = 1</formula>
    </cfRule>
    <cfRule type="expression" dxfId="4" priority="3143">
      <formula>COUNTIF($A629, "FALSE") = 1</formula>
    </cfRule>
    <cfRule type="notContainsBlanks" dxfId="1" priority="3144">
      <formula>LEN(TRIM(A629))&gt;0</formula>
    </cfRule>
  </conditionalFormatting>
  <conditionalFormatting sqref="A62:D62">
    <cfRule type="expression" dxfId="3" priority="307">
      <formula>COUNTIF($A62, "TRUE") = 1</formula>
    </cfRule>
    <cfRule type="expression" dxfId="4" priority="308">
      <formula>COUNTIF($A62, "FALSE") = 1</formula>
    </cfRule>
    <cfRule type="notContainsBlanks" dxfId="1" priority="309">
      <formula>LEN(TRIM(A62))&gt;0</formula>
    </cfRule>
  </conditionalFormatting>
  <conditionalFormatting sqref="A63">
    <cfRule type="notContainsBlanks" dxfId="5" priority="315">
      <formula>LEN(TRIM(A63))&gt;0</formula>
    </cfRule>
  </conditionalFormatting>
  <conditionalFormatting sqref="A630">
    <cfRule type="notContainsBlanks" dxfId="5" priority="3150">
      <formula>LEN(TRIM(A630))&gt;0</formula>
    </cfRule>
  </conditionalFormatting>
  <conditionalFormatting sqref="A630:D630">
    <cfRule type="expression" dxfId="3" priority="3147">
      <formula>COUNTIF($A630, "TRUE") = 1</formula>
    </cfRule>
    <cfRule type="expression" dxfId="4" priority="3148">
      <formula>COUNTIF($A630, "FALSE") = 1</formula>
    </cfRule>
    <cfRule type="notContainsBlanks" dxfId="1" priority="3149">
      <formula>LEN(TRIM(A630))&gt;0</formula>
    </cfRule>
  </conditionalFormatting>
  <conditionalFormatting sqref="A631">
    <cfRule type="notContainsBlanks" dxfId="5" priority="3155">
      <formula>LEN(TRIM(A631))&gt;0</formula>
    </cfRule>
  </conditionalFormatting>
  <conditionalFormatting sqref="A631:D631">
    <cfRule type="expression" dxfId="3" priority="3152">
      <formula>COUNTIF($A631, "TRUE") = 1</formula>
    </cfRule>
    <cfRule type="expression" dxfId="4" priority="3153">
      <formula>COUNTIF($A631, "FALSE") = 1</formula>
    </cfRule>
    <cfRule type="notContainsBlanks" dxfId="1" priority="3154">
      <formula>LEN(TRIM(A631))&gt;0</formula>
    </cfRule>
  </conditionalFormatting>
  <conditionalFormatting sqref="A632">
    <cfRule type="notContainsBlanks" dxfId="5" priority="3160">
      <formula>LEN(TRIM(A632))&gt;0</formula>
    </cfRule>
  </conditionalFormatting>
  <conditionalFormatting sqref="A632:D632">
    <cfRule type="expression" dxfId="3" priority="3157">
      <formula>COUNTIF($A632, "TRUE") = 1</formula>
    </cfRule>
    <cfRule type="expression" dxfId="4" priority="3158">
      <formula>COUNTIF($A632, "FALSE") = 1</formula>
    </cfRule>
    <cfRule type="notContainsBlanks" dxfId="1" priority="3159">
      <formula>LEN(TRIM(A632))&gt;0</formula>
    </cfRule>
  </conditionalFormatting>
  <conditionalFormatting sqref="A633">
    <cfRule type="notContainsBlanks" dxfId="5" priority="3165">
      <formula>LEN(TRIM(A633))&gt;0</formula>
    </cfRule>
  </conditionalFormatting>
  <conditionalFormatting sqref="A633:D633">
    <cfRule type="expression" dxfId="3" priority="3162">
      <formula>COUNTIF($A633, "TRUE") = 1</formula>
    </cfRule>
    <cfRule type="expression" dxfId="4" priority="3163">
      <formula>COUNTIF($A633, "FALSE") = 1</formula>
    </cfRule>
    <cfRule type="notContainsBlanks" dxfId="1" priority="3164">
      <formula>LEN(TRIM(A633))&gt;0</formula>
    </cfRule>
  </conditionalFormatting>
  <conditionalFormatting sqref="A634">
    <cfRule type="notContainsBlanks" dxfId="5" priority="3170">
      <formula>LEN(TRIM(A634))&gt;0</formula>
    </cfRule>
  </conditionalFormatting>
  <conditionalFormatting sqref="A634:D634">
    <cfRule type="expression" dxfId="3" priority="3167">
      <formula>COUNTIF($A634, "TRUE") = 1</formula>
    </cfRule>
    <cfRule type="expression" dxfId="4" priority="3168">
      <formula>COUNTIF($A634, "FALSE") = 1</formula>
    </cfRule>
    <cfRule type="notContainsBlanks" dxfId="1" priority="3169">
      <formula>LEN(TRIM(A634))&gt;0</formula>
    </cfRule>
  </conditionalFormatting>
  <conditionalFormatting sqref="A635">
    <cfRule type="notContainsBlanks" dxfId="5" priority="3175">
      <formula>LEN(TRIM(A635))&gt;0</formula>
    </cfRule>
  </conditionalFormatting>
  <conditionalFormatting sqref="A635:D635">
    <cfRule type="expression" dxfId="3" priority="3172">
      <formula>COUNTIF($A635, "TRUE") = 1</formula>
    </cfRule>
    <cfRule type="expression" dxfId="4" priority="3173">
      <formula>COUNTIF($A635, "FALSE") = 1</formula>
    </cfRule>
    <cfRule type="notContainsBlanks" dxfId="1" priority="3174">
      <formula>LEN(TRIM(A635))&gt;0</formula>
    </cfRule>
  </conditionalFormatting>
  <conditionalFormatting sqref="A636">
    <cfRule type="notContainsBlanks" dxfId="5" priority="3180">
      <formula>LEN(TRIM(A636))&gt;0</formula>
    </cfRule>
  </conditionalFormatting>
  <conditionalFormatting sqref="A636:D636">
    <cfRule type="expression" dxfId="3" priority="3177">
      <formula>COUNTIF($A636, "TRUE") = 1</formula>
    </cfRule>
    <cfRule type="expression" dxfId="4" priority="3178">
      <formula>COUNTIF($A636, "FALSE") = 1</formula>
    </cfRule>
    <cfRule type="notContainsBlanks" dxfId="1" priority="3179">
      <formula>LEN(TRIM(A636))&gt;0</formula>
    </cfRule>
  </conditionalFormatting>
  <conditionalFormatting sqref="A637">
    <cfRule type="notContainsBlanks" dxfId="5" priority="3185">
      <formula>LEN(TRIM(A637))&gt;0</formula>
    </cfRule>
  </conditionalFormatting>
  <conditionalFormatting sqref="A637:D637">
    <cfRule type="expression" dxfId="3" priority="3182">
      <formula>COUNTIF($A637, "TRUE") = 1</formula>
    </cfRule>
    <cfRule type="expression" dxfId="4" priority="3183">
      <formula>COUNTIF($A637, "FALSE") = 1</formula>
    </cfRule>
    <cfRule type="notContainsBlanks" dxfId="1" priority="3184">
      <formula>LEN(TRIM(A637))&gt;0</formula>
    </cfRule>
  </conditionalFormatting>
  <conditionalFormatting sqref="A638">
    <cfRule type="notContainsBlanks" dxfId="5" priority="3190">
      <formula>LEN(TRIM(A638))&gt;0</formula>
    </cfRule>
  </conditionalFormatting>
  <conditionalFormatting sqref="A638:D638">
    <cfRule type="expression" dxfId="3" priority="3187">
      <formula>COUNTIF($A638, "TRUE") = 1</formula>
    </cfRule>
    <cfRule type="expression" dxfId="4" priority="3188">
      <formula>COUNTIF($A638, "FALSE") = 1</formula>
    </cfRule>
    <cfRule type="notContainsBlanks" dxfId="1" priority="3189">
      <formula>LEN(TRIM(A638))&gt;0</formula>
    </cfRule>
  </conditionalFormatting>
  <conditionalFormatting sqref="A639">
    <cfRule type="notContainsBlanks" dxfId="5" priority="3195">
      <formula>LEN(TRIM(A639))&gt;0</formula>
    </cfRule>
  </conditionalFormatting>
  <conditionalFormatting sqref="A639:D639">
    <cfRule type="expression" dxfId="3" priority="3192">
      <formula>COUNTIF($A639, "TRUE") = 1</formula>
    </cfRule>
    <cfRule type="expression" dxfId="4" priority="3193">
      <formula>COUNTIF($A639, "FALSE") = 1</formula>
    </cfRule>
    <cfRule type="notContainsBlanks" dxfId="1" priority="3194">
      <formula>LEN(TRIM(A639))&gt;0</formula>
    </cfRule>
  </conditionalFormatting>
  <conditionalFormatting sqref="A63:D63">
    <cfRule type="expression" dxfId="3" priority="312">
      <formula>COUNTIF($A63, "TRUE") = 1</formula>
    </cfRule>
    <cfRule type="expression" dxfId="4" priority="313">
      <formula>COUNTIF($A63, "FALSE") = 1</formula>
    </cfRule>
    <cfRule type="notContainsBlanks" dxfId="1" priority="314">
      <formula>LEN(TRIM(A63))&gt;0</formula>
    </cfRule>
  </conditionalFormatting>
  <conditionalFormatting sqref="A64">
    <cfRule type="notContainsBlanks" dxfId="5" priority="320">
      <formula>LEN(TRIM(A64))&gt;0</formula>
    </cfRule>
  </conditionalFormatting>
  <conditionalFormatting sqref="A640">
    <cfRule type="notContainsBlanks" dxfId="5" priority="3200">
      <formula>LEN(TRIM(A640))&gt;0</formula>
    </cfRule>
  </conditionalFormatting>
  <conditionalFormatting sqref="A640:D640">
    <cfRule type="expression" dxfId="3" priority="3197">
      <formula>COUNTIF($A640, "TRUE") = 1</formula>
    </cfRule>
    <cfRule type="expression" dxfId="4" priority="3198">
      <formula>COUNTIF($A640, "FALSE") = 1</formula>
    </cfRule>
    <cfRule type="notContainsBlanks" dxfId="1" priority="3199">
      <formula>LEN(TRIM(A640))&gt;0</formula>
    </cfRule>
  </conditionalFormatting>
  <conditionalFormatting sqref="A641">
    <cfRule type="notContainsBlanks" dxfId="5" priority="3205">
      <formula>LEN(TRIM(A641))&gt;0</formula>
    </cfRule>
  </conditionalFormatting>
  <conditionalFormatting sqref="A641:D641">
    <cfRule type="expression" dxfId="3" priority="3202">
      <formula>COUNTIF($A641, "TRUE") = 1</formula>
    </cfRule>
    <cfRule type="expression" dxfId="4" priority="3203">
      <formula>COUNTIF($A641, "FALSE") = 1</formula>
    </cfRule>
    <cfRule type="notContainsBlanks" dxfId="1" priority="3204">
      <formula>LEN(TRIM(A641))&gt;0</formula>
    </cfRule>
  </conditionalFormatting>
  <conditionalFormatting sqref="A642">
    <cfRule type="notContainsBlanks" dxfId="5" priority="3210">
      <formula>LEN(TRIM(A642))&gt;0</formula>
    </cfRule>
  </conditionalFormatting>
  <conditionalFormatting sqref="A642:D642">
    <cfRule type="expression" dxfId="3" priority="3207">
      <formula>COUNTIF($A642, "TRUE") = 1</formula>
    </cfRule>
    <cfRule type="expression" dxfId="4" priority="3208">
      <formula>COUNTIF($A642, "FALSE") = 1</formula>
    </cfRule>
    <cfRule type="notContainsBlanks" dxfId="1" priority="3209">
      <formula>LEN(TRIM(A642))&gt;0</formula>
    </cfRule>
  </conditionalFormatting>
  <conditionalFormatting sqref="A643">
    <cfRule type="notContainsBlanks" dxfId="5" priority="3215">
      <formula>LEN(TRIM(A643))&gt;0</formula>
    </cfRule>
  </conditionalFormatting>
  <conditionalFormatting sqref="A643:D643">
    <cfRule type="expression" dxfId="3" priority="3212">
      <formula>COUNTIF($A643, "TRUE") = 1</formula>
    </cfRule>
    <cfRule type="expression" dxfId="4" priority="3213">
      <formula>COUNTIF($A643, "FALSE") = 1</formula>
    </cfRule>
    <cfRule type="notContainsBlanks" dxfId="1" priority="3214">
      <formula>LEN(TRIM(A643))&gt;0</formula>
    </cfRule>
  </conditionalFormatting>
  <conditionalFormatting sqref="A644">
    <cfRule type="notContainsBlanks" dxfId="5" priority="3220">
      <formula>LEN(TRIM(A644))&gt;0</formula>
    </cfRule>
  </conditionalFormatting>
  <conditionalFormatting sqref="A644:D644">
    <cfRule type="expression" dxfId="3" priority="3217">
      <formula>COUNTIF($A644, "TRUE") = 1</formula>
    </cfRule>
    <cfRule type="expression" dxfId="4" priority="3218">
      <formula>COUNTIF($A644, "FALSE") = 1</formula>
    </cfRule>
    <cfRule type="notContainsBlanks" dxfId="1" priority="3219">
      <formula>LEN(TRIM(A644))&gt;0</formula>
    </cfRule>
  </conditionalFormatting>
  <conditionalFormatting sqref="A645">
    <cfRule type="notContainsBlanks" dxfId="5" priority="3225">
      <formula>LEN(TRIM(A645))&gt;0</formula>
    </cfRule>
  </conditionalFormatting>
  <conditionalFormatting sqref="A645:D645">
    <cfRule type="expression" dxfId="3" priority="3222">
      <formula>COUNTIF($A645, "TRUE") = 1</formula>
    </cfRule>
    <cfRule type="expression" dxfId="4" priority="3223">
      <formula>COUNTIF($A645, "FALSE") = 1</formula>
    </cfRule>
    <cfRule type="notContainsBlanks" dxfId="1" priority="3224">
      <formula>LEN(TRIM(A645))&gt;0</formula>
    </cfRule>
  </conditionalFormatting>
  <conditionalFormatting sqref="A646">
    <cfRule type="notContainsBlanks" dxfId="5" priority="3230">
      <formula>LEN(TRIM(A646))&gt;0</formula>
    </cfRule>
  </conditionalFormatting>
  <conditionalFormatting sqref="A646:D646">
    <cfRule type="expression" dxfId="3" priority="3227">
      <formula>COUNTIF($A646, "TRUE") = 1</formula>
    </cfRule>
    <cfRule type="expression" dxfId="4" priority="3228">
      <formula>COUNTIF($A646, "FALSE") = 1</formula>
    </cfRule>
    <cfRule type="notContainsBlanks" dxfId="1" priority="3229">
      <formula>LEN(TRIM(A646))&gt;0</formula>
    </cfRule>
  </conditionalFormatting>
  <conditionalFormatting sqref="A647">
    <cfRule type="notContainsBlanks" dxfId="5" priority="3235">
      <formula>LEN(TRIM(A647))&gt;0</formula>
    </cfRule>
  </conditionalFormatting>
  <conditionalFormatting sqref="A647:D647">
    <cfRule type="expression" dxfId="3" priority="3232">
      <formula>COUNTIF($A647, "TRUE") = 1</formula>
    </cfRule>
    <cfRule type="expression" dxfId="4" priority="3233">
      <formula>COUNTIF($A647, "FALSE") = 1</formula>
    </cfRule>
    <cfRule type="notContainsBlanks" dxfId="1" priority="3234">
      <formula>LEN(TRIM(A647))&gt;0</formula>
    </cfRule>
  </conditionalFormatting>
  <conditionalFormatting sqref="A648">
    <cfRule type="notContainsBlanks" dxfId="5" priority="3240">
      <formula>LEN(TRIM(A648))&gt;0</formula>
    </cfRule>
  </conditionalFormatting>
  <conditionalFormatting sqref="A648:D648">
    <cfRule type="expression" dxfId="3" priority="3237">
      <formula>COUNTIF($A648, "TRUE") = 1</formula>
    </cfRule>
    <cfRule type="expression" dxfId="4" priority="3238">
      <formula>COUNTIF($A648, "FALSE") = 1</formula>
    </cfRule>
    <cfRule type="notContainsBlanks" dxfId="1" priority="3239">
      <formula>LEN(TRIM(A648))&gt;0</formula>
    </cfRule>
  </conditionalFormatting>
  <conditionalFormatting sqref="A649">
    <cfRule type="notContainsBlanks" dxfId="5" priority="3245">
      <formula>LEN(TRIM(A649))&gt;0</formula>
    </cfRule>
  </conditionalFormatting>
  <conditionalFormatting sqref="A649:D649">
    <cfRule type="expression" dxfId="3" priority="3242">
      <formula>COUNTIF($A649, "TRUE") = 1</formula>
    </cfRule>
    <cfRule type="expression" dxfId="4" priority="3243">
      <formula>COUNTIF($A649, "FALSE") = 1</formula>
    </cfRule>
    <cfRule type="notContainsBlanks" dxfId="1" priority="3244">
      <formula>LEN(TRIM(A649))&gt;0</formula>
    </cfRule>
  </conditionalFormatting>
  <conditionalFormatting sqref="A64:D64">
    <cfRule type="expression" dxfId="3" priority="317">
      <formula>COUNTIF($A64, "TRUE") = 1</formula>
    </cfRule>
    <cfRule type="expression" dxfId="4" priority="318">
      <formula>COUNTIF($A64, "FALSE") = 1</formula>
    </cfRule>
    <cfRule type="notContainsBlanks" dxfId="1" priority="319">
      <formula>LEN(TRIM(A64))&gt;0</formula>
    </cfRule>
  </conditionalFormatting>
  <conditionalFormatting sqref="A65">
    <cfRule type="notContainsBlanks" dxfId="5" priority="325">
      <formula>LEN(TRIM(A65))&gt;0</formula>
    </cfRule>
  </conditionalFormatting>
  <conditionalFormatting sqref="A650">
    <cfRule type="notContainsBlanks" dxfId="5" priority="3250">
      <formula>LEN(TRIM(A650))&gt;0</formula>
    </cfRule>
  </conditionalFormatting>
  <conditionalFormatting sqref="A650:D650">
    <cfRule type="expression" dxfId="3" priority="3247">
      <formula>COUNTIF($A650, "TRUE") = 1</formula>
    </cfRule>
    <cfRule type="expression" dxfId="4" priority="3248">
      <formula>COUNTIF($A650, "FALSE") = 1</formula>
    </cfRule>
    <cfRule type="notContainsBlanks" dxfId="1" priority="3249">
      <formula>LEN(TRIM(A650))&gt;0</formula>
    </cfRule>
  </conditionalFormatting>
  <conditionalFormatting sqref="A651">
    <cfRule type="notContainsBlanks" dxfId="5" priority="3255">
      <formula>LEN(TRIM(A651))&gt;0</formula>
    </cfRule>
  </conditionalFormatting>
  <conditionalFormatting sqref="A651:D651">
    <cfRule type="expression" dxfId="3" priority="3252">
      <formula>COUNTIF($A651, "TRUE") = 1</formula>
    </cfRule>
    <cfRule type="expression" dxfId="4" priority="3253">
      <formula>COUNTIF($A651, "FALSE") = 1</formula>
    </cfRule>
    <cfRule type="notContainsBlanks" dxfId="1" priority="3254">
      <formula>LEN(TRIM(A651))&gt;0</formula>
    </cfRule>
  </conditionalFormatting>
  <conditionalFormatting sqref="A652">
    <cfRule type="notContainsBlanks" dxfId="5" priority="3260">
      <formula>LEN(TRIM(A652))&gt;0</formula>
    </cfRule>
  </conditionalFormatting>
  <conditionalFormatting sqref="A652:D652">
    <cfRule type="expression" dxfId="3" priority="3257">
      <formula>COUNTIF($A652, "TRUE") = 1</formula>
    </cfRule>
    <cfRule type="expression" dxfId="4" priority="3258">
      <formula>COUNTIF($A652, "FALSE") = 1</formula>
    </cfRule>
    <cfRule type="notContainsBlanks" dxfId="1" priority="3259">
      <formula>LEN(TRIM(A652))&gt;0</formula>
    </cfRule>
  </conditionalFormatting>
  <conditionalFormatting sqref="A653">
    <cfRule type="notContainsBlanks" dxfId="5" priority="3265">
      <formula>LEN(TRIM(A653))&gt;0</formula>
    </cfRule>
  </conditionalFormatting>
  <conditionalFormatting sqref="A653:D653">
    <cfRule type="expression" dxfId="3" priority="3262">
      <formula>COUNTIF($A653, "TRUE") = 1</formula>
    </cfRule>
    <cfRule type="expression" dxfId="4" priority="3263">
      <formula>COUNTIF($A653, "FALSE") = 1</formula>
    </cfRule>
    <cfRule type="notContainsBlanks" dxfId="1" priority="3264">
      <formula>LEN(TRIM(A653))&gt;0</formula>
    </cfRule>
  </conditionalFormatting>
  <conditionalFormatting sqref="A654">
    <cfRule type="notContainsBlanks" dxfId="5" priority="3270">
      <formula>LEN(TRIM(A654))&gt;0</formula>
    </cfRule>
  </conditionalFormatting>
  <conditionalFormatting sqref="A654:D654">
    <cfRule type="expression" dxfId="3" priority="3267">
      <formula>COUNTIF($A654, "TRUE") = 1</formula>
    </cfRule>
    <cfRule type="expression" dxfId="4" priority="3268">
      <formula>COUNTIF($A654, "FALSE") = 1</formula>
    </cfRule>
    <cfRule type="notContainsBlanks" dxfId="1" priority="3269">
      <formula>LEN(TRIM(A654))&gt;0</formula>
    </cfRule>
  </conditionalFormatting>
  <conditionalFormatting sqref="A655">
    <cfRule type="notContainsBlanks" dxfId="5" priority="3275">
      <formula>LEN(TRIM(A655))&gt;0</formula>
    </cfRule>
  </conditionalFormatting>
  <conditionalFormatting sqref="A655:D655">
    <cfRule type="expression" dxfId="3" priority="3272">
      <formula>COUNTIF($A655, "TRUE") = 1</formula>
    </cfRule>
    <cfRule type="expression" dxfId="4" priority="3273">
      <formula>COUNTIF($A655, "FALSE") = 1</formula>
    </cfRule>
    <cfRule type="notContainsBlanks" dxfId="1" priority="3274">
      <formula>LEN(TRIM(A655))&gt;0</formula>
    </cfRule>
  </conditionalFormatting>
  <conditionalFormatting sqref="A656">
    <cfRule type="notContainsBlanks" dxfId="5" priority="3280">
      <formula>LEN(TRIM(A656))&gt;0</formula>
    </cfRule>
  </conditionalFormatting>
  <conditionalFormatting sqref="A656:D656">
    <cfRule type="expression" dxfId="3" priority="3277">
      <formula>COUNTIF($A656, "TRUE") = 1</formula>
    </cfRule>
    <cfRule type="expression" dxfId="4" priority="3278">
      <formula>COUNTIF($A656, "FALSE") = 1</formula>
    </cfRule>
    <cfRule type="notContainsBlanks" dxfId="1" priority="3279">
      <formula>LEN(TRIM(A656))&gt;0</formula>
    </cfRule>
  </conditionalFormatting>
  <conditionalFormatting sqref="A657">
    <cfRule type="notContainsBlanks" dxfId="5" priority="3285">
      <formula>LEN(TRIM(A657))&gt;0</formula>
    </cfRule>
  </conditionalFormatting>
  <conditionalFormatting sqref="A657:D657">
    <cfRule type="expression" dxfId="3" priority="3282">
      <formula>COUNTIF($A657, "TRUE") = 1</formula>
    </cfRule>
    <cfRule type="expression" dxfId="4" priority="3283">
      <formula>COUNTIF($A657, "FALSE") = 1</formula>
    </cfRule>
    <cfRule type="notContainsBlanks" dxfId="1" priority="3284">
      <formula>LEN(TRIM(A657))&gt;0</formula>
    </cfRule>
  </conditionalFormatting>
  <conditionalFormatting sqref="A658">
    <cfRule type="notContainsBlanks" dxfId="5" priority="3290">
      <formula>LEN(TRIM(A658))&gt;0</formula>
    </cfRule>
  </conditionalFormatting>
  <conditionalFormatting sqref="A658:D658">
    <cfRule type="expression" dxfId="3" priority="3287">
      <formula>COUNTIF($A658, "TRUE") = 1</formula>
    </cfRule>
    <cfRule type="expression" dxfId="4" priority="3288">
      <formula>COUNTIF($A658, "FALSE") = 1</formula>
    </cfRule>
    <cfRule type="notContainsBlanks" dxfId="1" priority="3289">
      <formula>LEN(TRIM(A658))&gt;0</formula>
    </cfRule>
  </conditionalFormatting>
  <conditionalFormatting sqref="A659">
    <cfRule type="notContainsBlanks" dxfId="5" priority="3295">
      <formula>LEN(TRIM(A659))&gt;0</formula>
    </cfRule>
  </conditionalFormatting>
  <conditionalFormatting sqref="A659:D659">
    <cfRule type="expression" dxfId="3" priority="3292">
      <formula>COUNTIF($A659, "TRUE") = 1</formula>
    </cfRule>
    <cfRule type="expression" dxfId="4" priority="3293">
      <formula>COUNTIF($A659, "FALSE") = 1</formula>
    </cfRule>
    <cfRule type="notContainsBlanks" dxfId="1" priority="3294">
      <formula>LEN(TRIM(A659))&gt;0</formula>
    </cfRule>
  </conditionalFormatting>
  <conditionalFormatting sqref="A65:D65">
    <cfRule type="expression" dxfId="3" priority="322">
      <formula>COUNTIF($A65, "TRUE") = 1</formula>
    </cfRule>
    <cfRule type="expression" dxfId="4" priority="323">
      <formula>COUNTIF($A65, "FALSE") = 1</formula>
    </cfRule>
    <cfRule type="notContainsBlanks" dxfId="1" priority="324">
      <formula>LEN(TRIM(A65))&gt;0</formula>
    </cfRule>
  </conditionalFormatting>
  <conditionalFormatting sqref="A66">
    <cfRule type="notContainsBlanks" dxfId="5" priority="330">
      <formula>LEN(TRIM(A66))&gt;0</formula>
    </cfRule>
  </conditionalFormatting>
  <conditionalFormatting sqref="A660">
    <cfRule type="notContainsBlanks" dxfId="5" priority="3300">
      <formula>LEN(TRIM(A660))&gt;0</formula>
    </cfRule>
  </conditionalFormatting>
  <conditionalFormatting sqref="A660:D660">
    <cfRule type="expression" dxfId="3" priority="3297">
      <formula>COUNTIF($A660, "TRUE") = 1</formula>
    </cfRule>
    <cfRule type="expression" dxfId="4" priority="3298">
      <formula>COUNTIF($A660, "FALSE") = 1</formula>
    </cfRule>
    <cfRule type="notContainsBlanks" dxfId="1" priority="3299">
      <formula>LEN(TRIM(A660))&gt;0</formula>
    </cfRule>
  </conditionalFormatting>
  <conditionalFormatting sqref="A661">
    <cfRule type="notContainsBlanks" dxfId="5" priority="3305">
      <formula>LEN(TRIM(A661))&gt;0</formula>
    </cfRule>
  </conditionalFormatting>
  <conditionalFormatting sqref="A661:D661">
    <cfRule type="expression" dxfId="3" priority="3302">
      <formula>COUNTIF($A661, "TRUE") = 1</formula>
    </cfRule>
    <cfRule type="expression" dxfId="4" priority="3303">
      <formula>COUNTIF($A661, "FALSE") = 1</formula>
    </cfRule>
    <cfRule type="notContainsBlanks" dxfId="1" priority="3304">
      <formula>LEN(TRIM(A661))&gt;0</formula>
    </cfRule>
  </conditionalFormatting>
  <conditionalFormatting sqref="A662">
    <cfRule type="notContainsBlanks" dxfId="5" priority="3310">
      <formula>LEN(TRIM(A662))&gt;0</formula>
    </cfRule>
  </conditionalFormatting>
  <conditionalFormatting sqref="A662:D662">
    <cfRule type="expression" dxfId="3" priority="3307">
      <formula>COUNTIF($A662, "TRUE") = 1</formula>
    </cfRule>
    <cfRule type="expression" dxfId="4" priority="3308">
      <formula>COUNTIF($A662, "FALSE") = 1</formula>
    </cfRule>
    <cfRule type="notContainsBlanks" dxfId="1" priority="3309">
      <formula>LEN(TRIM(A662))&gt;0</formula>
    </cfRule>
  </conditionalFormatting>
  <conditionalFormatting sqref="A663">
    <cfRule type="notContainsBlanks" dxfId="5" priority="3315">
      <formula>LEN(TRIM(A663))&gt;0</formula>
    </cfRule>
  </conditionalFormatting>
  <conditionalFormatting sqref="A663:D663">
    <cfRule type="expression" dxfId="3" priority="3312">
      <formula>COUNTIF($A663, "TRUE") = 1</formula>
    </cfRule>
    <cfRule type="expression" dxfId="4" priority="3313">
      <formula>COUNTIF($A663, "FALSE") = 1</formula>
    </cfRule>
    <cfRule type="notContainsBlanks" dxfId="1" priority="3314">
      <formula>LEN(TRIM(A663))&gt;0</formula>
    </cfRule>
  </conditionalFormatting>
  <conditionalFormatting sqref="A664">
    <cfRule type="notContainsBlanks" dxfId="5" priority="3320">
      <formula>LEN(TRIM(A664))&gt;0</formula>
    </cfRule>
  </conditionalFormatting>
  <conditionalFormatting sqref="A664:D664">
    <cfRule type="expression" dxfId="3" priority="3317">
      <formula>COUNTIF($A664, "TRUE") = 1</formula>
    </cfRule>
    <cfRule type="expression" dxfId="4" priority="3318">
      <formula>COUNTIF($A664, "FALSE") = 1</formula>
    </cfRule>
    <cfRule type="notContainsBlanks" dxfId="1" priority="3319">
      <formula>LEN(TRIM(A664))&gt;0</formula>
    </cfRule>
  </conditionalFormatting>
  <conditionalFormatting sqref="A665">
    <cfRule type="notContainsBlanks" dxfId="5" priority="3325">
      <formula>LEN(TRIM(A665))&gt;0</formula>
    </cfRule>
  </conditionalFormatting>
  <conditionalFormatting sqref="A665:D665">
    <cfRule type="expression" dxfId="3" priority="3322">
      <formula>COUNTIF($A665, "TRUE") = 1</formula>
    </cfRule>
    <cfRule type="expression" dxfId="4" priority="3323">
      <formula>COUNTIF($A665, "FALSE") = 1</formula>
    </cfRule>
    <cfRule type="notContainsBlanks" dxfId="1" priority="3324">
      <formula>LEN(TRIM(A665))&gt;0</formula>
    </cfRule>
  </conditionalFormatting>
  <conditionalFormatting sqref="A666">
    <cfRule type="notContainsBlanks" dxfId="5" priority="3330">
      <formula>LEN(TRIM(A666))&gt;0</formula>
    </cfRule>
  </conditionalFormatting>
  <conditionalFormatting sqref="A666:D666">
    <cfRule type="expression" dxfId="3" priority="3327">
      <formula>COUNTIF($A666, "TRUE") = 1</formula>
    </cfRule>
    <cfRule type="expression" dxfId="4" priority="3328">
      <formula>COUNTIF($A666, "FALSE") = 1</formula>
    </cfRule>
    <cfRule type="notContainsBlanks" dxfId="1" priority="3329">
      <formula>LEN(TRIM(A666))&gt;0</formula>
    </cfRule>
  </conditionalFormatting>
  <conditionalFormatting sqref="A667">
    <cfRule type="notContainsBlanks" dxfId="5" priority="3335">
      <formula>LEN(TRIM(A667))&gt;0</formula>
    </cfRule>
  </conditionalFormatting>
  <conditionalFormatting sqref="A667:D667">
    <cfRule type="expression" dxfId="3" priority="3332">
      <formula>COUNTIF($A667, "TRUE") = 1</formula>
    </cfRule>
    <cfRule type="expression" dxfId="4" priority="3333">
      <formula>COUNTIF($A667, "FALSE") = 1</formula>
    </cfRule>
    <cfRule type="notContainsBlanks" dxfId="1" priority="3334">
      <formula>LEN(TRIM(A667))&gt;0</formula>
    </cfRule>
  </conditionalFormatting>
  <conditionalFormatting sqref="A668">
    <cfRule type="notContainsBlanks" dxfId="5" priority="3340">
      <formula>LEN(TRIM(A668))&gt;0</formula>
    </cfRule>
  </conditionalFormatting>
  <conditionalFormatting sqref="A668:D668">
    <cfRule type="expression" dxfId="3" priority="3337">
      <formula>COUNTIF($A668, "TRUE") = 1</formula>
    </cfRule>
    <cfRule type="expression" dxfId="4" priority="3338">
      <formula>COUNTIF($A668, "FALSE") = 1</formula>
    </cfRule>
    <cfRule type="notContainsBlanks" dxfId="1" priority="3339">
      <formula>LEN(TRIM(A668))&gt;0</formula>
    </cfRule>
  </conditionalFormatting>
  <conditionalFormatting sqref="A669">
    <cfRule type="notContainsBlanks" dxfId="5" priority="3345">
      <formula>LEN(TRIM(A669))&gt;0</formula>
    </cfRule>
  </conditionalFormatting>
  <conditionalFormatting sqref="A669:D669">
    <cfRule type="expression" dxfId="3" priority="3342">
      <formula>COUNTIF($A669, "TRUE") = 1</formula>
    </cfRule>
    <cfRule type="expression" dxfId="4" priority="3343">
      <formula>COUNTIF($A669, "FALSE") = 1</formula>
    </cfRule>
    <cfRule type="notContainsBlanks" dxfId="1" priority="3344">
      <formula>LEN(TRIM(A669))&gt;0</formula>
    </cfRule>
  </conditionalFormatting>
  <conditionalFormatting sqref="A66:D66">
    <cfRule type="expression" dxfId="3" priority="327">
      <formula>COUNTIF($A66, "TRUE") = 1</formula>
    </cfRule>
    <cfRule type="expression" dxfId="4" priority="328">
      <formula>COUNTIF($A66, "FALSE") = 1</formula>
    </cfRule>
    <cfRule type="notContainsBlanks" dxfId="1" priority="329">
      <formula>LEN(TRIM(A66))&gt;0</formula>
    </cfRule>
  </conditionalFormatting>
  <conditionalFormatting sqref="A67">
    <cfRule type="notContainsBlanks" dxfId="5" priority="335">
      <formula>LEN(TRIM(A67))&gt;0</formula>
    </cfRule>
  </conditionalFormatting>
  <conditionalFormatting sqref="A670">
    <cfRule type="notContainsBlanks" dxfId="5" priority="3350">
      <formula>LEN(TRIM(A670))&gt;0</formula>
    </cfRule>
  </conditionalFormatting>
  <conditionalFormatting sqref="A670:D670">
    <cfRule type="expression" dxfId="3" priority="3347">
      <formula>COUNTIF($A670, "TRUE") = 1</formula>
    </cfRule>
    <cfRule type="expression" dxfId="4" priority="3348">
      <formula>COUNTIF($A670, "FALSE") = 1</formula>
    </cfRule>
    <cfRule type="notContainsBlanks" dxfId="1" priority="3349">
      <formula>LEN(TRIM(A670))&gt;0</formula>
    </cfRule>
  </conditionalFormatting>
  <conditionalFormatting sqref="A671">
    <cfRule type="notContainsBlanks" dxfId="5" priority="3355">
      <formula>LEN(TRIM(A671))&gt;0</formula>
    </cfRule>
  </conditionalFormatting>
  <conditionalFormatting sqref="A671:D671">
    <cfRule type="expression" dxfId="3" priority="3352">
      <formula>COUNTIF($A671, "TRUE") = 1</formula>
    </cfRule>
    <cfRule type="expression" dxfId="4" priority="3353">
      <formula>COUNTIF($A671, "FALSE") = 1</formula>
    </cfRule>
    <cfRule type="notContainsBlanks" dxfId="1" priority="3354">
      <formula>LEN(TRIM(A671))&gt;0</formula>
    </cfRule>
  </conditionalFormatting>
  <conditionalFormatting sqref="A672">
    <cfRule type="notContainsBlanks" dxfId="5" priority="3360">
      <formula>LEN(TRIM(A672))&gt;0</formula>
    </cfRule>
  </conditionalFormatting>
  <conditionalFormatting sqref="A672:D672">
    <cfRule type="expression" dxfId="3" priority="3357">
      <formula>COUNTIF($A672, "TRUE") = 1</formula>
    </cfRule>
    <cfRule type="expression" dxfId="4" priority="3358">
      <formula>COUNTIF($A672, "FALSE") = 1</formula>
    </cfRule>
    <cfRule type="notContainsBlanks" dxfId="1" priority="3359">
      <formula>LEN(TRIM(A672))&gt;0</formula>
    </cfRule>
  </conditionalFormatting>
  <conditionalFormatting sqref="A673">
    <cfRule type="notContainsBlanks" dxfId="5" priority="3365">
      <formula>LEN(TRIM(A673))&gt;0</formula>
    </cfRule>
  </conditionalFormatting>
  <conditionalFormatting sqref="A673:D673">
    <cfRule type="expression" dxfId="3" priority="3362">
      <formula>COUNTIF($A673, "TRUE") = 1</formula>
    </cfRule>
    <cfRule type="expression" dxfId="4" priority="3363">
      <formula>COUNTIF($A673, "FALSE") = 1</formula>
    </cfRule>
    <cfRule type="notContainsBlanks" dxfId="1" priority="3364">
      <formula>LEN(TRIM(A673))&gt;0</formula>
    </cfRule>
  </conditionalFormatting>
  <conditionalFormatting sqref="A674">
    <cfRule type="notContainsBlanks" dxfId="5" priority="3370">
      <formula>LEN(TRIM(A674))&gt;0</formula>
    </cfRule>
  </conditionalFormatting>
  <conditionalFormatting sqref="A674:D674">
    <cfRule type="expression" dxfId="3" priority="3367">
      <formula>COUNTIF($A674, "TRUE") = 1</formula>
    </cfRule>
    <cfRule type="expression" dxfId="4" priority="3368">
      <formula>COUNTIF($A674, "FALSE") = 1</formula>
    </cfRule>
    <cfRule type="notContainsBlanks" dxfId="1" priority="3369">
      <formula>LEN(TRIM(A674))&gt;0</formula>
    </cfRule>
  </conditionalFormatting>
  <conditionalFormatting sqref="A675">
    <cfRule type="notContainsBlanks" dxfId="5" priority="3375">
      <formula>LEN(TRIM(A675))&gt;0</formula>
    </cfRule>
  </conditionalFormatting>
  <conditionalFormatting sqref="A675:D675">
    <cfRule type="expression" dxfId="3" priority="3372">
      <formula>COUNTIF($A675, "TRUE") = 1</formula>
    </cfRule>
    <cfRule type="expression" dxfId="4" priority="3373">
      <formula>COUNTIF($A675, "FALSE") = 1</formula>
    </cfRule>
    <cfRule type="notContainsBlanks" dxfId="1" priority="3374">
      <formula>LEN(TRIM(A675))&gt;0</formula>
    </cfRule>
  </conditionalFormatting>
  <conditionalFormatting sqref="A676">
    <cfRule type="notContainsBlanks" dxfId="5" priority="3380">
      <formula>LEN(TRIM(A676))&gt;0</formula>
    </cfRule>
  </conditionalFormatting>
  <conditionalFormatting sqref="A676:D676">
    <cfRule type="expression" dxfId="3" priority="3377">
      <formula>COUNTIF($A676, "TRUE") = 1</formula>
    </cfRule>
    <cfRule type="expression" dxfId="4" priority="3378">
      <formula>COUNTIF($A676, "FALSE") = 1</formula>
    </cfRule>
    <cfRule type="notContainsBlanks" dxfId="1" priority="3379">
      <formula>LEN(TRIM(A676))&gt;0</formula>
    </cfRule>
  </conditionalFormatting>
  <conditionalFormatting sqref="A677">
    <cfRule type="notContainsBlanks" dxfId="5" priority="3385">
      <formula>LEN(TRIM(A677))&gt;0</formula>
    </cfRule>
  </conditionalFormatting>
  <conditionalFormatting sqref="A677:D677">
    <cfRule type="expression" dxfId="3" priority="3382">
      <formula>COUNTIF($A677, "TRUE") = 1</formula>
    </cfRule>
    <cfRule type="expression" dxfId="4" priority="3383">
      <formula>COUNTIF($A677, "FALSE") = 1</formula>
    </cfRule>
    <cfRule type="notContainsBlanks" dxfId="1" priority="3384">
      <formula>LEN(TRIM(A677))&gt;0</formula>
    </cfRule>
  </conditionalFormatting>
  <conditionalFormatting sqref="A678">
    <cfRule type="notContainsBlanks" dxfId="5" priority="3390">
      <formula>LEN(TRIM(A678))&gt;0</formula>
    </cfRule>
  </conditionalFormatting>
  <conditionalFormatting sqref="A678:D678">
    <cfRule type="expression" dxfId="3" priority="3387">
      <formula>COUNTIF($A678, "TRUE") = 1</formula>
    </cfRule>
    <cfRule type="expression" dxfId="4" priority="3388">
      <formula>COUNTIF($A678, "FALSE") = 1</formula>
    </cfRule>
    <cfRule type="notContainsBlanks" dxfId="1" priority="3389">
      <formula>LEN(TRIM(A678))&gt;0</formula>
    </cfRule>
  </conditionalFormatting>
  <conditionalFormatting sqref="A679">
    <cfRule type="notContainsBlanks" dxfId="5" priority="3395">
      <formula>LEN(TRIM(A679))&gt;0</formula>
    </cfRule>
  </conditionalFormatting>
  <conditionalFormatting sqref="A679:D679">
    <cfRule type="expression" dxfId="3" priority="3392">
      <formula>COUNTIF($A679, "TRUE") = 1</formula>
    </cfRule>
    <cfRule type="expression" dxfId="4" priority="3393">
      <formula>COUNTIF($A679, "FALSE") = 1</formula>
    </cfRule>
    <cfRule type="notContainsBlanks" dxfId="1" priority="3394">
      <formula>LEN(TRIM(A679))&gt;0</formula>
    </cfRule>
  </conditionalFormatting>
  <conditionalFormatting sqref="A67:D67">
    <cfRule type="expression" dxfId="3" priority="332">
      <formula>COUNTIF($A67, "TRUE") = 1</formula>
    </cfRule>
    <cfRule type="expression" dxfId="4" priority="333">
      <formula>COUNTIF($A67, "FALSE") = 1</formula>
    </cfRule>
    <cfRule type="notContainsBlanks" dxfId="1" priority="334">
      <formula>LEN(TRIM(A67))&gt;0</formula>
    </cfRule>
  </conditionalFormatting>
  <conditionalFormatting sqref="A68">
    <cfRule type="notContainsBlanks" dxfId="5" priority="340">
      <formula>LEN(TRIM(A68))&gt;0</formula>
    </cfRule>
  </conditionalFormatting>
  <conditionalFormatting sqref="A680">
    <cfRule type="notContainsBlanks" dxfId="5" priority="3400">
      <formula>LEN(TRIM(A680))&gt;0</formula>
    </cfRule>
  </conditionalFormatting>
  <conditionalFormatting sqref="A680:D680">
    <cfRule type="expression" dxfId="3" priority="3397">
      <formula>COUNTIF($A680, "TRUE") = 1</formula>
    </cfRule>
    <cfRule type="expression" dxfId="4" priority="3398">
      <formula>COUNTIF($A680, "FALSE") = 1</formula>
    </cfRule>
    <cfRule type="notContainsBlanks" dxfId="1" priority="3399">
      <formula>LEN(TRIM(A680))&gt;0</formula>
    </cfRule>
  </conditionalFormatting>
  <conditionalFormatting sqref="A681">
    <cfRule type="notContainsBlanks" dxfId="5" priority="3405">
      <formula>LEN(TRIM(A681))&gt;0</formula>
    </cfRule>
  </conditionalFormatting>
  <conditionalFormatting sqref="A681:D681">
    <cfRule type="expression" dxfId="3" priority="3402">
      <formula>COUNTIF($A681, "TRUE") = 1</formula>
    </cfRule>
    <cfRule type="expression" dxfId="4" priority="3403">
      <formula>COUNTIF($A681, "FALSE") = 1</formula>
    </cfRule>
    <cfRule type="notContainsBlanks" dxfId="1" priority="3404">
      <formula>LEN(TRIM(A681))&gt;0</formula>
    </cfRule>
  </conditionalFormatting>
  <conditionalFormatting sqref="A682">
    <cfRule type="notContainsBlanks" dxfId="5" priority="3410">
      <formula>LEN(TRIM(A682))&gt;0</formula>
    </cfRule>
  </conditionalFormatting>
  <conditionalFormatting sqref="A682:D682">
    <cfRule type="expression" dxfId="3" priority="3407">
      <formula>COUNTIF($A682, "TRUE") = 1</formula>
    </cfRule>
    <cfRule type="expression" dxfId="4" priority="3408">
      <formula>COUNTIF($A682, "FALSE") = 1</formula>
    </cfRule>
    <cfRule type="notContainsBlanks" dxfId="1" priority="3409">
      <formula>LEN(TRIM(A682))&gt;0</formula>
    </cfRule>
  </conditionalFormatting>
  <conditionalFormatting sqref="A683">
    <cfRule type="notContainsBlanks" dxfId="5" priority="3415">
      <formula>LEN(TRIM(A683))&gt;0</formula>
    </cfRule>
  </conditionalFormatting>
  <conditionalFormatting sqref="A683:D683">
    <cfRule type="expression" dxfId="3" priority="3412">
      <formula>COUNTIF($A683, "TRUE") = 1</formula>
    </cfRule>
    <cfRule type="expression" dxfId="4" priority="3413">
      <formula>COUNTIF($A683, "FALSE") = 1</formula>
    </cfRule>
    <cfRule type="notContainsBlanks" dxfId="1" priority="3414">
      <formula>LEN(TRIM(A683))&gt;0</formula>
    </cfRule>
  </conditionalFormatting>
  <conditionalFormatting sqref="A684">
    <cfRule type="notContainsBlanks" dxfId="5" priority="3420">
      <formula>LEN(TRIM(A684))&gt;0</formula>
    </cfRule>
  </conditionalFormatting>
  <conditionalFormatting sqref="A684:D684">
    <cfRule type="expression" dxfId="3" priority="3417">
      <formula>COUNTIF($A684, "TRUE") = 1</formula>
    </cfRule>
    <cfRule type="expression" dxfId="4" priority="3418">
      <formula>COUNTIF($A684, "FALSE") = 1</formula>
    </cfRule>
    <cfRule type="notContainsBlanks" dxfId="1" priority="3419">
      <formula>LEN(TRIM(A684))&gt;0</formula>
    </cfRule>
  </conditionalFormatting>
  <conditionalFormatting sqref="A685">
    <cfRule type="notContainsBlanks" dxfId="5" priority="3425">
      <formula>LEN(TRIM(A685))&gt;0</formula>
    </cfRule>
  </conditionalFormatting>
  <conditionalFormatting sqref="A685:D685">
    <cfRule type="expression" dxfId="3" priority="3422">
      <formula>COUNTIF($A685, "TRUE") = 1</formula>
    </cfRule>
    <cfRule type="expression" dxfId="4" priority="3423">
      <formula>COUNTIF($A685, "FALSE") = 1</formula>
    </cfRule>
    <cfRule type="notContainsBlanks" dxfId="1" priority="3424">
      <formula>LEN(TRIM(A685))&gt;0</formula>
    </cfRule>
  </conditionalFormatting>
  <conditionalFormatting sqref="A686">
    <cfRule type="notContainsBlanks" dxfId="5" priority="3430">
      <formula>LEN(TRIM(A686))&gt;0</formula>
    </cfRule>
  </conditionalFormatting>
  <conditionalFormatting sqref="A686:D686">
    <cfRule type="expression" dxfId="3" priority="3427">
      <formula>COUNTIF($A686, "TRUE") = 1</formula>
    </cfRule>
    <cfRule type="expression" dxfId="4" priority="3428">
      <formula>COUNTIF($A686, "FALSE") = 1</formula>
    </cfRule>
    <cfRule type="notContainsBlanks" dxfId="1" priority="3429">
      <formula>LEN(TRIM(A686))&gt;0</formula>
    </cfRule>
  </conditionalFormatting>
  <conditionalFormatting sqref="A687">
    <cfRule type="notContainsBlanks" dxfId="5" priority="3435">
      <formula>LEN(TRIM(A687))&gt;0</formula>
    </cfRule>
  </conditionalFormatting>
  <conditionalFormatting sqref="A687:D687">
    <cfRule type="expression" dxfId="3" priority="3432">
      <formula>COUNTIF($A687, "TRUE") = 1</formula>
    </cfRule>
    <cfRule type="expression" dxfId="4" priority="3433">
      <formula>COUNTIF($A687, "FALSE") = 1</formula>
    </cfRule>
    <cfRule type="notContainsBlanks" dxfId="1" priority="3434">
      <formula>LEN(TRIM(A687))&gt;0</formula>
    </cfRule>
  </conditionalFormatting>
  <conditionalFormatting sqref="A688">
    <cfRule type="notContainsBlanks" dxfId="5" priority="3440">
      <formula>LEN(TRIM(A688))&gt;0</formula>
    </cfRule>
  </conditionalFormatting>
  <conditionalFormatting sqref="A688:D688">
    <cfRule type="expression" dxfId="3" priority="3437">
      <formula>COUNTIF($A688, "TRUE") = 1</formula>
    </cfRule>
    <cfRule type="expression" dxfId="4" priority="3438">
      <formula>COUNTIF($A688, "FALSE") = 1</formula>
    </cfRule>
    <cfRule type="notContainsBlanks" dxfId="1" priority="3439">
      <formula>LEN(TRIM(A688))&gt;0</formula>
    </cfRule>
  </conditionalFormatting>
  <conditionalFormatting sqref="A689">
    <cfRule type="notContainsBlanks" dxfId="5" priority="3445">
      <formula>LEN(TRIM(A689))&gt;0</formula>
    </cfRule>
  </conditionalFormatting>
  <conditionalFormatting sqref="A689:D689">
    <cfRule type="expression" dxfId="3" priority="3442">
      <formula>COUNTIF($A689, "TRUE") = 1</formula>
    </cfRule>
    <cfRule type="expression" dxfId="4" priority="3443">
      <formula>COUNTIF($A689, "FALSE") = 1</formula>
    </cfRule>
    <cfRule type="notContainsBlanks" dxfId="1" priority="3444">
      <formula>LEN(TRIM(A689))&gt;0</formula>
    </cfRule>
  </conditionalFormatting>
  <conditionalFormatting sqref="A68:D68">
    <cfRule type="expression" dxfId="3" priority="337">
      <formula>COUNTIF($A68, "TRUE") = 1</formula>
    </cfRule>
    <cfRule type="expression" dxfId="4" priority="338">
      <formula>COUNTIF($A68, "FALSE") = 1</formula>
    </cfRule>
    <cfRule type="notContainsBlanks" dxfId="1" priority="339">
      <formula>LEN(TRIM(A68))&gt;0</formula>
    </cfRule>
  </conditionalFormatting>
  <conditionalFormatting sqref="A69">
    <cfRule type="notContainsBlanks" dxfId="5" priority="345">
      <formula>LEN(TRIM(A69))&gt;0</formula>
    </cfRule>
  </conditionalFormatting>
  <conditionalFormatting sqref="A690">
    <cfRule type="notContainsBlanks" dxfId="5" priority="3450">
      <formula>LEN(TRIM(A690))&gt;0</formula>
    </cfRule>
  </conditionalFormatting>
  <conditionalFormatting sqref="A690:D690">
    <cfRule type="expression" dxfId="3" priority="3447">
      <formula>COUNTIF($A690, "TRUE") = 1</formula>
    </cfRule>
    <cfRule type="expression" dxfId="4" priority="3448">
      <formula>COUNTIF($A690, "FALSE") = 1</formula>
    </cfRule>
    <cfRule type="notContainsBlanks" dxfId="1" priority="3449">
      <formula>LEN(TRIM(A690))&gt;0</formula>
    </cfRule>
  </conditionalFormatting>
  <conditionalFormatting sqref="A691">
    <cfRule type="notContainsBlanks" dxfId="5" priority="3455">
      <formula>LEN(TRIM(A691))&gt;0</formula>
    </cfRule>
  </conditionalFormatting>
  <conditionalFormatting sqref="A691:D691">
    <cfRule type="expression" dxfId="3" priority="3452">
      <formula>COUNTIF($A691, "TRUE") = 1</formula>
    </cfRule>
    <cfRule type="expression" dxfId="4" priority="3453">
      <formula>COUNTIF($A691, "FALSE") = 1</formula>
    </cfRule>
    <cfRule type="notContainsBlanks" dxfId="1" priority="3454">
      <formula>LEN(TRIM(A691))&gt;0</formula>
    </cfRule>
  </conditionalFormatting>
  <conditionalFormatting sqref="A692">
    <cfRule type="notContainsBlanks" dxfId="5" priority="3460">
      <formula>LEN(TRIM(A692))&gt;0</formula>
    </cfRule>
  </conditionalFormatting>
  <conditionalFormatting sqref="A692:D692">
    <cfRule type="expression" dxfId="3" priority="3457">
      <formula>COUNTIF($A692, "TRUE") = 1</formula>
    </cfRule>
    <cfRule type="expression" dxfId="4" priority="3458">
      <formula>COUNTIF($A692, "FALSE") = 1</formula>
    </cfRule>
    <cfRule type="notContainsBlanks" dxfId="1" priority="3459">
      <formula>LEN(TRIM(A692))&gt;0</formula>
    </cfRule>
  </conditionalFormatting>
  <conditionalFormatting sqref="A693">
    <cfRule type="notContainsBlanks" dxfId="5" priority="3465">
      <formula>LEN(TRIM(A693))&gt;0</formula>
    </cfRule>
  </conditionalFormatting>
  <conditionalFormatting sqref="A693:D693">
    <cfRule type="expression" dxfId="3" priority="3462">
      <formula>COUNTIF($A693, "TRUE") = 1</formula>
    </cfRule>
    <cfRule type="expression" dxfId="4" priority="3463">
      <formula>COUNTIF($A693, "FALSE") = 1</formula>
    </cfRule>
    <cfRule type="notContainsBlanks" dxfId="1" priority="3464">
      <formula>LEN(TRIM(A693))&gt;0</formula>
    </cfRule>
  </conditionalFormatting>
  <conditionalFormatting sqref="A694">
    <cfRule type="notContainsBlanks" dxfId="5" priority="3470">
      <formula>LEN(TRIM(A694))&gt;0</formula>
    </cfRule>
  </conditionalFormatting>
  <conditionalFormatting sqref="A694:D694">
    <cfRule type="expression" dxfId="3" priority="3467">
      <formula>COUNTIF($A694, "TRUE") = 1</formula>
    </cfRule>
    <cfRule type="expression" dxfId="4" priority="3468">
      <formula>COUNTIF($A694, "FALSE") = 1</formula>
    </cfRule>
    <cfRule type="notContainsBlanks" dxfId="1" priority="3469">
      <formula>LEN(TRIM(A694))&gt;0</formula>
    </cfRule>
  </conditionalFormatting>
  <conditionalFormatting sqref="A695">
    <cfRule type="notContainsBlanks" dxfId="5" priority="3475">
      <formula>LEN(TRIM(A695))&gt;0</formula>
    </cfRule>
  </conditionalFormatting>
  <conditionalFormatting sqref="A695:D695">
    <cfRule type="expression" dxfId="3" priority="3472">
      <formula>COUNTIF($A695, "TRUE") = 1</formula>
    </cfRule>
    <cfRule type="expression" dxfId="4" priority="3473">
      <formula>COUNTIF($A695, "FALSE") = 1</formula>
    </cfRule>
    <cfRule type="notContainsBlanks" dxfId="1" priority="3474">
      <formula>LEN(TRIM(A695))&gt;0</formula>
    </cfRule>
  </conditionalFormatting>
  <conditionalFormatting sqref="A696">
    <cfRule type="notContainsBlanks" dxfId="5" priority="3480">
      <formula>LEN(TRIM(A696))&gt;0</formula>
    </cfRule>
  </conditionalFormatting>
  <conditionalFormatting sqref="A696:D696">
    <cfRule type="expression" dxfId="3" priority="3477">
      <formula>COUNTIF($A696, "TRUE") = 1</formula>
    </cfRule>
    <cfRule type="expression" dxfId="4" priority="3478">
      <formula>COUNTIF($A696, "FALSE") = 1</formula>
    </cfRule>
    <cfRule type="notContainsBlanks" dxfId="1" priority="3479">
      <formula>LEN(TRIM(A696))&gt;0</formula>
    </cfRule>
  </conditionalFormatting>
  <conditionalFormatting sqref="A697">
    <cfRule type="notContainsBlanks" dxfId="5" priority="3485">
      <formula>LEN(TRIM(A697))&gt;0</formula>
    </cfRule>
  </conditionalFormatting>
  <conditionalFormatting sqref="A697:D697">
    <cfRule type="expression" dxfId="3" priority="3482">
      <formula>COUNTIF($A697, "TRUE") = 1</formula>
    </cfRule>
    <cfRule type="expression" dxfId="4" priority="3483">
      <formula>COUNTIF($A697, "FALSE") = 1</formula>
    </cfRule>
    <cfRule type="notContainsBlanks" dxfId="1" priority="3484">
      <formula>LEN(TRIM(A697))&gt;0</formula>
    </cfRule>
  </conditionalFormatting>
  <conditionalFormatting sqref="A698">
    <cfRule type="notContainsBlanks" dxfId="5" priority="3490">
      <formula>LEN(TRIM(A698))&gt;0</formula>
    </cfRule>
  </conditionalFormatting>
  <conditionalFormatting sqref="A698:D698">
    <cfRule type="expression" dxfId="3" priority="3487">
      <formula>COUNTIF($A698, "TRUE") = 1</formula>
    </cfRule>
    <cfRule type="expression" dxfId="4" priority="3488">
      <formula>COUNTIF($A698, "FALSE") = 1</formula>
    </cfRule>
    <cfRule type="notContainsBlanks" dxfId="1" priority="3489">
      <formula>LEN(TRIM(A698))&gt;0</formula>
    </cfRule>
  </conditionalFormatting>
  <conditionalFormatting sqref="A699">
    <cfRule type="notContainsBlanks" dxfId="5" priority="3495">
      <formula>LEN(TRIM(A699))&gt;0</formula>
    </cfRule>
  </conditionalFormatting>
  <conditionalFormatting sqref="A699:D699">
    <cfRule type="expression" dxfId="3" priority="3492">
      <formula>COUNTIF($A699, "TRUE") = 1</formula>
    </cfRule>
    <cfRule type="expression" dxfId="4" priority="3493">
      <formula>COUNTIF($A699, "FALSE") = 1</formula>
    </cfRule>
    <cfRule type="notContainsBlanks" dxfId="1" priority="3494">
      <formula>LEN(TRIM(A699))&gt;0</formula>
    </cfRule>
  </conditionalFormatting>
  <conditionalFormatting sqref="A69:D69">
    <cfRule type="expression" dxfId="3" priority="342">
      <formula>COUNTIF($A69, "TRUE") = 1</formula>
    </cfRule>
    <cfRule type="expression" dxfId="4" priority="343">
      <formula>COUNTIF($A69, "FALSE") = 1</formula>
    </cfRule>
    <cfRule type="notContainsBlanks" dxfId="1" priority="344">
      <formula>LEN(TRIM(A69))&gt;0</formula>
    </cfRule>
  </conditionalFormatting>
  <conditionalFormatting sqref="A6:D6">
    <cfRule type="expression" dxfId="3" priority="27">
      <formula>COUNTIF($A6, "TRUE") = 1</formula>
    </cfRule>
    <cfRule type="expression" dxfId="4" priority="28">
      <formula>COUNTIF($A6, "FALSE") = 1</formula>
    </cfRule>
    <cfRule type="notContainsBlanks" dxfId="1" priority="29">
      <formula>LEN(TRIM(A6))&gt;0</formula>
    </cfRule>
  </conditionalFormatting>
  <conditionalFormatting sqref="A7">
    <cfRule type="notContainsBlanks" dxfId="5" priority="35">
      <formula>LEN(TRIM(A7))&gt;0</formula>
    </cfRule>
  </conditionalFormatting>
  <conditionalFormatting sqref="A70">
    <cfRule type="notContainsBlanks" dxfId="5" priority="350">
      <formula>LEN(TRIM(A70))&gt;0</formula>
    </cfRule>
  </conditionalFormatting>
  <conditionalFormatting sqref="A700">
    <cfRule type="notContainsBlanks" dxfId="5" priority="3500">
      <formula>LEN(TRIM(A700))&gt;0</formula>
    </cfRule>
  </conditionalFormatting>
  <conditionalFormatting sqref="A700:D700">
    <cfRule type="expression" dxfId="3" priority="3497">
      <formula>COUNTIF($A700, "TRUE") = 1</formula>
    </cfRule>
    <cfRule type="expression" dxfId="4" priority="3498">
      <formula>COUNTIF($A700, "FALSE") = 1</formula>
    </cfRule>
    <cfRule type="notContainsBlanks" dxfId="1" priority="3499">
      <formula>LEN(TRIM(A700))&gt;0</formula>
    </cfRule>
  </conditionalFormatting>
  <conditionalFormatting sqref="A701">
    <cfRule type="notContainsBlanks" dxfId="5" priority="3505">
      <formula>LEN(TRIM(A701))&gt;0</formula>
    </cfRule>
  </conditionalFormatting>
  <conditionalFormatting sqref="A701:D701">
    <cfRule type="expression" dxfId="3" priority="3502">
      <formula>COUNTIF($A701, "TRUE") = 1</formula>
    </cfRule>
    <cfRule type="expression" dxfId="4" priority="3503">
      <formula>COUNTIF($A701, "FALSE") = 1</formula>
    </cfRule>
    <cfRule type="notContainsBlanks" dxfId="1" priority="3504">
      <formula>LEN(TRIM(A701))&gt;0</formula>
    </cfRule>
  </conditionalFormatting>
  <conditionalFormatting sqref="A702">
    <cfRule type="notContainsBlanks" dxfId="5" priority="3510">
      <formula>LEN(TRIM(A702))&gt;0</formula>
    </cfRule>
  </conditionalFormatting>
  <conditionalFormatting sqref="A702:D702">
    <cfRule type="expression" dxfId="3" priority="3507">
      <formula>COUNTIF($A702, "TRUE") = 1</formula>
    </cfRule>
    <cfRule type="expression" dxfId="4" priority="3508">
      <formula>COUNTIF($A702, "FALSE") = 1</formula>
    </cfRule>
    <cfRule type="notContainsBlanks" dxfId="1" priority="3509">
      <formula>LEN(TRIM(A702))&gt;0</formula>
    </cfRule>
  </conditionalFormatting>
  <conditionalFormatting sqref="A703">
    <cfRule type="notContainsBlanks" dxfId="5" priority="3515">
      <formula>LEN(TRIM(A703))&gt;0</formula>
    </cfRule>
  </conditionalFormatting>
  <conditionalFormatting sqref="A703:D703">
    <cfRule type="expression" dxfId="3" priority="3512">
      <formula>COUNTIF($A703, "TRUE") = 1</formula>
    </cfRule>
    <cfRule type="expression" dxfId="4" priority="3513">
      <formula>COUNTIF($A703, "FALSE") = 1</formula>
    </cfRule>
    <cfRule type="notContainsBlanks" dxfId="1" priority="3514">
      <formula>LEN(TRIM(A703))&gt;0</formula>
    </cfRule>
  </conditionalFormatting>
  <conditionalFormatting sqref="A704">
    <cfRule type="notContainsBlanks" dxfId="5" priority="3520">
      <formula>LEN(TRIM(A704))&gt;0</formula>
    </cfRule>
  </conditionalFormatting>
  <conditionalFormatting sqref="A704:D704">
    <cfRule type="expression" dxfId="3" priority="3517">
      <formula>COUNTIF($A704, "TRUE") = 1</formula>
    </cfRule>
    <cfRule type="expression" dxfId="4" priority="3518">
      <formula>COUNTIF($A704, "FALSE") = 1</formula>
    </cfRule>
    <cfRule type="notContainsBlanks" dxfId="1" priority="3519">
      <formula>LEN(TRIM(A704))&gt;0</formula>
    </cfRule>
  </conditionalFormatting>
  <conditionalFormatting sqref="A705">
    <cfRule type="notContainsBlanks" dxfId="5" priority="3525">
      <formula>LEN(TRIM(A705))&gt;0</formula>
    </cfRule>
  </conditionalFormatting>
  <conditionalFormatting sqref="A705:D705">
    <cfRule type="expression" dxfId="3" priority="3522">
      <formula>COUNTIF($A705, "TRUE") = 1</formula>
    </cfRule>
    <cfRule type="expression" dxfId="4" priority="3523">
      <formula>COUNTIF($A705, "FALSE") = 1</formula>
    </cfRule>
    <cfRule type="notContainsBlanks" dxfId="1" priority="3524">
      <formula>LEN(TRIM(A705))&gt;0</formula>
    </cfRule>
  </conditionalFormatting>
  <conditionalFormatting sqref="A706">
    <cfRule type="notContainsBlanks" dxfId="5" priority="3530">
      <formula>LEN(TRIM(A706))&gt;0</formula>
    </cfRule>
  </conditionalFormatting>
  <conditionalFormatting sqref="A706:D706">
    <cfRule type="expression" dxfId="3" priority="3527">
      <formula>COUNTIF($A706, "TRUE") = 1</formula>
    </cfRule>
    <cfRule type="expression" dxfId="4" priority="3528">
      <formula>COUNTIF($A706, "FALSE") = 1</formula>
    </cfRule>
    <cfRule type="notContainsBlanks" dxfId="1" priority="3529">
      <formula>LEN(TRIM(A706))&gt;0</formula>
    </cfRule>
  </conditionalFormatting>
  <conditionalFormatting sqref="A707">
    <cfRule type="notContainsBlanks" dxfId="5" priority="3535">
      <formula>LEN(TRIM(A707))&gt;0</formula>
    </cfRule>
  </conditionalFormatting>
  <conditionalFormatting sqref="A707:D707">
    <cfRule type="expression" dxfId="3" priority="3532">
      <formula>COUNTIF($A707, "TRUE") = 1</formula>
    </cfRule>
    <cfRule type="expression" dxfId="4" priority="3533">
      <formula>COUNTIF($A707, "FALSE") = 1</formula>
    </cfRule>
    <cfRule type="notContainsBlanks" dxfId="1" priority="3534">
      <formula>LEN(TRIM(A707))&gt;0</formula>
    </cfRule>
  </conditionalFormatting>
  <conditionalFormatting sqref="A708">
    <cfRule type="notContainsBlanks" dxfId="5" priority="3540">
      <formula>LEN(TRIM(A708))&gt;0</formula>
    </cfRule>
  </conditionalFormatting>
  <conditionalFormatting sqref="A708:D708">
    <cfRule type="expression" dxfId="3" priority="3537">
      <formula>COUNTIF($A708, "TRUE") = 1</formula>
    </cfRule>
    <cfRule type="expression" dxfId="4" priority="3538">
      <formula>COUNTIF($A708, "FALSE") = 1</formula>
    </cfRule>
    <cfRule type="notContainsBlanks" dxfId="1" priority="3539">
      <formula>LEN(TRIM(A708))&gt;0</formula>
    </cfRule>
  </conditionalFormatting>
  <conditionalFormatting sqref="A709">
    <cfRule type="notContainsBlanks" dxfId="5" priority="3545">
      <formula>LEN(TRIM(A709))&gt;0</formula>
    </cfRule>
  </conditionalFormatting>
  <conditionalFormatting sqref="A709:D709">
    <cfRule type="expression" dxfId="3" priority="3542">
      <formula>COUNTIF($A709, "TRUE") = 1</formula>
    </cfRule>
    <cfRule type="expression" dxfId="4" priority="3543">
      <formula>COUNTIF($A709, "FALSE") = 1</formula>
    </cfRule>
    <cfRule type="notContainsBlanks" dxfId="1" priority="3544">
      <formula>LEN(TRIM(A709))&gt;0</formula>
    </cfRule>
  </conditionalFormatting>
  <conditionalFormatting sqref="A70:D70">
    <cfRule type="expression" dxfId="3" priority="347">
      <formula>COUNTIF($A70, "TRUE") = 1</formula>
    </cfRule>
    <cfRule type="expression" dxfId="4" priority="348">
      <formula>COUNTIF($A70, "FALSE") = 1</formula>
    </cfRule>
    <cfRule type="notContainsBlanks" dxfId="1" priority="349">
      <formula>LEN(TRIM(A70))&gt;0</formula>
    </cfRule>
  </conditionalFormatting>
  <conditionalFormatting sqref="A71">
    <cfRule type="notContainsBlanks" dxfId="5" priority="355">
      <formula>LEN(TRIM(A71))&gt;0</formula>
    </cfRule>
  </conditionalFormatting>
  <conditionalFormatting sqref="A710">
    <cfRule type="notContainsBlanks" dxfId="5" priority="3550">
      <formula>LEN(TRIM(A710))&gt;0</formula>
    </cfRule>
  </conditionalFormatting>
  <conditionalFormatting sqref="A710:D710">
    <cfRule type="expression" dxfId="3" priority="3547">
      <formula>COUNTIF($A710, "TRUE") = 1</formula>
    </cfRule>
    <cfRule type="expression" dxfId="4" priority="3548">
      <formula>COUNTIF($A710, "FALSE") = 1</formula>
    </cfRule>
    <cfRule type="notContainsBlanks" dxfId="1" priority="3549">
      <formula>LEN(TRIM(A710))&gt;0</formula>
    </cfRule>
  </conditionalFormatting>
  <conditionalFormatting sqref="A711">
    <cfRule type="notContainsBlanks" dxfId="5" priority="3555">
      <formula>LEN(TRIM(A711))&gt;0</formula>
    </cfRule>
  </conditionalFormatting>
  <conditionalFormatting sqref="A711:D711">
    <cfRule type="expression" dxfId="3" priority="3552">
      <formula>COUNTIF($A711, "TRUE") = 1</formula>
    </cfRule>
    <cfRule type="expression" dxfId="4" priority="3553">
      <formula>COUNTIF($A711, "FALSE") = 1</formula>
    </cfRule>
    <cfRule type="notContainsBlanks" dxfId="1" priority="3554">
      <formula>LEN(TRIM(A711))&gt;0</formula>
    </cfRule>
  </conditionalFormatting>
  <conditionalFormatting sqref="A712">
    <cfRule type="notContainsBlanks" dxfId="5" priority="3560">
      <formula>LEN(TRIM(A712))&gt;0</formula>
    </cfRule>
  </conditionalFormatting>
  <conditionalFormatting sqref="A712:D712">
    <cfRule type="expression" dxfId="3" priority="3557">
      <formula>COUNTIF($A712, "TRUE") = 1</formula>
    </cfRule>
    <cfRule type="expression" dxfId="4" priority="3558">
      <formula>COUNTIF($A712, "FALSE") = 1</formula>
    </cfRule>
    <cfRule type="notContainsBlanks" dxfId="1" priority="3559">
      <formula>LEN(TRIM(A712))&gt;0</formula>
    </cfRule>
  </conditionalFormatting>
  <conditionalFormatting sqref="A713">
    <cfRule type="notContainsBlanks" dxfId="5" priority="3565">
      <formula>LEN(TRIM(A713))&gt;0</formula>
    </cfRule>
  </conditionalFormatting>
  <conditionalFormatting sqref="A713:D713">
    <cfRule type="expression" dxfId="3" priority="3562">
      <formula>COUNTIF($A713, "TRUE") = 1</formula>
    </cfRule>
    <cfRule type="expression" dxfId="4" priority="3563">
      <formula>COUNTIF($A713, "FALSE") = 1</formula>
    </cfRule>
    <cfRule type="notContainsBlanks" dxfId="1" priority="3564">
      <formula>LEN(TRIM(A713))&gt;0</formula>
    </cfRule>
  </conditionalFormatting>
  <conditionalFormatting sqref="A714">
    <cfRule type="notContainsBlanks" dxfId="5" priority="3570">
      <formula>LEN(TRIM(A714))&gt;0</formula>
    </cfRule>
  </conditionalFormatting>
  <conditionalFormatting sqref="A714:D714">
    <cfRule type="expression" dxfId="3" priority="3567">
      <formula>COUNTIF($A714, "TRUE") = 1</formula>
    </cfRule>
    <cfRule type="expression" dxfId="4" priority="3568">
      <formula>COUNTIF($A714, "FALSE") = 1</formula>
    </cfRule>
    <cfRule type="notContainsBlanks" dxfId="1" priority="3569">
      <formula>LEN(TRIM(A714))&gt;0</formula>
    </cfRule>
  </conditionalFormatting>
  <conditionalFormatting sqref="A715">
    <cfRule type="notContainsBlanks" dxfId="5" priority="3575">
      <formula>LEN(TRIM(A715))&gt;0</formula>
    </cfRule>
  </conditionalFormatting>
  <conditionalFormatting sqref="A715:D715">
    <cfRule type="expression" dxfId="3" priority="3572">
      <formula>COUNTIF($A715, "TRUE") = 1</formula>
    </cfRule>
    <cfRule type="expression" dxfId="4" priority="3573">
      <formula>COUNTIF($A715, "FALSE") = 1</formula>
    </cfRule>
    <cfRule type="notContainsBlanks" dxfId="1" priority="3574">
      <formula>LEN(TRIM(A715))&gt;0</formula>
    </cfRule>
  </conditionalFormatting>
  <conditionalFormatting sqref="A716">
    <cfRule type="notContainsBlanks" dxfId="5" priority="3580">
      <formula>LEN(TRIM(A716))&gt;0</formula>
    </cfRule>
  </conditionalFormatting>
  <conditionalFormatting sqref="A716:D716">
    <cfRule type="expression" dxfId="3" priority="3577">
      <formula>COUNTIF($A716, "TRUE") = 1</formula>
    </cfRule>
    <cfRule type="expression" dxfId="4" priority="3578">
      <formula>COUNTIF($A716, "FALSE") = 1</formula>
    </cfRule>
    <cfRule type="notContainsBlanks" dxfId="1" priority="3579">
      <formula>LEN(TRIM(A716))&gt;0</formula>
    </cfRule>
  </conditionalFormatting>
  <conditionalFormatting sqref="A717">
    <cfRule type="notContainsBlanks" dxfId="5" priority="3585">
      <formula>LEN(TRIM(A717))&gt;0</formula>
    </cfRule>
  </conditionalFormatting>
  <conditionalFormatting sqref="A717:D717">
    <cfRule type="expression" dxfId="3" priority="3582">
      <formula>COUNTIF($A717, "TRUE") = 1</formula>
    </cfRule>
    <cfRule type="expression" dxfId="4" priority="3583">
      <formula>COUNTIF($A717, "FALSE") = 1</formula>
    </cfRule>
    <cfRule type="notContainsBlanks" dxfId="1" priority="3584">
      <formula>LEN(TRIM(A717))&gt;0</formula>
    </cfRule>
  </conditionalFormatting>
  <conditionalFormatting sqref="A718">
    <cfRule type="notContainsBlanks" dxfId="5" priority="3590">
      <formula>LEN(TRIM(A718))&gt;0</formula>
    </cfRule>
  </conditionalFormatting>
  <conditionalFormatting sqref="A718:D718">
    <cfRule type="expression" dxfId="3" priority="3587">
      <formula>COUNTIF($A718, "TRUE") = 1</formula>
    </cfRule>
    <cfRule type="expression" dxfId="4" priority="3588">
      <formula>COUNTIF($A718, "FALSE") = 1</formula>
    </cfRule>
    <cfRule type="notContainsBlanks" dxfId="1" priority="3589">
      <formula>LEN(TRIM(A718))&gt;0</formula>
    </cfRule>
  </conditionalFormatting>
  <conditionalFormatting sqref="A719">
    <cfRule type="notContainsBlanks" dxfId="5" priority="3595">
      <formula>LEN(TRIM(A719))&gt;0</formula>
    </cfRule>
  </conditionalFormatting>
  <conditionalFormatting sqref="A719:D719">
    <cfRule type="expression" dxfId="3" priority="3592">
      <formula>COUNTIF($A719, "TRUE") = 1</formula>
    </cfRule>
    <cfRule type="expression" dxfId="4" priority="3593">
      <formula>COUNTIF($A719, "FALSE") = 1</formula>
    </cfRule>
    <cfRule type="notContainsBlanks" dxfId="1" priority="3594">
      <formula>LEN(TRIM(A719))&gt;0</formula>
    </cfRule>
  </conditionalFormatting>
  <conditionalFormatting sqref="A71:D71">
    <cfRule type="expression" dxfId="3" priority="352">
      <formula>COUNTIF($A71, "TRUE") = 1</formula>
    </cfRule>
    <cfRule type="expression" dxfId="4" priority="353">
      <formula>COUNTIF($A71, "FALSE") = 1</formula>
    </cfRule>
    <cfRule type="notContainsBlanks" dxfId="1" priority="354">
      <formula>LEN(TRIM(A71))&gt;0</formula>
    </cfRule>
  </conditionalFormatting>
  <conditionalFormatting sqref="A72">
    <cfRule type="notContainsBlanks" dxfId="5" priority="360">
      <formula>LEN(TRIM(A72))&gt;0</formula>
    </cfRule>
  </conditionalFormatting>
  <conditionalFormatting sqref="A720">
    <cfRule type="notContainsBlanks" dxfId="5" priority="3600">
      <formula>LEN(TRIM(A720))&gt;0</formula>
    </cfRule>
  </conditionalFormatting>
  <conditionalFormatting sqref="A720:D720">
    <cfRule type="expression" dxfId="3" priority="3597">
      <formula>COUNTIF($A720, "TRUE") = 1</formula>
    </cfRule>
    <cfRule type="expression" dxfId="4" priority="3598">
      <formula>COUNTIF($A720, "FALSE") = 1</formula>
    </cfRule>
    <cfRule type="notContainsBlanks" dxfId="1" priority="3599">
      <formula>LEN(TRIM(A720))&gt;0</formula>
    </cfRule>
  </conditionalFormatting>
  <conditionalFormatting sqref="A721">
    <cfRule type="notContainsBlanks" dxfId="5" priority="3605">
      <formula>LEN(TRIM(A721))&gt;0</formula>
    </cfRule>
  </conditionalFormatting>
  <conditionalFormatting sqref="A721:D721">
    <cfRule type="expression" dxfId="3" priority="3602">
      <formula>COUNTIF($A721, "TRUE") = 1</formula>
    </cfRule>
    <cfRule type="expression" dxfId="4" priority="3603">
      <formula>COUNTIF($A721, "FALSE") = 1</formula>
    </cfRule>
    <cfRule type="notContainsBlanks" dxfId="1" priority="3604">
      <formula>LEN(TRIM(A721))&gt;0</formula>
    </cfRule>
  </conditionalFormatting>
  <conditionalFormatting sqref="A722">
    <cfRule type="notContainsBlanks" dxfId="5" priority="3610">
      <formula>LEN(TRIM(A722))&gt;0</formula>
    </cfRule>
  </conditionalFormatting>
  <conditionalFormatting sqref="A722:D722">
    <cfRule type="expression" dxfId="3" priority="3607">
      <formula>COUNTIF($A722, "TRUE") = 1</formula>
    </cfRule>
    <cfRule type="expression" dxfId="4" priority="3608">
      <formula>COUNTIF($A722, "FALSE") = 1</formula>
    </cfRule>
    <cfRule type="notContainsBlanks" dxfId="1" priority="3609">
      <formula>LEN(TRIM(A722))&gt;0</formula>
    </cfRule>
  </conditionalFormatting>
  <conditionalFormatting sqref="A723">
    <cfRule type="notContainsBlanks" dxfId="5" priority="3615">
      <formula>LEN(TRIM(A723))&gt;0</formula>
    </cfRule>
  </conditionalFormatting>
  <conditionalFormatting sqref="A723:D723">
    <cfRule type="expression" dxfId="3" priority="3612">
      <formula>COUNTIF($A723, "TRUE") = 1</formula>
    </cfRule>
    <cfRule type="expression" dxfId="4" priority="3613">
      <formula>COUNTIF($A723, "FALSE") = 1</formula>
    </cfRule>
    <cfRule type="notContainsBlanks" dxfId="1" priority="3614">
      <formula>LEN(TRIM(A723))&gt;0</formula>
    </cfRule>
  </conditionalFormatting>
  <conditionalFormatting sqref="A724">
    <cfRule type="notContainsBlanks" dxfId="5" priority="3620">
      <formula>LEN(TRIM(A724))&gt;0</formula>
    </cfRule>
  </conditionalFormatting>
  <conditionalFormatting sqref="A724:D724">
    <cfRule type="expression" dxfId="3" priority="3617">
      <formula>COUNTIF($A724, "TRUE") = 1</formula>
    </cfRule>
    <cfRule type="expression" dxfId="4" priority="3618">
      <formula>COUNTIF($A724, "FALSE") = 1</formula>
    </cfRule>
    <cfRule type="notContainsBlanks" dxfId="1" priority="3619">
      <formula>LEN(TRIM(A724))&gt;0</formula>
    </cfRule>
  </conditionalFormatting>
  <conditionalFormatting sqref="A725">
    <cfRule type="notContainsBlanks" dxfId="5" priority="3625">
      <formula>LEN(TRIM(A725))&gt;0</formula>
    </cfRule>
  </conditionalFormatting>
  <conditionalFormatting sqref="A725:D725">
    <cfRule type="expression" dxfId="3" priority="3622">
      <formula>COUNTIF($A725, "TRUE") = 1</formula>
    </cfRule>
    <cfRule type="expression" dxfId="4" priority="3623">
      <formula>COUNTIF($A725, "FALSE") = 1</formula>
    </cfRule>
    <cfRule type="notContainsBlanks" dxfId="1" priority="3624">
      <formula>LEN(TRIM(A725))&gt;0</formula>
    </cfRule>
  </conditionalFormatting>
  <conditionalFormatting sqref="A726">
    <cfRule type="notContainsBlanks" dxfId="5" priority="3630">
      <formula>LEN(TRIM(A726))&gt;0</formula>
    </cfRule>
  </conditionalFormatting>
  <conditionalFormatting sqref="A726:D726">
    <cfRule type="expression" dxfId="3" priority="3627">
      <formula>COUNTIF($A726, "TRUE") = 1</formula>
    </cfRule>
    <cfRule type="expression" dxfId="4" priority="3628">
      <formula>COUNTIF($A726, "FALSE") = 1</formula>
    </cfRule>
    <cfRule type="notContainsBlanks" dxfId="1" priority="3629">
      <formula>LEN(TRIM(A726))&gt;0</formula>
    </cfRule>
  </conditionalFormatting>
  <conditionalFormatting sqref="A727">
    <cfRule type="notContainsBlanks" dxfId="5" priority="3635">
      <formula>LEN(TRIM(A727))&gt;0</formula>
    </cfRule>
  </conditionalFormatting>
  <conditionalFormatting sqref="A727:D727">
    <cfRule type="expression" dxfId="3" priority="3632">
      <formula>COUNTIF($A727, "TRUE") = 1</formula>
    </cfRule>
    <cfRule type="expression" dxfId="4" priority="3633">
      <formula>COUNTIF($A727, "FALSE") = 1</formula>
    </cfRule>
    <cfRule type="notContainsBlanks" dxfId="1" priority="3634">
      <formula>LEN(TRIM(A727))&gt;0</formula>
    </cfRule>
  </conditionalFormatting>
  <conditionalFormatting sqref="A728">
    <cfRule type="notContainsBlanks" dxfId="5" priority="3640">
      <formula>LEN(TRIM(A728))&gt;0</formula>
    </cfRule>
  </conditionalFormatting>
  <conditionalFormatting sqref="A728:D728">
    <cfRule type="expression" dxfId="3" priority="3637">
      <formula>COUNTIF($A728, "TRUE") = 1</formula>
    </cfRule>
    <cfRule type="expression" dxfId="4" priority="3638">
      <formula>COUNTIF($A728, "FALSE") = 1</formula>
    </cfRule>
    <cfRule type="notContainsBlanks" dxfId="1" priority="3639">
      <formula>LEN(TRIM(A728))&gt;0</formula>
    </cfRule>
  </conditionalFormatting>
  <conditionalFormatting sqref="A729">
    <cfRule type="notContainsBlanks" dxfId="5" priority="3645">
      <formula>LEN(TRIM(A729))&gt;0</formula>
    </cfRule>
  </conditionalFormatting>
  <conditionalFormatting sqref="A729:D729">
    <cfRule type="expression" dxfId="3" priority="3642">
      <formula>COUNTIF($A729, "TRUE") = 1</formula>
    </cfRule>
    <cfRule type="expression" dxfId="4" priority="3643">
      <formula>COUNTIF($A729, "FALSE") = 1</formula>
    </cfRule>
    <cfRule type="notContainsBlanks" dxfId="1" priority="3644">
      <formula>LEN(TRIM(A729))&gt;0</formula>
    </cfRule>
  </conditionalFormatting>
  <conditionalFormatting sqref="A72:D72">
    <cfRule type="expression" dxfId="3" priority="357">
      <formula>COUNTIF($A72, "TRUE") = 1</formula>
    </cfRule>
    <cfRule type="expression" dxfId="4" priority="358">
      <formula>COUNTIF($A72, "FALSE") = 1</formula>
    </cfRule>
    <cfRule type="notContainsBlanks" dxfId="1" priority="359">
      <formula>LEN(TRIM(A72))&gt;0</formula>
    </cfRule>
  </conditionalFormatting>
  <conditionalFormatting sqref="A73">
    <cfRule type="notContainsBlanks" dxfId="5" priority="365">
      <formula>LEN(TRIM(A73))&gt;0</formula>
    </cfRule>
  </conditionalFormatting>
  <conditionalFormatting sqref="A730">
    <cfRule type="notContainsBlanks" dxfId="5" priority="3650">
      <formula>LEN(TRIM(A730))&gt;0</formula>
    </cfRule>
  </conditionalFormatting>
  <conditionalFormatting sqref="A730:D730">
    <cfRule type="expression" dxfId="3" priority="3647">
      <formula>COUNTIF($A730, "TRUE") = 1</formula>
    </cfRule>
    <cfRule type="expression" dxfId="4" priority="3648">
      <formula>COUNTIF($A730, "FALSE") = 1</formula>
    </cfRule>
    <cfRule type="notContainsBlanks" dxfId="1" priority="3649">
      <formula>LEN(TRIM(A730))&gt;0</formula>
    </cfRule>
  </conditionalFormatting>
  <conditionalFormatting sqref="A731">
    <cfRule type="notContainsBlanks" dxfId="5" priority="3655">
      <formula>LEN(TRIM(A731))&gt;0</formula>
    </cfRule>
  </conditionalFormatting>
  <conditionalFormatting sqref="A731:D731">
    <cfRule type="expression" dxfId="3" priority="3652">
      <formula>COUNTIF($A731, "TRUE") = 1</formula>
    </cfRule>
    <cfRule type="expression" dxfId="4" priority="3653">
      <formula>COUNTIF($A731, "FALSE") = 1</formula>
    </cfRule>
    <cfRule type="notContainsBlanks" dxfId="1" priority="3654">
      <formula>LEN(TRIM(A731))&gt;0</formula>
    </cfRule>
  </conditionalFormatting>
  <conditionalFormatting sqref="A732">
    <cfRule type="notContainsBlanks" dxfId="5" priority="3660">
      <formula>LEN(TRIM(A732))&gt;0</formula>
    </cfRule>
  </conditionalFormatting>
  <conditionalFormatting sqref="A732:D732">
    <cfRule type="expression" dxfId="3" priority="3657">
      <formula>COUNTIF($A732, "TRUE") = 1</formula>
    </cfRule>
    <cfRule type="expression" dxfId="4" priority="3658">
      <formula>COUNTIF($A732, "FALSE") = 1</formula>
    </cfRule>
    <cfRule type="notContainsBlanks" dxfId="1" priority="3659">
      <formula>LEN(TRIM(A732))&gt;0</formula>
    </cfRule>
  </conditionalFormatting>
  <conditionalFormatting sqref="A733">
    <cfRule type="notContainsBlanks" dxfId="5" priority="3665">
      <formula>LEN(TRIM(A733))&gt;0</formula>
    </cfRule>
  </conditionalFormatting>
  <conditionalFormatting sqref="A733:D733">
    <cfRule type="expression" dxfId="3" priority="3662">
      <formula>COUNTIF($A733, "TRUE") = 1</formula>
    </cfRule>
    <cfRule type="expression" dxfId="4" priority="3663">
      <formula>COUNTIF($A733, "FALSE") = 1</formula>
    </cfRule>
    <cfRule type="notContainsBlanks" dxfId="1" priority="3664">
      <formula>LEN(TRIM(A733))&gt;0</formula>
    </cfRule>
  </conditionalFormatting>
  <conditionalFormatting sqref="A734">
    <cfRule type="notContainsBlanks" dxfId="5" priority="3670">
      <formula>LEN(TRIM(A734))&gt;0</formula>
    </cfRule>
  </conditionalFormatting>
  <conditionalFormatting sqref="A734:D734">
    <cfRule type="expression" dxfId="3" priority="3667">
      <formula>COUNTIF($A734, "TRUE") = 1</formula>
    </cfRule>
    <cfRule type="expression" dxfId="4" priority="3668">
      <formula>COUNTIF($A734, "FALSE") = 1</formula>
    </cfRule>
    <cfRule type="notContainsBlanks" dxfId="1" priority="3669">
      <formula>LEN(TRIM(A734))&gt;0</formula>
    </cfRule>
  </conditionalFormatting>
  <conditionalFormatting sqref="A735">
    <cfRule type="notContainsBlanks" dxfId="5" priority="3675">
      <formula>LEN(TRIM(A735))&gt;0</formula>
    </cfRule>
  </conditionalFormatting>
  <conditionalFormatting sqref="A735:D735">
    <cfRule type="expression" dxfId="3" priority="3672">
      <formula>COUNTIF($A735, "TRUE") = 1</formula>
    </cfRule>
    <cfRule type="expression" dxfId="4" priority="3673">
      <formula>COUNTIF($A735, "FALSE") = 1</formula>
    </cfRule>
    <cfRule type="notContainsBlanks" dxfId="1" priority="3674">
      <formula>LEN(TRIM(A735))&gt;0</formula>
    </cfRule>
  </conditionalFormatting>
  <conditionalFormatting sqref="A736">
    <cfRule type="notContainsBlanks" dxfId="5" priority="3680">
      <formula>LEN(TRIM(A736))&gt;0</formula>
    </cfRule>
  </conditionalFormatting>
  <conditionalFormatting sqref="A736:D736">
    <cfRule type="expression" dxfId="3" priority="3677">
      <formula>COUNTIF($A736, "TRUE") = 1</formula>
    </cfRule>
    <cfRule type="expression" dxfId="4" priority="3678">
      <formula>COUNTIF($A736, "FALSE") = 1</formula>
    </cfRule>
    <cfRule type="notContainsBlanks" dxfId="1" priority="3679">
      <formula>LEN(TRIM(A736))&gt;0</formula>
    </cfRule>
  </conditionalFormatting>
  <conditionalFormatting sqref="A737">
    <cfRule type="notContainsBlanks" dxfId="5" priority="3685">
      <formula>LEN(TRIM(A737))&gt;0</formula>
    </cfRule>
  </conditionalFormatting>
  <conditionalFormatting sqref="A737:D737">
    <cfRule type="expression" dxfId="3" priority="3682">
      <formula>COUNTIF($A737, "TRUE") = 1</formula>
    </cfRule>
    <cfRule type="expression" dxfId="4" priority="3683">
      <formula>COUNTIF($A737, "FALSE") = 1</formula>
    </cfRule>
    <cfRule type="notContainsBlanks" dxfId="1" priority="3684">
      <formula>LEN(TRIM(A737))&gt;0</formula>
    </cfRule>
  </conditionalFormatting>
  <conditionalFormatting sqref="A738">
    <cfRule type="notContainsBlanks" dxfId="5" priority="3690">
      <formula>LEN(TRIM(A738))&gt;0</formula>
    </cfRule>
  </conditionalFormatting>
  <conditionalFormatting sqref="A738:D738">
    <cfRule type="expression" dxfId="3" priority="3687">
      <formula>COUNTIF($A738, "TRUE") = 1</formula>
    </cfRule>
    <cfRule type="expression" dxfId="4" priority="3688">
      <formula>COUNTIF($A738, "FALSE") = 1</formula>
    </cfRule>
    <cfRule type="notContainsBlanks" dxfId="1" priority="3689">
      <formula>LEN(TRIM(A738))&gt;0</formula>
    </cfRule>
  </conditionalFormatting>
  <conditionalFormatting sqref="A739">
    <cfRule type="notContainsBlanks" dxfId="5" priority="3695">
      <formula>LEN(TRIM(A739))&gt;0</formula>
    </cfRule>
  </conditionalFormatting>
  <conditionalFormatting sqref="A739:D739">
    <cfRule type="expression" dxfId="3" priority="3692">
      <formula>COUNTIF($A739, "TRUE") = 1</formula>
    </cfRule>
    <cfRule type="expression" dxfId="4" priority="3693">
      <formula>COUNTIF($A739, "FALSE") = 1</formula>
    </cfRule>
    <cfRule type="notContainsBlanks" dxfId="1" priority="3694">
      <formula>LEN(TRIM(A739))&gt;0</formula>
    </cfRule>
  </conditionalFormatting>
  <conditionalFormatting sqref="A73:D73">
    <cfRule type="expression" dxfId="3" priority="362">
      <formula>COUNTIF($A73, "TRUE") = 1</formula>
    </cfRule>
    <cfRule type="expression" dxfId="4" priority="363">
      <formula>COUNTIF($A73, "FALSE") = 1</formula>
    </cfRule>
    <cfRule type="notContainsBlanks" dxfId="1" priority="364">
      <formula>LEN(TRIM(A73))&gt;0</formula>
    </cfRule>
  </conditionalFormatting>
  <conditionalFormatting sqref="A74">
    <cfRule type="notContainsBlanks" dxfId="5" priority="370">
      <formula>LEN(TRIM(A74))&gt;0</formula>
    </cfRule>
  </conditionalFormatting>
  <conditionalFormatting sqref="A740">
    <cfRule type="notContainsBlanks" dxfId="5" priority="3700">
      <formula>LEN(TRIM(A740))&gt;0</formula>
    </cfRule>
  </conditionalFormatting>
  <conditionalFormatting sqref="A740:D740">
    <cfRule type="expression" dxfId="3" priority="3697">
      <formula>COUNTIF($A740, "TRUE") = 1</formula>
    </cfRule>
    <cfRule type="expression" dxfId="4" priority="3698">
      <formula>COUNTIF($A740, "FALSE") = 1</formula>
    </cfRule>
    <cfRule type="notContainsBlanks" dxfId="1" priority="3699">
      <formula>LEN(TRIM(A740))&gt;0</formula>
    </cfRule>
  </conditionalFormatting>
  <conditionalFormatting sqref="A741">
    <cfRule type="notContainsBlanks" dxfId="5" priority="3705">
      <formula>LEN(TRIM(A741))&gt;0</formula>
    </cfRule>
  </conditionalFormatting>
  <conditionalFormatting sqref="A741:D741">
    <cfRule type="expression" dxfId="3" priority="3702">
      <formula>COUNTIF($A741, "TRUE") = 1</formula>
    </cfRule>
    <cfRule type="expression" dxfId="4" priority="3703">
      <formula>COUNTIF($A741, "FALSE") = 1</formula>
    </cfRule>
    <cfRule type="notContainsBlanks" dxfId="1" priority="3704">
      <formula>LEN(TRIM(A741))&gt;0</formula>
    </cfRule>
  </conditionalFormatting>
  <conditionalFormatting sqref="A742">
    <cfRule type="notContainsBlanks" dxfId="5" priority="3710">
      <formula>LEN(TRIM(A742))&gt;0</formula>
    </cfRule>
  </conditionalFormatting>
  <conditionalFormatting sqref="A742:D742">
    <cfRule type="expression" dxfId="3" priority="3707">
      <formula>COUNTIF($A742, "TRUE") = 1</formula>
    </cfRule>
    <cfRule type="expression" dxfId="4" priority="3708">
      <formula>COUNTIF($A742, "FALSE") = 1</formula>
    </cfRule>
    <cfRule type="notContainsBlanks" dxfId="1" priority="3709">
      <formula>LEN(TRIM(A742))&gt;0</formula>
    </cfRule>
  </conditionalFormatting>
  <conditionalFormatting sqref="A743">
    <cfRule type="notContainsBlanks" dxfId="5" priority="3715">
      <formula>LEN(TRIM(A743))&gt;0</formula>
    </cfRule>
  </conditionalFormatting>
  <conditionalFormatting sqref="A743:D743">
    <cfRule type="expression" dxfId="3" priority="3712">
      <formula>COUNTIF($A743, "TRUE") = 1</formula>
    </cfRule>
    <cfRule type="expression" dxfId="4" priority="3713">
      <formula>COUNTIF($A743, "FALSE") = 1</formula>
    </cfRule>
    <cfRule type="notContainsBlanks" dxfId="1" priority="3714">
      <formula>LEN(TRIM(A743))&gt;0</formula>
    </cfRule>
  </conditionalFormatting>
  <conditionalFormatting sqref="A744">
    <cfRule type="notContainsBlanks" dxfId="5" priority="3720">
      <formula>LEN(TRIM(A744))&gt;0</formula>
    </cfRule>
  </conditionalFormatting>
  <conditionalFormatting sqref="A744:D744">
    <cfRule type="expression" dxfId="3" priority="3717">
      <formula>COUNTIF($A744, "TRUE") = 1</formula>
    </cfRule>
    <cfRule type="expression" dxfId="4" priority="3718">
      <formula>COUNTIF($A744, "FALSE") = 1</formula>
    </cfRule>
    <cfRule type="notContainsBlanks" dxfId="1" priority="3719">
      <formula>LEN(TRIM(A744))&gt;0</formula>
    </cfRule>
  </conditionalFormatting>
  <conditionalFormatting sqref="A745">
    <cfRule type="notContainsBlanks" dxfId="5" priority="3725">
      <formula>LEN(TRIM(A745))&gt;0</formula>
    </cfRule>
  </conditionalFormatting>
  <conditionalFormatting sqref="A745:D745">
    <cfRule type="expression" dxfId="3" priority="3722">
      <formula>COUNTIF($A745, "TRUE") = 1</formula>
    </cfRule>
    <cfRule type="expression" dxfId="4" priority="3723">
      <formula>COUNTIF($A745, "FALSE") = 1</formula>
    </cfRule>
    <cfRule type="notContainsBlanks" dxfId="1" priority="3724">
      <formula>LEN(TRIM(A745))&gt;0</formula>
    </cfRule>
  </conditionalFormatting>
  <conditionalFormatting sqref="A746">
    <cfRule type="notContainsBlanks" dxfId="5" priority="3730">
      <formula>LEN(TRIM(A746))&gt;0</formula>
    </cfRule>
  </conditionalFormatting>
  <conditionalFormatting sqref="A746:D746">
    <cfRule type="expression" dxfId="3" priority="3727">
      <formula>COUNTIF($A746, "TRUE") = 1</formula>
    </cfRule>
    <cfRule type="expression" dxfId="4" priority="3728">
      <formula>COUNTIF($A746, "FALSE") = 1</formula>
    </cfRule>
    <cfRule type="notContainsBlanks" dxfId="1" priority="3729">
      <formula>LEN(TRIM(A746))&gt;0</formula>
    </cfRule>
  </conditionalFormatting>
  <conditionalFormatting sqref="A747">
    <cfRule type="notContainsBlanks" dxfId="5" priority="3735">
      <formula>LEN(TRIM(A747))&gt;0</formula>
    </cfRule>
  </conditionalFormatting>
  <conditionalFormatting sqref="A747:D747">
    <cfRule type="expression" dxfId="3" priority="3732">
      <formula>COUNTIF($A747, "TRUE") = 1</formula>
    </cfRule>
    <cfRule type="expression" dxfId="4" priority="3733">
      <formula>COUNTIF($A747, "FALSE") = 1</formula>
    </cfRule>
    <cfRule type="notContainsBlanks" dxfId="1" priority="3734">
      <formula>LEN(TRIM(A747))&gt;0</formula>
    </cfRule>
  </conditionalFormatting>
  <conditionalFormatting sqref="A748">
    <cfRule type="notContainsBlanks" dxfId="5" priority="3740">
      <formula>LEN(TRIM(A748))&gt;0</formula>
    </cfRule>
  </conditionalFormatting>
  <conditionalFormatting sqref="A748:D748">
    <cfRule type="expression" dxfId="3" priority="3737">
      <formula>COUNTIF($A748, "TRUE") = 1</formula>
    </cfRule>
    <cfRule type="expression" dxfId="4" priority="3738">
      <formula>COUNTIF($A748, "FALSE") = 1</formula>
    </cfRule>
    <cfRule type="notContainsBlanks" dxfId="1" priority="3739">
      <formula>LEN(TRIM(A748))&gt;0</formula>
    </cfRule>
  </conditionalFormatting>
  <conditionalFormatting sqref="A749">
    <cfRule type="notContainsBlanks" dxfId="5" priority="3745">
      <formula>LEN(TRIM(A749))&gt;0</formula>
    </cfRule>
  </conditionalFormatting>
  <conditionalFormatting sqref="A749:D749">
    <cfRule type="expression" dxfId="3" priority="3742">
      <formula>COUNTIF($A749, "TRUE") = 1</formula>
    </cfRule>
    <cfRule type="expression" dxfId="4" priority="3743">
      <formula>COUNTIF($A749, "FALSE") = 1</formula>
    </cfRule>
    <cfRule type="notContainsBlanks" dxfId="1" priority="3744">
      <formula>LEN(TRIM(A749))&gt;0</formula>
    </cfRule>
  </conditionalFormatting>
  <conditionalFormatting sqref="A74:D74">
    <cfRule type="expression" dxfId="3" priority="367">
      <formula>COUNTIF($A74, "TRUE") = 1</formula>
    </cfRule>
    <cfRule type="expression" dxfId="4" priority="368">
      <formula>COUNTIF($A74, "FALSE") = 1</formula>
    </cfRule>
    <cfRule type="notContainsBlanks" dxfId="1" priority="369">
      <formula>LEN(TRIM(A74))&gt;0</formula>
    </cfRule>
  </conditionalFormatting>
  <conditionalFormatting sqref="A75">
    <cfRule type="notContainsBlanks" dxfId="5" priority="375">
      <formula>LEN(TRIM(A75))&gt;0</formula>
    </cfRule>
  </conditionalFormatting>
  <conditionalFormatting sqref="A750">
    <cfRule type="notContainsBlanks" dxfId="5" priority="3750">
      <formula>LEN(TRIM(A750))&gt;0</formula>
    </cfRule>
  </conditionalFormatting>
  <conditionalFormatting sqref="A750:D750">
    <cfRule type="expression" dxfId="3" priority="3747">
      <formula>COUNTIF($A750, "TRUE") = 1</formula>
    </cfRule>
    <cfRule type="expression" dxfId="4" priority="3748">
      <formula>COUNTIF($A750, "FALSE") = 1</formula>
    </cfRule>
    <cfRule type="notContainsBlanks" dxfId="1" priority="3749">
      <formula>LEN(TRIM(A750))&gt;0</formula>
    </cfRule>
  </conditionalFormatting>
  <conditionalFormatting sqref="A751">
    <cfRule type="notContainsBlanks" dxfId="5" priority="3755">
      <formula>LEN(TRIM(A751))&gt;0</formula>
    </cfRule>
  </conditionalFormatting>
  <conditionalFormatting sqref="A751:D751">
    <cfRule type="expression" dxfId="3" priority="3752">
      <formula>COUNTIF($A751, "TRUE") = 1</formula>
    </cfRule>
    <cfRule type="expression" dxfId="4" priority="3753">
      <formula>COUNTIF($A751, "FALSE") = 1</formula>
    </cfRule>
    <cfRule type="notContainsBlanks" dxfId="1" priority="3754">
      <formula>LEN(TRIM(A751))&gt;0</formula>
    </cfRule>
  </conditionalFormatting>
  <conditionalFormatting sqref="A752">
    <cfRule type="notContainsBlanks" dxfId="5" priority="3760">
      <formula>LEN(TRIM(A752))&gt;0</formula>
    </cfRule>
  </conditionalFormatting>
  <conditionalFormatting sqref="A752:D752">
    <cfRule type="expression" dxfId="3" priority="3757">
      <formula>COUNTIF($A752, "TRUE") = 1</formula>
    </cfRule>
    <cfRule type="expression" dxfId="4" priority="3758">
      <formula>COUNTIF($A752, "FALSE") = 1</formula>
    </cfRule>
    <cfRule type="notContainsBlanks" dxfId="1" priority="3759">
      <formula>LEN(TRIM(A752))&gt;0</formula>
    </cfRule>
  </conditionalFormatting>
  <conditionalFormatting sqref="A753">
    <cfRule type="notContainsBlanks" dxfId="5" priority="3765">
      <formula>LEN(TRIM(A753))&gt;0</formula>
    </cfRule>
  </conditionalFormatting>
  <conditionalFormatting sqref="A753:D753">
    <cfRule type="expression" dxfId="3" priority="3762">
      <formula>COUNTIF($A753, "TRUE") = 1</formula>
    </cfRule>
    <cfRule type="expression" dxfId="4" priority="3763">
      <formula>COUNTIF($A753, "FALSE") = 1</formula>
    </cfRule>
    <cfRule type="notContainsBlanks" dxfId="1" priority="3764">
      <formula>LEN(TRIM(A753))&gt;0</formula>
    </cfRule>
  </conditionalFormatting>
  <conditionalFormatting sqref="A754">
    <cfRule type="notContainsBlanks" dxfId="5" priority="3770">
      <formula>LEN(TRIM(A754))&gt;0</formula>
    </cfRule>
  </conditionalFormatting>
  <conditionalFormatting sqref="A754:D754">
    <cfRule type="expression" dxfId="3" priority="3767">
      <formula>COUNTIF($A754, "TRUE") = 1</formula>
    </cfRule>
    <cfRule type="expression" dxfId="4" priority="3768">
      <formula>COUNTIF($A754, "FALSE") = 1</formula>
    </cfRule>
    <cfRule type="notContainsBlanks" dxfId="1" priority="3769">
      <formula>LEN(TRIM(A754))&gt;0</formula>
    </cfRule>
  </conditionalFormatting>
  <conditionalFormatting sqref="A755">
    <cfRule type="notContainsBlanks" dxfId="5" priority="3775">
      <formula>LEN(TRIM(A755))&gt;0</formula>
    </cfRule>
  </conditionalFormatting>
  <conditionalFormatting sqref="A755:D755">
    <cfRule type="expression" dxfId="3" priority="3772">
      <formula>COUNTIF($A755, "TRUE") = 1</formula>
    </cfRule>
    <cfRule type="expression" dxfId="4" priority="3773">
      <formula>COUNTIF($A755, "FALSE") = 1</formula>
    </cfRule>
    <cfRule type="notContainsBlanks" dxfId="1" priority="3774">
      <formula>LEN(TRIM(A755))&gt;0</formula>
    </cfRule>
  </conditionalFormatting>
  <conditionalFormatting sqref="A756">
    <cfRule type="notContainsBlanks" dxfId="5" priority="3780">
      <formula>LEN(TRIM(A756))&gt;0</formula>
    </cfRule>
  </conditionalFormatting>
  <conditionalFormatting sqref="A756:D756">
    <cfRule type="expression" dxfId="3" priority="3777">
      <formula>COUNTIF($A756, "TRUE") = 1</formula>
    </cfRule>
    <cfRule type="expression" dxfId="4" priority="3778">
      <formula>COUNTIF($A756, "FALSE") = 1</formula>
    </cfRule>
    <cfRule type="notContainsBlanks" dxfId="1" priority="3779">
      <formula>LEN(TRIM(A756))&gt;0</formula>
    </cfRule>
  </conditionalFormatting>
  <conditionalFormatting sqref="A757">
    <cfRule type="notContainsBlanks" dxfId="5" priority="3785">
      <formula>LEN(TRIM(A757))&gt;0</formula>
    </cfRule>
  </conditionalFormatting>
  <conditionalFormatting sqref="A757:D757">
    <cfRule type="expression" dxfId="3" priority="3782">
      <formula>COUNTIF($A757, "TRUE") = 1</formula>
    </cfRule>
    <cfRule type="expression" dxfId="4" priority="3783">
      <formula>COUNTIF($A757, "FALSE") = 1</formula>
    </cfRule>
    <cfRule type="notContainsBlanks" dxfId="1" priority="3784">
      <formula>LEN(TRIM(A757))&gt;0</formula>
    </cfRule>
  </conditionalFormatting>
  <conditionalFormatting sqref="A758">
    <cfRule type="notContainsBlanks" dxfId="5" priority="3790">
      <formula>LEN(TRIM(A758))&gt;0</formula>
    </cfRule>
  </conditionalFormatting>
  <conditionalFormatting sqref="A758:D758">
    <cfRule type="expression" dxfId="3" priority="3787">
      <formula>COUNTIF($A758, "TRUE") = 1</formula>
    </cfRule>
    <cfRule type="expression" dxfId="4" priority="3788">
      <formula>COUNTIF($A758, "FALSE") = 1</formula>
    </cfRule>
    <cfRule type="notContainsBlanks" dxfId="1" priority="3789">
      <formula>LEN(TRIM(A758))&gt;0</formula>
    </cfRule>
  </conditionalFormatting>
  <conditionalFormatting sqref="A759">
    <cfRule type="notContainsBlanks" dxfId="5" priority="3795">
      <formula>LEN(TRIM(A759))&gt;0</formula>
    </cfRule>
  </conditionalFormatting>
  <conditionalFormatting sqref="A759:D759">
    <cfRule type="expression" dxfId="3" priority="3792">
      <formula>COUNTIF($A759, "TRUE") = 1</formula>
    </cfRule>
    <cfRule type="expression" dxfId="4" priority="3793">
      <formula>COUNTIF($A759, "FALSE") = 1</formula>
    </cfRule>
    <cfRule type="notContainsBlanks" dxfId="1" priority="3794">
      <formula>LEN(TRIM(A759))&gt;0</formula>
    </cfRule>
  </conditionalFormatting>
  <conditionalFormatting sqref="A75:D75">
    <cfRule type="expression" dxfId="3" priority="372">
      <formula>COUNTIF($A75, "TRUE") = 1</formula>
    </cfRule>
    <cfRule type="expression" dxfId="4" priority="373">
      <formula>COUNTIF($A75, "FALSE") = 1</formula>
    </cfRule>
    <cfRule type="notContainsBlanks" dxfId="1" priority="374">
      <formula>LEN(TRIM(A75))&gt;0</formula>
    </cfRule>
  </conditionalFormatting>
  <conditionalFormatting sqref="A76">
    <cfRule type="notContainsBlanks" dxfId="5" priority="380">
      <formula>LEN(TRIM(A76))&gt;0</formula>
    </cfRule>
  </conditionalFormatting>
  <conditionalFormatting sqref="A760">
    <cfRule type="notContainsBlanks" dxfId="5" priority="3800">
      <formula>LEN(TRIM(A760))&gt;0</formula>
    </cfRule>
  </conditionalFormatting>
  <conditionalFormatting sqref="A760:D760">
    <cfRule type="expression" dxfId="3" priority="3797">
      <formula>COUNTIF($A760, "TRUE") = 1</formula>
    </cfRule>
    <cfRule type="expression" dxfId="4" priority="3798">
      <formula>COUNTIF($A760, "FALSE") = 1</formula>
    </cfRule>
    <cfRule type="notContainsBlanks" dxfId="1" priority="3799">
      <formula>LEN(TRIM(A760))&gt;0</formula>
    </cfRule>
  </conditionalFormatting>
  <conditionalFormatting sqref="A761">
    <cfRule type="notContainsBlanks" dxfId="5" priority="3805">
      <formula>LEN(TRIM(A761))&gt;0</formula>
    </cfRule>
  </conditionalFormatting>
  <conditionalFormatting sqref="A761:D761">
    <cfRule type="expression" dxfId="3" priority="3802">
      <formula>COUNTIF($A761, "TRUE") = 1</formula>
    </cfRule>
    <cfRule type="expression" dxfId="4" priority="3803">
      <formula>COUNTIF($A761, "FALSE") = 1</formula>
    </cfRule>
    <cfRule type="notContainsBlanks" dxfId="1" priority="3804">
      <formula>LEN(TRIM(A761))&gt;0</formula>
    </cfRule>
  </conditionalFormatting>
  <conditionalFormatting sqref="A762">
    <cfRule type="notContainsBlanks" dxfId="5" priority="3810">
      <formula>LEN(TRIM(A762))&gt;0</formula>
    </cfRule>
  </conditionalFormatting>
  <conditionalFormatting sqref="A762:D762">
    <cfRule type="expression" dxfId="3" priority="3807">
      <formula>COUNTIF($A762, "TRUE") = 1</formula>
    </cfRule>
    <cfRule type="expression" dxfId="4" priority="3808">
      <formula>COUNTIF($A762, "FALSE") = 1</formula>
    </cfRule>
    <cfRule type="notContainsBlanks" dxfId="1" priority="3809">
      <formula>LEN(TRIM(A762))&gt;0</formula>
    </cfRule>
  </conditionalFormatting>
  <conditionalFormatting sqref="A763">
    <cfRule type="notContainsBlanks" dxfId="5" priority="3815">
      <formula>LEN(TRIM(A763))&gt;0</formula>
    </cfRule>
  </conditionalFormatting>
  <conditionalFormatting sqref="A763:D763">
    <cfRule type="expression" dxfId="3" priority="3812">
      <formula>COUNTIF($A763, "TRUE") = 1</formula>
    </cfRule>
    <cfRule type="expression" dxfId="4" priority="3813">
      <formula>COUNTIF($A763, "FALSE") = 1</formula>
    </cfRule>
    <cfRule type="notContainsBlanks" dxfId="1" priority="3814">
      <formula>LEN(TRIM(A763))&gt;0</formula>
    </cfRule>
  </conditionalFormatting>
  <conditionalFormatting sqref="A764">
    <cfRule type="notContainsBlanks" dxfId="5" priority="3820">
      <formula>LEN(TRIM(A764))&gt;0</formula>
    </cfRule>
  </conditionalFormatting>
  <conditionalFormatting sqref="A764:D764">
    <cfRule type="expression" dxfId="3" priority="3817">
      <formula>COUNTIF($A764, "TRUE") = 1</formula>
    </cfRule>
    <cfRule type="expression" dxfId="4" priority="3818">
      <formula>COUNTIF($A764, "FALSE") = 1</formula>
    </cfRule>
    <cfRule type="notContainsBlanks" dxfId="1" priority="3819">
      <formula>LEN(TRIM(A764))&gt;0</formula>
    </cfRule>
  </conditionalFormatting>
  <conditionalFormatting sqref="A765">
    <cfRule type="notContainsBlanks" dxfId="5" priority="3825">
      <formula>LEN(TRIM(A765))&gt;0</formula>
    </cfRule>
  </conditionalFormatting>
  <conditionalFormatting sqref="A765:D765">
    <cfRule type="expression" dxfId="3" priority="3822">
      <formula>COUNTIF($A765, "TRUE") = 1</formula>
    </cfRule>
    <cfRule type="expression" dxfId="4" priority="3823">
      <formula>COUNTIF($A765, "FALSE") = 1</formula>
    </cfRule>
    <cfRule type="notContainsBlanks" dxfId="1" priority="3824">
      <formula>LEN(TRIM(A765))&gt;0</formula>
    </cfRule>
  </conditionalFormatting>
  <conditionalFormatting sqref="A766">
    <cfRule type="notContainsBlanks" dxfId="5" priority="3830">
      <formula>LEN(TRIM(A766))&gt;0</formula>
    </cfRule>
  </conditionalFormatting>
  <conditionalFormatting sqref="A766:D766">
    <cfRule type="expression" dxfId="3" priority="3827">
      <formula>COUNTIF($A766, "TRUE") = 1</formula>
    </cfRule>
    <cfRule type="expression" dxfId="4" priority="3828">
      <formula>COUNTIF($A766, "FALSE") = 1</formula>
    </cfRule>
    <cfRule type="notContainsBlanks" dxfId="1" priority="3829">
      <formula>LEN(TRIM(A766))&gt;0</formula>
    </cfRule>
  </conditionalFormatting>
  <conditionalFormatting sqref="A767">
    <cfRule type="notContainsBlanks" dxfId="5" priority="3835">
      <formula>LEN(TRIM(A767))&gt;0</formula>
    </cfRule>
  </conditionalFormatting>
  <conditionalFormatting sqref="A767:D767">
    <cfRule type="expression" dxfId="3" priority="3832">
      <formula>COUNTIF($A767, "TRUE") = 1</formula>
    </cfRule>
    <cfRule type="expression" dxfId="4" priority="3833">
      <formula>COUNTIF($A767, "FALSE") = 1</formula>
    </cfRule>
    <cfRule type="notContainsBlanks" dxfId="1" priority="3834">
      <formula>LEN(TRIM(A767))&gt;0</formula>
    </cfRule>
  </conditionalFormatting>
  <conditionalFormatting sqref="A768">
    <cfRule type="notContainsBlanks" dxfId="5" priority="3840">
      <formula>LEN(TRIM(A768))&gt;0</formula>
    </cfRule>
  </conditionalFormatting>
  <conditionalFormatting sqref="A768:D768">
    <cfRule type="expression" dxfId="3" priority="3837">
      <formula>COUNTIF($A768, "TRUE") = 1</formula>
    </cfRule>
    <cfRule type="expression" dxfId="4" priority="3838">
      <formula>COUNTIF($A768, "FALSE") = 1</formula>
    </cfRule>
    <cfRule type="notContainsBlanks" dxfId="1" priority="3839">
      <formula>LEN(TRIM(A768))&gt;0</formula>
    </cfRule>
  </conditionalFormatting>
  <conditionalFormatting sqref="A769">
    <cfRule type="notContainsBlanks" dxfId="5" priority="3845">
      <formula>LEN(TRIM(A769))&gt;0</formula>
    </cfRule>
  </conditionalFormatting>
  <conditionalFormatting sqref="A769:D769">
    <cfRule type="expression" dxfId="3" priority="3842">
      <formula>COUNTIF($A769, "TRUE") = 1</formula>
    </cfRule>
    <cfRule type="expression" dxfId="4" priority="3843">
      <formula>COUNTIF($A769, "FALSE") = 1</formula>
    </cfRule>
    <cfRule type="notContainsBlanks" dxfId="1" priority="3844">
      <formula>LEN(TRIM(A769))&gt;0</formula>
    </cfRule>
  </conditionalFormatting>
  <conditionalFormatting sqref="A76:D76">
    <cfRule type="expression" dxfId="3" priority="377">
      <formula>COUNTIF($A76, "TRUE") = 1</formula>
    </cfRule>
    <cfRule type="expression" dxfId="4" priority="378">
      <formula>COUNTIF($A76, "FALSE") = 1</formula>
    </cfRule>
    <cfRule type="notContainsBlanks" dxfId="1" priority="379">
      <formula>LEN(TRIM(A76))&gt;0</formula>
    </cfRule>
  </conditionalFormatting>
  <conditionalFormatting sqref="A77">
    <cfRule type="notContainsBlanks" dxfId="5" priority="385">
      <formula>LEN(TRIM(A77))&gt;0</formula>
    </cfRule>
  </conditionalFormatting>
  <conditionalFormatting sqref="A770">
    <cfRule type="notContainsBlanks" dxfId="5" priority="3850">
      <formula>LEN(TRIM(A770))&gt;0</formula>
    </cfRule>
  </conditionalFormatting>
  <conditionalFormatting sqref="A770:D770">
    <cfRule type="expression" dxfId="3" priority="3847">
      <formula>COUNTIF($A770, "TRUE") = 1</formula>
    </cfRule>
    <cfRule type="expression" dxfId="4" priority="3848">
      <formula>COUNTIF($A770, "FALSE") = 1</formula>
    </cfRule>
    <cfRule type="notContainsBlanks" dxfId="1" priority="3849">
      <formula>LEN(TRIM(A770))&gt;0</formula>
    </cfRule>
  </conditionalFormatting>
  <conditionalFormatting sqref="A771">
    <cfRule type="notContainsBlanks" dxfId="5" priority="3855">
      <formula>LEN(TRIM(A771))&gt;0</formula>
    </cfRule>
  </conditionalFormatting>
  <conditionalFormatting sqref="A771:D771">
    <cfRule type="expression" dxfId="3" priority="3852">
      <formula>COUNTIF($A771, "TRUE") = 1</formula>
    </cfRule>
    <cfRule type="expression" dxfId="4" priority="3853">
      <formula>COUNTIF($A771, "FALSE") = 1</formula>
    </cfRule>
    <cfRule type="notContainsBlanks" dxfId="1" priority="3854">
      <formula>LEN(TRIM(A771))&gt;0</formula>
    </cfRule>
  </conditionalFormatting>
  <conditionalFormatting sqref="A772">
    <cfRule type="notContainsBlanks" dxfId="5" priority="3860">
      <formula>LEN(TRIM(A772))&gt;0</formula>
    </cfRule>
  </conditionalFormatting>
  <conditionalFormatting sqref="A772:D772">
    <cfRule type="expression" dxfId="3" priority="3857">
      <formula>COUNTIF($A772, "TRUE") = 1</formula>
    </cfRule>
    <cfRule type="expression" dxfId="4" priority="3858">
      <formula>COUNTIF($A772, "FALSE") = 1</formula>
    </cfRule>
    <cfRule type="notContainsBlanks" dxfId="1" priority="3859">
      <formula>LEN(TRIM(A772))&gt;0</formula>
    </cfRule>
  </conditionalFormatting>
  <conditionalFormatting sqref="A773">
    <cfRule type="notContainsBlanks" dxfId="5" priority="3865">
      <formula>LEN(TRIM(A773))&gt;0</formula>
    </cfRule>
  </conditionalFormatting>
  <conditionalFormatting sqref="A773:D773">
    <cfRule type="expression" dxfId="3" priority="3862">
      <formula>COUNTIF($A773, "TRUE") = 1</formula>
    </cfRule>
    <cfRule type="expression" dxfId="4" priority="3863">
      <formula>COUNTIF($A773, "FALSE") = 1</formula>
    </cfRule>
    <cfRule type="notContainsBlanks" dxfId="1" priority="3864">
      <formula>LEN(TRIM(A773))&gt;0</formula>
    </cfRule>
  </conditionalFormatting>
  <conditionalFormatting sqref="A774">
    <cfRule type="notContainsBlanks" dxfId="5" priority="3870">
      <formula>LEN(TRIM(A774))&gt;0</formula>
    </cfRule>
  </conditionalFormatting>
  <conditionalFormatting sqref="A774:D774">
    <cfRule type="expression" dxfId="3" priority="3867">
      <formula>COUNTIF($A774, "TRUE") = 1</formula>
    </cfRule>
    <cfRule type="expression" dxfId="4" priority="3868">
      <formula>COUNTIF($A774, "FALSE") = 1</formula>
    </cfRule>
    <cfRule type="notContainsBlanks" dxfId="1" priority="3869">
      <formula>LEN(TRIM(A774))&gt;0</formula>
    </cfRule>
  </conditionalFormatting>
  <conditionalFormatting sqref="A775">
    <cfRule type="notContainsBlanks" dxfId="5" priority="3875">
      <formula>LEN(TRIM(A775))&gt;0</formula>
    </cfRule>
  </conditionalFormatting>
  <conditionalFormatting sqref="A775:D775">
    <cfRule type="expression" dxfId="3" priority="3872">
      <formula>COUNTIF($A775, "TRUE") = 1</formula>
    </cfRule>
    <cfRule type="expression" dxfId="4" priority="3873">
      <formula>COUNTIF($A775, "FALSE") = 1</formula>
    </cfRule>
    <cfRule type="notContainsBlanks" dxfId="1" priority="3874">
      <formula>LEN(TRIM(A775))&gt;0</formula>
    </cfRule>
  </conditionalFormatting>
  <conditionalFormatting sqref="A776">
    <cfRule type="notContainsBlanks" dxfId="5" priority="3880">
      <formula>LEN(TRIM(A776))&gt;0</formula>
    </cfRule>
  </conditionalFormatting>
  <conditionalFormatting sqref="A776:D776">
    <cfRule type="expression" dxfId="3" priority="3877">
      <formula>COUNTIF($A776, "TRUE") = 1</formula>
    </cfRule>
    <cfRule type="expression" dxfId="4" priority="3878">
      <formula>COUNTIF($A776, "FALSE") = 1</formula>
    </cfRule>
    <cfRule type="notContainsBlanks" dxfId="1" priority="3879">
      <formula>LEN(TRIM(A776))&gt;0</formula>
    </cfRule>
  </conditionalFormatting>
  <conditionalFormatting sqref="A777">
    <cfRule type="notContainsBlanks" dxfId="5" priority="3885">
      <formula>LEN(TRIM(A777))&gt;0</formula>
    </cfRule>
  </conditionalFormatting>
  <conditionalFormatting sqref="A777:D777">
    <cfRule type="expression" dxfId="3" priority="3882">
      <formula>COUNTIF($A777, "TRUE") = 1</formula>
    </cfRule>
    <cfRule type="expression" dxfId="4" priority="3883">
      <formula>COUNTIF($A777, "FALSE") = 1</formula>
    </cfRule>
    <cfRule type="notContainsBlanks" dxfId="1" priority="3884">
      <formula>LEN(TRIM(A777))&gt;0</formula>
    </cfRule>
  </conditionalFormatting>
  <conditionalFormatting sqref="A778">
    <cfRule type="notContainsBlanks" dxfId="5" priority="3890">
      <formula>LEN(TRIM(A778))&gt;0</formula>
    </cfRule>
  </conditionalFormatting>
  <conditionalFormatting sqref="A778:D778">
    <cfRule type="expression" dxfId="3" priority="3887">
      <formula>COUNTIF($A778, "TRUE") = 1</formula>
    </cfRule>
    <cfRule type="expression" dxfId="4" priority="3888">
      <formula>COUNTIF($A778, "FALSE") = 1</formula>
    </cfRule>
    <cfRule type="notContainsBlanks" dxfId="1" priority="3889">
      <formula>LEN(TRIM(A778))&gt;0</formula>
    </cfRule>
  </conditionalFormatting>
  <conditionalFormatting sqref="A779">
    <cfRule type="notContainsBlanks" dxfId="5" priority="3895">
      <formula>LEN(TRIM(A779))&gt;0</formula>
    </cfRule>
  </conditionalFormatting>
  <conditionalFormatting sqref="A779:D779">
    <cfRule type="expression" dxfId="3" priority="3892">
      <formula>COUNTIF($A779, "TRUE") = 1</formula>
    </cfRule>
    <cfRule type="expression" dxfId="4" priority="3893">
      <formula>COUNTIF($A779, "FALSE") = 1</formula>
    </cfRule>
    <cfRule type="notContainsBlanks" dxfId="1" priority="3894">
      <formula>LEN(TRIM(A779))&gt;0</formula>
    </cfRule>
  </conditionalFormatting>
  <conditionalFormatting sqref="A77:D77">
    <cfRule type="expression" dxfId="3" priority="382">
      <formula>COUNTIF($A77, "TRUE") = 1</formula>
    </cfRule>
    <cfRule type="expression" dxfId="4" priority="383">
      <formula>COUNTIF($A77, "FALSE") = 1</formula>
    </cfRule>
    <cfRule type="notContainsBlanks" dxfId="1" priority="384">
      <formula>LEN(TRIM(A77))&gt;0</formula>
    </cfRule>
  </conditionalFormatting>
  <conditionalFormatting sqref="A78">
    <cfRule type="notContainsBlanks" dxfId="5" priority="390">
      <formula>LEN(TRIM(A78))&gt;0</formula>
    </cfRule>
  </conditionalFormatting>
  <conditionalFormatting sqref="A780">
    <cfRule type="notContainsBlanks" dxfId="5" priority="3900">
      <formula>LEN(TRIM(A780))&gt;0</formula>
    </cfRule>
  </conditionalFormatting>
  <conditionalFormatting sqref="A780:D780">
    <cfRule type="expression" dxfId="3" priority="3897">
      <formula>COUNTIF($A780, "TRUE") = 1</formula>
    </cfRule>
    <cfRule type="expression" dxfId="4" priority="3898">
      <formula>COUNTIF($A780, "FALSE") = 1</formula>
    </cfRule>
    <cfRule type="notContainsBlanks" dxfId="1" priority="3899">
      <formula>LEN(TRIM(A780))&gt;0</formula>
    </cfRule>
  </conditionalFormatting>
  <conditionalFormatting sqref="A781">
    <cfRule type="notContainsBlanks" dxfId="5" priority="3905">
      <formula>LEN(TRIM(A781))&gt;0</formula>
    </cfRule>
  </conditionalFormatting>
  <conditionalFormatting sqref="A781:D781">
    <cfRule type="expression" dxfId="3" priority="3902">
      <formula>COUNTIF($A781, "TRUE") = 1</formula>
    </cfRule>
    <cfRule type="expression" dxfId="4" priority="3903">
      <formula>COUNTIF($A781, "FALSE") = 1</formula>
    </cfRule>
    <cfRule type="notContainsBlanks" dxfId="1" priority="3904">
      <formula>LEN(TRIM(A781))&gt;0</formula>
    </cfRule>
  </conditionalFormatting>
  <conditionalFormatting sqref="A782">
    <cfRule type="notContainsBlanks" dxfId="5" priority="3910">
      <formula>LEN(TRIM(A782))&gt;0</formula>
    </cfRule>
  </conditionalFormatting>
  <conditionalFormatting sqref="A782:D782">
    <cfRule type="expression" dxfId="3" priority="3907">
      <formula>COUNTIF($A782, "TRUE") = 1</formula>
    </cfRule>
    <cfRule type="expression" dxfId="4" priority="3908">
      <formula>COUNTIF($A782, "FALSE") = 1</formula>
    </cfRule>
    <cfRule type="notContainsBlanks" dxfId="1" priority="3909">
      <formula>LEN(TRIM(A782))&gt;0</formula>
    </cfRule>
  </conditionalFormatting>
  <conditionalFormatting sqref="A783">
    <cfRule type="notContainsBlanks" dxfId="5" priority="3915">
      <formula>LEN(TRIM(A783))&gt;0</formula>
    </cfRule>
  </conditionalFormatting>
  <conditionalFormatting sqref="A783:D783">
    <cfRule type="expression" dxfId="3" priority="3912">
      <formula>COUNTIF($A783, "TRUE") = 1</formula>
    </cfRule>
    <cfRule type="expression" dxfId="4" priority="3913">
      <formula>COUNTIF($A783, "FALSE") = 1</formula>
    </cfRule>
    <cfRule type="notContainsBlanks" dxfId="1" priority="3914">
      <formula>LEN(TRIM(A783))&gt;0</formula>
    </cfRule>
  </conditionalFormatting>
  <conditionalFormatting sqref="A784">
    <cfRule type="notContainsBlanks" dxfId="5" priority="3920">
      <formula>LEN(TRIM(A784))&gt;0</formula>
    </cfRule>
  </conditionalFormatting>
  <conditionalFormatting sqref="A784:D784">
    <cfRule type="expression" dxfId="3" priority="3917">
      <formula>COUNTIF($A784, "TRUE") = 1</formula>
    </cfRule>
    <cfRule type="expression" dxfId="4" priority="3918">
      <formula>COUNTIF($A784, "FALSE") = 1</formula>
    </cfRule>
    <cfRule type="notContainsBlanks" dxfId="1" priority="3919">
      <formula>LEN(TRIM(A784))&gt;0</formula>
    </cfRule>
  </conditionalFormatting>
  <conditionalFormatting sqref="A785">
    <cfRule type="notContainsBlanks" dxfId="5" priority="3925">
      <formula>LEN(TRIM(A785))&gt;0</formula>
    </cfRule>
  </conditionalFormatting>
  <conditionalFormatting sqref="A785:D785">
    <cfRule type="expression" dxfId="3" priority="3922">
      <formula>COUNTIF($A785, "TRUE") = 1</formula>
    </cfRule>
    <cfRule type="expression" dxfId="4" priority="3923">
      <formula>COUNTIF($A785, "FALSE") = 1</formula>
    </cfRule>
    <cfRule type="notContainsBlanks" dxfId="1" priority="3924">
      <formula>LEN(TRIM(A785))&gt;0</formula>
    </cfRule>
  </conditionalFormatting>
  <conditionalFormatting sqref="A786">
    <cfRule type="notContainsBlanks" dxfId="5" priority="3930">
      <formula>LEN(TRIM(A786))&gt;0</formula>
    </cfRule>
  </conditionalFormatting>
  <conditionalFormatting sqref="A786:D786">
    <cfRule type="expression" dxfId="3" priority="3927">
      <formula>COUNTIF($A786, "TRUE") = 1</formula>
    </cfRule>
    <cfRule type="expression" dxfId="4" priority="3928">
      <formula>COUNTIF($A786, "FALSE") = 1</formula>
    </cfRule>
    <cfRule type="notContainsBlanks" dxfId="1" priority="3929">
      <formula>LEN(TRIM(A786))&gt;0</formula>
    </cfRule>
  </conditionalFormatting>
  <conditionalFormatting sqref="A787">
    <cfRule type="notContainsBlanks" dxfId="5" priority="3935">
      <formula>LEN(TRIM(A787))&gt;0</formula>
    </cfRule>
  </conditionalFormatting>
  <conditionalFormatting sqref="A787:D787">
    <cfRule type="expression" dxfId="3" priority="3932">
      <formula>COUNTIF($A787, "TRUE") = 1</formula>
    </cfRule>
    <cfRule type="expression" dxfId="4" priority="3933">
      <formula>COUNTIF($A787, "FALSE") = 1</formula>
    </cfRule>
    <cfRule type="notContainsBlanks" dxfId="1" priority="3934">
      <formula>LEN(TRIM(A787))&gt;0</formula>
    </cfRule>
  </conditionalFormatting>
  <conditionalFormatting sqref="A788">
    <cfRule type="notContainsBlanks" dxfId="5" priority="3940">
      <formula>LEN(TRIM(A788))&gt;0</formula>
    </cfRule>
  </conditionalFormatting>
  <conditionalFormatting sqref="A788:D788">
    <cfRule type="expression" dxfId="3" priority="3937">
      <formula>COUNTIF($A788, "TRUE") = 1</formula>
    </cfRule>
    <cfRule type="expression" dxfId="4" priority="3938">
      <formula>COUNTIF($A788, "FALSE") = 1</formula>
    </cfRule>
    <cfRule type="notContainsBlanks" dxfId="1" priority="3939">
      <formula>LEN(TRIM(A788))&gt;0</formula>
    </cfRule>
  </conditionalFormatting>
  <conditionalFormatting sqref="A789">
    <cfRule type="notContainsBlanks" dxfId="5" priority="3945">
      <formula>LEN(TRIM(A789))&gt;0</formula>
    </cfRule>
  </conditionalFormatting>
  <conditionalFormatting sqref="A789:D789">
    <cfRule type="expression" dxfId="3" priority="3942">
      <formula>COUNTIF($A789, "TRUE") = 1</formula>
    </cfRule>
    <cfRule type="expression" dxfId="4" priority="3943">
      <formula>COUNTIF($A789, "FALSE") = 1</formula>
    </cfRule>
    <cfRule type="notContainsBlanks" dxfId="1" priority="3944">
      <formula>LEN(TRIM(A789))&gt;0</formula>
    </cfRule>
  </conditionalFormatting>
  <conditionalFormatting sqref="A78:D78">
    <cfRule type="expression" dxfId="3" priority="387">
      <formula>COUNTIF($A78, "TRUE") = 1</formula>
    </cfRule>
    <cfRule type="expression" dxfId="4" priority="388">
      <formula>COUNTIF($A78, "FALSE") = 1</formula>
    </cfRule>
    <cfRule type="notContainsBlanks" dxfId="1" priority="389">
      <formula>LEN(TRIM(A78))&gt;0</formula>
    </cfRule>
  </conditionalFormatting>
  <conditionalFormatting sqref="A79">
    <cfRule type="notContainsBlanks" dxfId="5" priority="395">
      <formula>LEN(TRIM(A79))&gt;0</formula>
    </cfRule>
  </conditionalFormatting>
  <conditionalFormatting sqref="A790">
    <cfRule type="notContainsBlanks" dxfId="5" priority="3950">
      <formula>LEN(TRIM(A790))&gt;0</formula>
    </cfRule>
  </conditionalFormatting>
  <conditionalFormatting sqref="A790:D790">
    <cfRule type="expression" dxfId="3" priority="3947">
      <formula>COUNTIF($A790, "TRUE") = 1</formula>
    </cfRule>
    <cfRule type="expression" dxfId="4" priority="3948">
      <formula>COUNTIF($A790, "FALSE") = 1</formula>
    </cfRule>
    <cfRule type="notContainsBlanks" dxfId="1" priority="3949">
      <formula>LEN(TRIM(A790))&gt;0</formula>
    </cfRule>
  </conditionalFormatting>
  <conditionalFormatting sqref="A791">
    <cfRule type="notContainsBlanks" dxfId="5" priority="3955">
      <formula>LEN(TRIM(A791))&gt;0</formula>
    </cfRule>
  </conditionalFormatting>
  <conditionalFormatting sqref="A791:D791">
    <cfRule type="expression" dxfId="3" priority="3952">
      <formula>COUNTIF($A791, "TRUE") = 1</formula>
    </cfRule>
    <cfRule type="expression" dxfId="4" priority="3953">
      <formula>COUNTIF($A791, "FALSE") = 1</formula>
    </cfRule>
    <cfRule type="notContainsBlanks" dxfId="1" priority="3954">
      <formula>LEN(TRIM(A791))&gt;0</formula>
    </cfRule>
  </conditionalFormatting>
  <conditionalFormatting sqref="A792">
    <cfRule type="notContainsBlanks" dxfId="5" priority="3960">
      <formula>LEN(TRIM(A792))&gt;0</formula>
    </cfRule>
  </conditionalFormatting>
  <conditionalFormatting sqref="A792:D792">
    <cfRule type="expression" dxfId="3" priority="3957">
      <formula>COUNTIF($A792, "TRUE") = 1</formula>
    </cfRule>
    <cfRule type="expression" dxfId="4" priority="3958">
      <formula>COUNTIF($A792, "FALSE") = 1</formula>
    </cfRule>
    <cfRule type="notContainsBlanks" dxfId="1" priority="3959">
      <formula>LEN(TRIM(A792))&gt;0</formula>
    </cfRule>
  </conditionalFormatting>
  <conditionalFormatting sqref="A793">
    <cfRule type="notContainsBlanks" dxfId="5" priority="3965">
      <formula>LEN(TRIM(A793))&gt;0</formula>
    </cfRule>
  </conditionalFormatting>
  <conditionalFormatting sqref="A793:D793">
    <cfRule type="expression" dxfId="3" priority="3962">
      <formula>COUNTIF($A793, "TRUE") = 1</formula>
    </cfRule>
    <cfRule type="expression" dxfId="4" priority="3963">
      <formula>COUNTIF($A793, "FALSE") = 1</formula>
    </cfRule>
    <cfRule type="notContainsBlanks" dxfId="1" priority="3964">
      <formula>LEN(TRIM(A793))&gt;0</formula>
    </cfRule>
  </conditionalFormatting>
  <conditionalFormatting sqref="A794">
    <cfRule type="notContainsBlanks" dxfId="5" priority="3970">
      <formula>LEN(TRIM(A794))&gt;0</formula>
    </cfRule>
  </conditionalFormatting>
  <conditionalFormatting sqref="A794:D794">
    <cfRule type="expression" dxfId="3" priority="3967">
      <formula>COUNTIF($A794, "TRUE") = 1</formula>
    </cfRule>
    <cfRule type="expression" dxfId="4" priority="3968">
      <formula>COUNTIF($A794, "FALSE") = 1</formula>
    </cfRule>
    <cfRule type="notContainsBlanks" dxfId="1" priority="3969">
      <formula>LEN(TRIM(A794))&gt;0</formula>
    </cfRule>
  </conditionalFormatting>
  <conditionalFormatting sqref="A795">
    <cfRule type="notContainsBlanks" dxfId="5" priority="3975">
      <formula>LEN(TRIM(A795))&gt;0</formula>
    </cfRule>
  </conditionalFormatting>
  <conditionalFormatting sqref="A795:D795">
    <cfRule type="expression" dxfId="3" priority="3972">
      <formula>COUNTIF($A795, "TRUE") = 1</formula>
    </cfRule>
    <cfRule type="expression" dxfId="4" priority="3973">
      <formula>COUNTIF($A795, "FALSE") = 1</formula>
    </cfRule>
    <cfRule type="notContainsBlanks" dxfId="1" priority="3974">
      <formula>LEN(TRIM(A795))&gt;0</formula>
    </cfRule>
  </conditionalFormatting>
  <conditionalFormatting sqref="A796">
    <cfRule type="notContainsBlanks" dxfId="5" priority="3980">
      <formula>LEN(TRIM(A796))&gt;0</formula>
    </cfRule>
  </conditionalFormatting>
  <conditionalFormatting sqref="A796:D796">
    <cfRule type="expression" dxfId="3" priority="3977">
      <formula>COUNTIF($A796, "TRUE") = 1</formula>
    </cfRule>
    <cfRule type="expression" dxfId="4" priority="3978">
      <formula>COUNTIF($A796, "FALSE") = 1</formula>
    </cfRule>
    <cfRule type="notContainsBlanks" dxfId="1" priority="3979">
      <formula>LEN(TRIM(A796))&gt;0</formula>
    </cfRule>
  </conditionalFormatting>
  <conditionalFormatting sqref="A797">
    <cfRule type="notContainsBlanks" dxfId="5" priority="3985">
      <formula>LEN(TRIM(A797))&gt;0</formula>
    </cfRule>
  </conditionalFormatting>
  <conditionalFormatting sqref="A797:D797">
    <cfRule type="expression" dxfId="3" priority="3982">
      <formula>COUNTIF($A797, "TRUE") = 1</formula>
    </cfRule>
    <cfRule type="expression" dxfId="4" priority="3983">
      <formula>COUNTIF($A797, "FALSE") = 1</formula>
    </cfRule>
    <cfRule type="notContainsBlanks" dxfId="1" priority="3984">
      <formula>LEN(TRIM(A797))&gt;0</formula>
    </cfRule>
  </conditionalFormatting>
  <conditionalFormatting sqref="A798">
    <cfRule type="notContainsBlanks" dxfId="5" priority="3990">
      <formula>LEN(TRIM(A798))&gt;0</formula>
    </cfRule>
  </conditionalFormatting>
  <conditionalFormatting sqref="A798:D798">
    <cfRule type="expression" dxfId="3" priority="3987">
      <formula>COUNTIF($A798, "TRUE") = 1</formula>
    </cfRule>
    <cfRule type="expression" dxfId="4" priority="3988">
      <formula>COUNTIF($A798, "FALSE") = 1</formula>
    </cfRule>
    <cfRule type="notContainsBlanks" dxfId="1" priority="3989">
      <formula>LEN(TRIM(A798))&gt;0</formula>
    </cfRule>
  </conditionalFormatting>
  <conditionalFormatting sqref="A799">
    <cfRule type="notContainsBlanks" dxfId="5" priority="3995">
      <formula>LEN(TRIM(A799))&gt;0</formula>
    </cfRule>
  </conditionalFormatting>
  <conditionalFormatting sqref="A799:D799">
    <cfRule type="expression" dxfId="3" priority="3992">
      <formula>COUNTIF($A799, "TRUE") = 1</formula>
    </cfRule>
    <cfRule type="expression" dxfId="4" priority="3993">
      <formula>COUNTIF($A799, "FALSE") = 1</formula>
    </cfRule>
    <cfRule type="notContainsBlanks" dxfId="1" priority="3994">
      <formula>LEN(TRIM(A799))&gt;0</formula>
    </cfRule>
  </conditionalFormatting>
  <conditionalFormatting sqref="A79:D79">
    <cfRule type="expression" dxfId="3" priority="392">
      <formula>COUNTIF($A79, "TRUE") = 1</formula>
    </cfRule>
    <cfRule type="expression" dxfId="4" priority="393">
      <formula>COUNTIF($A79, "FALSE") = 1</formula>
    </cfRule>
    <cfRule type="notContainsBlanks" dxfId="1" priority="394">
      <formula>LEN(TRIM(A79))&gt;0</formula>
    </cfRule>
  </conditionalFormatting>
  <conditionalFormatting sqref="A7:D7">
    <cfRule type="expression" dxfId="3" priority="32">
      <formula>COUNTIF($A7, "TRUE") = 1</formula>
    </cfRule>
    <cfRule type="expression" dxfId="4" priority="33">
      <formula>COUNTIF($A7, "FALSE") = 1</formula>
    </cfRule>
    <cfRule type="notContainsBlanks" dxfId="1" priority="34">
      <formula>LEN(TRIM(A7))&gt;0</formula>
    </cfRule>
  </conditionalFormatting>
  <conditionalFormatting sqref="A8">
    <cfRule type="notContainsBlanks" dxfId="5" priority="40">
      <formula>LEN(TRIM(A8))&gt;0</formula>
    </cfRule>
  </conditionalFormatting>
  <conditionalFormatting sqref="A80">
    <cfRule type="notContainsBlanks" dxfId="5" priority="400">
      <formula>LEN(TRIM(A80))&gt;0</formula>
    </cfRule>
  </conditionalFormatting>
  <conditionalFormatting sqref="A800">
    <cfRule type="notContainsBlanks" dxfId="5" priority="4000">
      <formula>LEN(TRIM(A800))&gt;0</formula>
    </cfRule>
  </conditionalFormatting>
  <conditionalFormatting sqref="A800:D800">
    <cfRule type="expression" dxfId="3" priority="3997">
      <formula>COUNTIF($A800, "TRUE") = 1</formula>
    </cfRule>
    <cfRule type="expression" dxfId="4" priority="3998">
      <formula>COUNTIF($A800, "FALSE") = 1</formula>
    </cfRule>
    <cfRule type="notContainsBlanks" dxfId="1" priority="3999">
      <formula>LEN(TRIM(A800))&gt;0</formula>
    </cfRule>
  </conditionalFormatting>
  <conditionalFormatting sqref="A801">
    <cfRule type="notContainsBlanks" dxfId="5" priority="4005">
      <formula>LEN(TRIM(A801))&gt;0</formula>
    </cfRule>
  </conditionalFormatting>
  <conditionalFormatting sqref="A801:D801">
    <cfRule type="expression" dxfId="3" priority="4002">
      <formula>COUNTIF($A801, "TRUE") = 1</formula>
    </cfRule>
    <cfRule type="expression" dxfId="4" priority="4003">
      <formula>COUNTIF($A801, "FALSE") = 1</formula>
    </cfRule>
    <cfRule type="notContainsBlanks" dxfId="1" priority="4004">
      <formula>LEN(TRIM(A801))&gt;0</formula>
    </cfRule>
  </conditionalFormatting>
  <conditionalFormatting sqref="A802">
    <cfRule type="notContainsBlanks" dxfId="5" priority="4010">
      <formula>LEN(TRIM(A802))&gt;0</formula>
    </cfRule>
  </conditionalFormatting>
  <conditionalFormatting sqref="A802:D802">
    <cfRule type="expression" dxfId="3" priority="4007">
      <formula>COUNTIF($A802, "TRUE") = 1</formula>
    </cfRule>
    <cfRule type="expression" dxfId="4" priority="4008">
      <formula>COUNTIF($A802, "FALSE") = 1</formula>
    </cfRule>
    <cfRule type="notContainsBlanks" dxfId="1" priority="4009">
      <formula>LEN(TRIM(A802))&gt;0</formula>
    </cfRule>
  </conditionalFormatting>
  <conditionalFormatting sqref="A803">
    <cfRule type="notContainsBlanks" dxfId="5" priority="4015">
      <formula>LEN(TRIM(A803))&gt;0</formula>
    </cfRule>
  </conditionalFormatting>
  <conditionalFormatting sqref="A803:D803">
    <cfRule type="expression" dxfId="3" priority="4012">
      <formula>COUNTIF($A803, "TRUE") = 1</formula>
    </cfRule>
    <cfRule type="expression" dxfId="4" priority="4013">
      <formula>COUNTIF($A803, "FALSE") = 1</formula>
    </cfRule>
    <cfRule type="notContainsBlanks" dxfId="1" priority="4014">
      <formula>LEN(TRIM(A803))&gt;0</formula>
    </cfRule>
  </conditionalFormatting>
  <conditionalFormatting sqref="A804">
    <cfRule type="notContainsBlanks" dxfId="5" priority="4020">
      <formula>LEN(TRIM(A804))&gt;0</formula>
    </cfRule>
  </conditionalFormatting>
  <conditionalFormatting sqref="A804:D804">
    <cfRule type="expression" dxfId="3" priority="4017">
      <formula>COUNTIF($A804, "TRUE") = 1</formula>
    </cfRule>
    <cfRule type="expression" dxfId="4" priority="4018">
      <formula>COUNTIF($A804, "FALSE") = 1</formula>
    </cfRule>
    <cfRule type="notContainsBlanks" dxfId="1" priority="4019">
      <formula>LEN(TRIM(A804))&gt;0</formula>
    </cfRule>
  </conditionalFormatting>
  <conditionalFormatting sqref="A805">
    <cfRule type="notContainsBlanks" dxfId="5" priority="4025">
      <formula>LEN(TRIM(A805))&gt;0</formula>
    </cfRule>
  </conditionalFormatting>
  <conditionalFormatting sqref="A805:D805">
    <cfRule type="expression" dxfId="3" priority="4022">
      <formula>COUNTIF($A805, "TRUE") = 1</formula>
    </cfRule>
    <cfRule type="expression" dxfId="4" priority="4023">
      <formula>COUNTIF($A805, "FALSE") = 1</formula>
    </cfRule>
    <cfRule type="notContainsBlanks" dxfId="1" priority="4024">
      <formula>LEN(TRIM(A805))&gt;0</formula>
    </cfRule>
  </conditionalFormatting>
  <conditionalFormatting sqref="A806">
    <cfRule type="notContainsBlanks" dxfId="5" priority="4030">
      <formula>LEN(TRIM(A806))&gt;0</formula>
    </cfRule>
  </conditionalFormatting>
  <conditionalFormatting sqref="A806:D806">
    <cfRule type="expression" dxfId="3" priority="4027">
      <formula>COUNTIF($A806, "TRUE") = 1</formula>
    </cfRule>
    <cfRule type="expression" dxfId="4" priority="4028">
      <formula>COUNTIF($A806, "FALSE") = 1</formula>
    </cfRule>
    <cfRule type="notContainsBlanks" dxfId="1" priority="4029">
      <formula>LEN(TRIM(A806))&gt;0</formula>
    </cfRule>
  </conditionalFormatting>
  <conditionalFormatting sqref="A807">
    <cfRule type="notContainsBlanks" dxfId="5" priority="4035">
      <formula>LEN(TRIM(A807))&gt;0</formula>
    </cfRule>
  </conditionalFormatting>
  <conditionalFormatting sqref="A807:D807">
    <cfRule type="expression" dxfId="3" priority="4032">
      <formula>COUNTIF($A807, "TRUE") = 1</formula>
    </cfRule>
    <cfRule type="expression" dxfId="4" priority="4033">
      <formula>COUNTIF($A807, "FALSE") = 1</formula>
    </cfRule>
    <cfRule type="notContainsBlanks" dxfId="1" priority="4034">
      <formula>LEN(TRIM(A807))&gt;0</formula>
    </cfRule>
  </conditionalFormatting>
  <conditionalFormatting sqref="A808">
    <cfRule type="notContainsBlanks" dxfId="5" priority="4040">
      <formula>LEN(TRIM(A808))&gt;0</formula>
    </cfRule>
  </conditionalFormatting>
  <conditionalFormatting sqref="A808:D808">
    <cfRule type="expression" dxfId="3" priority="4037">
      <formula>COUNTIF($A808, "TRUE") = 1</formula>
    </cfRule>
    <cfRule type="expression" dxfId="4" priority="4038">
      <formula>COUNTIF($A808, "FALSE") = 1</formula>
    </cfRule>
    <cfRule type="notContainsBlanks" dxfId="1" priority="4039">
      <formula>LEN(TRIM(A808))&gt;0</formula>
    </cfRule>
  </conditionalFormatting>
  <conditionalFormatting sqref="A809">
    <cfRule type="notContainsBlanks" dxfId="5" priority="4045">
      <formula>LEN(TRIM(A809))&gt;0</formula>
    </cfRule>
  </conditionalFormatting>
  <conditionalFormatting sqref="A809:D809">
    <cfRule type="expression" dxfId="3" priority="4042">
      <formula>COUNTIF($A809, "TRUE") = 1</formula>
    </cfRule>
    <cfRule type="expression" dxfId="4" priority="4043">
      <formula>COUNTIF($A809, "FALSE") = 1</formula>
    </cfRule>
    <cfRule type="notContainsBlanks" dxfId="1" priority="4044">
      <formula>LEN(TRIM(A809))&gt;0</formula>
    </cfRule>
  </conditionalFormatting>
  <conditionalFormatting sqref="A80:D80">
    <cfRule type="expression" dxfId="3" priority="397">
      <formula>COUNTIF($A80, "TRUE") = 1</formula>
    </cfRule>
    <cfRule type="expression" dxfId="4" priority="398">
      <formula>COUNTIF($A80, "FALSE") = 1</formula>
    </cfRule>
    <cfRule type="notContainsBlanks" dxfId="1" priority="399">
      <formula>LEN(TRIM(A80))&gt;0</formula>
    </cfRule>
  </conditionalFormatting>
  <conditionalFormatting sqref="A81">
    <cfRule type="notContainsBlanks" dxfId="5" priority="405">
      <formula>LEN(TRIM(A81))&gt;0</formula>
    </cfRule>
  </conditionalFormatting>
  <conditionalFormatting sqref="A810">
    <cfRule type="notContainsBlanks" dxfId="5" priority="4050">
      <formula>LEN(TRIM(A810))&gt;0</formula>
    </cfRule>
  </conditionalFormatting>
  <conditionalFormatting sqref="A810:D810">
    <cfRule type="expression" dxfId="3" priority="4047">
      <formula>COUNTIF($A810, "TRUE") = 1</formula>
    </cfRule>
    <cfRule type="expression" dxfId="4" priority="4048">
      <formula>COUNTIF($A810, "FALSE") = 1</formula>
    </cfRule>
    <cfRule type="notContainsBlanks" dxfId="1" priority="4049">
      <formula>LEN(TRIM(A810))&gt;0</formula>
    </cfRule>
  </conditionalFormatting>
  <conditionalFormatting sqref="A811">
    <cfRule type="notContainsBlanks" dxfId="5" priority="4055">
      <formula>LEN(TRIM(A811))&gt;0</formula>
    </cfRule>
  </conditionalFormatting>
  <conditionalFormatting sqref="A811:D811">
    <cfRule type="expression" dxfId="3" priority="4052">
      <formula>COUNTIF($A811, "TRUE") = 1</formula>
    </cfRule>
    <cfRule type="expression" dxfId="4" priority="4053">
      <formula>COUNTIF($A811, "FALSE") = 1</formula>
    </cfRule>
    <cfRule type="notContainsBlanks" dxfId="1" priority="4054">
      <formula>LEN(TRIM(A811))&gt;0</formula>
    </cfRule>
  </conditionalFormatting>
  <conditionalFormatting sqref="A812">
    <cfRule type="notContainsBlanks" dxfId="5" priority="4060">
      <formula>LEN(TRIM(A812))&gt;0</formula>
    </cfRule>
  </conditionalFormatting>
  <conditionalFormatting sqref="A812:D812">
    <cfRule type="expression" dxfId="3" priority="4057">
      <formula>COUNTIF($A812, "TRUE") = 1</formula>
    </cfRule>
    <cfRule type="expression" dxfId="4" priority="4058">
      <formula>COUNTIF($A812, "FALSE") = 1</formula>
    </cfRule>
    <cfRule type="notContainsBlanks" dxfId="1" priority="4059">
      <formula>LEN(TRIM(A812))&gt;0</formula>
    </cfRule>
  </conditionalFormatting>
  <conditionalFormatting sqref="A813">
    <cfRule type="notContainsBlanks" dxfId="5" priority="4065">
      <formula>LEN(TRIM(A813))&gt;0</formula>
    </cfRule>
  </conditionalFormatting>
  <conditionalFormatting sqref="A813:D813">
    <cfRule type="expression" dxfId="3" priority="4062">
      <formula>COUNTIF($A813, "TRUE") = 1</formula>
    </cfRule>
    <cfRule type="expression" dxfId="4" priority="4063">
      <formula>COUNTIF($A813, "FALSE") = 1</formula>
    </cfRule>
    <cfRule type="notContainsBlanks" dxfId="1" priority="4064">
      <formula>LEN(TRIM(A813))&gt;0</formula>
    </cfRule>
  </conditionalFormatting>
  <conditionalFormatting sqref="A814">
    <cfRule type="notContainsBlanks" dxfId="5" priority="4070">
      <formula>LEN(TRIM(A814))&gt;0</formula>
    </cfRule>
  </conditionalFormatting>
  <conditionalFormatting sqref="A814:D814">
    <cfRule type="expression" dxfId="3" priority="4067">
      <formula>COUNTIF($A814, "TRUE") = 1</formula>
    </cfRule>
    <cfRule type="expression" dxfId="4" priority="4068">
      <formula>COUNTIF($A814, "FALSE") = 1</formula>
    </cfRule>
    <cfRule type="notContainsBlanks" dxfId="1" priority="4069">
      <formula>LEN(TRIM(A814))&gt;0</formula>
    </cfRule>
  </conditionalFormatting>
  <conditionalFormatting sqref="A815">
    <cfRule type="notContainsBlanks" dxfId="5" priority="4075">
      <formula>LEN(TRIM(A815))&gt;0</formula>
    </cfRule>
  </conditionalFormatting>
  <conditionalFormatting sqref="A815:D815">
    <cfRule type="expression" dxfId="3" priority="4072">
      <formula>COUNTIF($A815, "TRUE") = 1</formula>
    </cfRule>
    <cfRule type="expression" dxfId="4" priority="4073">
      <formula>COUNTIF($A815, "FALSE") = 1</formula>
    </cfRule>
    <cfRule type="notContainsBlanks" dxfId="1" priority="4074">
      <formula>LEN(TRIM(A815))&gt;0</formula>
    </cfRule>
  </conditionalFormatting>
  <conditionalFormatting sqref="A816">
    <cfRule type="notContainsBlanks" dxfId="5" priority="4080">
      <formula>LEN(TRIM(A816))&gt;0</formula>
    </cfRule>
  </conditionalFormatting>
  <conditionalFormatting sqref="A816:D816">
    <cfRule type="expression" dxfId="3" priority="4077">
      <formula>COUNTIF($A816, "TRUE") = 1</formula>
    </cfRule>
    <cfRule type="expression" dxfId="4" priority="4078">
      <formula>COUNTIF($A816, "FALSE") = 1</formula>
    </cfRule>
    <cfRule type="notContainsBlanks" dxfId="1" priority="4079">
      <formula>LEN(TRIM(A816))&gt;0</formula>
    </cfRule>
  </conditionalFormatting>
  <conditionalFormatting sqref="A817">
    <cfRule type="notContainsBlanks" dxfId="5" priority="4085">
      <formula>LEN(TRIM(A817))&gt;0</formula>
    </cfRule>
  </conditionalFormatting>
  <conditionalFormatting sqref="A817:D817">
    <cfRule type="expression" dxfId="3" priority="4082">
      <formula>COUNTIF($A817, "TRUE") = 1</formula>
    </cfRule>
    <cfRule type="expression" dxfId="4" priority="4083">
      <formula>COUNTIF($A817, "FALSE") = 1</formula>
    </cfRule>
    <cfRule type="notContainsBlanks" dxfId="1" priority="4084">
      <formula>LEN(TRIM(A817))&gt;0</formula>
    </cfRule>
  </conditionalFormatting>
  <conditionalFormatting sqref="A818">
    <cfRule type="notContainsBlanks" dxfId="5" priority="4090">
      <formula>LEN(TRIM(A818))&gt;0</formula>
    </cfRule>
  </conditionalFormatting>
  <conditionalFormatting sqref="A818:D818">
    <cfRule type="expression" dxfId="3" priority="4087">
      <formula>COUNTIF($A818, "TRUE") = 1</formula>
    </cfRule>
    <cfRule type="expression" dxfId="4" priority="4088">
      <formula>COUNTIF($A818, "FALSE") = 1</formula>
    </cfRule>
    <cfRule type="notContainsBlanks" dxfId="1" priority="4089">
      <formula>LEN(TRIM(A818))&gt;0</formula>
    </cfRule>
  </conditionalFormatting>
  <conditionalFormatting sqref="A819">
    <cfRule type="notContainsBlanks" dxfId="5" priority="4095">
      <formula>LEN(TRIM(A819))&gt;0</formula>
    </cfRule>
  </conditionalFormatting>
  <conditionalFormatting sqref="A819:D819">
    <cfRule type="expression" dxfId="3" priority="4092">
      <formula>COUNTIF($A819, "TRUE") = 1</formula>
    </cfRule>
    <cfRule type="expression" dxfId="4" priority="4093">
      <formula>COUNTIF($A819, "FALSE") = 1</formula>
    </cfRule>
    <cfRule type="notContainsBlanks" dxfId="1" priority="4094">
      <formula>LEN(TRIM(A819))&gt;0</formula>
    </cfRule>
  </conditionalFormatting>
  <conditionalFormatting sqref="A81:D81">
    <cfRule type="expression" dxfId="3" priority="402">
      <formula>COUNTIF($A81, "TRUE") = 1</formula>
    </cfRule>
    <cfRule type="expression" dxfId="4" priority="403">
      <formula>COUNTIF($A81, "FALSE") = 1</formula>
    </cfRule>
    <cfRule type="notContainsBlanks" dxfId="1" priority="404">
      <formula>LEN(TRIM(A81))&gt;0</formula>
    </cfRule>
  </conditionalFormatting>
  <conditionalFormatting sqref="A82">
    <cfRule type="notContainsBlanks" dxfId="5" priority="410">
      <formula>LEN(TRIM(A82))&gt;0</formula>
    </cfRule>
  </conditionalFormatting>
  <conditionalFormatting sqref="A820">
    <cfRule type="notContainsBlanks" dxfId="5" priority="4100">
      <formula>LEN(TRIM(A820))&gt;0</formula>
    </cfRule>
  </conditionalFormatting>
  <conditionalFormatting sqref="A820:D820">
    <cfRule type="expression" dxfId="3" priority="4097">
      <formula>COUNTIF($A820, "TRUE") = 1</formula>
    </cfRule>
    <cfRule type="expression" dxfId="4" priority="4098">
      <formula>COUNTIF($A820, "FALSE") = 1</formula>
    </cfRule>
    <cfRule type="notContainsBlanks" dxfId="1" priority="4099">
      <formula>LEN(TRIM(A820))&gt;0</formula>
    </cfRule>
  </conditionalFormatting>
  <conditionalFormatting sqref="A821">
    <cfRule type="notContainsBlanks" dxfId="5" priority="4105">
      <formula>LEN(TRIM(A821))&gt;0</formula>
    </cfRule>
  </conditionalFormatting>
  <conditionalFormatting sqref="A821:D821">
    <cfRule type="expression" dxfId="3" priority="4102">
      <formula>COUNTIF($A821, "TRUE") = 1</formula>
    </cfRule>
    <cfRule type="expression" dxfId="4" priority="4103">
      <formula>COUNTIF($A821, "FALSE") = 1</formula>
    </cfRule>
    <cfRule type="notContainsBlanks" dxfId="1" priority="4104">
      <formula>LEN(TRIM(A821))&gt;0</formula>
    </cfRule>
  </conditionalFormatting>
  <conditionalFormatting sqref="A822">
    <cfRule type="notContainsBlanks" dxfId="5" priority="4110">
      <formula>LEN(TRIM(A822))&gt;0</formula>
    </cfRule>
  </conditionalFormatting>
  <conditionalFormatting sqref="A822:D822">
    <cfRule type="expression" dxfId="3" priority="4107">
      <formula>COUNTIF($A822, "TRUE") = 1</formula>
    </cfRule>
    <cfRule type="expression" dxfId="4" priority="4108">
      <formula>COUNTIF($A822, "FALSE") = 1</formula>
    </cfRule>
    <cfRule type="notContainsBlanks" dxfId="1" priority="4109">
      <formula>LEN(TRIM(A822))&gt;0</formula>
    </cfRule>
  </conditionalFormatting>
  <conditionalFormatting sqref="A823">
    <cfRule type="notContainsBlanks" dxfId="5" priority="4115">
      <formula>LEN(TRIM(A823))&gt;0</formula>
    </cfRule>
  </conditionalFormatting>
  <conditionalFormatting sqref="A823:D823">
    <cfRule type="expression" dxfId="3" priority="4112">
      <formula>COUNTIF($A823, "TRUE") = 1</formula>
    </cfRule>
    <cfRule type="expression" dxfId="4" priority="4113">
      <formula>COUNTIF($A823, "FALSE") = 1</formula>
    </cfRule>
    <cfRule type="notContainsBlanks" dxfId="1" priority="4114">
      <formula>LEN(TRIM(A823))&gt;0</formula>
    </cfRule>
  </conditionalFormatting>
  <conditionalFormatting sqref="A824">
    <cfRule type="notContainsBlanks" dxfId="5" priority="4120">
      <formula>LEN(TRIM(A824))&gt;0</formula>
    </cfRule>
  </conditionalFormatting>
  <conditionalFormatting sqref="A824:D824">
    <cfRule type="expression" dxfId="3" priority="4117">
      <formula>COUNTIF($A824, "TRUE") = 1</formula>
    </cfRule>
    <cfRule type="expression" dxfId="4" priority="4118">
      <formula>COUNTIF($A824, "FALSE") = 1</formula>
    </cfRule>
    <cfRule type="notContainsBlanks" dxfId="1" priority="4119">
      <formula>LEN(TRIM(A824))&gt;0</formula>
    </cfRule>
  </conditionalFormatting>
  <conditionalFormatting sqref="A825">
    <cfRule type="notContainsBlanks" dxfId="5" priority="4125">
      <formula>LEN(TRIM(A825))&gt;0</formula>
    </cfRule>
  </conditionalFormatting>
  <conditionalFormatting sqref="A825:D825">
    <cfRule type="expression" dxfId="3" priority="4122">
      <formula>COUNTIF($A825, "TRUE") = 1</formula>
    </cfRule>
    <cfRule type="expression" dxfId="4" priority="4123">
      <formula>COUNTIF($A825, "FALSE") = 1</formula>
    </cfRule>
    <cfRule type="notContainsBlanks" dxfId="1" priority="4124">
      <formula>LEN(TRIM(A825))&gt;0</formula>
    </cfRule>
  </conditionalFormatting>
  <conditionalFormatting sqref="A826">
    <cfRule type="notContainsBlanks" dxfId="5" priority="4130">
      <formula>LEN(TRIM(A826))&gt;0</formula>
    </cfRule>
  </conditionalFormatting>
  <conditionalFormatting sqref="A826:D826">
    <cfRule type="expression" dxfId="3" priority="4127">
      <formula>COUNTIF($A826, "TRUE") = 1</formula>
    </cfRule>
    <cfRule type="expression" dxfId="4" priority="4128">
      <formula>COUNTIF($A826, "FALSE") = 1</formula>
    </cfRule>
    <cfRule type="notContainsBlanks" dxfId="1" priority="4129">
      <formula>LEN(TRIM(A826))&gt;0</formula>
    </cfRule>
  </conditionalFormatting>
  <conditionalFormatting sqref="A827">
    <cfRule type="notContainsBlanks" dxfId="5" priority="4135">
      <formula>LEN(TRIM(A827))&gt;0</formula>
    </cfRule>
  </conditionalFormatting>
  <conditionalFormatting sqref="A827:D827">
    <cfRule type="expression" dxfId="3" priority="4132">
      <formula>COUNTIF($A827, "TRUE") = 1</formula>
    </cfRule>
    <cfRule type="expression" dxfId="4" priority="4133">
      <formula>COUNTIF($A827, "FALSE") = 1</formula>
    </cfRule>
    <cfRule type="notContainsBlanks" dxfId="1" priority="4134">
      <formula>LEN(TRIM(A827))&gt;0</formula>
    </cfRule>
  </conditionalFormatting>
  <conditionalFormatting sqref="A828">
    <cfRule type="notContainsBlanks" dxfId="5" priority="4140">
      <formula>LEN(TRIM(A828))&gt;0</formula>
    </cfRule>
  </conditionalFormatting>
  <conditionalFormatting sqref="A828:D828">
    <cfRule type="expression" dxfId="3" priority="4137">
      <formula>COUNTIF($A828, "TRUE") = 1</formula>
    </cfRule>
    <cfRule type="expression" dxfId="4" priority="4138">
      <formula>COUNTIF($A828, "FALSE") = 1</formula>
    </cfRule>
    <cfRule type="notContainsBlanks" dxfId="1" priority="4139">
      <formula>LEN(TRIM(A828))&gt;0</formula>
    </cfRule>
  </conditionalFormatting>
  <conditionalFormatting sqref="A829">
    <cfRule type="notContainsBlanks" dxfId="5" priority="4145">
      <formula>LEN(TRIM(A829))&gt;0</formula>
    </cfRule>
  </conditionalFormatting>
  <conditionalFormatting sqref="A829:D829">
    <cfRule type="expression" dxfId="3" priority="4142">
      <formula>COUNTIF($A829, "TRUE") = 1</formula>
    </cfRule>
    <cfRule type="expression" dxfId="4" priority="4143">
      <formula>COUNTIF($A829, "FALSE") = 1</formula>
    </cfRule>
    <cfRule type="notContainsBlanks" dxfId="1" priority="4144">
      <formula>LEN(TRIM(A829))&gt;0</formula>
    </cfRule>
  </conditionalFormatting>
  <conditionalFormatting sqref="A82:D82">
    <cfRule type="expression" dxfId="3" priority="407">
      <formula>COUNTIF($A82, "TRUE") = 1</formula>
    </cfRule>
    <cfRule type="expression" dxfId="4" priority="408">
      <formula>COUNTIF($A82, "FALSE") = 1</formula>
    </cfRule>
    <cfRule type="notContainsBlanks" dxfId="1" priority="409">
      <formula>LEN(TRIM(A82))&gt;0</formula>
    </cfRule>
  </conditionalFormatting>
  <conditionalFormatting sqref="A83">
    <cfRule type="notContainsBlanks" dxfId="5" priority="415">
      <formula>LEN(TRIM(A83))&gt;0</formula>
    </cfRule>
  </conditionalFormatting>
  <conditionalFormatting sqref="A830">
    <cfRule type="notContainsBlanks" dxfId="5" priority="4150">
      <formula>LEN(TRIM(A830))&gt;0</formula>
    </cfRule>
  </conditionalFormatting>
  <conditionalFormatting sqref="A830:D830">
    <cfRule type="expression" dxfId="3" priority="4147">
      <formula>COUNTIF($A830, "TRUE") = 1</formula>
    </cfRule>
    <cfRule type="expression" dxfId="4" priority="4148">
      <formula>COUNTIF($A830, "FALSE") = 1</formula>
    </cfRule>
    <cfRule type="notContainsBlanks" dxfId="1" priority="4149">
      <formula>LEN(TRIM(A830))&gt;0</formula>
    </cfRule>
  </conditionalFormatting>
  <conditionalFormatting sqref="A831">
    <cfRule type="notContainsBlanks" dxfId="5" priority="4155">
      <formula>LEN(TRIM(A831))&gt;0</formula>
    </cfRule>
  </conditionalFormatting>
  <conditionalFormatting sqref="A831:D831">
    <cfRule type="expression" dxfId="3" priority="4152">
      <formula>COUNTIF($A831, "TRUE") = 1</formula>
    </cfRule>
    <cfRule type="expression" dxfId="4" priority="4153">
      <formula>COUNTIF($A831, "FALSE") = 1</formula>
    </cfRule>
    <cfRule type="notContainsBlanks" dxfId="1" priority="4154">
      <formula>LEN(TRIM(A831))&gt;0</formula>
    </cfRule>
  </conditionalFormatting>
  <conditionalFormatting sqref="A832">
    <cfRule type="notContainsBlanks" dxfId="5" priority="4160">
      <formula>LEN(TRIM(A832))&gt;0</formula>
    </cfRule>
  </conditionalFormatting>
  <conditionalFormatting sqref="A832:D832">
    <cfRule type="expression" dxfId="3" priority="4157">
      <formula>COUNTIF($A832, "TRUE") = 1</formula>
    </cfRule>
    <cfRule type="expression" dxfId="4" priority="4158">
      <formula>COUNTIF($A832, "FALSE") = 1</formula>
    </cfRule>
    <cfRule type="notContainsBlanks" dxfId="1" priority="4159">
      <formula>LEN(TRIM(A832))&gt;0</formula>
    </cfRule>
  </conditionalFormatting>
  <conditionalFormatting sqref="A833">
    <cfRule type="notContainsBlanks" dxfId="5" priority="4165">
      <formula>LEN(TRIM(A833))&gt;0</formula>
    </cfRule>
  </conditionalFormatting>
  <conditionalFormatting sqref="A833:D833">
    <cfRule type="expression" dxfId="3" priority="4162">
      <formula>COUNTIF($A833, "TRUE") = 1</formula>
    </cfRule>
    <cfRule type="expression" dxfId="4" priority="4163">
      <formula>COUNTIF($A833, "FALSE") = 1</formula>
    </cfRule>
    <cfRule type="notContainsBlanks" dxfId="1" priority="4164">
      <formula>LEN(TRIM(A833))&gt;0</formula>
    </cfRule>
  </conditionalFormatting>
  <conditionalFormatting sqref="A834">
    <cfRule type="notContainsBlanks" dxfId="5" priority="4170">
      <formula>LEN(TRIM(A834))&gt;0</formula>
    </cfRule>
  </conditionalFormatting>
  <conditionalFormatting sqref="A834:D834">
    <cfRule type="expression" dxfId="3" priority="4167">
      <formula>COUNTIF($A834, "TRUE") = 1</formula>
    </cfRule>
    <cfRule type="expression" dxfId="4" priority="4168">
      <formula>COUNTIF($A834, "FALSE") = 1</formula>
    </cfRule>
    <cfRule type="notContainsBlanks" dxfId="1" priority="4169">
      <formula>LEN(TRIM(A834))&gt;0</formula>
    </cfRule>
  </conditionalFormatting>
  <conditionalFormatting sqref="A835">
    <cfRule type="notContainsBlanks" dxfId="5" priority="4175">
      <formula>LEN(TRIM(A835))&gt;0</formula>
    </cfRule>
  </conditionalFormatting>
  <conditionalFormatting sqref="A835:D835">
    <cfRule type="expression" dxfId="3" priority="4172">
      <formula>COUNTIF($A835, "TRUE") = 1</formula>
    </cfRule>
    <cfRule type="expression" dxfId="4" priority="4173">
      <formula>COUNTIF($A835, "FALSE") = 1</formula>
    </cfRule>
    <cfRule type="notContainsBlanks" dxfId="1" priority="4174">
      <formula>LEN(TRIM(A835))&gt;0</formula>
    </cfRule>
  </conditionalFormatting>
  <conditionalFormatting sqref="A836">
    <cfRule type="notContainsBlanks" dxfId="5" priority="4180">
      <formula>LEN(TRIM(A836))&gt;0</formula>
    </cfRule>
  </conditionalFormatting>
  <conditionalFormatting sqref="A836:D836">
    <cfRule type="expression" dxfId="3" priority="4177">
      <formula>COUNTIF($A836, "TRUE") = 1</formula>
    </cfRule>
    <cfRule type="expression" dxfId="4" priority="4178">
      <formula>COUNTIF($A836, "FALSE") = 1</formula>
    </cfRule>
    <cfRule type="notContainsBlanks" dxfId="1" priority="4179">
      <formula>LEN(TRIM(A836))&gt;0</formula>
    </cfRule>
  </conditionalFormatting>
  <conditionalFormatting sqref="A837">
    <cfRule type="notContainsBlanks" dxfId="5" priority="4185">
      <formula>LEN(TRIM(A837))&gt;0</formula>
    </cfRule>
  </conditionalFormatting>
  <conditionalFormatting sqref="A837:D837">
    <cfRule type="expression" dxfId="3" priority="4182">
      <formula>COUNTIF($A837, "TRUE") = 1</formula>
    </cfRule>
    <cfRule type="expression" dxfId="4" priority="4183">
      <formula>COUNTIF($A837, "FALSE") = 1</formula>
    </cfRule>
    <cfRule type="notContainsBlanks" dxfId="1" priority="4184">
      <formula>LEN(TRIM(A837))&gt;0</formula>
    </cfRule>
  </conditionalFormatting>
  <conditionalFormatting sqref="A838">
    <cfRule type="notContainsBlanks" dxfId="5" priority="4190">
      <formula>LEN(TRIM(A838))&gt;0</formula>
    </cfRule>
  </conditionalFormatting>
  <conditionalFormatting sqref="A838:D838">
    <cfRule type="expression" dxfId="3" priority="4187">
      <formula>COUNTIF($A838, "TRUE") = 1</formula>
    </cfRule>
    <cfRule type="expression" dxfId="4" priority="4188">
      <formula>COUNTIF($A838, "FALSE") = 1</formula>
    </cfRule>
    <cfRule type="notContainsBlanks" dxfId="1" priority="4189">
      <formula>LEN(TRIM(A838))&gt;0</formula>
    </cfRule>
  </conditionalFormatting>
  <conditionalFormatting sqref="A839">
    <cfRule type="notContainsBlanks" dxfId="5" priority="4195">
      <formula>LEN(TRIM(A839))&gt;0</formula>
    </cfRule>
  </conditionalFormatting>
  <conditionalFormatting sqref="A839:D839">
    <cfRule type="expression" dxfId="3" priority="4192">
      <formula>COUNTIF($A839, "TRUE") = 1</formula>
    </cfRule>
    <cfRule type="expression" dxfId="4" priority="4193">
      <formula>COUNTIF($A839, "FALSE") = 1</formula>
    </cfRule>
    <cfRule type="notContainsBlanks" dxfId="1" priority="4194">
      <formula>LEN(TRIM(A839))&gt;0</formula>
    </cfRule>
  </conditionalFormatting>
  <conditionalFormatting sqref="A83:D83">
    <cfRule type="expression" dxfId="3" priority="412">
      <formula>COUNTIF($A83, "TRUE") = 1</formula>
    </cfRule>
    <cfRule type="expression" dxfId="4" priority="413">
      <formula>COUNTIF($A83, "FALSE") = 1</formula>
    </cfRule>
    <cfRule type="notContainsBlanks" dxfId="1" priority="414">
      <formula>LEN(TRIM(A83))&gt;0</formula>
    </cfRule>
  </conditionalFormatting>
  <conditionalFormatting sqref="A84">
    <cfRule type="notContainsBlanks" dxfId="5" priority="420">
      <formula>LEN(TRIM(A84))&gt;0</formula>
    </cfRule>
  </conditionalFormatting>
  <conditionalFormatting sqref="A840">
    <cfRule type="notContainsBlanks" dxfId="5" priority="4200">
      <formula>LEN(TRIM(A840))&gt;0</formula>
    </cfRule>
  </conditionalFormatting>
  <conditionalFormatting sqref="A840:D840">
    <cfRule type="expression" dxfId="3" priority="4197">
      <formula>COUNTIF($A840, "TRUE") = 1</formula>
    </cfRule>
    <cfRule type="expression" dxfId="4" priority="4198">
      <formula>COUNTIF($A840, "FALSE") = 1</formula>
    </cfRule>
    <cfRule type="notContainsBlanks" dxfId="1" priority="4199">
      <formula>LEN(TRIM(A840))&gt;0</formula>
    </cfRule>
  </conditionalFormatting>
  <conditionalFormatting sqref="A841">
    <cfRule type="notContainsBlanks" dxfId="5" priority="4205">
      <formula>LEN(TRIM(A841))&gt;0</formula>
    </cfRule>
  </conditionalFormatting>
  <conditionalFormatting sqref="A841:D841">
    <cfRule type="expression" dxfId="3" priority="4202">
      <formula>COUNTIF($A841, "TRUE") = 1</formula>
    </cfRule>
    <cfRule type="expression" dxfId="4" priority="4203">
      <formula>COUNTIF($A841, "FALSE") = 1</formula>
    </cfRule>
    <cfRule type="notContainsBlanks" dxfId="1" priority="4204">
      <formula>LEN(TRIM(A841))&gt;0</formula>
    </cfRule>
  </conditionalFormatting>
  <conditionalFormatting sqref="A842">
    <cfRule type="notContainsBlanks" dxfId="5" priority="4210">
      <formula>LEN(TRIM(A842))&gt;0</formula>
    </cfRule>
  </conditionalFormatting>
  <conditionalFormatting sqref="A842:D842">
    <cfRule type="expression" dxfId="3" priority="4207">
      <formula>COUNTIF($A842, "TRUE") = 1</formula>
    </cfRule>
    <cfRule type="expression" dxfId="4" priority="4208">
      <formula>COUNTIF($A842, "FALSE") = 1</formula>
    </cfRule>
    <cfRule type="notContainsBlanks" dxfId="1" priority="4209">
      <formula>LEN(TRIM(A842))&gt;0</formula>
    </cfRule>
  </conditionalFormatting>
  <conditionalFormatting sqref="A843">
    <cfRule type="notContainsBlanks" dxfId="5" priority="4215">
      <formula>LEN(TRIM(A843))&gt;0</formula>
    </cfRule>
  </conditionalFormatting>
  <conditionalFormatting sqref="A843:D843">
    <cfRule type="expression" dxfId="3" priority="4212">
      <formula>COUNTIF($A843, "TRUE") = 1</formula>
    </cfRule>
    <cfRule type="expression" dxfId="4" priority="4213">
      <formula>COUNTIF($A843, "FALSE") = 1</formula>
    </cfRule>
    <cfRule type="notContainsBlanks" dxfId="1" priority="4214">
      <formula>LEN(TRIM(A843))&gt;0</formula>
    </cfRule>
  </conditionalFormatting>
  <conditionalFormatting sqref="A844">
    <cfRule type="notContainsBlanks" dxfId="5" priority="4220">
      <formula>LEN(TRIM(A844))&gt;0</formula>
    </cfRule>
  </conditionalFormatting>
  <conditionalFormatting sqref="A844:D844">
    <cfRule type="expression" dxfId="3" priority="4217">
      <formula>COUNTIF($A844, "TRUE") = 1</formula>
    </cfRule>
    <cfRule type="expression" dxfId="4" priority="4218">
      <formula>COUNTIF($A844, "FALSE") = 1</formula>
    </cfRule>
    <cfRule type="notContainsBlanks" dxfId="1" priority="4219">
      <formula>LEN(TRIM(A844))&gt;0</formula>
    </cfRule>
  </conditionalFormatting>
  <conditionalFormatting sqref="A845">
    <cfRule type="notContainsBlanks" dxfId="5" priority="4225">
      <formula>LEN(TRIM(A845))&gt;0</formula>
    </cfRule>
  </conditionalFormatting>
  <conditionalFormatting sqref="A845:D845">
    <cfRule type="expression" dxfId="3" priority="4222">
      <formula>COUNTIF($A845, "TRUE") = 1</formula>
    </cfRule>
    <cfRule type="expression" dxfId="4" priority="4223">
      <formula>COUNTIF($A845, "FALSE") = 1</formula>
    </cfRule>
    <cfRule type="notContainsBlanks" dxfId="1" priority="4224">
      <formula>LEN(TRIM(A845))&gt;0</formula>
    </cfRule>
  </conditionalFormatting>
  <conditionalFormatting sqref="A846">
    <cfRule type="notContainsBlanks" dxfId="5" priority="4230">
      <formula>LEN(TRIM(A846))&gt;0</formula>
    </cfRule>
  </conditionalFormatting>
  <conditionalFormatting sqref="A846:D846">
    <cfRule type="expression" dxfId="3" priority="4227">
      <formula>COUNTIF($A846, "TRUE") = 1</formula>
    </cfRule>
    <cfRule type="expression" dxfId="4" priority="4228">
      <formula>COUNTIF($A846, "FALSE") = 1</formula>
    </cfRule>
    <cfRule type="notContainsBlanks" dxfId="1" priority="4229">
      <formula>LEN(TRIM(A846))&gt;0</formula>
    </cfRule>
  </conditionalFormatting>
  <conditionalFormatting sqref="A847">
    <cfRule type="notContainsBlanks" dxfId="5" priority="4235">
      <formula>LEN(TRIM(A847))&gt;0</formula>
    </cfRule>
  </conditionalFormatting>
  <conditionalFormatting sqref="A847:D847">
    <cfRule type="expression" dxfId="3" priority="4232">
      <formula>COUNTIF($A847, "TRUE") = 1</formula>
    </cfRule>
    <cfRule type="expression" dxfId="4" priority="4233">
      <formula>COUNTIF($A847, "FALSE") = 1</formula>
    </cfRule>
    <cfRule type="notContainsBlanks" dxfId="1" priority="4234">
      <formula>LEN(TRIM(A847))&gt;0</formula>
    </cfRule>
  </conditionalFormatting>
  <conditionalFormatting sqref="A848">
    <cfRule type="notContainsBlanks" dxfId="5" priority="4240">
      <formula>LEN(TRIM(A848))&gt;0</formula>
    </cfRule>
  </conditionalFormatting>
  <conditionalFormatting sqref="A848:D848">
    <cfRule type="expression" dxfId="3" priority="4237">
      <formula>COUNTIF($A848, "TRUE") = 1</formula>
    </cfRule>
    <cfRule type="expression" dxfId="4" priority="4238">
      <formula>COUNTIF($A848, "FALSE") = 1</formula>
    </cfRule>
    <cfRule type="notContainsBlanks" dxfId="1" priority="4239">
      <formula>LEN(TRIM(A848))&gt;0</formula>
    </cfRule>
  </conditionalFormatting>
  <conditionalFormatting sqref="A849">
    <cfRule type="notContainsBlanks" dxfId="5" priority="4245">
      <formula>LEN(TRIM(A849))&gt;0</formula>
    </cfRule>
  </conditionalFormatting>
  <conditionalFormatting sqref="A849:D849">
    <cfRule type="expression" dxfId="3" priority="4242">
      <formula>COUNTIF($A849, "TRUE") = 1</formula>
    </cfRule>
    <cfRule type="expression" dxfId="4" priority="4243">
      <formula>COUNTIF($A849, "FALSE") = 1</formula>
    </cfRule>
    <cfRule type="notContainsBlanks" dxfId="1" priority="4244">
      <formula>LEN(TRIM(A849))&gt;0</formula>
    </cfRule>
  </conditionalFormatting>
  <conditionalFormatting sqref="A84:D84">
    <cfRule type="expression" dxfId="3" priority="417">
      <formula>COUNTIF($A84, "TRUE") = 1</formula>
    </cfRule>
    <cfRule type="expression" dxfId="4" priority="418">
      <formula>COUNTIF($A84, "FALSE") = 1</formula>
    </cfRule>
    <cfRule type="notContainsBlanks" dxfId="1" priority="419">
      <formula>LEN(TRIM(A84))&gt;0</formula>
    </cfRule>
  </conditionalFormatting>
  <conditionalFormatting sqref="A85">
    <cfRule type="notContainsBlanks" dxfId="5" priority="425">
      <formula>LEN(TRIM(A85))&gt;0</formula>
    </cfRule>
  </conditionalFormatting>
  <conditionalFormatting sqref="A850">
    <cfRule type="notContainsBlanks" dxfId="5" priority="4250">
      <formula>LEN(TRIM(A850))&gt;0</formula>
    </cfRule>
  </conditionalFormatting>
  <conditionalFormatting sqref="A850:D850">
    <cfRule type="expression" dxfId="3" priority="4247">
      <formula>COUNTIF($A850, "TRUE") = 1</formula>
    </cfRule>
    <cfRule type="expression" dxfId="4" priority="4248">
      <formula>COUNTIF($A850, "FALSE") = 1</formula>
    </cfRule>
    <cfRule type="notContainsBlanks" dxfId="1" priority="4249">
      <formula>LEN(TRIM(A850))&gt;0</formula>
    </cfRule>
  </conditionalFormatting>
  <conditionalFormatting sqref="A851">
    <cfRule type="notContainsBlanks" dxfId="5" priority="4255">
      <formula>LEN(TRIM(A851))&gt;0</formula>
    </cfRule>
  </conditionalFormatting>
  <conditionalFormatting sqref="A851:D851">
    <cfRule type="expression" dxfId="3" priority="4252">
      <formula>COUNTIF($A851, "TRUE") = 1</formula>
    </cfRule>
    <cfRule type="expression" dxfId="4" priority="4253">
      <formula>COUNTIF($A851, "FALSE") = 1</formula>
    </cfRule>
    <cfRule type="notContainsBlanks" dxfId="1" priority="4254">
      <formula>LEN(TRIM(A851))&gt;0</formula>
    </cfRule>
  </conditionalFormatting>
  <conditionalFormatting sqref="A852">
    <cfRule type="notContainsBlanks" dxfId="5" priority="4260">
      <formula>LEN(TRIM(A852))&gt;0</formula>
    </cfRule>
  </conditionalFormatting>
  <conditionalFormatting sqref="A852:D852">
    <cfRule type="expression" dxfId="3" priority="4257">
      <formula>COUNTIF($A852, "TRUE") = 1</formula>
    </cfRule>
    <cfRule type="expression" dxfId="4" priority="4258">
      <formula>COUNTIF($A852, "FALSE") = 1</formula>
    </cfRule>
    <cfRule type="notContainsBlanks" dxfId="1" priority="4259">
      <formula>LEN(TRIM(A852))&gt;0</formula>
    </cfRule>
  </conditionalFormatting>
  <conditionalFormatting sqref="A853">
    <cfRule type="notContainsBlanks" dxfId="5" priority="4265">
      <formula>LEN(TRIM(A853))&gt;0</formula>
    </cfRule>
  </conditionalFormatting>
  <conditionalFormatting sqref="A853:D853">
    <cfRule type="expression" dxfId="3" priority="4262">
      <formula>COUNTIF($A853, "TRUE") = 1</formula>
    </cfRule>
    <cfRule type="expression" dxfId="4" priority="4263">
      <formula>COUNTIF($A853, "FALSE") = 1</formula>
    </cfRule>
    <cfRule type="notContainsBlanks" dxfId="1" priority="4264">
      <formula>LEN(TRIM(A853))&gt;0</formula>
    </cfRule>
  </conditionalFormatting>
  <conditionalFormatting sqref="A854">
    <cfRule type="notContainsBlanks" dxfId="5" priority="4270">
      <formula>LEN(TRIM(A854))&gt;0</formula>
    </cfRule>
  </conditionalFormatting>
  <conditionalFormatting sqref="A854:D854">
    <cfRule type="expression" dxfId="3" priority="4267">
      <formula>COUNTIF($A854, "TRUE") = 1</formula>
    </cfRule>
    <cfRule type="expression" dxfId="4" priority="4268">
      <formula>COUNTIF($A854, "FALSE") = 1</formula>
    </cfRule>
    <cfRule type="notContainsBlanks" dxfId="1" priority="4269">
      <formula>LEN(TRIM(A854))&gt;0</formula>
    </cfRule>
  </conditionalFormatting>
  <conditionalFormatting sqref="A855">
    <cfRule type="notContainsBlanks" dxfId="5" priority="4275">
      <formula>LEN(TRIM(A855))&gt;0</formula>
    </cfRule>
  </conditionalFormatting>
  <conditionalFormatting sqref="A855:D855">
    <cfRule type="expression" dxfId="3" priority="4272">
      <formula>COUNTIF($A855, "TRUE") = 1</formula>
    </cfRule>
    <cfRule type="expression" dxfId="4" priority="4273">
      <formula>COUNTIF($A855, "FALSE") = 1</formula>
    </cfRule>
    <cfRule type="notContainsBlanks" dxfId="1" priority="4274">
      <formula>LEN(TRIM(A855))&gt;0</formula>
    </cfRule>
  </conditionalFormatting>
  <conditionalFormatting sqref="A856">
    <cfRule type="notContainsBlanks" dxfId="5" priority="4280">
      <formula>LEN(TRIM(A856))&gt;0</formula>
    </cfRule>
  </conditionalFormatting>
  <conditionalFormatting sqref="A856:D856">
    <cfRule type="expression" dxfId="3" priority="4277">
      <formula>COUNTIF($A856, "TRUE") = 1</formula>
    </cfRule>
    <cfRule type="expression" dxfId="4" priority="4278">
      <formula>COUNTIF($A856, "FALSE") = 1</formula>
    </cfRule>
    <cfRule type="notContainsBlanks" dxfId="1" priority="4279">
      <formula>LEN(TRIM(A856))&gt;0</formula>
    </cfRule>
  </conditionalFormatting>
  <conditionalFormatting sqref="A857">
    <cfRule type="notContainsBlanks" dxfId="5" priority="4285">
      <formula>LEN(TRIM(A857))&gt;0</formula>
    </cfRule>
  </conditionalFormatting>
  <conditionalFormatting sqref="A857:D857">
    <cfRule type="expression" dxfId="3" priority="4282">
      <formula>COUNTIF($A857, "TRUE") = 1</formula>
    </cfRule>
    <cfRule type="expression" dxfId="4" priority="4283">
      <formula>COUNTIF($A857, "FALSE") = 1</formula>
    </cfRule>
    <cfRule type="notContainsBlanks" dxfId="1" priority="4284">
      <formula>LEN(TRIM(A857))&gt;0</formula>
    </cfRule>
  </conditionalFormatting>
  <conditionalFormatting sqref="A858">
    <cfRule type="notContainsBlanks" dxfId="5" priority="4290">
      <formula>LEN(TRIM(A858))&gt;0</formula>
    </cfRule>
  </conditionalFormatting>
  <conditionalFormatting sqref="A858:D858">
    <cfRule type="expression" dxfId="3" priority="4287">
      <formula>COUNTIF($A858, "TRUE") = 1</formula>
    </cfRule>
    <cfRule type="expression" dxfId="4" priority="4288">
      <formula>COUNTIF($A858, "FALSE") = 1</formula>
    </cfRule>
    <cfRule type="notContainsBlanks" dxfId="1" priority="4289">
      <formula>LEN(TRIM(A858))&gt;0</formula>
    </cfRule>
  </conditionalFormatting>
  <conditionalFormatting sqref="A859">
    <cfRule type="notContainsBlanks" dxfId="5" priority="4295">
      <formula>LEN(TRIM(A859))&gt;0</formula>
    </cfRule>
  </conditionalFormatting>
  <conditionalFormatting sqref="A859:D859">
    <cfRule type="expression" dxfId="3" priority="4292">
      <formula>COUNTIF($A859, "TRUE") = 1</formula>
    </cfRule>
    <cfRule type="expression" dxfId="4" priority="4293">
      <formula>COUNTIF($A859, "FALSE") = 1</formula>
    </cfRule>
    <cfRule type="notContainsBlanks" dxfId="1" priority="4294">
      <formula>LEN(TRIM(A859))&gt;0</formula>
    </cfRule>
  </conditionalFormatting>
  <conditionalFormatting sqref="A85:D85">
    <cfRule type="expression" dxfId="3" priority="422">
      <formula>COUNTIF($A85, "TRUE") = 1</formula>
    </cfRule>
    <cfRule type="expression" dxfId="4" priority="423">
      <formula>COUNTIF($A85, "FALSE") = 1</formula>
    </cfRule>
    <cfRule type="notContainsBlanks" dxfId="1" priority="424">
      <formula>LEN(TRIM(A85))&gt;0</formula>
    </cfRule>
  </conditionalFormatting>
  <conditionalFormatting sqref="A86">
    <cfRule type="notContainsBlanks" dxfId="5" priority="430">
      <formula>LEN(TRIM(A86))&gt;0</formula>
    </cfRule>
  </conditionalFormatting>
  <conditionalFormatting sqref="A860">
    <cfRule type="notContainsBlanks" dxfId="5" priority="4300">
      <formula>LEN(TRIM(A860))&gt;0</formula>
    </cfRule>
  </conditionalFormatting>
  <conditionalFormatting sqref="A860:D860">
    <cfRule type="expression" dxfId="3" priority="4297">
      <formula>COUNTIF($A860, "TRUE") = 1</formula>
    </cfRule>
    <cfRule type="expression" dxfId="4" priority="4298">
      <formula>COUNTIF($A860, "FALSE") = 1</formula>
    </cfRule>
    <cfRule type="notContainsBlanks" dxfId="1" priority="4299">
      <formula>LEN(TRIM(A860))&gt;0</formula>
    </cfRule>
  </conditionalFormatting>
  <conditionalFormatting sqref="A861">
    <cfRule type="notContainsBlanks" dxfId="5" priority="4305">
      <formula>LEN(TRIM(A861))&gt;0</formula>
    </cfRule>
  </conditionalFormatting>
  <conditionalFormatting sqref="A861:D861">
    <cfRule type="expression" dxfId="3" priority="4302">
      <formula>COUNTIF($A861, "TRUE") = 1</formula>
    </cfRule>
    <cfRule type="expression" dxfId="4" priority="4303">
      <formula>COUNTIF($A861, "FALSE") = 1</formula>
    </cfRule>
    <cfRule type="notContainsBlanks" dxfId="1" priority="4304">
      <formula>LEN(TRIM(A861))&gt;0</formula>
    </cfRule>
  </conditionalFormatting>
  <conditionalFormatting sqref="A862">
    <cfRule type="notContainsBlanks" dxfId="5" priority="4310">
      <formula>LEN(TRIM(A862))&gt;0</formula>
    </cfRule>
  </conditionalFormatting>
  <conditionalFormatting sqref="A862:D862">
    <cfRule type="expression" dxfId="3" priority="4307">
      <formula>COUNTIF($A862, "TRUE") = 1</formula>
    </cfRule>
    <cfRule type="expression" dxfId="4" priority="4308">
      <formula>COUNTIF($A862, "FALSE") = 1</formula>
    </cfRule>
    <cfRule type="notContainsBlanks" dxfId="1" priority="4309">
      <formula>LEN(TRIM(A862))&gt;0</formula>
    </cfRule>
  </conditionalFormatting>
  <conditionalFormatting sqref="A863">
    <cfRule type="notContainsBlanks" dxfId="5" priority="4315">
      <formula>LEN(TRIM(A863))&gt;0</formula>
    </cfRule>
  </conditionalFormatting>
  <conditionalFormatting sqref="A863:D863">
    <cfRule type="expression" dxfId="3" priority="4312">
      <formula>COUNTIF($A863, "TRUE") = 1</formula>
    </cfRule>
    <cfRule type="expression" dxfId="4" priority="4313">
      <formula>COUNTIF($A863, "FALSE") = 1</formula>
    </cfRule>
    <cfRule type="notContainsBlanks" dxfId="1" priority="4314">
      <formula>LEN(TRIM(A863))&gt;0</formula>
    </cfRule>
  </conditionalFormatting>
  <conditionalFormatting sqref="A864">
    <cfRule type="notContainsBlanks" dxfId="5" priority="4320">
      <formula>LEN(TRIM(A864))&gt;0</formula>
    </cfRule>
  </conditionalFormatting>
  <conditionalFormatting sqref="A864:D864">
    <cfRule type="expression" dxfId="3" priority="4317">
      <formula>COUNTIF($A864, "TRUE") = 1</formula>
    </cfRule>
    <cfRule type="expression" dxfId="4" priority="4318">
      <formula>COUNTIF($A864, "FALSE") = 1</formula>
    </cfRule>
    <cfRule type="notContainsBlanks" dxfId="1" priority="4319">
      <formula>LEN(TRIM(A864))&gt;0</formula>
    </cfRule>
  </conditionalFormatting>
  <conditionalFormatting sqref="A865">
    <cfRule type="notContainsBlanks" dxfId="5" priority="4325">
      <formula>LEN(TRIM(A865))&gt;0</formula>
    </cfRule>
  </conditionalFormatting>
  <conditionalFormatting sqref="A865:D865">
    <cfRule type="expression" dxfId="3" priority="4322">
      <formula>COUNTIF($A865, "TRUE") = 1</formula>
    </cfRule>
    <cfRule type="expression" dxfId="4" priority="4323">
      <formula>COUNTIF($A865, "FALSE") = 1</formula>
    </cfRule>
    <cfRule type="notContainsBlanks" dxfId="1" priority="4324">
      <formula>LEN(TRIM(A865))&gt;0</formula>
    </cfRule>
  </conditionalFormatting>
  <conditionalFormatting sqref="A866">
    <cfRule type="notContainsBlanks" dxfId="5" priority="4330">
      <formula>LEN(TRIM(A866))&gt;0</formula>
    </cfRule>
  </conditionalFormatting>
  <conditionalFormatting sqref="A866:D866">
    <cfRule type="expression" dxfId="3" priority="4327">
      <formula>COUNTIF($A866, "TRUE") = 1</formula>
    </cfRule>
    <cfRule type="expression" dxfId="4" priority="4328">
      <formula>COUNTIF($A866, "FALSE") = 1</formula>
    </cfRule>
    <cfRule type="notContainsBlanks" dxfId="1" priority="4329">
      <formula>LEN(TRIM(A866))&gt;0</formula>
    </cfRule>
  </conditionalFormatting>
  <conditionalFormatting sqref="A867">
    <cfRule type="notContainsBlanks" dxfId="5" priority="4335">
      <formula>LEN(TRIM(A867))&gt;0</formula>
    </cfRule>
  </conditionalFormatting>
  <conditionalFormatting sqref="A867:D867">
    <cfRule type="expression" dxfId="3" priority="4332">
      <formula>COUNTIF($A867, "TRUE") = 1</formula>
    </cfRule>
    <cfRule type="expression" dxfId="4" priority="4333">
      <formula>COUNTIF($A867, "FALSE") = 1</formula>
    </cfRule>
    <cfRule type="notContainsBlanks" dxfId="1" priority="4334">
      <formula>LEN(TRIM(A867))&gt;0</formula>
    </cfRule>
  </conditionalFormatting>
  <conditionalFormatting sqref="A868">
    <cfRule type="notContainsBlanks" dxfId="5" priority="4340">
      <formula>LEN(TRIM(A868))&gt;0</formula>
    </cfRule>
  </conditionalFormatting>
  <conditionalFormatting sqref="A868:D868">
    <cfRule type="expression" dxfId="3" priority="4337">
      <formula>COUNTIF($A868, "TRUE") = 1</formula>
    </cfRule>
    <cfRule type="expression" dxfId="4" priority="4338">
      <formula>COUNTIF($A868, "FALSE") = 1</formula>
    </cfRule>
    <cfRule type="notContainsBlanks" dxfId="1" priority="4339">
      <formula>LEN(TRIM(A868))&gt;0</formula>
    </cfRule>
  </conditionalFormatting>
  <conditionalFormatting sqref="A869">
    <cfRule type="notContainsBlanks" dxfId="5" priority="4345">
      <formula>LEN(TRIM(A869))&gt;0</formula>
    </cfRule>
  </conditionalFormatting>
  <conditionalFormatting sqref="A869:D869">
    <cfRule type="expression" dxfId="3" priority="4342">
      <formula>COUNTIF($A869, "TRUE") = 1</formula>
    </cfRule>
    <cfRule type="expression" dxfId="4" priority="4343">
      <formula>COUNTIF($A869, "FALSE") = 1</formula>
    </cfRule>
    <cfRule type="notContainsBlanks" dxfId="1" priority="4344">
      <formula>LEN(TRIM(A869))&gt;0</formula>
    </cfRule>
  </conditionalFormatting>
  <conditionalFormatting sqref="A86:D86">
    <cfRule type="expression" dxfId="3" priority="427">
      <formula>COUNTIF($A86, "TRUE") = 1</formula>
    </cfRule>
    <cfRule type="expression" dxfId="4" priority="428">
      <formula>COUNTIF($A86, "FALSE") = 1</formula>
    </cfRule>
    <cfRule type="notContainsBlanks" dxfId="1" priority="429">
      <formula>LEN(TRIM(A86))&gt;0</formula>
    </cfRule>
  </conditionalFormatting>
  <conditionalFormatting sqref="A87">
    <cfRule type="notContainsBlanks" dxfId="5" priority="435">
      <formula>LEN(TRIM(A87))&gt;0</formula>
    </cfRule>
  </conditionalFormatting>
  <conditionalFormatting sqref="A870">
    <cfRule type="notContainsBlanks" dxfId="5" priority="4350">
      <formula>LEN(TRIM(A870))&gt;0</formula>
    </cfRule>
  </conditionalFormatting>
  <conditionalFormatting sqref="A870:D870">
    <cfRule type="expression" dxfId="3" priority="4347">
      <formula>COUNTIF($A870, "TRUE") = 1</formula>
    </cfRule>
    <cfRule type="expression" dxfId="4" priority="4348">
      <formula>COUNTIF($A870, "FALSE") = 1</formula>
    </cfRule>
    <cfRule type="notContainsBlanks" dxfId="1" priority="4349">
      <formula>LEN(TRIM(A870))&gt;0</formula>
    </cfRule>
  </conditionalFormatting>
  <conditionalFormatting sqref="A871">
    <cfRule type="notContainsBlanks" dxfId="5" priority="4355">
      <formula>LEN(TRIM(A871))&gt;0</formula>
    </cfRule>
  </conditionalFormatting>
  <conditionalFormatting sqref="A871:D871">
    <cfRule type="expression" dxfId="3" priority="4352">
      <formula>COUNTIF($A871, "TRUE") = 1</formula>
    </cfRule>
    <cfRule type="expression" dxfId="4" priority="4353">
      <formula>COUNTIF($A871, "FALSE") = 1</formula>
    </cfRule>
    <cfRule type="notContainsBlanks" dxfId="1" priority="4354">
      <formula>LEN(TRIM(A871))&gt;0</formula>
    </cfRule>
  </conditionalFormatting>
  <conditionalFormatting sqref="A872">
    <cfRule type="notContainsBlanks" dxfId="5" priority="4360">
      <formula>LEN(TRIM(A872))&gt;0</formula>
    </cfRule>
  </conditionalFormatting>
  <conditionalFormatting sqref="A872:D872">
    <cfRule type="expression" dxfId="3" priority="4357">
      <formula>COUNTIF($A872, "TRUE") = 1</formula>
    </cfRule>
    <cfRule type="expression" dxfId="4" priority="4358">
      <formula>COUNTIF($A872, "FALSE") = 1</formula>
    </cfRule>
    <cfRule type="notContainsBlanks" dxfId="1" priority="4359">
      <formula>LEN(TRIM(A872))&gt;0</formula>
    </cfRule>
  </conditionalFormatting>
  <conditionalFormatting sqref="A873">
    <cfRule type="notContainsBlanks" dxfId="5" priority="4365">
      <formula>LEN(TRIM(A873))&gt;0</formula>
    </cfRule>
  </conditionalFormatting>
  <conditionalFormatting sqref="A873:D873">
    <cfRule type="expression" dxfId="3" priority="4362">
      <formula>COUNTIF($A873, "TRUE") = 1</formula>
    </cfRule>
    <cfRule type="expression" dxfId="4" priority="4363">
      <formula>COUNTIF($A873, "FALSE") = 1</formula>
    </cfRule>
    <cfRule type="notContainsBlanks" dxfId="1" priority="4364">
      <formula>LEN(TRIM(A873))&gt;0</formula>
    </cfRule>
  </conditionalFormatting>
  <conditionalFormatting sqref="A874">
    <cfRule type="notContainsBlanks" dxfId="5" priority="4370">
      <formula>LEN(TRIM(A874))&gt;0</formula>
    </cfRule>
  </conditionalFormatting>
  <conditionalFormatting sqref="A874:D874">
    <cfRule type="expression" dxfId="3" priority="4367">
      <formula>COUNTIF($A874, "TRUE") = 1</formula>
    </cfRule>
    <cfRule type="expression" dxfId="4" priority="4368">
      <formula>COUNTIF($A874, "FALSE") = 1</formula>
    </cfRule>
    <cfRule type="notContainsBlanks" dxfId="1" priority="4369">
      <formula>LEN(TRIM(A874))&gt;0</formula>
    </cfRule>
  </conditionalFormatting>
  <conditionalFormatting sqref="A875">
    <cfRule type="notContainsBlanks" dxfId="5" priority="4375">
      <formula>LEN(TRIM(A875))&gt;0</formula>
    </cfRule>
  </conditionalFormatting>
  <conditionalFormatting sqref="A875:D875">
    <cfRule type="expression" dxfId="3" priority="4372">
      <formula>COUNTIF($A875, "TRUE") = 1</formula>
    </cfRule>
    <cfRule type="expression" dxfId="4" priority="4373">
      <formula>COUNTIF($A875, "FALSE") = 1</formula>
    </cfRule>
    <cfRule type="notContainsBlanks" dxfId="1" priority="4374">
      <formula>LEN(TRIM(A875))&gt;0</formula>
    </cfRule>
  </conditionalFormatting>
  <conditionalFormatting sqref="A876">
    <cfRule type="notContainsBlanks" dxfId="5" priority="4380">
      <formula>LEN(TRIM(A876))&gt;0</formula>
    </cfRule>
  </conditionalFormatting>
  <conditionalFormatting sqref="A876:D876">
    <cfRule type="expression" dxfId="3" priority="4377">
      <formula>COUNTIF($A876, "TRUE") = 1</formula>
    </cfRule>
    <cfRule type="expression" dxfId="4" priority="4378">
      <formula>COUNTIF($A876, "FALSE") = 1</formula>
    </cfRule>
    <cfRule type="notContainsBlanks" dxfId="1" priority="4379">
      <formula>LEN(TRIM(A876))&gt;0</formula>
    </cfRule>
  </conditionalFormatting>
  <conditionalFormatting sqref="A877">
    <cfRule type="notContainsBlanks" dxfId="5" priority="4385">
      <formula>LEN(TRIM(A877))&gt;0</formula>
    </cfRule>
  </conditionalFormatting>
  <conditionalFormatting sqref="A877:D877">
    <cfRule type="expression" dxfId="3" priority="4382">
      <formula>COUNTIF($A877, "TRUE") = 1</formula>
    </cfRule>
    <cfRule type="expression" dxfId="4" priority="4383">
      <formula>COUNTIF($A877, "FALSE") = 1</formula>
    </cfRule>
    <cfRule type="notContainsBlanks" dxfId="1" priority="4384">
      <formula>LEN(TRIM(A877))&gt;0</formula>
    </cfRule>
  </conditionalFormatting>
  <conditionalFormatting sqref="A878">
    <cfRule type="notContainsBlanks" dxfId="5" priority="4390">
      <formula>LEN(TRIM(A878))&gt;0</formula>
    </cfRule>
  </conditionalFormatting>
  <conditionalFormatting sqref="A878:D878">
    <cfRule type="expression" dxfId="3" priority="4387">
      <formula>COUNTIF($A878, "TRUE") = 1</formula>
    </cfRule>
    <cfRule type="expression" dxfId="4" priority="4388">
      <formula>COUNTIF($A878, "FALSE") = 1</formula>
    </cfRule>
    <cfRule type="notContainsBlanks" dxfId="1" priority="4389">
      <formula>LEN(TRIM(A878))&gt;0</formula>
    </cfRule>
  </conditionalFormatting>
  <conditionalFormatting sqref="A879">
    <cfRule type="notContainsBlanks" dxfId="5" priority="4395">
      <formula>LEN(TRIM(A879))&gt;0</formula>
    </cfRule>
  </conditionalFormatting>
  <conditionalFormatting sqref="A879:D879">
    <cfRule type="expression" dxfId="3" priority="4392">
      <formula>COUNTIF($A879, "TRUE") = 1</formula>
    </cfRule>
    <cfRule type="expression" dxfId="4" priority="4393">
      <formula>COUNTIF($A879, "FALSE") = 1</formula>
    </cfRule>
    <cfRule type="notContainsBlanks" dxfId="1" priority="4394">
      <formula>LEN(TRIM(A879))&gt;0</formula>
    </cfRule>
  </conditionalFormatting>
  <conditionalFormatting sqref="A87:D87">
    <cfRule type="expression" dxfId="3" priority="432">
      <formula>COUNTIF($A87, "TRUE") = 1</formula>
    </cfRule>
    <cfRule type="expression" dxfId="4" priority="433">
      <formula>COUNTIF($A87, "FALSE") = 1</formula>
    </cfRule>
    <cfRule type="notContainsBlanks" dxfId="1" priority="434">
      <formula>LEN(TRIM(A87))&gt;0</formula>
    </cfRule>
  </conditionalFormatting>
  <conditionalFormatting sqref="A88">
    <cfRule type="notContainsBlanks" dxfId="5" priority="440">
      <formula>LEN(TRIM(A88))&gt;0</formula>
    </cfRule>
  </conditionalFormatting>
  <conditionalFormatting sqref="A880">
    <cfRule type="notContainsBlanks" dxfId="5" priority="4400">
      <formula>LEN(TRIM(A880))&gt;0</formula>
    </cfRule>
  </conditionalFormatting>
  <conditionalFormatting sqref="A880:D880">
    <cfRule type="expression" dxfId="3" priority="4397">
      <formula>COUNTIF($A880, "TRUE") = 1</formula>
    </cfRule>
    <cfRule type="expression" dxfId="4" priority="4398">
      <formula>COUNTIF($A880, "FALSE") = 1</formula>
    </cfRule>
    <cfRule type="notContainsBlanks" dxfId="1" priority="4399">
      <formula>LEN(TRIM(A880))&gt;0</formula>
    </cfRule>
  </conditionalFormatting>
  <conditionalFormatting sqref="A881">
    <cfRule type="notContainsBlanks" dxfId="5" priority="4405">
      <formula>LEN(TRIM(A881))&gt;0</formula>
    </cfRule>
  </conditionalFormatting>
  <conditionalFormatting sqref="A881:D881">
    <cfRule type="expression" dxfId="3" priority="4402">
      <formula>COUNTIF($A881, "TRUE") = 1</formula>
    </cfRule>
    <cfRule type="expression" dxfId="4" priority="4403">
      <formula>COUNTIF($A881, "FALSE") = 1</formula>
    </cfRule>
    <cfRule type="notContainsBlanks" dxfId="1" priority="4404">
      <formula>LEN(TRIM(A881))&gt;0</formula>
    </cfRule>
  </conditionalFormatting>
  <conditionalFormatting sqref="A882">
    <cfRule type="notContainsBlanks" dxfId="5" priority="4410">
      <formula>LEN(TRIM(A882))&gt;0</formula>
    </cfRule>
  </conditionalFormatting>
  <conditionalFormatting sqref="A882:D882">
    <cfRule type="expression" dxfId="3" priority="4407">
      <formula>COUNTIF($A882, "TRUE") = 1</formula>
    </cfRule>
    <cfRule type="expression" dxfId="4" priority="4408">
      <formula>COUNTIF($A882, "FALSE") = 1</formula>
    </cfRule>
    <cfRule type="notContainsBlanks" dxfId="1" priority="4409">
      <formula>LEN(TRIM(A882))&gt;0</formula>
    </cfRule>
  </conditionalFormatting>
  <conditionalFormatting sqref="A883">
    <cfRule type="notContainsBlanks" dxfId="5" priority="4415">
      <formula>LEN(TRIM(A883))&gt;0</formula>
    </cfRule>
  </conditionalFormatting>
  <conditionalFormatting sqref="A883:D883">
    <cfRule type="expression" dxfId="3" priority="4412">
      <formula>COUNTIF($A883, "TRUE") = 1</formula>
    </cfRule>
    <cfRule type="expression" dxfId="4" priority="4413">
      <formula>COUNTIF($A883, "FALSE") = 1</formula>
    </cfRule>
    <cfRule type="notContainsBlanks" dxfId="1" priority="4414">
      <formula>LEN(TRIM(A883))&gt;0</formula>
    </cfRule>
  </conditionalFormatting>
  <conditionalFormatting sqref="A884">
    <cfRule type="notContainsBlanks" dxfId="5" priority="4420">
      <formula>LEN(TRIM(A884))&gt;0</formula>
    </cfRule>
  </conditionalFormatting>
  <conditionalFormatting sqref="A884:D884">
    <cfRule type="expression" dxfId="3" priority="4417">
      <formula>COUNTIF($A884, "TRUE") = 1</formula>
    </cfRule>
    <cfRule type="expression" dxfId="4" priority="4418">
      <formula>COUNTIF($A884, "FALSE") = 1</formula>
    </cfRule>
    <cfRule type="notContainsBlanks" dxfId="1" priority="4419">
      <formula>LEN(TRIM(A884))&gt;0</formula>
    </cfRule>
  </conditionalFormatting>
  <conditionalFormatting sqref="A885">
    <cfRule type="notContainsBlanks" dxfId="5" priority="4425">
      <formula>LEN(TRIM(A885))&gt;0</formula>
    </cfRule>
  </conditionalFormatting>
  <conditionalFormatting sqref="A885:D885">
    <cfRule type="expression" dxfId="3" priority="4422">
      <formula>COUNTIF($A885, "TRUE") = 1</formula>
    </cfRule>
    <cfRule type="expression" dxfId="4" priority="4423">
      <formula>COUNTIF($A885, "FALSE") = 1</formula>
    </cfRule>
    <cfRule type="notContainsBlanks" dxfId="1" priority="4424">
      <formula>LEN(TRIM(A885))&gt;0</formula>
    </cfRule>
  </conditionalFormatting>
  <conditionalFormatting sqref="A886">
    <cfRule type="notContainsBlanks" dxfId="5" priority="4430">
      <formula>LEN(TRIM(A886))&gt;0</formula>
    </cfRule>
  </conditionalFormatting>
  <conditionalFormatting sqref="A886:D886">
    <cfRule type="expression" dxfId="3" priority="4427">
      <formula>COUNTIF($A886, "TRUE") = 1</formula>
    </cfRule>
    <cfRule type="expression" dxfId="4" priority="4428">
      <formula>COUNTIF($A886, "FALSE") = 1</formula>
    </cfRule>
    <cfRule type="notContainsBlanks" dxfId="1" priority="4429">
      <formula>LEN(TRIM(A886))&gt;0</formula>
    </cfRule>
  </conditionalFormatting>
  <conditionalFormatting sqref="A887">
    <cfRule type="notContainsBlanks" dxfId="5" priority="4435">
      <formula>LEN(TRIM(A887))&gt;0</formula>
    </cfRule>
  </conditionalFormatting>
  <conditionalFormatting sqref="A887:D887">
    <cfRule type="expression" dxfId="3" priority="4432">
      <formula>COUNTIF($A887, "TRUE") = 1</formula>
    </cfRule>
    <cfRule type="expression" dxfId="4" priority="4433">
      <formula>COUNTIF($A887, "FALSE") = 1</formula>
    </cfRule>
    <cfRule type="notContainsBlanks" dxfId="1" priority="4434">
      <formula>LEN(TRIM(A887))&gt;0</formula>
    </cfRule>
  </conditionalFormatting>
  <conditionalFormatting sqref="A888">
    <cfRule type="notContainsBlanks" dxfId="5" priority="4440">
      <formula>LEN(TRIM(A888))&gt;0</formula>
    </cfRule>
  </conditionalFormatting>
  <conditionalFormatting sqref="A888:D888">
    <cfRule type="expression" dxfId="3" priority="4437">
      <formula>COUNTIF($A888, "TRUE") = 1</formula>
    </cfRule>
    <cfRule type="expression" dxfId="4" priority="4438">
      <formula>COUNTIF($A888, "FALSE") = 1</formula>
    </cfRule>
    <cfRule type="notContainsBlanks" dxfId="1" priority="4439">
      <formula>LEN(TRIM(A888))&gt;0</formula>
    </cfRule>
  </conditionalFormatting>
  <conditionalFormatting sqref="A889">
    <cfRule type="notContainsBlanks" dxfId="5" priority="4445">
      <formula>LEN(TRIM(A889))&gt;0</formula>
    </cfRule>
  </conditionalFormatting>
  <conditionalFormatting sqref="A889:D889">
    <cfRule type="expression" dxfId="3" priority="4442">
      <formula>COUNTIF($A889, "TRUE") = 1</formula>
    </cfRule>
    <cfRule type="expression" dxfId="4" priority="4443">
      <formula>COUNTIF($A889, "FALSE") = 1</formula>
    </cfRule>
    <cfRule type="notContainsBlanks" dxfId="1" priority="4444">
      <formula>LEN(TRIM(A889))&gt;0</formula>
    </cfRule>
  </conditionalFormatting>
  <conditionalFormatting sqref="A88:D88">
    <cfRule type="expression" dxfId="3" priority="437">
      <formula>COUNTIF($A88, "TRUE") = 1</formula>
    </cfRule>
    <cfRule type="expression" dxfId="4" priority="438">
      <formula>COUNTIF($A88, "FALSE") = 1</formula>
    </cfRule>
    <cfRule type="notContainsBlanks" dxfId="1" priority="439">
      <formula>LEN(TRIM(A88))&gt;0</formula>
    </cfRule>
  </conditionalFormatting>
  <conditionalFormatting sqref="A89">
    <cfRule type="notContainsBlanks" dxfId="5" priority="445">
      <formula>LEN(TRIM(A89))&gt;0</formula>
    </cfRule>
  </conditionalFormatting>
  <conditionalFormatting sqref="A890">
    <cfRule type="notContainsBlanks" dxfId="5" priority="4450">
      <formula>LEN(TRIM(A890))&gt;0</formula>
    </cfRule>
  </conditionalFormatting>
  <conditionalFormatting sqref="A890:D890">
    <cfRule type="expression" dxfId="3" priority="4447">
      <formula>COUNTIF($A890, "TRUE") = 1</formula>
    </cfRule>
    <cfRule type="expression" dxfId="4" priority="4448">
      <formula>COUNTIF($A890, "FALSE") = 1</formula>
    </cfRule>
    <cfRule type="notContainsBlanks" dxfId="1" priority="4449">
      <formula>LEN(TRIM(A890))&gt;0</formula>
    </cfRule>
  </conditionalFormatting>
  <conditionalFormatting sqref="A891">
    <cfRule type="notContainsBlanks" dxfId="5" priority="4455">
      <formula>LEN(TRIM(A891))&gt;0</formula>
    </cfRule>
  </conditionalFormatting>
  <conditionalFormatting sqref="A891:D891">
    <cfRule type="expression" dxfId="3" priority="4452">
      <formula>COUNTIF($A891, "TRUE") = 1</formula>
    </cfRule>
    <cfRule type="expression" dxfId="4" priority="4453">
      <formula>COUNTIF($A891, "FALSE") = 1</formula>
    </cfRule>
    <cfRule type="notContainsBlanks" dxfId="1" priority="4454">
      <formula>LEN(TRIM(A891))&gt;0</formula>
    </cfRule>
  </conditionalFormatting>
  <conditionalFormatting sqref="A892">
    <cfRule type="notContainsBlanks" dxfId="5" priority="4460">
      <formula>LEN(TRIM(A892))&gt;0</formula>
    </cfRule>
  </conditionalFormatting>
  <conditionalFormatting sqref="A892:D892">
    <cfRule type="expression" dxfId="3" priority="4457">
      <formula>COUNTIF($A892, "TRUE") = 1</formula>
    </cfRule>
    <cfRule type="expression" dxfId="4" priority="4458">
      <formula>COUNTIF($A892, "FALSE") = 1</formula>
    </cfRule>
    <cfRule type="notContainsBlanks" dxfId="1" priority="4459">
      <formula>LEN(TRIM(A892))&gt;0</formula>
    </cfRule>
  </conditionalFormatting>
  <conditionalFormatting sqref="A893">
    <cfRule type="notContainsBlanks" dxfId="5" priority="4465">
      <formula>LEN(TRIM(A893))&gt;0</formula>
    </cfRule>
  </conditionalFormatting>
  <conditionalFormatting sqref="A893:D893">
    <cfRule type="expression" dxfId="3" priority="4462">
      <formula>COUNTIF($A893, "TRUE") = 1</formula>
    </cfRule>
    <cfRule type="expression" dxfId="4" priority="4463">
      <formula>COUNTIF($A893, "FALSE") = 1</formula>
    </cfRule>
    <cfRule type="notContainsBlanks" dxfId="1" priority="4464">
      <formula>LEN(TRIM(A893))&gt;0</formula>
    </cfRule>
  </conditionalFormatting>
  <conditionalFormatting sqref="A894">
    <cfRule type="notContainsBlanks" dxfId="5" priority="4470">
      <formula>LEN(TRIM(A894))&gt;0</formula>
    </cfRule>
  </conditionalFormatting>
  <conditionalFormatting sqref="A894:D894">
    <cfRule type="expression" dxfId="3" priority="4467">
      <formula>COUNTIF($A894, "TRUE") = 1</formula>
    </cfRule>
    <cfRule type="expression" dxfId="4" priority="4468">
      <formula>COUNTIF($A894, "FALSE") = 1</formula>
    </cfRule>
    <cfRule type="notContainsBlanks" dxfId="1" priority="4469">
      <formula>LEN(TRIM(A894))&gt;0</formula>
    </cfRule>
  </conditionalFormatting>
  <conditionalFormatting sqref="A895">
    <cfRule type="notContainsBlanks" dxfId="5" priority="4475">
      <formula>LEN(TRIM(A895))&gt;0</formula>
    </cfRule>
  </conditionalFormatting>
  <conditionalFormatting sqref="A895:D895">
    <cfRule type="expression" dxfId="3" priority="4472">
      <formula>COUNTIF($A895, "TRUE") = 1</formula>
    </cfRule>
    <cfRule type="expression" dxfId="4" priority="4473">
      <formula>COUNTIF($A895, "FALSE") = 1</formula>
    </cfRule>
    <cfRule type="notContainsBlanks" dxfId="1" priority="4474">
      <formula>LEN(TRIM(A895))&gt;0</formula>
    </cfRule>
  </conditionalFormatting>
  <conditionalFormatting sqref="A896">
    <cfRule type="notContainsBlanks" dxfId="5" priority="4480">
      <formula>LEN(TRIM(A896))&gt;0</formula>
    </cfRule>
  </conditionalFormatting>
  <conditionalFormatting sqref="A896:D896">
    <cfRule type="expression" dxfId="3" priority="4477">
      <formula>COUNTIF($A896, "TRUE") = 1</formula>
    </cfRule>
    <cfRule type="expression" dxfId="4" priority="4478">
      <formula>COUNTIF($A896, "FALSE") = 1</formula>
    </cfRule>
    <cfRule type="notContainsBlanks" dxfId="1" priority="4479">
      <formula>LEN(TRIM(A896))&gt;0</formula>
    </cfRule>
  </conditionalFormatting>
  <conditionalFormatting sqref="A897">
    <cfRule type="notContainsBlanks" dxfId="5" priority="4485">
      <formula>LEN(TRIM(A897))&gt;0</formula>
    </cfRule>
  </conditionalFormatting>
  <conditionalFormatting sqref="A897:D897">
    <cfRule type="expression" dxfId="3" priority="4482">
      <formula>COUNTIF($A897, "TRUE") = 1</formula>
    </cfRule>
    <cfRule type="expression" dxfId="4" priority="4483">
      <formula>COUNTIF($A897, "FALSE") = 1</formula>
    </cfRule>
    <cfRule type="notContainsBlanks" dxfId="1" priority="4484">
      <formula>LEN(TRIM(A897))&gt;0</formula>
    </cfRule>
  </conditionalFormatting>
  <conditionalFormatting sqref="A898">
    <cfRule type="notContainsBlanks" dxfId="5" priority="4490">
      <formula>LEN(TRIM(A898))&gt;0</formula>
    </cfRule>
  </conditionalFormatting>
  <conditionalFormatting sqref="A898:D898">
    <cfRule type="expression" dxfId="3" priority="4487">
      <formula>COUNTIF($A898, "TRUE") = 1</formula>
    </cfRule>
    <cfRule type="expression" dxfId="4" priority="4488">
      <formula>COUNTIF($A898, "FALSE") = 1</formula>
    </cfRule>
    <cfRule type="notContainsBlanks" dxfId="1" priority="4489">
      <formula>LEN(TRIM(A898))&gt;0</formula>
    </cfRule>
  </conditionalFormatting>
  <conditionalFormatting sqref="A899">
    <cfRule type="notContainsBlanks" dxfId="5" priority="4495">
      <formula>LEN(TRIM(A899))&gt;0</formula>
    </cfRule>
  </conditionalFormatting>
  <conditionalFormatting sqref="A899:D899">
    <cfRule type="expression" dxfId="3" priority="4492">
      <formula>COUNTIF($A899, "TRUE") = 1</formula>
    </cfRule>
    <cfRule type="expression" dxfId="4" priority="4493">
      <formula>COUNTIF($A899, "FALSE") = 1</formula>
    </cfRule>
    <cfRule type="notContainsBlanks" dxfId="1" priority="4494">
      <formula>LEN(TRIM(A899))&gt;0</formula>
    </cfRule>
  </conditionalFormatting>
  <conditionalFormatting sqref="A89:D89">
    <cfRule type="expression" dxfId="3" priority="442">
      <formula>COUNTIF($A89, "TRUE") = 1</formula>
    </cfRule>
    <cfRule type="expression" dxfId="4" priority="443">
      <formula>COUNTIF($A89, "FALSE") = 1</formula>
    </cfRule>
    <cfRule type="notContainsBlanks" dxfId="1" priority="444">
      <formula>LEN(TRIM(A89))&gt;0</formula>
    </cfRule>
  </conditionalFormatting>
  <conditionalFormatting sqref="A8:D8">
    <cfRule type="expression" dxfId="3" priority="37">
      <formula>COUNTIF($A8, "TRUE") = 1</formula>
    </cfRule>
    <cfRule type="expression" dxfId="4" priority="38">
      <formula>COUNTIF($A8, "FALSE") = 1</formula>
    </cfRule>
    <cfRule type="notContainsBlanks" dxfId="1" priority="39">
      <formula>LEN(TRIM(A8))&gt;0</formula>
    </cfRule>
  </conditionalFormatting>
  <conditionalFormatting sqref="A9">
    <cfRule type="notContainsBlanks" dxfId="5" priority="45">
      <formula>LEN(TRIM(A9))&gt;0</formula>
    </cfRule>
  </conditionalFormatting>
  <conditionalFormatting sqref="A90">
    <cfRule type="notContainsBlanks" dxfId="5" priority="450">
      <formula>LEN(TRIM(A90))&gt;0</formula>
    </cfRule>
  </conditionalFormatting>
  <conditionalFormatting sqref="A900">
    <cfRule type="notContainsBlanks" dxfId="5" priority="4500">
      <formula>LEN(TRIM(A900))&gt;0</formula>
    </cfRule>
  </conditionalFormatting>
  <conditionalFormatting sqref="A900:D900">
    <cfRule type="expression" dxfId="3" priority="4497">
      <formula>COUNTIF($A900, "TRUE") = 1</formula>
    </cfRule>
    <cfRule type="expression" dxfId="4" priority="4498">
      <formula>COUNTIF($A900, "FALSE") = 1</formula>
    </cfRule>
    <cfRule type="notContainsBlanks" dxfId="1" priority="4499">
      <formula>LEN(TRIM(A900))&gt;0</formula>
    </cfRule>
  </conditionalFormatting>
  <conditionalFormatting sqref="A901">
    <cfRule type="notContainsBlanks" dxfId="5" priority="4505">
      <formula>LEN(TRIM(A901))&gt;0</formula>
    </cfRule>
  </conditionalFormatting>
  <conditionalFormatting sqref="A901:D901">
    <cfRule type="expression" dxfId="3" priority="4502">
      <formula>COUNTIF($A901, "TRUE") = 1</formula>
    </cfRule>
    <cfRule type="expression" dxfId="4" priority="4503">
      <formula>COUNTIF($A901, "FALSE") = 1</formula>
    </cfRule>
    <cfRule type="notContainsBlanks" dxfId="1" priority="4504">
      <formula>LEN(TRIM(A901))&gt;0</formula>
    </cfRule>
  </conditionalFormatting>
  <conditionalFormatting sqref="A902">
    <cfRule type="notContainsBlanks" dxfId="5" priority="4510">
      <formula>LEN(TRIM(A902))&gt;0</formula>
    </cfRule>
  </conditionalFormatting>
  <conditionalFormatting sqref="A902:D902">
    <cfRule type="expression" dxfId="3" priority="4507">
      <formula>COUNTIF($A902, "TRUE") = 1</formula>
    </cfRule>
    <cfRule type="expression" dxfId="4" priority="4508">
      <formula>COUNTIF($A902, "FALSE") = 1</formula>
    </cfRule>
    <cfRule type="notContainsBlanks" dxfId="1" priority="4509">
      <formula>LEN(TRIM(A902))&gt;0</formula>
    </cfRule>
  </conditionalFormatting>
  <conditionalFormatting sqref="A903">
    <cfRule type="notContainsBlanks" dxfId="5" priority="4515">
      <formula>LEN(TRIM(A903))&gt;0</formula>
    </cfRule>
  </conditionalFormatting>
  <conditionalFormatting sqref="A903:D903">
    <cfRule type="expression" dxfId="3" priority="4512">
      <formula>COUNTIF($A903, "TRUE") = 1</formula>
    </cfRule>
    <cfRule type="expression" dxfId="4" priority="4513">
      <formula>COUNTIF($A903, "FALSE") = 1</formula>
    </cfRule>
    <cfRule type="notContainsBlanks" dxfId="1" priority="4514">
      <formula>LEN(TRIM(A903))&gt;0</formula>
    </cfRule>
  </conditionalFormatting>
  <conditionalFormatting sqref="A904">
    <cfRule type="notContainsBlanks" dxfId="5" priority="4520">
      <formula>LEN(TRIM(A904))&gt;0</formula>
    </cfRule>
  </conditionalFormatting>
  <conditionalFormatting sqref="A904:D904">
    <cfRule type="expression" dxfId="3" priority="4517">
      <formula>COUNTIF($A904, "TRUE") = 1</formula>
    </cfRule>
    <cfRule type="expression" dxfId="4" priority="4518">
      <formula>COUNTIF($A904, "FALSE") = 1</formula>
    </cfRule>
    <cfRule type="notContainsBlanks" dxfId="1" priority="4519">
      <formula>LEN(TRIM(A904))&gt;0</formula>
    </cfRule>
  </conditionalFormatting>
  <conditionalFormatting sqref="A905">
    <cfRule type="notContainsBlanks" dxfId="5" priority="4525">
      <formula>LEN(TRIM(A905))&gt;0</formula>
    </cfRule>
  </conditionalFormatting>
  <conditionalFormatting sqref="A905:D905">
    <cfRule type="expression" dxfId="3" priority="4522">
      <formula>COUNTIF($A905, "TRUE") = 1</formula>
    </cfRule>
    <cfRule type="expression" dxfId="4" priority="4523">
      <formula>COUNTIF($A905, "FALSE") = 1</formula>
    </cfRule>
    <cfRule type="notContainsBlanks" dxfId="1" priority="4524">
      <formula>LEN(TRIM(A905))&gt;0</formula>
    </cfRule>
  </conditionalFormatting>
  <conditionalFormatting sqref="A906">
    <cfRule type="notContainsBlanks" dxfId="5" priority="4530">
      <formula>LEN(TRIM(A906))&gt;0</formula>
    </cfRule>
  </conditionalFormatting>
  <conditionalFormatting sqref="A906:D906">
    <cfRule type="expression" dxfId="3" priority="4527">
      <formula>COUNTIF($A906, "TRUE") = 1</formula>
    </cfRule>
    <cfRule type="expression" dxfId="4" priority="4528">
      <formula>COUNTIF($A906, "FALSE") = 1</formula>
    </cfRule>
    <cfRule type="notContainsBlanks" dxfId="1" priority="4529">
      <formula>LEN(TRIM(A906))&gt;0</formula>
    </cfRule>
  </conditionalFormatting>
  <conditionalFormatting sqref="A907">
    <cfRule type="notContainsBlanks" dxfId="5" priority="4535">
      <formula>LEN(TRIM(A907))&gt;0</formula>
    </cfRule>
  </conditionalFormatting>
  <conditionalFormatting sqref="A907:D907">
    <cfRule type="expression" dxfId="3" priority="4532">
      <formula>COUNTIF($A907, "TRUE") = 1</formula>
    </cfRule>
    <cfRule type="expression" dxfId="4" priority="4533">
      <formula>COUNTIF($A907, "FALSE") = 1</formula>
    </cfRule>
    <cfRule type="notContainsBlanks" dxfId="1" priority="4534">
      <formula>LEN(TRIM(A907))&gt;0</formula>
    </cfRule>
  </conditionalFormatting>
  <conditionalFormatting sqref="A908">
    <cfRule type="notContainsBlanks" dxfId="5" priority="4540">
      <formula>LEN(TRIM(A908))&gt;0</formula>
    </cfRule>
  </conditionalFormatting>
  <conditionalFormatting sqref="A908:D908">
    <cfRule type="expression" dxfId="3" priority="4537">
      <formula>COUNTIF($A908, "TRUE") = 1</formula>
    </cfRule>
    <cfRule type="expression" dxfId="4" priority="4538">
      <formula>COUNTIF($A908, "FALSE") = 1</formula>
    </cfRule>
    <cfRule type="notContainsBlanks" dxfId="1" priority="4539">
      <formula>LEN(TRIM(A908))&gt;0</formula>
    </cfRule>
  </conditionalFormatting>
  <conditionalFormatting sqref="A909">
    <cfRule type="notContainsBlanks" dxfId="5" priority="4545">
      <formula>LEN(TRIM(A909))&gt;0</formula>
    </cfRule>
  </conditionalFormatting>
  <conditionalFormatting sqref="A909:D909">
    <cfRule type="expression" dxfId="3" priority="4542">
      <formula>COUNTIF($A909, "TRUE") = 1</formula>
    </cfRule>
    <cfRule type="expression" dxfId="4" priority="4543">
      <formula>COUNTIF($A909, "FALSE") = 1</formula>
    </cfRule>
    <cfRule type="notContainsBlanks" dxfId="1" priority="4544">
      <formula>LEN(TRIM(A909))&gt;0</formula>
    </cfRule>
  </conditionalFormatting>
  <conditionalFormatting sqref="A90:D90">
    <cfRule type="expression" dxfId="3" priority="447">
      <formula>COUNTIF($A90, "TRUE") = 1</formula>
    </cfRule>
    <cfRule type="expression" dxfId="4" priority="448">
      <formula>COUNTIF($A90, "FALSE") = 1</formula>
    </cfRule>
    <cfRule type="notContainsBlanks" dxfId="1" priority="449">
      <formula>LEN(TRIM(A90))&gt;0</formula>
    </cfRule>
  </conditionalFormatting>
  <conditionalFormatting sqref="A91">
    <cfRule type="notContainsBlanks" dxfId="5" priority="455">
      <formula>LEN(TRIM(A91))&gt;0</formula>
    </cfRule>
  </conditionalFormatting>
  <conditionalFormatting sqref="A910">
    <cfRule type="notContainsBlanks" dxfId="5" priority="4550">
      <formula>LEN(TRIM(A910))&gt;0</formula>
    </cfRule>
  </conditionalFormatting>
  <conditionalFormatting sqref="A910:D910">
    <cfRule type="expression" dxfId="3" priority="4547">
      <formula>COUNTIF($A910, "TRUE") = 1</formula>
    </cfRule>
    <cfRule type="expression" dxfId="4" priority="4548">
      <formula>COUNTIF($A910, "FALSE") = 1</formula>
    </cfRule>
    <cfRule type="notContainsBlanks" dxfId="1" priority="4549">
      <formula>LEN(TRIM(A910))&gt;0</formula>
    </cfRule>
  </conditionalFormatting>
  <conditionalFormatting sqref="A911">
    <cfRule type="notContainsBlanks" dxfId="5" priority="4555">
      <formula>LEN(TRIM(A911))&gt;0</formula>
    </cfRule>
  </conditionalFormatting>
  <conditionalFormatting sqref="A911:D911">
    <cfRule type="expression" dxfId="3" priority="4552">
      <formula>COUNTIF($A911, "TRUE") = 1</formula>
    </cfRule>
    <cfRule type="expression" dxfId="4" priority="4553">
      <formula>COUNTIF($A911, "FALSE") = 1</formula>
    </cfRule>
    <cfRule type="notContainsBlanks" dxfId="1" priority="4554">
      <formula>LEN(TRIM(A911))&gt;0</formula>
    </cfRule>
  </conditionalFormatting>
  <conditionalFormatting sqref="A912">
    <cfRule type="notContainsBlanks" dxfId="5" priority="4560">
      <formula>LEN(TRIM(A912))&gt;0</formula>
    </cfRule>
  </conditionalFormatting>
  <conditionalFormatting sqref="A912:D912">
    <cfRule type="expression" dxfId="3" priority="4557">
      <formula>COUNTIF($A912, "TRUE") = 1</formula>
    </cfRule>
    <cfRule type="expression" dxfId="4" priority="4558">
      <formula>COUNTIF($A912, "FALSE") = 1</formula>
    </cfRule>
    <cfRule type="notContainsBlanks" dxfId="1" priority="4559">
      <formula>LEN(TRIM(A912))&gt;0</formula>
    </cfRule>
  </conditionalFormatting>
  <conditionalFormatting sqref="A913">
    <cfRule type="notContainsBlanks" dxfId="5" priority="4565">
      <formula>LEN(TRIM(A913))&gt;0</formula>
    </cfRule>
  </conditionalFormatting>
  <conditionalFormatting sqref="A913:D913">
    <cfRule type="expression" dxfId="3" priority="4562">
      <formula>COUNTIF($A913, "TRUE") = 1</formula>
    </cfRule>
    <cfRule type="expression" dxfId="4" priority="4563">
      <formula>COUNTIF($A913, "FALSE") = 1</formula>
    </cfRule>
    <cfRule type="notContainsBlanks" dxfId="1" priority="4564">
      <formula>LEN(TRIM(A913))&gt;0</formula>
    </cfRule>
  </conditionalFormatting>
  <conditionalFormatting sqref="A914">
    <cfRule type="notContainsBlanks" dxfId="5" priority="4570">
      <formula>LEN(TRIM(A914))&gt;0</formula>
    </cfRule>
  </conditionalFormatting>
  <conditionalFormatting sqref="A914:D914">
    <cfRule type="expression" dxfId="3" priority="4567">
      <formula>COUNTIF($A914, "TRUE") = 1</formula>
    </cfRule>
    <cfRule type="expression" dxfId="4" priority="4568">
      <formula>COUNTIF($A914, "FALSE") = 1</formula>
    </cfRule>
    <cfRule type="notContainsBlanks" dxfId="1" priority="4569">
      <formula>LEN(TRIM(A914))&gt;0</formula>
    </cfRule>
  </conditionalFormatting>
  <conditionalFormatting sqref="A915">
    <cfRule type="notContainsBlanks" dxfId="5" priority="4575">
      <formula>LEN(TRIM(A915))&gt;0</formula>
    </cfRule>
  </conditionalFormatting>
  <conditionalFormatting sqref="A915:D915">
    <cfRule type="expression" dxfId="3" priority="4572">
      <formula>COUNTIF($A915, "TRUE") = 1</formula>
    </cfRule>
    <cfRule type="expression" dxfId="4" priority="4573">
      <formula>COUNTIF($A915, "FALSE") = 1</formula>
    </cfRule>
    <cfRule type="notContainsBlanks" dxfId="1" priority="4574">
      <formula>LEN(TRIM(A915))&gt;0</formula>
    </cfRule>
  </conditionalFormatting>
  <conditionalFormatting sqref="A916">
    <cfRule type="notContainsBlanks" dxfId="5" priority="4580">
      <formula>LEN(TRIM(A916))&gt;0</formula>
    </cfRule>
  </conditionalFormatting>
  <conditionalFormatting sqref="A916:D916">
    <cfRule type="expression" dxfId="3" priority="4577">
      <formula>COUNTIF($A916, "TRUE") = 1</formula>
    </cfRule>
    <cfRule type="expression" dxfId="4" priority="4578">
      <formula>COUNTIF($A916, "FALSE") = 1</formula>
    </cfRule>
    <cfRule type="notContainsBlanks" dxfId="1" priority="4579">
      <formula>LEN(TRIM(A916))&gt;0</formula>
    </cfRule>
  </conditionalFormatting>
  <conditionalFormatting sqref="A917">
    <cfRule type="notContainsBlanks" dxfId="5" priority="4585">
      <formula>LEN(TRIM(A917))&gt;0</formula>
    </cfRule>
  </conditionalFormatting>
  <conditionalFormatting sqref="A917:D917">
    <cfRule type="expression" dxfId="3" priority="4582">
      <formula>COUNTIF($A917, "TRUE") = 1</formula>
    </cfRule>
    <cfRule type="expression" dxfId="4" priority="4583">
      <formula>COUNTIF($A917, "FALSE") = 1</formula>
    </cfRule>
    <cfRule type="notContainsBlanks" dxfId="1" priority="4584">
      <formula>LEN(TRIM(A917))&gt;0</formula>
    </cfRule>
  </conditionalFormatting>
  <conditionalFormatting sqref="A918">
    <cfRule type="notContainsBlanks" dxfId="5" priority="4590">
      <formula>LEN(TRIM(A918))&gt;0</formula>
    </cfRule>
  </conditionalFormatting>
  <conditionalFormatting sqref="A918:D918">
    <cfRule type="expression" dxfId="3" priority="4587">
      <formula>COUNTIF($A918, "TRUE") = 1</formula>
    </cfRule>
    <cfRule type="expression" dxfId="4" priority="4588">
      <formula>COUNTIF($A918, "FALSE") = 1</formula>
    </cfRule>
    <cfRule type="notContainsBlanks" dxfId="1" priority="4589">
      <formula>LEN(TRIM(A918))&gt;0</formula>
    </cfRule>
  </conditionalFormatting>
  <conditionalFormatting sqref="A919">
    <cfRule type="notContainsBlanks" dxfId="5" priority="4595">
      <formula>LEN(TRIM(A919))&gt;0</formula>
    </cfRule>
  </conditionalFormatting>
  <conditionalFormatting sqref="A919:D919">
    <cfRule type="expression" dxfId="3" priority="4592">
      <formula>COUNTIF($A919, "TRUE") = 1</formula>
    </cfRule>
    <cfRule type="expression" dxfId="4" priority="4593">
      <formula>COUNTIF($A919, "FALSE") = 1</formula>
    </cfRule>
    <cfRule type="notContainsBlanks" dxfId="1" priority="4594">
      <formula>LEN(TRIM(A919))&gt;0</formula>
    </cfRule>
  </conditionalFormatting>
  <conditionalFormatting sqref="A91:D91">
    <cfRule type="expression" dxfId="3" priority="452">
      <formula>COUNTIF($A91, "TRUE") = 1</formula>
    </cfRule>
    <cfRule type="expression" dxfId="4" priority="453">
      <formula>COUNTIF($A91, "FALSE") = 1</formula>
    </cfRule>
    <cfRule type="notContainsBlanks" dxfId="1" priority="454">
      <formula>LEN(TRIM(A91))&gt;0</formula>
    </cfRule>
  </conditionalFormatting>
  <conditionalFormatting sqref="A92">
    <cfRule type="notContainsBlanks" dxfId="5" priority="460">
      <formula>LEN(TRIM(A92))&gt;0</formula>
    </cfRule>
  </conditionalFormatting>
  <conditionalFormatting sqref="A920">
    <cfRule type="notContainsBlanks" dxfId="5" priority="4600">
      <formula>LEN(TRIM(A920))&gt;0</formula>
    </cfRule>
  </conditionalFormatting>
  <conditionalFormatting sqref="A920:D920">
    <cfRule type="expression" dxfId="3" priority="4597">
      <formula>COUNTIF($A920, "TRUE") = 1</formula>
    </cfRule>
    <cfRule type="expression" dxfId="4" priority="4598">
      <formula>COUNTIF($A920, "FALSE") = 1</formula>
    </cfRule>
    <cfRule type="notContainsBlanks" dxfId="1" priority="4599">
      <formula>LEN(TRIM(A920))&gt;0</formula>
    </cfRule>
  </conditionalFormatting>
  <conditionalFormatting sqref="A921">
    <cfRule type="notContainsBlanks" dxfId="5" priority="4605">
      <formula>LEN(TRIM(A921))&gt;0</formula>
    </cfRule>
  </conditionalFormatting>
  <conditionalFormatting sqref="A921:D921">
    <cfRule type="expression" dxfId="3" priority="4602">
      <formula>COUNTIF($A921, "TRUE") = 1</formula>
    </cfRule>
    <cfRule type="expression" dxfId="4" priority="4603">
      <formula>COUNTIF($A921, "FALSE") = 1</formula>
    </cfRule>
    <cfRule type="notContainsBlanks" dxfId="1" priority="4604">
      <formula>LEN(TRIM(A921))&gt;0</formula>
    </cfRule>
  </conditionalFormatting>
  <conditionalFormatting sqref="A922">
    <cfRule type="notContainsBlanks" dxfId="5" priority="4610">
      <formula>LEN(TRIM(A922))&gt;0</formula>
    </cfRule>
  </conditionalFormatting>
  <conditionalFormatting sqref="A922:D922">
    <cfRule type="expression" dxfId="3" priority="4607">
      <formula>COUNTIF($A922, "TRUE") = 1</formula>
    </cfRule>
    <cfRule type="expression" dxfId="4" priority="4608">
      <formula>COUNTIF($A922, "FALSE") = 1</formula>
    </cfRule>
    <cfRule type="notContainsBlanks" dxfId="1" priority="4609">
      <formula>LEN(TRIM(A922))&gt;0</formula>
    </cfRule>
  </conditionalFormatting>
  <conditionalFormatting sqref="A923">
    <cfRule type="notContainsBlanks" dxfId="5" priority="4615">
      <formula>LEN(TRIM(A923))&gt;0</formula>
    </cfRule>
  </conditionalFormatting>
  <conditionalFormatting sqref="A923:D923">
    <cfRule type="expression" dxfId="3" priority="4612">
      <formula>COUNTIF($A923, "TRUE") = 1</formula>
    </cfRule>
    <cfRule type="expression" dxfId="4" priority="4613">
      <formula>COUNTIF($A923, "FALSE") = 1</formula>
    </cfRule>
    <cfRule type="notContainsBlanks" dxfId="1" priority="4614">
      <formula>LEN(TRIM(A923))&gt;0</formula>
    </cfRule>
  </conditionalFormatting>
  <conditionalFormatting sqref="A924">
    <cfRule type="notContainsBlanks" dxfId="5" priority="4620">
      <formula>LEN(TRIM(A924))&gt;0</formula>
    </cfRule>
  </conditionalFormatting>
  <conditionalFormatting sqref="A924:D924">
    <cfRule type="expression" dxfId="3" priority="4617">
      <formula>COUNTIF($A924, "TRUE") = 1</formula>
    </cfRule>
    <cfRule type="expression" dxfId="4" priority="4618">
      <formula>COUNTIF($A924, "FALSE") = 1</formula>
    </cfRule>
    <cfRule type="notContainsBlanks" dxfId="1" priority="4619">
      <formula>LEN(TRIM(A924))&gt;0</formula>
    </cfRule>
  </conditionalFormatting>
  <conditionalFormatting sqref="A925">
    <cfRule type="notContainsBlanks" dxfId="5" priority="4625">
      <formula>LEN(TRIM(A925))&gt;0</formula>
    </cfRule>
  </conditionalFormatting>
  <conditionalFormatting sqref="A925:D925">
    <cfRule type="expression" dxfId="3" priority="4622">
      <formula>COUNTIF($A925, "TRUE") = 1</formula>
    </cfRule>
    <cfRule type="expression" dxfId="4" priority="4623">
      <formula>COUNTIF($A925, "FALSE") = 1</formula>
    </cfRule>
    <cfRule type="notContainsBlanks" dxfId="1" priority="4624">
      <formula>LEN(TRIM(A925))&gt;0</formula>
    </cfRule>
  </conditionalFormatting>
  <conditionalFormatting sqref="A926">
    <cfRule type="notContainsBlanks" dxfId="5" priority="4630">
      <formula>LEN(TRIM(A926))&gt;0</formula>
    </cfRule>
  </conditionalFormatting>
  <conditionalFormatting sqref="A926:D926">
    <cfRule type="expression" dxfId="3" priority="4627">
      <formula>COUNTIF($A926, "TRUE") = 1</formula>
    </cfRule>
    <cfRule type="expression" dxfId="4" priority="4628">
      <formula>COUNTIF($A926, "FALSE") = 1</formula>
    </cfRule>
    <cfRule type="notContainsBlanks" dxfId="1" priority="4629">
      <formula>LEN(TRIM(A926))&gt;0</formula>
    </cfRule>
  </conditionalFormatting>
  <conditionalFormatting sqref="A927">
    <cfRule type="notContainsBlanks" dxfId="5" priority="4635">
      <formula>LEN(TRIM(A927))&gt;0</formula>
    </cfRule>
  </conditionalFormatting>
  <conditionalFormatting sqref="A927:D927">
    <cfRule type="expression" dxfId="3" priority="4632">
      <formula>COUNTIF($A927, "TRUE") = 1</formula>
    </cfRule>
    <cfRule type="expression" dxfId="4" priority="4633">
      <formula>COUNTIF($A927, "FALSE") = 1</formula>
    </cfRule>
    <cfRule type="notContainsBlanks" dxfId="1" priority="4634">
      <formula>LEN(TRIM(A927))&gt;0</formula>
    </cfRule>
  </conditionalFormatting>
  <conditionalFormatting sqref="A928">
    <cfRule type="notContainsBlanks" dxfId="5" priority="4640">
      <formula>LEN(TRIM(A928))&gt;0</formula>
    </cfRule>
  </conditionalFormatting>
  <conditionalFormatting sqref="A928:D928">
    <cfRule type="expression" dxfId="3" priority="4637">
      <formula>COUNTIF($A928, "TRUE") = 1</formula>
    </cfRule>
    <cfRule type="expression" dxfId="4" priority="4638">
      <formula>COUNTIF($A928, "FALSE") = 1</formula>
    </cfRule>
    <cfRule type="notContainsBlanks" dxfId="1" priority="4639">
      <formula>LEN(TRIM(A928))&gt;0</formula>
    </cfRule>
  </conditionalFormatting>
  <conditionalFormatting sqref="A929">
    <cfRule type="notContainsBlanks" dxfId="5" priority="4645">
      <formula>LEN(TRIM(A929))&gt;0</formula>
    </cfRule>
  </conditionalFormatting>
  <conditionalFormatting sqref="A929:D929">
    <cfRule type="expression" dxfId="3" priority="4642">
      <formula>COUNTIF($A929, "TRUE") = 1</formula>
    </cfRule>
    <cfRule type="expression" dxfId="4" priority="4643">
      <formula>COUNTIF($A929, "FALSE") = 1</formula>
    </cfRule>
    <cfRule type="notContainsBlanks" dxfId="1" priority="4644">
      <formula>LEN(TRIM(A929))&gt;0</formula>
    </cfRule>
  </conditionalFormatting>
  <conditionalFormatting sqref="A92:D92">
    <cfRule type="expression" dxfId="3" priority="457">
      <formula>COUNTIF($A92, "TRUE") = 1</formula>
    </cfRule>
    <cfRule type="expression" dxfId="4" priority="458">
      <formula>COUNTIF($A92, "FALSE") = 1</formula>
    </cfRule>
    <cfRule type="notContainsBlanks" dxfId="1" priority="459">
      <formula>LEN(TRIM(A92))&gt;0</formula>
    </cfRule>
  </conditionalFormatting>
  <conditionalFormatting sqref="A93">
    <cfRule type="notContainsBlanks" dxfId="5" priority="465">
      <formula>LEN(TRIM(A93))&gt;0</formula>
    </cfRule>
  </conditionalFormatting>
  <conditionalFormatting sqref="A930">
    <cfRule type="notContainsBlanks" dxfId="5" priority="4650">
      <formula>LEN(TRIM(A930))&gt;0</formula>
    </cfRule>
  </conditionalFormatting>
  <conditionalFormatting sqref="A930:D930">
    <cfRule type="expression" dxfId="3" priority="4647">
      <formula>COUNTIF($A930, "TRUE") = 1</formula>
    </cfRule>
    <cfRule type="expression" dxfId="4" priority="4648">
      <formula>COUNTIF($A930, "FALSE") = 1</formula>
    </cfRule>
    <cfRule type="notContainsBlanks" dxfId="1" priority="4649">
      <formula>LEN(TRIM(A930))&gt;0</formula>
    </cfRule>
  </conditionalFormatting>
  <conditionalFormatting sqref="A931">
    <cfRule type="notContainsBlanks" dxfId="5" priority="4655">
      <formula>LEN(TRIM(A931))&gt;0</formula>
    </cfRule>
  </conditionalFormatting>
  <conditionalFormatting sqref="A931:D931">
    <cfRule type="expression" dxfId="3" priority="4652">
      <formula>COUNTIF($A931, "TRUE") = 1</formula>
    </cfRule>
    <cfRule type="expression" dxfId="4" priority="4653">
      <formula>COUNTIF($A931, "FALSE") = 1</formula>
    </cfRule>
    <cfRule type="notContainsBlanks" dxfId="1" priority="4654">
      <formula>LEN(TRIM(A931))&gt;0</formula>
    </cfRule>
  </conditionalFormatting>
  <conditionalFormatting sqref="A932">
    <cfRule type="notContainsBlanks" dxfId="5" priority="4660">
      <formula>LEN(TRIM(A932))&gt;0</formula>
    </cfRule>
  </conditionalFormatting>
  <conditionalFormatting sqref="A932:D932">
    <cfRule type="expression" dxfId="3" priority="4657">
      <formula>COUNTIF($A932, "TRUE") = 1</formula>
    </cfRule>
    <cfRule type="expression" dxfId="4" priority="4658">
      <formula>COUNTIF($A932, "FALSE") = 1</formula>
    </cfRule>
    <cfRule type="notContainsBlanks" dxfId="1" priority="4659">
      <formula>LEN(TRIM(A932))&gt;0</formula>
    </cfRule>
  </conditionalFormatting>
  <conditionalFormatting sqref="A933">
    <cfRule type="notContainsBlanks" dxfId="5" priority="4665">
      <formula>LEN(TRIM(A933))&gt;0</formula>
    </cfRule>
  </conditionalFormatting>
  <conditionalFormatting sqref="A933:D933">
    <cfRule type="expression" dxfId="3" priority="4662">
      <formula>COUNTIF($A933, "TRUE") = 1</formula>
    </cfRule>
    <cfRule type="expression" dxfId="4" priority="4663">
      <formula>COUNTIF($A933, "FALSE") = 1</formula>
    </cfRule>
    <cfRule type="notContainsBlanks" dxfId="1" priority="4664">
      <formula>LEN(TRIM(A933))&gt;0</formula>
    </cfRule>
  </conditionalFormatting>
  <conditionalFormatting sqref="A934">
    <cfRule type="notContainsBlanks" dxfId="5" priority="4670">
      <formula>LEN(TRIM(A934))&gt;0</formula>
    </cfRule>
  </conditionalFormatting>
  <conditionalFormatting sqref="A934:D934">
    <cfRule type="expression" dxfId="3" priority="4667">
      <formula>COUNTIF($A934, "TRUE") = 1</formula>
    </cfRule>
    <cfRule type="expression" dxfId="4" priority="4668">
      <formula>COUNTIF($A934, "FALSE") = 1</formula>
    </cfRule>
    <cfRule type="notContainsBlanks" dxfId="1" priority="4669">
      <formula>LEN(TRIM(A934))&gt;0</formula>
    </cfRule>
  </conditionalFormatting>
  <conditionalFormatting sqref="A935">
    <cfRule type="notContainsBlanks" dxfId="5" priority="4675">
      <formula>LEN(TRIM(A935))&gt;0</formula>
    </cfRule>
  </conditionalFormatting>
  <conditionalFormatting sqref="A935:D935">
    <cfRule type="expression" dxfId="3" priority="4672">
      <formula>COUNTIF($A935, "TRUE") = 1</formula>
    </cfRule>
    <cfRule type="expression" dxfId="4" priority="4673">
      <formula>COUNTIF($A935, "FALSE") = 1</formula>
    </cfRule>
    <cfRule type="notContainsBlanks" dxfId="1" priority="4674">
      <formula>LEN(TRIM(A935))&gt;0</formula>
    </cfRule>
  </conditionalFormatting>
  <conditionalFormatting sqref="A936">
    <cfRule type="notContainsBlanks" dxfId="5" priority="4680">
      <formula>LEN(TRIM(A936))&gt;0</formula>
    </cfRule>
  </conditionalFormatting>
  <conditionalFormatting sqref="A936:D936">
    <cfRule type="expression" dxfId="3" priority="4677">
      <formula>COUNTIF($A936, "TRUE") = 1</formula>
    </cfRule>
    <cfRule type="expression" dxfId="4" priority="4678">
      <formula>COUNTIF($A936, "FALSE") = 1</formula>
    </cfRule>
    <cfRule type="notContainsBlanks" dxfId="1" priority="4679">
      <formula>LEN(TRIM(A936))&gt;0</formula>
    </cfRule>
  </conditionalFormatting>
  <conditionalFormatting sqref="A937">
    <cfRule type="notContainsBlanks" dxfId="5" priority="4685">
      <formula>LEN(TRIM(A937))&gt;0</formula>
    </cfRule>
  </conditionalFormatting>
  <conditionalFormatting sqref="A937:D937">
    <cfRule type="expression" dxfId="3" priority="4682">
      <formula>COUNTIF($A937, "TRUE") = 1</formula>
    </cfRule>
    <cfRule type="expression" dxfId="4" priority="4683">
      <formula>COUNTIF($A937, "FALSE") = 1</formula>
    </cfRule>
    <cfRule type="notContainsBlanks" dxfId="1" priority="4684">
      <formula>LEN(TRIM(A937))&gt;0</formula>
    </cfRule>
  </conditionalFormatting>
  <conditionalFormatting sqref="A938">
    <cfRule type="notContainsBlanks" dxfId="5" priority="4690">
      <formula>LEN(TRIM(A938))&gt;0</formula>
    </cfRule>
  </conditionalFormatting>
  <conditionalFormatting sqref="A938:D938">
    <cfRule type="expression" dxfId="3" priority="4687">
      <formula>COUNTIF($A938, "TRUE") = 1</formula>
    </cfRule>
    <cfRule type="expression" dxfId="4" priority="4688">
      <formula>COUNTIF($A938, "FALSE") = 1</formula>
    </cfRule>
    <cfRule type="notContainsBlanks" dxfId="1" priority="4689">
      <formula>LEN(TRIM(A938))&gt;0</formula>
    </cfRule>
  </conditionalFormatting>
  <conditionalFormatting sqref="A939">
    <cfRule type="notContainsBlanks" dxfId="5" priority="4695">
      <formula>LEN(TRIM(A939))&gt;0</formula>
    </cfRule>
  </conditionalFormatting>
  <conditionalFormatting sqref="A939:D939">
    <cfRule type="expression" dxfId="3" priority="4692">
      <formula>COUNTIF($A939, "TRUE") = 1</formula>
    </cfRule>
    <cfRule type="expression" dxfId="4" priority="4693">
      <formula>COUNTIF($A939, "FALSE") = 1</formula>
    </cfRule>
    <cfRule type="notContainsBlanks" dxfId="1" priority="4694">
      <formula>LEN(TRIM(A939))&gt;0</formula>
    </cfRule>
  </conditionalFormatting>
  <conditionalFormatting sqref="A93:D93">
    <cfRule type="expression" dxfId="3" priority="462">
      <formula>COUNTIF($A93, "TRUE") = 1</formula>
    </cfRule>
    <cfRule type="expression" dxfId="4" priority="463">
      <formula>COUNTIF($A93, "FALSE") = 1</formula>
    </cfRule>
    <cfRule type="notContainsBlanks" dxfId="1" priority="464">
      <formula>LEN(TRIM(A93))&gt;0</formula>
    </cfRule>
  </conditionalFormatting>
  <conditionalFormatting sqref="A94">
    <cfRule type="notContainsBlanks" dxfId="5" priority="470">
      <formula>LEN(TRIM(A94))&gt;0</formula>
    </cfRule>
  </conditionalFormatting>
  <conditionalFormatting sqref="A940">
    <cfRule type="notContainsBlanks" dxfId="5" priority="4700">
      <formula>LEN(TRIM(A940))&gt;0</formula>
    </cfRule>
  </conditionalFormatting>
  <conditionalFormatting sqref="A940:D940">
    <cfRule type="expression" dxfId="3" priority="4697">
      <formula>COUNTIF($A940, "TRUE") = 1</formula>
    </cfRule>
    <cfRule type="expression" dxfId="4" priority="4698">
      <formula>COUNTIF($A940, "FALSE") = 1</formula>
    </cfRule>
    <cfRule type="notContainsBlanks" dxfId="1" priority="4699">
      <formula>LEN(TRIM(A940))&gt;0</formula>
    </cfRule>
  </conditionalFormatting>
  <conditionalFormatting sqref="A941">
    <cfRule type="notContainsBlanks" dxfId="5" priority="4705">
      <formula>LEN(TRIM(A941))&gt;0</formula>
    </cfRule>
  </conditionalFormatting>
  <conditionalFormatting sqref="A941:D941">
    <cfRule type="expression" dxfId="3" priority="4702">
      <formula>COUNTIF($A941, "TRUE") = 1</formula>
    </cfRule>
    <cfRule type="expression" dxfId="4" priority="4703">
      <formula>COUNTIF($A941, "FALSE") = 1</formula>
    </cfRule>
    <cfRule type="notContainsBlanks" dxfId="1" priority="4704">
      <formula>LEN(TRIM(A941))&gt;0</formula>
    </cfRule>
  </conditionalFormatting>
  <conditionalFormatting sqref="A942">
    <cfRule type="notContainsBlanks" dxfId="5" priority="4710">
      <formula>LEN(TRIM(A942))&gt;0</formula>
    </cfRule>
  </conditionalFormatting>
  <conditionalFormatting sqref="A942:D942">
    <cfRule type="expression" dxfId="3" priority="4707">
      <formula>COUNTIF($A942, "TRUE") = 1</formula>
    </cfRule>
    <cfRule type="expression" dxfId="4" priority="4708">
      <formula>COUNTIF($A942, "FALSE") = 1</formula>
    </cfRule>
    <cfRule type="notContainsBlanks" dxfId="1" priority="4709">
      <formula>LEN(TRIM(A942))&gt;0</formula>
    </cfRule>
  </conditionalFormatting>
  <conditionalFormatting sqref="A943">
    <cfRule type="notContainsBlanks" dxfId="5" priority="4715">
      <formula>LEN(TRIM(A943))&gt;0</formula>
    </cfRule>
  </conditionalFormatting>
  <conditionalFormatting sqref="A943:D943">
    <cfRule type="expression" dxfId="3" priority="4712">
      <formula>COUNTIF($A943, "TRUE") = 1</formula>
    </cfRule>
    <cfRule type="expression" dxfId="4" priority="4713">
      <formula>COUNTIF($A943, "FALSE") = 1</formula>
    </cfRule>
    <cfRule type="notContainsBlanks" dxfId="1" priority="4714">
      <formula>LEN(TRIM(A943))&gt;0</formula>
    </cfRule>
  </conditionalFormatting>
  <conditionalFormatting sqref="A944">
    <cfRule type="notContainsBlanks" dxfId="5" priority="4720">
      <formula>LEN(TRIM(A944))&gt;0</formula>
    </cfRule>
  </conditionalFormatting>
  <conditionalFormatting sqref="A944:D944">
    <cfRule type="expression" dxfId="3" priority="4717">
      <formula>COUNTIF($A944, "TRUE") = 1</formula>
    </cfRule>
    <cfRule type="expression" dxfId="4" priority="4718">
      <formula>COUNTIF($A944, "FALSE") = 1</formula>
    </cfRule>
    <cfRule type="notContainsBlanks" dxfId="1" priority="4719">
      <formula>LEN(TRIM(A944))&gt;0</formula>
    </cfRule>
  </conditionalFormatting>
  <conditionalFormatting sqref="A945">
    <cfRule type="notContainsBlanks" dxfId="5" priority="4725">
      <formula>LEN(TRIM(A945))&gt;0</formula>
    </cfRule>
  </conditionalFormatting>
  <conditionalFormatting sqref="A945:D945">
    <cfRule type="expression" dxfId="3" priority="4722">
      <formula>COUNTIF($A945, "TRUE") = 1</formula>
    </cfRule>
    <cfRule type="expression" dxfId="4" priority="4723">
      <formula>COUNTIF($A945, "FALSE") = 1</formula>
    </cfRule>
    <cfRule type="notContainsBlanks" dxfId="1" priority="4724">
      <formula>LEN(TRIM(A945))&gt;0</formula>
    </cfRule>
  </conditionalFormatting>
  <conditionalFormatting sqref="A946">
    <cfRule type="notContainsBlanks" dxfId="5" priority="4730">
      <formula>LEN(TRIM(A946))&gt;0</formula>
    </cfRule>
  </conditionalFormatting>
  <conditionalFormatting sqref="A946:D946">
    <cfRule type="expression" dxfId="3" priority="4727">
      <formula>COUNTIF($A946, "TRUE") = 1</formula>
    </cfRule>
    <cfRule type="expression" dxfId="4" priority="4728">
      <formula>COUNTIF($A946, "FALSE") = 1</formula>
    </cfRule>
    <cfRule type="notContainsBlanks" dxfId="1" priority="4729">
      <formula>LEN(TRIM(A946))&gt;0</formula>
    </cfRule>
  </conditionalFormatting>
  <conditionalFormatting sqref="A947">
    <cfRule type="notContainsBlanks" dxfId="5" priority="4735">
      <formula>LEN(TRIM(A947))&gt;0</formula>
    </cfRule>
  </conditionalFormatting>
  <conditionalFormatting sqref="A947:D947">
    <cfRule type="expression" dxfId="3" priority="4732">
      <formula>COUNTIF($A947, "TRUE") = 1</formula>
    </cfRule>
    <cfRule type="expression" dxfId="4" priority="4733">
      <formula>COUNTIF($A947, "FALSE") = 1</formula>
    </cfRule>
    <cfRule type="notContainsBlanks" dxfId="1" priority="4734">
      <formula>LEN(TRIM(A947))&gt;0</formula>
    </cfRule>
  </conditionalFormatting>
  <conditionalFormatting sqref="A948">
    <cfRule type="notContainsBlanks" dxfId="5" priority="4740">
      <formula>LEN(TRIM(A948))&gt;0</formula>
    </cfRule>
  </conditionalFormatting>
  <conditionalFormatting sqref="A948:D948">
    <cfRule type="expression" dxfId="3" priority="4737">
      <formula>COUNTIF($A948, "TRUE") = 1</formula>
    </cfRule>
    <cfRule type="expression" dxfId="4" priority="4738">
      <formula>COUNTIF($A948, "FALSE") = 1</formula>
    </cfRule>
    <cfRule type="notContainsBlanks" dxfId="1" priority="4739">
      <formula>LEN(TRIM(A948))&gt;0</formula>
    </cfRule>
  </conditionalFormatting>
  <conditionalFormatting sqref="A949">
    <cfRule type="notContainsBlanks" dxfId="5" priority="4745">
      <formula>LEN(TRIM(A949))&gt;0</formula>
    </cfRule>
  </conditionalFormatting>
  <conditionalFormatting sqref="A949:D949">
    <cfRule type="expression" dxfId="3" priority="4742">
      <formula>COUNTIF($A949, "TRUE") = 1</formula>
    </cfRule>
    <cfRule type="expression" dxfId="4" priority="4743">
      <formula>COUNTIF($A949, "FALSE") = 1</formula>
    </cfRule>
    <cfRule type="notContainsBlanks" dxfId="1" priority="4744">
      <formula>LEN(TRIM(A949))&gt;0</formula>
    </cfRule>
  </conditionalFormatting>
  <conditionalFormatting sqref="A94:D94">
    <cfRule type="expression" dxfId="3" priority="467">
      <formula>COUNTIF($A94, "TRUE") = 1</formula>
    </cfRule>
    <cfRule type="expression" dxfId="4" priority="468">
      <formula>COUNTIF($A94, "FALSE") = 1</formula>
    </cfRule>
    <cfRule type="notContainsBlanks" dxfId="1" priority="469">
      <formula>LEN(TRIM(A94))&gt;0</formula>
    </cfRule>
  </conditionalFormatting>
  <conditionalFormatting sqref="A95">
    <cfRule type="notContainsBlanks" dxfId="5" priority="475">
      <formula>LEN(TRIM(A95))&gt;0</formula>
    </cfRule>
  </conditionalFormatting>
  <conditionalFormatting sqref="A950">
    <cfRule type="notContainsBlanks" dxfId="5" priority="4750">
      <formula>LEN(TRIM(A950))&gt;0</formula>
    </cfRule>
  </conditionalFormatting>
  <conditionalFormatting sqref="A950:D950">
    <cfRule type="expression" dxfId="3" priority="4747">
      <formula>COUNTIF($A950, "TRUE") = 1</formula>
    </cfRule>
    <cfRule type="expression" dxfId="4" priority="4748">
      <formula>COUNTIF($A950, "FALSE") = 1</formula>
    </cfRule>
    <cfRule type="notContainsBlanks" dxfId="1" priority="4749">
      <formula>LEN(TRIM(A950))&gt;0</formula>
    </cfRule>
  </conditionalFormatting>
  <conditionalFormatting sqref="A951">
    <cfRule type="notContainsBlanks" dxfId="5" priority="4755">
      <formula>LEN(TRIM(A951))&gt;0</formula>
    </cfRule>
  </conditionalFormatting>
  <conditionalFormatting sqref="A951:D951">
    <cfRule type="expression" dxfId="3" priority="4752">
      <formula>COUNTIF($A951, "TRUE") = 1</formula>
    </cfRule>
    <cfRule type="expression" dxfId="4" priority="4753">
      <formula>COUNTIF($A951, "FALSE") = 1</formula>
    </cfRule>
    <cfRule type="notContainsBlanks" dxfId="1" priority="4754">
      <formula>LEN(TRIM(A951))&gt;0</formula>
    </cfRule>
  </conditionalFormatting>
  <conditionalFormatting sqref="A952">
    <cfRule type="notContainsBlanks" dxfId="5" priority="4760">
      <formula>LEN(TRIM(A952))&gt;0</formula>
    </cfRule>
  </conditionalFormatting>
  <conditionalFormatting sqref="A952:D952">
    <cfRule type="expression" dxfId="3" priority="4757">
      <formula>COUNTIF($A952, "TRUE") = 1</formula>
    </cfRule>
    <cfRule type="expression" dxfId="4" priority="4758">
      <formula>COUNTIF($A952, "FALSE") = 1</formula>
    </cfRule>
    <cfRule type="notContainsBlanks" dxfId="1" priority="4759">
      <formula>LEN(TRIM(A952))&gt;0</formula>
    </cfRule>
  </conditionalFormatting>
  <conditionalFormatting sqref="A953">
    <cfRule type="notContainsBlanks" dxfId="5" priority="4765">
      <formula>LEN(TRIM(A953))&gt;0</formula>
    </cfRule>
  </conditionalFormatting>
  <conditionalFormatting sqref="A953:D953">
    <cfRule type="expression" dxfId="3" priority="4762">
      <formula>COUNTIF($A953, "TRUE") = 1</formula>
    </cfRule>
    <cfRule type="expression" dxfId="4" priority="4763">
      <formula>COUNTIF($A953, "FALSE") = 1</formula>
    </cfRule>
    <cfRule type="notContainsBlanks" dxfId="1" priority="4764">
      <formula>LEN(TRIM(A953))&gt;0</formula>
    </cfRule>
  </conditionalFormatting>
  <conditionalFormatting sqref="A954">
    <cfRule type="notContainsBlanks" dxfId="5" priority="4770">
      <formula>LEN(TRIM(A954))&gt;0</formula>
    </cfRule>
  </conditionalFormatting>
  <conditionalFormatting sqref="A954:D954">
    <cfRule type="expression" dxfId="3" priority="4767">
      <formula>COUNTIF($A954, "TRUE") = 1</formula>
    </cfRule>
    <cfRule type="expression" dxfId="4" priority="4768">
      <formula>COUNTIF($A954, "FALSE") = 1</formula>
    </cfRule>
    <cfRule type="notContainsBlanks" dxfId="1" priority="4769">
      <formula>LEN(TRIM(A954))&gt;0</formula>
    </cfRule>
  </conditionalFormatting>
  <conditionalFormatting sqref="A955">
    <cfRule type="notContainsBlanks" dxfId="5" priority="4775">
      <formula>LEN(TRIM(A955))&gt;0</formula>
    </cfRule>
  </conditionalFormatting>
  <conditionalFormatting sqref="A955:D955">
    <cfRule type="expression" dxfId="3" priority="4772">
      <formula>COUNTIF($A955, "TRUE") = 1</formula>
    </cfRule>
    <cfRule type="expression" dxfId="4" priority="4773">
      <formula>COUNTIF($A955, "FALSE") = 1</formula>
    </cfRule>
    <cfRule type="notContainsBlanks" dxfId="1" priority="4774">
      <formula>LEN(TRIM(A955))&gt;0</formula>
    </cfRule>
  </conditionalFormatting>
  <conditionalFormatting sqref="A956">
    <cfRule type="notContainsBlanks" dxfId="5" priority="4780">
      <formula>LEN(TRIM(A956))&gt;0</formula>
    </cfRule>
  </conditionalFormatting>
  <conditionalFormatting sqref="A956:D956">
    <cfRule type="expression" dxfId="3" priority="4777">
      <formula>COUNTIF($A956, "TRUE") = 1</formula>
    </cfRule>
    <cfRule type="expression" dxfId="4" priority="4778">
      <formula>COUNTIF($A956, "FALSE") = 1</formula>
    </cfRule>
    <cfRule type="notContainsBlanks" dxfId="1" priority="4779">
      <formula>LEN(TRIM(A956))&gt;0</formula>
    </cfRule>
  </conditionalFormatting>
  <conditionalFormatting sqref="A957">
    <cfRule type="notContainsBlanks" dxfId="5" priority="4785">
      <formula>LEN(TRIM(A957))&gt;0</formula>
    </cfRule>
  </conditionalFormatting>
  <conditionalFormatting sqref="A957:D957">
    <cfRule type="expression" dxfId="3" priority="4782">
      <formula>COUNTIF($A957, "TRUE") = 1</formula>
    </cfRule>
    <cfRule type="expression" dxfId="4" priority="4783">
      <formula>COUNTIF($A957, "FALSE") = 1</formula>
    </cfRule>
    <cfRule type="notContainsBlanks" dxfId="1" priority="4784">
      <formula>LEN(TRIM(A957))&gt;0</formula>
    </cfRule>
  </conditionalFormatting>
  <conditionalFormatting sqref="A958">
    <cfRule type="notContainsBlanks" dxfId="5" priority="4790">
      <formula>LEN(TRIM(A958))&gt;0</formula>
    </cfRule>
  </conditionalFormatting>
  <conditionalFormatting sqref="A958:D958">
    <cfRule type="expression" dxfId="3" priority="4787">
      <formula>COUNTIF($A958, "TRUE") = 1</formula>
    </cfRule>
    <cfRule type="expression" dxfId="4" priority="4788">
      <formula>COUNTIF($A958, "FALSE") = 1</formula>
    </cfRule>
    <cfRule type="notContainsBlanks" dxfId="1" priority="4789">
      <formula>LEN(TRIM(A958))&gt;0</formula>
    </cfRule>
  </conditionalFormatting>
  <conditionalFormatting sqref="A959">
    <cfRule type="notContainsBlanks" dxfId="5" priority="4795">
      <formula>LEN(TRIM(A959))&gt;0</formula>
    </cfRule>
  </conditionalFormatting>
  <conditionalFormatting sqref="A959:D959">
    <cfRule type="expression" dxfId="3" priority="4792">
      <formula>COUNTIF($A959, "TRUE") = 1</formula>
    </cfRule>
    <cfRule type="expression" dxfId="4" priority="4793">
      <formula>COUNTIF($A959, "FALSE") = 1</formula>
    </cfRule>
    <cfRule type="notContainsBlanks" dxfId="1" priority="4794">
      <formula>LEN(TRIM(A959))&gt;0</formula>
    </cfRule>
  </conditionalFormatting>
  <conditionalFormatting sqref="A95:D95">
    <cfRule type="expression" dxfId="3" priority="472">
      <formula>COUNTIF($A95, "TRUE") = 1</formula>
    </cfRule>
    <cfRule type="expression" dxfId="4" priority="473">
      <formula>COUNTIF($A95, "FALSE") = 1</formula>
    </cfRule>
    <cfRule type="notContainsBlanks" dxfId="1" priority="474">
      <formula>LEN(TRIM(A95))&gt;0</formula>
    </cfRule>
  </conditionalFormatting>
  <conditionalFormatting sqref="A96">
    <cfRule type="notContainsBlanks" dxfId="5" priority="480">
      <formula>LEN(TRIM(A96))&gt;0</formula>
    </cfRule>
  </conditionalFormatting>
  <conditionalFormatting sqref="A960">
    <cfRule type="notContainsBlanks" dxfId="5" priority="4800">
      <formula>LEN(TRIM(A960))&gt;0</formula>
    </cfRule>
  </conditionalFormatting>
  <conditionalFormatting sqref="A960:D960">
    <cfRule type="expression" dxfId="3" priority="4797">
      <formula>COUNTIF($A960, "TRUE") = 1</formula>
    </cfRule>
    <cfRule type="expression" dxfId="4" priority="4798">
      <formula>COUNTIF($A960, "FALSE") = 1</formula>
    </cfRule>
    <cfRule type="notContainsBlanks" dxfId="1" priority="4799">
      <formula>LEN(TRIM(A960))&gt;0</formula>
    </cfRule>
  </conditionalFormatting>
  <conditionalFormatting sqref="A961">
    <cfRule type="notContainsBlanks" dxfId="5" priority="4805">
      <formula>LEN(TRIM(A961))&gt;0</formula>
    </cfRule>
  </conditionalFormatting>
  <conditionalFormatting sqref="A961:D961">
    <cfRule type="expression" dxfId="3" priority="4802">
      <formula>COUNTIF($A961, "TRUE") = 1</formula>
    </cfRule>
    <cfRule type="expression" dxfId="4" priority="4803">
      <formula>COUNTIF($A961, "FALSE") = 1</formula>
    </cfRule>
    <cfRule type="notContainsBlanks" dxfId="1" priority="4804">
      <formula>LEN(TRIM(A961))&gt;0</formula>
    </cfRule>
  </conditionalFormatting>
  <conditionalFormatting sqref="A962">
    <cfRule type="notContainsBlanks" dxfId="5" priority="4810">
      <formula>LEN(TRIM(A962))&gt;0</formula>
    </cfRule>
  </conditionalFormatting>
  <conditionalFormatting sqref="A962:D962">
    <cfRule type="expression" dxfId="3" priority="4807">
      <formula>COUNTIF($A962, "TRUE") = 1</formula>
    </cfRule>
    <cfRule type="expression" dxfId="4" priority="4808">
      <formula>COUNTIF($A962, "FALSE") = 1</formula>
    </cfRule>
    <cfRule type="notContainsBlanks" dxfId="1" priority="4809">
      <formula>LEN(TRIM(A962))&gt;0</formula>
    </cfRule>
  </conditionalFormatting>
  <conditionalFormatting sqref="A963">
    <cfRule type="notContainsBlanks" dxfId="5" priority="4815">
      <formula>LEN(TRIM(A963))&gt;0</formula>
    </cfRule>
  </conditionalFormatting>
  <conditionalFormatting sqref="A963:D963">
    <cfRule type="expression" dxfId="3" priority="4812">
      <formula>COUNTIF($A963, "TRUE") = 1</formula>
    </cfRule>
    <cfRule type="expression" dxfId="4" priority="4813">
      <formula>COUNTIF($A963, "FALSE") = 1</formula>
    </cfRule>
    <cfRule type="notContainsBlanks" dxfId="1" priority="4814">
      <formula>LEN(TRIM(A963))&gt;0</formula>
    </cfRule>
  </conditionalFormatting>
  <conditionalFormatting sqref="A964">
    <cfRule type="notContainsBlanks" dxfId="5" priority="4820">
      <formula>LEN(TRIM(A964))&gt;0</formula>
    </cfRule>
  </conditionalFormatting>
  <conditionalFormatting sqref="A964:D964">
    <cfRule type="expression" dxfId="3" priority="4817">
      <formula>COUNTIF($A964, "TRUE") = 1</formula>
    </cfRule>
    <cfRule type="expression" dxfId="4" priority="4818">
      <formula>COUNTIF($A964, "FALSE") = 1</formula>
    </cfRule>
    <cfRule type="notContainsBlanks" dxfId="1" priority="4819">
      <formula>LEN(TRIM(A964))&gt;0</formula>
    </cfRule>
  </conditionalFormatting>
  <conditionalFormatting sqref="A965">
    <cfRule type="notContainsBlanks" dxfId="5" priority="4825">
      <formula>LEN(TRIM(A965))&gt;0</formula>
    </cfRule>
  </conditionalFormatting>
  <conditionalFormatting sqref="A965:D965">
    <cfRule type="expression" dxfId="3" priority="4822">
      <formula>COUNTIF($A965, "TRUE") = 1</formula>
    </cfRule>
    <cfRule type="expression" dxfId="4" priority="4823">
      <formula>COUNTIF($A965, "FALSE") = 1</formula>
    </cfRule>
    <cfRule type="notContainsBlanks" dxfId="1" priority="4824">
      <formula>LEN(TRIM(A965))&gt;0</formula>
    </cfRule>
  </conditionalFormatting>
  <conditionalFormatting sqref="A966">
    <cfRule type="notContainsBlanks" dxfId="5" priority="4830">
      <formula>LEN(TRIM(A966))&gt;0</formula>
    </cfRule>
  </conditionalFormatting>
  <conditionalFormatting sqref="A966:D966">
    <cfRule type="expression" dxfId="3" priority="4827">
      <formula>COUNTIF($A966, "TRUE") = 1</formula>
    </cfRule>
    <cfRule type="expression" dxfId="4" priority="4828">
      <formula>COUNTIF($A966, "FALSE") = 1</formula>
    </cfRule>
    <cfRule type="notContainsBlanks" dxfId="1" priority="4829">
      <formula>LEN(TRIM(A966))&gt;0</formula>
    </cfRule>
  </conditionalFormatting>
  <conditionalFormatting sqref="A967">
    <cfRule type="notContainsBlanks" dxfId="5" priority="4835">
      <formula>LEN(TRIM(A967))&gt;0</formula>
    </cfRule>
  </conditionalFormatting>
  <conditionalFormatting sqref="A967:D967">
    <cfRule type="expression" dxfId="3" priority="4832">
      <formula>COUNTIF($A967, "TRUE") = 1</formula>
    </cfRule>
    <cfRule type="expression" dxfId="4" priority="4833">
      <formula>COUNTIF($A967, "FALSE") = 1</formula>
    </cfRule>
    <cfRule type="notContainsBlanks" dxfId="1" priority="4834">
      <formula>LEN(TRIM(A967))&gt;0</formula>
    </cfRule>
  </conditionalFormatting>
  <conditionalFormatting sqref="A968">
    <cfRule type="notContainsBlanks" dxfId="5" priority="4840">
      <formula>LEN(TRIM(A968))&gt;0</formula>
    </cfRule>
  </conditionalFormatting>
  <conditionalFormatting sqref="A968:D968">
    <cfRule type="expression" dxfId="3" priority="4837">
      <formula>COUNTIF($A968, "TRUE") = 1</formula>
    </cfRule>
    <cfRule type="expression" dxfId="4" priority="4838">
      <formula>COUNTIF($A968, "FALSE") = 1</formula>
    </cfRule>
    <cfRule type="notContainsBlanks" dxfId="1" priority="4839">
      <formula>LEN(TRIM(A968))&gt;0</formula>
    </cfRule>
  </conditionalFormatting>
  <conditionalFormatting sqref="A969">
    <cfRule type="notContainsBlanks" dxfId="5" priority="4845">
      <formula>LEN(TRIM(A969))&gt;0</formula>
    </cfRule>
  </conditionalFormatting>
  <conditionalFormatting sqref="A969:D969">
    <cfRule type="expression" dxfId="3" priority="4842">
      <formula>COUNTIF($A969, "TRUE") = 1</formula>
    </cfRule>
    <cfRule type="expression" dxfId="4" priority="4843">
      <formula>COUNTIF($A969, "FALSE") = 1</formula>
    </cfRule>
    <cfRule type="notContainsBlanks" dxfId="1" priority="4844">
      <formula>LEN(TRIM(A969))&gt;0</formula>
    </cfRule>
  </conditionalFormatting>
  <conditionalFormatting sqref="A96:D96">
    <cfRule type="expression" dxfId="3" priority="477">
      <formula>COUNTIF($A96, "TRUE") = 1</formula>
    </cfRule>
    <cfRule type="expression" dxfId="4" priority="478">
      <formula>COUNTIF($A96, "FALSE") = 1</formula>
    </cfRule>
    <cfRule type="notContainsBlanks" dxfId="1" priority="479">
      <formula>LEN(TRIM(A96))&gt;0</formula>
    </cfRule>
  </conditionalFormatting>
  <conditionalFormatting sqref="A97">
    <cfRule type="notContainsBlanks" dxfId="5" priority="485">
      <formula>LEN(TRIM(A97))&gt;0</formula>
    </cfRule>
  </conditionalFormatting>
  <conditionalFormatting sqref="A970">
    <cfRule type="notContainsBlanks" dxfId="5" priority="4850">
      <formula>LEN(TRIM(A970))&gt;0</formula>
    </cfRule>
  </conditionalFormatting>
  <conditionalFormatting sqref="A970:D970">
    <cfRule type="expression" dxfId="3" priority="4847">
      <formula>COUNTIF($A970, "TRUE") = 1</formula>
    </cfRule>
    <cfRule type="expression" dxfId="4" priority="4848">
      <formula>COUNTIF($A970, "FALSE") = 1</formula>
    </cfRule>
    <cfRule type="notContainsBlanks" dxfId="1" priority="4849">
      <formula>LEN(TRIM(A970))&gt;0</formula>
    </cfRule>
  </conditionalFormatting>
  <conditionalFormatting sqref="A971">
    <cfRule type="notContainsBlanks" dxfId="5" priority="4855">
      <formula>LEN(TRIM(A971))&gt;0</formula>
    </cfRule>
  </conditionalFormatting>
  <conditionalFormatting sqref="A971:D971">
    <cfRule type="expression" dxfId="3" priority="4852">
      <formula>COUNTIF($A971, "TRUE") = 1</formula>
    </cfRule>
    <cfRule type="expression" dxfId="4" priority="4853">
      <formula>COUNTIF($A971, "FALSE") = 1</formula>
    </cfRule>
    <cfRule type="notContainsBlanks" dxfId="1" priority="4854">
      <formula>LEN(TRIM(A971))&gt;0</formula>
    </cfRule>
  </conditionalFormatting>
  <conditionalFormatting sqref="A972">
    <cfRule type="notContainsBlanks" dxfId="5" priority="4860">
      <formula>LEN(TRIM(A972))&gt;0</formula>
    </cfRule>
  </conditionalFormatting>
  <conditionalFormatting sqref="A972:D972">
    <cfRule type="expression" dxfId="3" priority="4857">
      <formula>COUNTIF($A972, "TRUE") = 1</formula>
    </cfRule>
    <cfRule type="expression" dxfId="4" priority="4858">
      <formula>COUNTIF($A972, "FALSE") = 1</formula>
    </cfRule>
    <cfRule type="notContainsBlanks" dxfId="1" priority="4859">
      <formula>LEN(TRIM(A972))&gt;0</formula>
    </cfRule>
  </conditionalFormatting>
  <conditionalFormatting sqref="A973">
    <cfRule type="notContainsBlanks" dxfId="5" priority="4865">
      <formula>LEN(TRIM(A973))&gt;0</formula>
    </cfRule>
  </conditionalFormatting>
  <conditionalFormatting sqref="A973:D973">
    <cfRule type="expression" dxfId="3" priority="4862">
      <formula>COUNTIF($A973, "TRUE") = 1</formula>
    </cfRule>
    <cfRule type="expression" dxfId="4" priority="4863">
      <formula>COUNTIF($A973, "FALSE") = 1</formula>
    </cfRule>
    <cfRule type="notContainsBlanks" dxfId="1" priority="4864">
      <formula>LEN(TRIM(A973))&gt;0</formula>
    </cfRule>
  </conditionalFormatting>
  <conditionalFormatting sqref="A974">
    <cfRule type="notContainsBlanks" dxfId="5" priority="4870">
      <formula>LEN(TRIM(A974))&gt;0</formula>
    </cfRule>
  </conditionalFormatting>
  <conditionalFormatting sqref="A974:D974">
    <cfRule type="expression" dxfId="3" priority="4867">
      <formula>COUNTIF($A974, "TRUE") = 1</formula>
    </cfRule>
    <cfRule type="expression" dxfId="4" priority="4868">
      <formula>COUNTIF($A974, "FALSE") = 1</formula>
    </cfRule>
    <cfRule type="notContainsBlanks" dxfId="1" priority="4869">
      <formula>LEN(TRIM(A974))&gt;0</formula>
    </cfRule>
  </conditionalFormatting>
  <conditionalFormatting sqref="A975">
    <cfRule type="notContainsBlanks" dxfId="5" priority="4875">
      <formula>LEN(TRIM(A975))&gt;0</formula>
    </cfRule>
  </conditionalFormatting>
  <conditionalFormatting sqref="A975:D975">
    <cfRule type="expression" dxfId="3" priority="4872">
      <formula>COUNTIF($A975, "TRUE") = 1</formula>
    </cfRule>
    <cfRule type="expression" dxfId="4" priority="4873">
      <formula>COUNTIF($A975, "FALSE") = 1</formula>
    </cfRule>
    <cfRule type="notContainsBlanks" dxfId="1" priority="4874">
      <formula>LEN(TRIM(A975))&gt;0</formula>
    </cfRule>
  </conditionalFormatting>
  <conditionalFormatting sqref="A976">
    <cfRule type="notContainsBlanks" dxfId="5" priority="4880">
      <formula>LEN(TRIM(A976))&gt;0</formula>
    </cfRule>
  </conditionalFormatting>
  <conditionalFormatting sqref="A976:D976">
    <cfRule type="expression" dxfId="3" priority="4877">
      <formula>COUNTIF($A976, "TRUE") = 1</formula>
    </cfRule>
    <cfRule type="expression" dxfId="4" priority="4878">
      <formula>COUNTIF($A976, "FALSE") = 1</formula>
    </cfRule>
    <cfRule type="notContainsBlanks" dxfId="1" priority="4879">
      <formula>LEN(TRIM(A976))&gt;0</formula>
    </cfRule>
  </conditionalFormatting>
  <conditionalFormatting sqref="A977">
    <cfRule type="notContainsBlanks" dxfId="5" priority="4885">
      <formula>LEN(TRIM(A977))&gt;0</formula>
    </cfRule>
  </conditionalFormatting>
  <conditionalFormatting sqref="A977:D977">
    <cfRule type="expression" dxfId="3" priority="4882">
      <formula>COUNTIF($A977, "TRUE") = 1</formula>
    </cfRule>
    <cfRule type="expression" dxfId="4" priority="4883">
      <formula>COUNTIF($A977, "FALSE") = 1</formula>
    </cfRule>
    <cfRule type="notContainsBlanks" dxfId="1" priority="4884">
      <formula>LEN(TRIM(A977))&gt;0</formula>
    </cfRule>
  </conditionalFormatting>
  <conditionalFormatting sqref="A978">
    <cfRule type="notContainsBlanks" dxfId="5" priority="4890">
      <formula>LEN(TRIM(A978))&gt;0</formula>
    </cfRule>
  </conditionalFormatting>
  <conditionalFormatting sqref="A978:D978">
    <cfRule type="expression" dxfId="3" priority="4887">
      <formula>COUNTIF($A978, "TRUE") = 1</formula>
    </cfRule>
    <cfRule type="expression" dxfId="4" priority="4888">
      <formula>COUNTIF($A978, "FALSE") = 1</formula>
    </cfRule>
    <cfRule type="notContainsBlanks" dxfId="1" priority="4889">
      <formula>LEN(TRIM(A978))&gt;0</formula>
    </cfRule>
  </conditionalFormatting>
  <conditionalFormatting sqref="A979">
    <cfRule type="notContainsBlanks" dxfId="5" priority="4895">
      <formula>LEN(TRIM(A979))&gt;0</formula>
    </cfRule>
  </conditionalFormatting>
  <conditionalFormatting sqref="A979:D979">
    <cfRule type="expression" dxfId="3" priority="4892">
      <formula>COUNTIF($A979, "TRUE") = 1</formula>
    </cfRule>
    <cfRule type="expression" dxfId="4" priority="4893">
      <formula>COUNTIF($A979, "FALSE") = 1</formula>
    </cfRule>
    <cfRule type="notContainsBlanks" dxfId="1" priority="4894">
      <formula>LEN(TRIM(A979))&gt;0</formula>
    </cfRule>
  </conditionalFormatting>
  <conditionalFormatting sqref="A97:D97">
    <cfRule type="expression" dxfId="3" priority="482">
      <formula>COUNTIF($A97, "TRUE") = 1</formula>
    </cfRule>
    <cfRule type="expression" dxfId="4" priority="483">
      <formula>COUNTIF($A97, "FALSE") = 1</formula>
    </cfRule>
    <cfRule type="notContainsBlanks" dxfId="1" priority="484">
      <formula>LEN(TRIM(A97))&gt;0</formula>
    </cfRule>
  </conditionalFormatting>
  <conditionalFormatting sqref="A98">
    <cfRule type="notContainsBlanks" dxfId="5" priority="490">
      <formula>LEN(TRIM(A98))&gt;0</formula>
    </cfRule>
  </conditionalFormatting>
  <conditionalFormatting sqref="A980">
    <cfRule type="notContainsBlanks" dxfId="5" priority="4900">
      <formula>LEN(TRIM(A980))&gt;0</formula>
    </cfRule>
  </conditionalFormatting>
  <conditionalFormatting sqref="A980:D980">
    <cfRule type="expression" dxfId="3" priority="4897">
      <formula>COUNTIF($A980, "TRUE") = 1</formula>
    </cfRule>
    <cfRule type="expression" dxfId="4" priority="4898">
      <formula>COUNTIF($A980, "FALSE") = 1</formula>
    </cfRule>
    <cfRule type="notContainsBlanks" dxfId="1" priority="4899">
      <formula>LEN(TRIM(A980))&gt;0</formula>
    </cfRule>
  </conditionalFormatting>
  <conditionalFormatting sqref="A981">
    <cfRule type="notContainsBlanks" dxfId="5" priority="4905">
      <formula>LEN(TRIM(A981))&gt;0</formula>
    </cfRule>
  </conditionalFormatting>
  <conditionalFormatting sqref="A981:D981">
    <cfRule type="expression" dxfId="3" priority="4902">
      <formula>COUNTIF($A981, "TRUE") = 1</formula>
    </cfRule>
    <cfRule type="expression" dxfId="4" priority="4903">
      <formula>COUNTIF($A981, "FALSE") = 1</formula>
    </cfRule>
    <cfRule type="notContainsBlanks" dxfId="1" priority="4904">
      <formula>LEN(TRIM(A981))&gt;0</formula>
    </cfRule>
  </conditionalFormatting>
  <conditionalFormatting sqref="A982">
    <cfRule type="notContainsBlanks" dxfId="5" priority="4910">
      <formula>LEN(TRIM(A982))&gt;0</formula>
    </cfRule>
  </conditionalFormatting>
  <conditionalFormatting sqref="A982:D982">
    <cfRule type="expression" dxfId="3" priority="4907">
      <formula>COUNTIF($A982, "TRUE") = 1</formula>
    </cfRule>
    <cfRule type="expression" dxfId="4" priority="4908">
      <formula>COUNTIF($A982, "FALSE") = 1</formula>
    </cfRule>
    <cfRule type="notContainsBlanks" dxfId="1" priority="4909">
      <formula>LEN(TRIM(A982))&gt;0</formula>
    </cfRule>
  </conditionalFormatting>
  <conditionalFormatting sqref="A983">
    <cfRule type="notContainsBlanks" dxfId="5" priority="4915">
      <formula>LEN(TRIM(A983))&gt;0</formula>
    </cfRule>
  </conditionalFormatting>
  <conditionalFormatting sqref="A983:D983">
    <cfRule type="expression" dxfId="3" priority="4912">
      <formula>COUNTIF($A983, "TRUE") = 1</formula>
    </cfRule>
    <cfRule type="expression" dxfId="4" priority="4913">
      <formula>COUNTIF($A983, "FALSE") = 1</formula>
    </cfRule>
    <cfRule type="notContainsBlanks" dxfId="1" priority="4914">
      <formula>LEN(TRIM(A983))&gt;0</formula>
    </cfRule>
  </conditionalFormatting>
  <conditionalFormatting sqref="A984">
    <cfRule type="notContainsBlanks" dxfId="5" priority="4920">
      <formula>LEN(TRIM(A984))&gt;0</formula>
    </cfRule>
  </conditionalFormatting>
  <conditionalFormatting sqref="A984:D984">
    <cfRule type="expression" dxfId="3" priority="4917">
      <formula>COUNTIF($A984, "TRUE") = 1</formula>
    </cfRule>
    <cfRule type="expression" dxfId="4" priority="4918">
      <formula>COUNTIF($A984, "FALSE") = 1</formula>
    </cfRule>
    <cfRule type="notContainsBlanks" dxfId="1" priority="4919">
      <formula>LEN(TRIM(A984))&gt;0</formula>
    </cfRule>
  </conditionalFormatting>
  <conditionalFormatting sqref="A985">
    <cfRule type="notContainsBlanks" dxfId="5" priority="4925">
      <formula>LEN(TRIM(A985))&gt;0</formula>
    </cfRule>
  </conditionalFormatting>
  <conditionalFormatting sqref="A985:D985">
    <cfRule type="expression" dxfId="3" priority="4922">
      <formula>COUNTIF($A985, "TRUE") = 1</formula>
    </cfRule>
    <cfRule type="expression" dxfId="4" priority="4923">
      <formula>COUNTIF($A985, "FALSE") = 1</formula>
    </cfRule>
    <cfRule type="notContainsBlanks" dxfId="1" priority="4924">
      <formula>LEN(TRIM(A985))&gt;0</formula>
    </cfRule>
  </conditionalFormatting>
  <conditionalFormatting sqref="A986">
    <cfRule type="notContainsBlanks" dxfId="5" priority="4930">
      <formula>LEN(TRIM(A986))&gt;0</formula>
    </cfRule>
  </conditionalFormatting>
  <conditionalFormatting sqref="A986:D986">
    <cfRule type="expression" dxfId="3" priority="4927">
      <formula>COUNTIF($A986, "TRUE") = 1</formula>
    </cfRule>
    <cfRule type="expression" dxfId="4" priority="4928">
      <formula>COUNTIF($A986, "FALSE") = 1</formula>
    </cfRule>
    <cfRule type="notContainsBlanks" dxfId="1" priority="4929">
      <formula>LEN(TRIM(A986))&gt;0</formula>
    </cfRule>
  </conditionalFormatting>
  <conditionalFormatting sqref="A987">
    <cfRule type="notContainsBlanks" dxfId="5" priority="4935">
      <formula>LEN(TRIM(A987))&gt;0</formula>
    </cfRule>
  </conditionalFormatting>
  <conditionalFormatting sqref="A987:D987">
    <cfRule type="expression" dxfId="3" priority="4932">
      <formula>COUNTIF($A987, "TRUE") = 1</formula>
    </cfRule>
    <cfRule type="expression" dxfId="4" priority="4933">
      <formula>COUNTIF($A987, "FALSE") = 1</formula>
    </cfRule>
    <cfRule type="notContainsBlanks" dxfId="1" priority="4934">
      <formula>LEN(TRIM(A987))&gt;0</formula>
    </cfRule>
  </conditionalFormatting>
  <conditionalFormatting sqref="A988">
    <cfRule type="notContainsBlanks" dxfId="5" priority="4940">
      <formula>LEN(TRIM(A988))&gt;0</formula>
    </cfRule>
  </conditionalFormatting>
  <conditionalFormatting sqref="A988:D988">
    <cfRule type="expression" dxfId="3" priority="4937">
      <formula>COUNTIF($A988, "TRUE") = 1</formula>
    </cfRule>
    <cfRule type="expression" dxfId="4" priority="4938">
      <formula>COUNTIF($A988, "FALSE") = 1</formula>
    </cfRule>
    <cfRule type="notContainsBlanks" dxfId="1" priority="4939">
      <formula>LEN(TRIM(A988))&gt;0</formula>
    </cfRule>
  </conditionalFormatting>
  <conditionalFormatting sqref="A989">
    <cfRule type="notContainsBlanks" dxfId="5" priority="4945">
      <formula>LEN(TRIM(A989))&gt;0</formula>
    </cfRule>
  </conditionalFormatting>
  <conditionalFormatting sqref="A989:D989">
    <cfRule type="expression" dxfId="3" priority="4942">
      <formula>COUNTIF($A989, "TRUE") = 1</formula>
    </cfRule>
    <cfRule type="expression" dxfId="4" priority="4943">
      <formula>COUNTIF($A989, "FALSE") = 1</formula>
    </cfRule>
    <cfRule type="notContainsBlanks" dxfId="1" priority="4944">
      <formula>LEN(TRIM(A989))&gt;0</formula>
    </cfRule>
  </conditionalFormatting>
  <conditionalFormatting sqref="A98:D98">
    <cfRule type="expression" dxfId="3" priority="487">
      <formula>COUNTIF($A98, "TRUE") = 1</formula>
    </cfRule>
    <cfRule type="expression" dxfId="4" priority="488">
      <formula>COUNTIF($A98, "FALSE") = 1</formula>
    </cfRule>
    <cfRule type="notContainsBlanks" dxfId="1" priority="489">
      <formula>LEN(TRIM(A98))&gt;0</formula>
    </cfRule>
  </conditionalFormatting>
  <conditionalFormatting sqref="A99">
    <cfRule type="notContainsBlanks" dxfId="5" priority="495">
      <formula>LEN(TRIM(A99))&gt;0</formula>
    </cfRule>
  </conditionalFormatting>
  <conditionalFormatting sqref="A990">
    <cfRule type="notContainsBlanks" dxfId="5" priority="4950">
      <formula>LEN(TRIM(A990))&gt;0</formula>
    </cfRule>
  </conditionalFormatting>
  <conditionalFormatting sqref="A990:D990">
    <cfRule type="expression" dxfId="3" priority="4947">
      <formula>COUNTIF($A990, "TRUE") = 1</formula>
    </cfRule>
    <cfRule type="expression" dxfId="4" priority="4948">
      <formula>COUNTIF($A990, "FALSE") = 1</formula>
    </cfRule>
    <cfRule type="notContainsBlanks" dxfId="1" priority="4949">
      <formula>LEN(TRIM(A990))&gt;0</formula>
    </cfRule>
  </conditionalFormatting>
  <conditionalFormatting sqref="A991">
    <cfRule type="notContainsBlanks" dxfId="5" priority="4955">
      <formula>LEN(TRIM(A991))&gt;0</formula>
    </cfRule>
  </conditionalFormatting>
  <conditionalFormatting sqref="A991:D991">
    <cfRule type="expression" dxfId="3" priority="4952">
      <formula>COUNTIF($A991, "TRUE") = 1</formula>
    </cfRule>
    <cfRule type="expression" dxfId="4" priority="4953">
      <formula>COUNTIF($A991, "FALSE") = 1</formula>
    </cfRule>
    <cfRule type="notContainsBlanks" dxfId="1" priority="4954">
      <formula>LEN(TRIM(A991))&gt;0</formula>
    </cfRule>
  </conditionalFormatting>
  <conditionalFormatting sqref="A992">
    <cfRule type="notContainsBlanks" dxfId="5" priority="4960">
      <formula>LEN(TRIM(A992))&gt;0</formula>
    </cfRule>
  </conditionalFormatting>
  <conditionalFormatting sqref="A992:D992">
    <cfRule type="expression" dxfId="3" priority="4957">
      <formula>COUNTIF($A992, "TRUE") = 1</formula>
    </cfRule>
    <cfRule type="expression" dxfId="4" priority="4958">
      <formula>COUNTIF($A992, "FALSE") = 1</formula>
    </cfRule>
    <cfRule type="notContainsBlanks" dxfId="1" priority="4959">
      <formula>LEN(TRIM(A992))&gt;0</formula>
    </cfRule>
  </conditionalFormatting>
  <conditionalFormatting sqref="A993">
    <cfRule type="notContainsBlanks" dxfId="5" priority="4965">
      <formula>LEN(TRIM(A993))&gt;0</formula>
    </cfRule>
  </conditionalFormatting>
  <conditionalFormatting sqref="A993:D993">
    <cfRule type="expression" dxfId="3" priority="4962">
      <formula>COUNTIF($A993, "TRUE") = 1</formula>
    </cfRule>
    <cfRule type="expression" dxfId="4" priority="4963">
      <formula>COUNTIF($A993, "FALSE") = 1</formula>
    </cfRule>
    <cfRule type="notContainsBlanks" dxfId="1" priority="4964">
      <formula>LEN(TRIM(A993))&gt;0</formula>
    </cfRule>
  </conditionalFormatting>
  <conditionalFormatting sqref="A994">
    <cfRule type="notContainsBlanks" dxfId="5" priority="4970">
      <formula>LEN(TRIM(A994))&gt;0</formula>
    </cfRule>
  </conditionalFormatting>
  <conditionalFormatting sqref="A994:D994">
    <cfRule type="expression" dxfId="3" priority="4967">
      <formula>COUNTIF($A994, "TRUE") = 1</formula>
    </cfRule>
    <cfRule type="expression" dxfId="4" priority="4968">
      <formula>COUNTIF($A994, "FALSE") = 1</formula>
    </cfRule>
    <cfRule type="notContainsBlanks" dxfId="1" priority="4969">
      <formula>LEN(TRIM(A994))&gt;0</formula>
    </cfRule>
  </conditionalFormatting>
  <conditionalFormatting sqref="A995">
    <cfRule type="notContainsBlanks" dxfId="5" priority="4975">
      <formula>LEN(TRIM(A995))&gt;0</formula>
    </cfRule>
  </conditionalFormatting>
  <conditionalFormatting sqref="A995:D995">
    <cfRule type="expression" dxfId="3" priority="4972">
      <formula>COUNTIF($A995, "TRUE") = 1</formula>
    </cfRule>
    <cfRule type="expression" dxfId="4" priority="4973">
      <formula>COUNTIF($A995, "FALSE") = 1</formula>
    </cfRule>
    <cfRule type="notContainsBlanks" dxfId="1" priority="4974">
      <formula>LEN(TRIM(A995))&gt;0</formula>
    </cfRule>
  </conditionalFormatting>
  <conditionalFormatting sqref="A996">
    <cfRule type="notContainsBlanks" dxfId="5" priority="4980">
      <formula>LEN(TRIM(A996))&gt;0</formula>
    </cfRule>
  </conditionalFormatting>
  <conditionalFormatting sqref="A996:D996">
    <cfRule type="expression" dxfId="3" priority="4977">
      <formula>COUNTIF($A996, "TRUE") = 1</formula>
    </cfRule>
    <cfRule type="expression" dxfId="4" priority="4978">
      <formula>COUNTIF($A996, "FALSE") = 1</formula>
    </cfRule>
    <cfRule type="notContainsBlanks" dxfId="1" priority="4979">
      <formula>LEN(TRIM(A996))&gt;0</formula>
    </cfRule>
  </conditionalFormatting>
  <conditionalFormatting sqref="A997">
    <cfRule type="notContainsBlanks" dxfId="5" priority="4985">
      <formula>LEN(TRIM(A997))&gt;0</formula>
    </cfRule>
  </conditionalFormatting>
  <conditionalFormatting sqref="A997:D997">
    <cfRule type="expression" dxfId="3" priority="4982">
      <formula>COUNTIF($A997, "TRUE") = 1</formula>
    </cfRule>
    <cfRule type="expression" dxfId="4" priority="4983">
      <formula>COUNTIF($A997, "FALSE") = 1</formula>
    </cfRule>
    <cfRule type="notContainsBlanks" dxfId="1" priority="4984">
      <formula>LEN(TRIM(A997))&gt;0</formula>
    </cfRule>
  </conditionalFormatting>
  <conditionalFormatting sqref="A998">
    <cfRule type="notContainsBlanks" dxfId="5" priority="4990">
      <formula>LEN(TRIM(A998))&gt;0</formula>
    </cfRule>
  </conditionalFormatting>
  <conditionalFormatting sqref="A998:D998">
    <cfRule type="expression" dxfId="3" priority="4987">
      <formula>COUNTIF($A998, "TRUE") = 1</formula>
    </cfRule>
    <cfRule type="expression" dxfId="4" priority="4988">
      <formula>COUNTIF($A998, "FALSE") = 1</formula>
    </cfRule>
    <cfRule type="notContainsBlanks" dxfId="1" priority="4989">
      <formula>LEN(TRIM(A998))&gt;0</formula>
    </cfRule>
  </conditionalFormatting>
  <conditionalFormatting sqref="A999">
    <cfRule type="notContainsBlanks" dxfId="5" priority="4995">
      <formula>LEN(TRIM(A999))&gt;0</formula>
    </cfRule>
  </conditionalFormatting>
  <conditionalFormatting sqref="A999:D999">
    <cfRule type="expression" dxfId="3" priority="4992">
      <formula>COUNTIF($A999, "TRUE") = 1</formula>
    </cfRule>
    <cfRule type="expression" dxfId="4" priority="4993">
      <formula>COUNTIF($A999, "FALSE") = 1</formula>
    </cfRule>
    <cfRule type="notContainsBlanks" dxfId="1" priority="4994">
      <formula>LEN(TRIM(A999))&gt;0</formula>
    </cfRule>
  </conditionalFormatting>
  <conditionalFormatting sqref="A99:D99">
    <cfRule type="expression" dxfId="3" priority="492">
      <formula>COUNTIF($A99, "TRUE") = 1</formula>
    </cfRule>
    <cfRule type="expression" dxfId="4" priority="493">
      <formula>COUNTIF($A99, "FALSE") = 1</formula>
    </cfRule>
    <cfRule type="notContainsBlanks" dxfId="1" priority="494">
      <formula>LEN(TRIM(A99))&gt;0</formula>
    </cfRule>
  </conditionalFormatting>
  <conditionalFormatting sqref="A9:D9">
    <cfRule type="expression" dxfId="3" priority="42">
      <formula>COUNTIF($A9, "TRUE") = 1</formula>
    </cfRule>
    <cfRule type="expression" dxfId="4" priority="43">
      <formula>COUNTIF($A9, "FALSE") = 1</formula>
    </cfRule>
    <cfRule type="notContainsBlanks" dxfId="1" priority="44">
      <formula>LEN(TRIM(A9))&gt;0</formula>
    </cfRule>
  </conditionalFormatting>
  <conditionalFormatting sqref="D10">
    <cfRule type="notContainsBlanks" dxfId="6" priority="51">
      <formula>LEN(TRIM(D10))&gt;0</formula>
    </cfRule>
  </conditionalFormatting>
  <conditionalFormatting sqref="D100">
    <cfRule type="notContainsBlanks" dxfId="6" priority="501">
      <formula>LEN(TRIM(D100))&gt;0</formula>
    </cfRule>
  </conditionalFormatting>
  <conditionalFormatting sqref="D1000">
    <cfRule type="notContainsBlanks" dxfId="6" priority="5001">
      <formula>LEN(TRIM(D1000))&gt;0</formula>
    </cfRule>
  </conditionalFormatting>
  <conditionalFormatting sqref="D1001">
    <cfRule type="notContainsBlanks" dxfId="6" priority="5006">
      <formula>LEN(TRIM(D1001))&gt;0</formula>
    </cfRule>
  </conditionalFormatting>
  <conditionalFormatting sqref="D1002">
    <cfRule type="notContainsBlanks" dxfId="6" priority="5011">
      <formula>LEN(TRIM(D1002))&gt;0</formula>
    </cfRule>
  </conditionalFormatting>
  <conditionalFormatting sqref="D1003">
    <cfRule type="notContainsBlanks" dxfId="6" priority="5016">
      <formula>LEN(TRIM(D1003))&gt;0</formula>
    </cfRule>
  </conditionalFormatting>
  <conditionalFormatting sqref="D1004">
    <cfRule type="notContainsBlanks" dxfId="6" priority="5021">
      <formula>LEN(TRIM(D1004))&gt;0</formula>
    </cfRule>
  </conditionalFormatting>
  <conditionalFormatting sqref="D1005">
    <cfRule type="notContainsBlanks" dxfId="6" priority="5026">
      <formula>LEN(TRIM(D1005))&gt;0</formula>
    </cfRule>
  </conditionalFormatting>
  <conditionalFormatting sqref="D1006">
    <cfRule type="notContainsBlanks" dxfId="6" priority="5031">
      <formula>LEN(TRIM(D1006))&gt;0</formula>
    </cfRule>
  </conditionalFormatting>
  <conditionalFormatting sqref="D1007">
    <cfRule type="notContainsBlanks" dxfId="6" priority="5036">
      <formula>LEN(TRIM(D1007))&gt;0</formula>
    </cfRule>
  </conditionalFormatting>
  <conditionalFormatting sqref="D1008">
    <cfRule type="notContainsBlanks" dxfId="6" priority="5041">
      <formula>LEN(TRIM(D1008))&gt;0</formula>
    </cfRule>
  </conditionalFormatting>
  <conditionalFormatting sqref="D1009">
    <cfRule type="notContainsBlanks" dxfId="6" priority="5046">
      <formula>LEN(TRIM(D1009))&gt;0</formula>
    </cfRule>
  </conditionalFormatting>
  <conditionalFormatting sqref="D101">
    <cfRule type="notContainsBlanks" dxfId="6" priority="506">
      <formula>LEN(TRIM(D101))&gt;0</formula>
    </cfRule>
  </conditionalFormatting>
  <conditionalFormatting sqref="D1010">
    <cfRule type="notContainsBlanks" dxfId="6" priority="5051">
      <formula>LEN(TRIM(D1010))&gt;0</formula>
    </cfRule>
  </conditionalFormatting>
  <conditionalFormatting sqref="D1011">
    <cfRule type="notContainsBlanks" dxfId="6" priority="5056">
      <formula>LEN(TRIM(D1011))&gt;0</formula>
    </cfRule>
  </conditionalFormatting>
  <conditionalFormatting sqref="D1012">
    <cfRule type="notContainsBlanks" dxfId="6" priority="5061">
      <formula>LEN(TRIM(D1012))&gt;0</formula>
    </cfRule>
  </conditionalFormatting>
  <conditionalFormatting sqref="D1013">
    <cfRule type="notContainsBlanks" dxfId="6" priority="5066">
      <formula>LEN(TRIM(D1013))&gt;0</formula>
    </cfRule>
  </conditionalFormatting>
  <conditionalFormatting sqref="D1014">
    <cfRule type="notContainsBlanks" dxfId="6" priority="5071">
      <formula>LEN(TRIM(D1014))&gt;0</formula>
    </cfRule>
  </conditionalFormatting>
  <conditionalFormatting sqref="D1015">
    <cfRule type="notContainsBlanks" dxfId="6" priority="5076">
      <formula>LEN(TRIM(D1015))&gt;0</formula>
    </cfRule>
  </conditionalFormatting>
  <conditionalFormatting sqref="D1016">
    <cfRule type="notContainsBlanks" dxfId="6" priority="5081">
      <formula>LEN(TRIM(D1016))&gt;0</formula>
    </cfRule>
  </conditionalFormatting>
  <conditionalFormatting sqref="D1017">
    <cfRule type="notContainsBlanks" dxfId="6" priority="5086">
      <formula>LEN(TRIM(D1017))&gt;0</formula>
    </cfRule>
  </conditionalFormatting>
  <conditionalFormatting sqref="D1018">
    <cfRule type="notContainsBlanks" dxfId="6" priority="5091">
      <formula>LEN(TRIM(D1018))&gt;0</formula>
    </cfRule>
  </conditionalFormatting>
  <conditionalFormatting sqref="D1019">
    <cfRule type="notContainsBlanks" dxfId="6" priority="5096">
      <formula>LEN(TRIM(D1019))&gt;0</formula>
    </cfRule>
  </conditionalFormatting>
  <conditionalFormatting sqref="D102">
    <cfRule type="notContainsBlanks" dxfId="6" priority="511">
      <formula>LEN(TRIM(D102))&gt;0</formula>
    </cfRule>
  </conditionalFormatting>
  <conditionalFormatting sqref="D1020">
    <cfRule type="notContainsBlanks" dxfId="6" priority="5101">
      <formula>LEN(TRIM(D1020))&gt;0</formula>
    </cfRule>
  </conditionalFormatting>
  <conditionalFormatting sqref="D1021">
    <cfRule type="notContainsBlanks" dxfId="6" priority="5106">
      <formula>LEN(TRIM(D1021))&gt;0</formula>
    </cfRule>
  </conditionalFormatting>
  <conditionalFormatting sqref="D1022">
    <cfRule type="notContainsBlanks" dxfId="6" priority="5111">
      <formula>LEN(TRIM(D1022))&gt;0</formula>
    </cfRule>
  </conditionalFormatting>
  <conditionalFormatting sqref="D1023">
    <cfRule type="notContainsBlanks" dxfId="6" priority="5116">
      <formula>LEN(TRIM(D1023))&gt;0</formula>
    </cfRule>
  </conditionalFormatting>
  <conditionalFormatting sqref="D1024">
    <cfRule type="notContainsBlanks" dxfId="6" priority="5121">
      <formula>LEN(TRIM(D1024))&gt;0</formula>
    </cfRule>
  </conditionalFormatting>
  <conditionalFormatting sqref="D1025">
    <cfRule type="notContainsBlanks" dxfId="6" priority="5126">
      <formula>LEN(TRIM(D1025))&gt;0</formula>
    </cfRule>
  </conditionalFormatting>
  <conditionalFormatting sqref="D1026">
    <cfRule type="notContainsBlanks" dxfId="6" priority="5131">
      <formula>LEN(TRIM(D1026))&gt;0</formula>
    </cfRule>
  </conditionalFormatting>
  <conditionalFormatting sqref="D1027">
    <cfRule type="notContainsBlanks" dxfId="6" priority="5136">
      <formula>LEN(TRIM(D1027))&gt;0</formula>
    </cfRule>
  </conditionalFormatting>
  <conditionalFormatting sqref="D1028">
    <cfRule type="notContainsBlanks" dxfId="6" priority="5141">
      <formula>LEN(TRIM(D1028))&gt;0</formula>
    </cfRule>
  </conditionalFormatting>
  <conditionalFormatting sqref="D1029">
    <cfRule type="notContainsBlanks" dxfId="6" priority="5146">
      <formula>LEN(TRIM(D1029))&gt;0</formula>
    </cfRule>
  </conditionalFormatting>
  <conditionalFormatting sqref="D103">
    <cfRule type="notContainsBlanks" dxfId="6" priority="516">
      <formula>LEN(TRIM(D103))&gt;0</formula>
    </cfRule>
  </conditionalFormatting>
  <conditionalFormatting sqref="D1030">
    <cfRule type="notContainsBlanks" dxfId="6" priority="5151">
      <formula>LEN(TRIM(D1030))&gt;0</formula>
    </cfRule>
  </conditionalFormatting>
  <conditionalFormatting sqref="D1031">
    <cfRule type="notContainsBlanks" dxfId="6" priority="5156">
      <formula>LEN(TRIM(D1031))&gt;0</formula>
    </cfRule>
  </conditionalFormatting>
  <conditionalFormatting sqref="D1032">
    <cfRule type="notContainsBlanks" dxfId="6" priority="5161">
      <formula>LEN(TRIM(D1032))&gt;0</formula>
    </cfRule>
  </conditionalFormatting>
  <conditionalFormatting sqref="D1033">
    <cfRule type="notContainsBlanks" dxfId="6" priority="5166">
      <formula>LEN(TRIM(D1033))&gt;0</formula>
    </cfRule>
  </conditionalFormatting>
  <conditionalFormatting sqref="D1034">
    <cfRule type="notContainsBlanks" dxfId="6" priority="5171">
      <formula>LEN(TRIM(D1034))&gt;0</formula>
    </cfRule>
  </conditionalFormatting>
  <conditionalFormatting sqref="D1035">
    <cfRule type="notContainsBlanks" dxfId="6" priority="5176">
      <formula>LEN(TRIM(D1035))&gt;0</formula>
    </cfRule>
  </conditionalFormatting>
  <conditionalFormatting sqref="D1036">
    <cfRule type="notContainsBlanks" dxfId="6" priority="5181">
      <formula>LEN(TRIM(D1036))&gt;0</formula>
    </cfRule>
  </conditionalFormatting>
  <conditionalFormatting sqref="D1037">
    <cfRule type="notContainsBlanks" dxfId="6" priority="5186">
      <formula>LEN(TRIM(D1037))&gt;0</formula>
    </cfRule>
  </conditionalFormatting>
  <conditionalFormatting sqref="D1038">
    <cfRule type="notContainsBlanks" dxfId="6" priority="5191">
      <formula>LEN(TRIM(D1038))&gt;0</formula>
    </cfRule>
  </conditionalFormatting>
  <conditionalFormatting sqref="D1039">
    <cfRule type="notContainsBlanks" dxfId="6" priority="5196">
      <formula>LEN(TRIM(D1039))&gt;0</formula>
    </cfRule>
  </conditionalFormatting>
  <conditionalFormatting sqref="D104">
    <cfRule type="notContainsBlanks" dxfId="6" priority="521">
      <formula>LEN(TRIM(D104))&gt;0</formula>
    </cfRule>
  </conditionalFormatting>
  <conditionalFormatting sqref="D1040">
    <cfRule type="notContainsBlanks" dxfId="6" priority="5201">
      <formula>LEN(TRIM(D1040))&gt;0</formula>
    </cfRule>
  </conditionalFormatting>
  <conditionalFormatting sqref="D1041">
    <cfRule type="notContainsBlanks" dxfId="6" priority="5206">
      <formula>LEN(TRIM(D1041))&gt;0</formula>
    </cfRule>
  </conditionalFormatting>
  <conditionalFormatting sqref="D1042">
    <cfRule type="notContainsBlanks" dxfId="6" priority="5211">
      <formula>LEN(TRIM(D1042))&gt;0</formula>
    </cfRule>
  </conditionalFormatting>
  <conditionalFormatting sqref="D1043">
    <cfRule type="notContainsBlanks" dxfId="6" priority="5216">
      <formula>LEN(TRIM(D1043))&gt;0</formula>
    </cfRule>
  </conditionalFormatting>
  <conditionalFormatting sqref="D1044">
    <cfRule type="notContainsBlanks" dxfId="6" priority="5221">
      <formula>LEN(TRIM(D1044))&gt;0</formula>
    </cfRule>
  </conditionalFormatting>
  <conditionalFormatting sqref="D1045">
    <cfRule type="notContainsBlanks" dxfId="6" priority="5226">
      <formula>LEN(TRIM(D1045))&gt;0</formula>
    </cfRule>
  </conditionalFormatting>
  <conditionalFormatting sqref="D1046">
    <cfRule type="notContainsBlanks" dxfId="6" priority="5231">
      <formula>LEN(TRIM(D1046))&gt;0</formula>
    </cfRule>
  </conditionalFormatting>
  <conditionalFormatting sqref="D1047">
    <cfRule type="notContainsBlanks" dxfId="6" priority="5236">
      <formula>LEN(TRIM(D1047))&gt;0</formula>
    </cfRule>
  </conditionalFormatting>
  <conditionalFormatting sqref="D1048">
    <cfRule type="notContainsBlanks" dxfId="6" priority="5241">
      <formula>LEN(TRIM(D1048))&gt;0</formula>
    </cfRule>
  </conditionalFormatting>
  <conditionalFormatting sqref="D1049">
    <cfRule type="notContainsBlanks" dxfId="6" priority="5246">
      <formula>LEN(TRIM(D1049))&gt;0</formula>
    </cfRule>
  </conditionalFormatting>
  <conditionalFormatting sqref="D105">
    <cfRule type="notContainsBlanks" dxfId="6" priority="526">
      <formula>LEN(TRIM(D105))&gt;0</formula>
    </cfRule>
  </conditionalFormatting>
  <conditionalFormatting sqref="D1050">
    <cfRule type="notContainsBlanks" dxfId="6" priority="5251">
      <formula>LEN(TRIM(D1050))&gt;0</formula>
    </cfRule>
  </conditionalFormatting>
  <conditionalFormatting sqref="D1051">
    <cfRule type="notContainsBlanks" dxfId="6" priority="5256">
      <formula>LEN(TRIM(D1051))&gt;0</formula>
    </cfRule>
  </conditionalFormatting>
  <conditionalFormatting sqref="D1052">
    <cfRule type="notContainsBlanks" dxfId="6" priority="5261">
      <formula>LEN(TRIM(D1052))&gt;0</formula>
    </cfRule>
  </conditionalFormatting>
  <conditionalFormatting sqref="D1053">
    <cfRule type="notContainsBlanks" dxfId="6" priority="5266">
      <formula>LEN(TRIM(D1053))&gt;0</formula>
    </cfRule>
  </conditionalFormatting>
  <conditionalFormatting sqref="D1054">
    <cfRule type="notContainsBlanks" dxfId="6" priority="5271">
      <formula>LEN(TRIM(D1054))&gt;0</formula>
    </cfRule>
  </conditionalFormatting>
  <conditionalFormatting sqref="D1055">
    <cfRule type="notContainsBlanks" dxfId="6" priority="5276">
      <formula>LEN(TRIM(D1055))&gt;0</formula>
    </cfRule>
  </conditionalFormatting>
  <conditionalFormatting sqref="D1056">
    <cfRule type="notContainsBlanks" dxfId="6" priority="5281">
      <formula>LEN(TRIM(D1056))&gt;0</formula>
    </cfRule>
  </conditionalFormatting>
  <conditionalFormatting sqref="D1057">
    <cfRule type="notContainsBlanks" dxfId="6" priority="5286">
      <formula>LEN(TRIM(D1057))&gt;0</formula>
    </cfRule>
  </conditionalFormatting>
  <conditionalFormatting sqref="D1058">
    <cfRule type="notContainsBlanks" dxfId="6" priority="5291">
      <formula>LEN(TRIM(D1058))&gt;0</formula>
    </cfRule>
  </conditionalFormatting>
  <conditionalFormatting sqref="D1059">
    <cfRule type="notContainsBlanks" dxfId="6" priority="5296">
      <formula>LEN(TRIM(D1059))&gt;0</formula>
    </cfRule>
  </conditionalFormatting>
  <conditionalFormatting sqref="D106">
    <cfRule type="notContainsBlanks" dxfId="6" priority="531">
      <formula>LEN(TRIM(D106))&gt;0</formula>
    </cfRule>
  </conditionalFormatting>
  <conditionalFormatting sqref="D1060">
    <cfRule type="notContainsBlanks" dxfId="6" priority="5301">
      <formula>LEN(TRIM(D1060))&gt;0</formula>
    </cfRule>
  </conditionalFormatting>
  <conditionalFormatting sqref="D1061">
    <cfRule type="notContainsBlanks" dxfId="6" priority="5306">
      <formula>LEN(TRIM(D1061))&gt;0</formula>
    </cfRule>
  </conditionalFormatting>
  <conditionalFormatting sqref="D1062">
    <cfRule type="notContainsBlanks" dxfId="6" priority="5311">
      <formula>LEN(TRIM(D1062))&gt;0</formula>
    </cfRule>
  </conditionalFormatting>
  <conditionalFormatting sqref="D1063">
    <cfRule type="notContainsBlanks" dxfId="6" priority="5316">
      <formula>LEN(TRIM(D1063))&gt;0</formula>
    </cfRule>
  </conditionalFormatting>
  <conditionalFormatting sqref="D1064">
    <cfRule type="notContainsBlanks" dxfId="6" priority="5321">
      <formula>LEN(TRIM(D1064))&gt;0</formula>
    </cfRule>
  </conditionalFormatting>
  <conditionalFormatting sqref="D1065">
    <cfRule type="notContainsBlanks" dxfId="6" priority="5326">
      <formula>LEN(TRIM(D1065))&gt;0</formula>
    </cfRule>
  </conditionalFormatting>
  <conditionalFormatting sqref="D1066">
    <cfRule type="notContainsBlanks" dxfId="6" priority="5331">
      <formula>LEN(TRIM(D1066))&gt;0</formula>
    </cfRule>
  </conditionalFormatting>
  <conditionalFormatting sqref="D1067">
    <cfRule type="notContainsBlanks" dxfId="6" priority="5336">
      <formula>LEN(TRIM(D1067))&gt;0</formula>
    </cfRule>
  </conditionalFormatting>
  <conditionalFormatting sqref="D1068">
    <cfRule type="notContainsBlanks" dxfId="6" priority="5341">
      <formula>LEN(TRIM(D1068))&gt;0</formula>
    </cfRule>
  </conditionalFormatting>
  <conditionalFormatting sqref="D1069">
    <cfRule type="notContainsBlanks" dxfId="6" priority="5346">
      <formula>LEN(TRIM(D1069))&gt;0</formula>
    </cfRule>
  </conditionalFormatting>
  <conditionalFormatting sqref="D107">
    <cfRule type="notContainsBlanks" dxfId="6" priority="536">
      <formula>LEN(TRIM(D107))&gt;0</formula>
    </cfRule>
  </conditionalFormatting>
  <conditionalFormatting sqref="D1070">
    <cfRule type="notContainsBlanks" dxfId="6" priority="5351">
      <formula>LEN(TRIM(D1070))&gt;0</formula>
    </cfRule>
  </conditionalFormatting>
  <conditionalFormatting sqref="D1071">
    <cfRule type="notContainsBlanks" dxfId="6" priority="5356">
      <formula>LEN(TRIM(D1071))&gt;0</formula>
    </cfRule>
  </conditionalFormatting>
  <conditionalFormatting sqref="D1072">
    <cfRule type="notContainsBlanks" dxfId="6" priority="5361">
      <formula>LEN(TRIM(D1072))&gt;0</formula>
    </cfRule>
  </conditionalFormatting>
  <conditionalFormatting sqref="D1073">
    <cfRule type="notContainsBlanks" dxfId="6" priority="5366">
      <formula>LEN(TRIM(D1073))&gt;0</formula>
    </cfRule>
  </conditionalFormatting>
  <conditionalFormatting sqref="D1074">
    <cfRule type="notContainsBlanks" dxfId="6" priority="5371">
      <formula>LEN(TRIM(D1074))&gt;0</formula>
    </cfRule>
  </conditionalFormatting>
  <conditionalFormatting sqref="D1075">
    <cfRule type="notContainsBlanks" dxfId="6" priority="5376">
      <formula>LEN(TRIM(D1075))&gt;0</formula>
    </cfRule>
  </conditionalFormatting>
  <conditionalFormatting sqref="D1076">
    <cfRule type="notContainsBlanks" dxfId="6" priority="5381">
      <formula>LEN(TRIM(D1076))&gt;0</formula>
    </cfRule>
  </conditionalFormatting>
  <conditionalFormatting sqref="D1077">
    <cfRule type="notContainsBlanks" dxfId="6" priority="5386">
      <formula>LEN(TRIM(D1077))&gt;0</formula>
    </cfRule>
  </conditionalFormatting>
  <conditionalFormatting sqref="D1078">
    <cfRule type="notContainsBlanks" dxfId="6" priority="5391">
      <formula>LEN(TRIM(D1078))&gt;0</formula>
    </cfRule>
  </conditionalFormatting>
  <conditionalFormatting sqref="D1079">
    <cfRule type="notContainsBlanks" dxfId="6" priority="5396">
      <formula>LEN(TRIM(D1079))&gt;0</formula>
    </cfRule>
  </conditionalFormatting>
  <conditionalFormatting sqref="D108">
    <cfRule type="notContainsBlanks" dxfId="6" priority="541">
      <formula>LEN(TRIM(D108))&gt;0</formula>
    </cfRule>
  </conditionalFormatting>
  <conditionalFormatting sqref="D1080">
    <cfRule type="notContainsBlanks" dxfId="6" priority="5401">
      <formula>LEN(TRIM(D1080))&gt;0</formula>
    </cfRule>
  </conditionalFormatting>
  <conditionalFormatting sqref="D1081">
    <cfRule type="notContainsBlanks" dxfId="6" priority="5406">
      <formula>LEN(TRIM(D1081))&gt;0</formula>
    </cfRule>
  </conditionalFormatting>
  <conditionalFormatting sqref="D1082">
    <cfRule type="notContainsBlanks" dxfId="6" priority="5411">
      <formula>LEN(TRIM(D1082))&gt;0</formula>
    </cfRule>
  </conditionalFormatting>
  <conditionalFormatting sqref="D1083">
    <cfRule type="notContainsBlanks" dxfId="6" priority="5416">
      <formula>LEN(TRIM(D1083))&gt;0</formula>
    </cfRule>
  </conditionalFormatting>
  <conditionalFormatting sqref="D1084">
    <cfRule type="notContainsBlanks" dxfId="6" priority="5421">
      <formula>LEN(TRIM(D1084))&gt;0</formula>
    </cfRule>
  </conditionalFormatting>
  <conditionalFormatting sqref="D1085">
    <cfRule type="notContainsBlanks" dxfId="6" priority="5426">
      <formula>LEN(TRIM(D1085))&gt;0</formula>
    </cfRule>
  </conditionalFormatting>
  <conditionalFormatting sqref="D1086">
    <cfRule type="notContainsBlanks" dxfId="6" priority="5431">
      <formula>LEN(TRIM(D1086))&gt;0</formula>
    </cfRule>
  </conditionalFormatting>
  <conditionalFormatting sqref="D1087">
    <cfRule type="notContainsBlanks" dxfId="6" priority="5436">
      <formula>LEN(TRIM(D1087))&gt;0</formula>
    </cfRule>
  </conditionalFormatting>
  <conditionalFormatting sqref="D1088">
    <cfRule type="notContainsBlanks" dxfId="6" priority="5441">
      <formula>LEN(TRIM(D1088))&gt;0</formula>
    </cfRule>
  </conditionalFormatting>
  <conditionalFormatting sqref="D1089">
    <cfRule type="notContainsBlanks" dxfId="6" priority="5446">
      <formula>LEN(TRIM(D1089))&gt;0</formula>
    </cfRule>
  </conditionalFormatting>
  <conditionalFormatting sqref="D109">
    <cfRule type="notContainsBlanks" dxfId="6" priority="546">
      <formula>LEN(TRIM(D109))&gt;0</formula>
    </cfRule>
  </conditionalFormatting>
  <conditionalFormatting sqref="D1090">
    <cfRule type="notContainsBlanks" dxfId="6" priority="5451">
      <formula>LEN(TRIM(D1090))&gt;0</formula>
    </cfRule>
  </conditionalFormatting>
  <conditionalFormatting sqref="D1091">
    <cfRule type="notContainsBlanks" dxfId="6" priority="5456">
      <formula>LEN(TRIM(D1091))&gt;0</formula>
    </cfRule>
  </conditionalFormatting>
  <conditionalFormatting sqref="D1092">
    <cfRule type="notContainsBlanks" dxfId="6" priority="5461">
      <formula>LEN(TRIM(D1092))&gt;0</formula>
    </cfRule>
  </conditionalFormatting>
  <conditionalFormatting sqref="D1093">
    <cfRule type="notContainsBlanks" dxfId="6" priority="5466">
      <formula>LEN(TRIM(D1093))&gt;0</formula>
    </cfRule>
  </conditionalFormatting>
  <conditionalFormatting sqref="D1094">
    <cfRule type="notContainsBlanks" dxfId="6" priority="5471">
      <formula>LEN(TRIM(D1094))&gt;0</formula>
    </cfRule>
  </conditionalFormatting>
  <conditionalFormatting sqref="D1095">
    <cfRule type="notContainsBlanks" dxfId="6" priority="5476">
      <formula>LEN(TRIM(D1095))&gt;0</formula>
    </cfRule>
  </conditionalFormatting>
  <conditionalFormatting sqref="D1096">
    <cfRule type="notContainsBlanks" dxfId="6" priority="5481">
      <formula>LEN(TRIM(D1096))&gt;0</formula>
    </cfRule>
  </conditionalFormatting>
  <conditionalFormatting sqref="D1097">
    <cfRule type="notContainsBlanks" dxfId="6" priority="5486">
      <formula>LEN(TRIM(D1097))&gt;0</formula>
    </cfRule>
  </conditionalFormatting>
  <conditionalFormatting sqref="D1098">
    <cfRule type="notContainsBlanks" dxfId="6" priority="5491">
      <formula>LEN(TRIM(D1098))&gt;0</formula>
    </cfRule>
  </conditionalFormatting>
  <conditionalFormatting sqref="D1099">
    <cfRule type="notContainsBlanks" dxfId="6" priority="5496">
      <formula>LEN(TRIM(D1099))&gt;0</formula>
    </cfRule>
  </conditionalFormatting>
  <conditionalFormatting sqref="D11">
    <cfRule type="notContainsBlanks" dxfId="6" priority="56">
      <formula>LEN(TRIM(D11))&gt;0</formula>
    </cfRule>
  </conditionalFormatting>
  <conditionalFormatting sqref="D110">
    <cfRule type="notContainsBlanks" dxfId="6" priority="551">
      <formula>LEN(TRIM(D110))&gt;0</formula>
    </cfRule>
  </conditionalFormatting>
  <conditionalFormatting sqref="D1100">
    <cfRule type="notContainsBlanks" dxfId="6" priority="5501">
      <formula>LEN(TRIM(D1100))&gt;0</formula>
    </cfRule>
  </conditionalFormatting>
  <conditionalFormatting sqref="D1101">
    <cfRule type="notContainsBlanks" dxfId="6" priority="5506">
      <formula>LEN(TRIM(D1101))&gt;0</formula>
    </cfRule>
  </conditionalFormatting>
  <conditionalFormatting sqref="D1102">
    <cfRule type="notContainsBlanks" dxfId="6" priority="5511">
      <formula>LEN(TRIM(D1102))&gt;0</formula>
    </cfRule>
  </conditionalFormatting>
  <conditionalFormatting sqref="D1103">
    <cfRule type="notContainsBlanks" dxfId="6" priority="5516">
      <formula>LEN(TRIM(D1103))&gt;0</formula>
    </cfRule>
  </conditionalFormatting>
  <conditionalFormatting sqref="D1104">
    <cfRule type="notContainsBlanks" dxfId="6" priority="5521">
      <formula>LEN(TRIM(D1104))&gt;0</formula>
    </cfRule>
  </conditionalFormatting>
  <conditionalFormatting sqref="D1105">
    <cfRule type="notContainsBlanks" dxfId="6" priority="5526">
      <formula>LEN(TRIM(D1105))&gt;0</formula>
    </cfRule>
  </conditionalFormatting>
  <conditionalFormatting sqref="D1106">
    <cfRule type="notContainsBlanks" dxfId="6" priority="5531">
      <formula>LEN(TRIM(D1106))&gt;0</formula>
    </cfRule>
  </conditionalFormatting>
  <conditionalFormatting sqref="D1107">
    <cfRule type="notContainsBlanks" dxfId="6" priority="5536">
      <formula>LEN(TRIM(D1107))&gt;0</formula>
    </cfRule>
  </conditionalFormatting>
  <conditionalFormatting sqref="D1108">
    <cfRule type="notContainsBlanks" dxfId="6" priority="5541">
      <formula>LEN(TRIM(D1108))&gt;0</formula>
    </cfRule>
  </conditionalFormatting>
  <conditionalFormatting sqref="D1109">
    <cfRule type="notContainsBlanks" dxfId="6" priority="5546">
      <formula>LEN(TRIM(D1109))&gt;0</formula>
    </cfRule>
  </conditionalFormatting>
  <conditionalFormatting sqref="D111">
    <cfRule type="notContainsBlanks" dxfId="6" priority="556">
      <formula>LEN(TRIM(D111))&gt;0</formula>
    </cfRule>
  </conditionalFormatting>
  <conditionalFormatting sqref="D1110">
    <cfRule type="notContainsBlanks" dxfId="6" priority="5551">
      <formula>LEN(TRIM(D1110))&gt;0</formula>
    </cfRule>
  </conditionalFormatting>
  <conditionalFormatting sqref="D1111">
    <cfRule type="notContainsBlanks" dxfId="6" priority="5556">
      <formula>LEN(TRIM(D1111))&gt;0</formula>
    </cfRule>
  </conditionalFormatting>
  <conditionalFormatting sqref="D1112">
    <cfRule type="notContainsBlanks" dxfId="6" priority="5561">
      <formula>LEN(TRIM(D1112))&gt;0</formula>
    </cfRule>
  </conditionalFormatting>
  <conditionalFormatting sqref="D1113">
    <cfRule type="notContainsBlanks" dxfId="6" priority="5566">
      <formula>LEN(TRIM(D1113))&gt;0</formula>
    </cfRule>
  </conditionalFormatting>
  <conditionalFormatting sqref="D1114">
    <cfRule type="notContainsBlanks" dxfId="6" priority="5571">
      <formula>LEN(TRIM(D1114))&gt;0</formula>
    </cfRule>
  </conditionalFormatting>
  <conditionalFormatting sqref="D1115">
    <cfRule type="notContainsBlanks" dxfId="6" priority="5576">
      <formula>LEN(TRIM(D1115))&gt;0</formula>
    </cfRule>
  </conditionalFormatting>
  <conditionalFormatting sqref="D1116">
    <cfRule type="notContainsBlanks" dxfId="6" priority="5581">
      <formula>LEN(TRIM(D1116))&gt;0</formula>
    </cfRule>
  </conditionalFormatting>
  <conditionalFormatting sqref="D1117">
    <cfRule type="notContainsBlanks" dxfId="6" priority="5586">
      <formula>LEN(TRIM(D1117))&gt;0</formula>
    </cfRule>
  </conditionalFormatting>
  <conditionalFormatting sqref="D1118">
    <cfRule type="notContainsBlanks" dxfId="6" priority="5591">
      <formula>LEN(TRIM(D1118))&gt;0</formula>
    </cfRule>
  </conditionalFormatting>
  <conditionalFormatting sqref="D1119">
    <cfRule type="notContainsBlanks" dxfId="6" priority="5596">
      <formula>LEN(TRIM(D1119))&gt;0</formula>
    </cfRule>
  </conditionalFormatting>
  <conditionalFormatting sqref="D112">
    <cfRule type="notContainsBlanks" dxfId="6" priority="561">
      <formula>LEN(TRIM(D112))&gt;0</formula>
    </cfRule>
  </conditionalFormatting>
  <conditionalFormatting sqref="D1120">
    <cfRule type="notContainsBlanks" dxfId="6" priority="5601">
      <formula>LEN(TRIM(D1120))&gt;0</formula>
    </cfRule>
  </conditionalFormatting>
  <conditionalFormatting sqref="D1121">
    <cfRule type="notContainsBlanks" dxfId="6" priority="5606">
      <formula>LEN(TRIM(D1121))&gt;0</formula>
    </cfRule>
  </conditionalFormatting>
  <conditionalFormatting sqref="D1122">
    <cfRule type="notContainsBlanks" dxfId="6" priority="5611">
      <formula>LEN(TRIM(D1122))&gt;0</formula>
    </cfRule>
  </conditionalFormatting>
  <conditionalFormatting sqref="D1123">
    <cfRule type="notContainsBlanks" dxfId="6" priority="5616">
      <formula>LEN(TRIM(D1123))&gt;0</formula>
    </cfRule>
  </conditionalFormatting>
  <conditionalFormatting sqref="D1124">
    <cfRule type="notContainsBlanks" dxfId="6" priority="5621">
      <formula>LEN(TRIM(D1124))&gt;0</formula>
    </cfRule>
  </conditionalFormatting>
  <conditionalFormatting sqref="D1125">
    <cfRule type="notContainsBlanks" dxfId="6" priority="5626">
      <formula>LEN(TRIM(D1125))&gt;0</formula>
    </cfRule>
  </conditionalFormatting>
  <conditionalFormatting sqref="D1126">
    <cfRule type="notContainsBlanks" dxfId="6" priority="5631">
      <formula>LEN(TRIM(D1126))&gt;0</formula>
    </cfRule>
  </conditionalFormatting>
  <conditionalFormatting sqref="D1127">
    <cfRule type="notContainsBlanks" dxfId="6" priority="5636">
      <formula>LEN(TRIM(D1127))&gt;0</formula>
    </cfRule>
  </conditionalFormatting>
  <conditionalFormatting sqref="D1128">
    <cfRule type="notContainsBlanks" dxfId="6" priority="5641">
      <formula>LEN(TRIM(D1128))&gt;0</formula>
    </cfRule>
  </conditionalFormatting>
  <conditionalFormatting sqref="D1129">
    <cfRule type="notContainsBlanks" dxfId="6" priority="5646">
      <formula>LEN(TRIM(D1129))&gt;0</formula>
    </cfRule>
  </conditionalFormatting>
  <conditionalFormatting sqref="D113">
    <cfRule type="notContainsBlanks" dxfId="6" priority="566">
      <formula>LEN(TRIM(D113))&gt;0</formula>
    </cfRule>
  </conditionalFormatting>
  <conditionalFormatting sqref="D1130">
    <cfRule type="notContainsBlanks" dxfId="6" priority="5651">
      <formula>LEN(TRIM(D1130))&gt;0</formula>
    </cfRule>
  </conditionalFormatting>
  <conditionalFormatting sqref="D1131">
    <cfRule type="notContainsBlanks" dxfId="6" priority="5656">
      <formula>LEN(TRIM(D1131))&gt;0</formula>
    </cfRule>
  </conditionalFormatting>
  <conditionalFormatting sqref="D1132">
    <cfRule type="notContainsBlanks" dxfId="6" priority="5661">
      <formula>LEN(TRIM(D1132))&gt;0</formula>
    </cfRule>
  </conditionalFormatting>
  <conditionalFormatting sqref="D1133">
    <cfRule type="notContainsBlanks" dxfId="6" priority="5666">
      <formula>LEN(TRIM(D1133))&gt;0</formula>
    </cfRule>
  </conditionalFormatting>
  <conditionalFormatting sqref="D1134">
    <cfRule type="notContainsBlanks" dxfId="6" priority="5671">
      <formula>LEN(TRIM(D1134))&gt;0</formula>
    </cfRule>
  </conditionalFormatting>
  <conditionalFormatting sqref="D1135">
    <cfRule type="notContainsBlanks" dxfId="6" priority="5676">
      <formula>LEN(TRIM(D1135))&gt;0</formula>
    </cfRule>
  </conditionalFormatting>
  <conditionalFormatting sqref="D1136">
    <cfRule type="notContainsBlanks" dxfId="6" priority="5681">
      <formula>LEN(TRIM(D1136))&gt;0</formula>
    </cfRule>
  </conditionalFormatting>
  <conditionalFormatting sqref="D1137">
    <cfRule type="notContainsBlanks" dxfId="6" priority="5686">
      <formula>LEN(TRIM(D1137))&gt;0</formula>
    </cfRule>
  </conditionalFormatting>
  <conditionalFormatting sqref="D1138">
    <cfRule type="notContainsBlanks" dxfId="6" priority="5691">
      <formula>LEN(TRIM(D1138))&gt;0</formula>
    </cfRule>
  </conditionalFormatting>
  <conditionalFormatting sqref="D1139">
    <cfRule type="notContainsBlanks" dxfId="6" priority="5696">
      <formula>LEN(TRIM(D1139))&gt;0</formula>
    </cfRule>
  </conditionalFormatting>
  <conditionalFormatting sqref="D114">
    <cfRule type="notContainsBlanks" dxfId="6" priority="571">
      <formula>LEN(TRIM(D114))&gt;0</formula>
    </cfRule>
  </conditionalFormatting>
  <conditionalFormatting sqref="D1140">
    <cfRule type="notContainsBlanks" dxfId="6" priority="5701">
      <formula>LEN(TRIM(D1140))&gt;0</formula>
    </cfRule>
  </conditionalFormatting>
  <conditionalFormatting sqref="D1141">
    <cfRule type="notContainsBlanks" dxfId="6" priority="5706">
      <formula>LEN(TRIM(D1141))&gt;0</formula>
    </cfRule>
  </conditionalFormatting>
  <conditionalFormatting sqref="D1142">
    <cfRule type="notContainsBlanks" dxfId="6" priority="5711">
      <formula>LEN(TRIM(D1142))&gt;0</formula>
    </cfRule>
  </conditionalFormatting>
  <conditionalFormatting sqref="D1143">
    <cfRule type="notContainsBlanks" dxfId="6" priority="5716">
      <formula>LEN(TRIM(D1143))&gt;0</formula>
    </cfRule>
  </conditionalFormatting>
  <conditionalFormatting sqref="D1144">
    <cfRule type="notContainsBlanks" dxfId="6" priority="5721">
      <formula>LEN(TRIM(D1144))&gt;0</formula>
    </cfRule>
  </conditionalFormatting>
  <conditionalFormatting sqref="D1145">
    <cfRule type="notContainsBlanks" dxfId="6" priority="5726">
      <formula>LEN(TRIM(D1145))&gt;0</formula>
    </cfRule>
  </conditionalFormatting>
  <conditionalFormatting sqref="D1146">
    <cfRule type="notContainsBlanks" dxfId="6" priority="5731">
      <formula>LEN(TRIM(D1146))&gt;0</formula>
    </cfRule>
  </conditionalFormatting>
  <conditionalFormatting sqref="D1147">
    <cfRule type="notContainsBlanks" dxfId="6" priority="5736">
      <formula>LEN(TRIM(D1147))&gt;0</formula>
    </cfRule>
  </conditionalFormatting>
  <conditionalFormatting sqref="D1148">
    <cfRule type="notContainsBlanks" dxfId="6" priority="5741">
      <formula>LEN(TRIM(D1148))&gt;0</formula>
    </cfRule>
  </conditionalFormatting>
  <conditionalFormatting sqref="D1149">
    <cfRule type="notContainsBlanks" dxfId="6" priority="5746">
      <formula>LEN(TRIM(D1149))&gt;0</formula>
    </cfRule>
  </conditionalFormatting>
  <conditionalFormatting sqref="D115">
    <cfRule type="notContainsBlanks" dxfId="6" priority="576">
      <formula>LEN(TRIM(D115))&gt;0</formula>
    </cfRule>
  </conditionalFormatting>
  <conditionalFormatting sqref="D1150">
    <cfRule type="notContainsBlanks" dxfId="6" priority="5751">
      <formula>LEN(TRIM(D1150))&gt;0</formula>
    </cfRule>
  </conditionalFormatting>
  <conditionalFormatting sqref="D1151">
    <cfRule type="notContainsBlanks" dxfId="6" priority="5756">
      <formula>LEN(TRIM(D1151))&gt;0</formula>
    </cfRule>
  </conditionalFormatting>
  <conditionalFormatting sqref="D1152">
    <cfRule type="notContainsBlanks" dxfId="6" priority="5761">
      <formula>LEN(TRIM(D1152))&gt;0</formula>
    </cfRule>
  </conditionalFormatting>
  <conditionalFormatting sqref="D1153">
    <cfRule type="notContainsBlanks" dxfId="6" priority="5766">
      <formula>LEN(TRIM(D1153))&gt;0</formula>
    </cfRule>
  </conditionalFormatting>
  <conditionalFormatting sqref="D1154">
    <cfRule type="notContainsBlanks" dxfId="6" priority="5771">
      <formula>LEN(TRIM(D1154))&gt;0</formula>
    </cfRule>
  </conditionalFormatting>
  <conditionalFormatting sqref="D1155">
    <cfRule type="notContainsBlanks" dxfId="6" priority="5776">
      <formula>LEN(TRIM(D1155))&gt;0</formula>
    </cfRule>
  </conditionalFormatting>
  <conditionalFormatting sqref="D1156">
    <cfRule type="notContainsBlanks" dxfId="6" priority="5781">
      <formula>LEN(TRIM(D1156))&gt;0</formula>
    </cfRule>
  </conditionalFormatting>
  <conditionalFormatting sqref="D1157">
    <cfRule type="notContainsBlanks" dxfId="6" priority="5786">
      <formula>LEN(TRIM(D1157))&gt;0</formula>
    </cfRule>
  </conditionalFormatting>
  <conditionalFormatting sqref="D1158">
    <cfRule type="notContainsBlanks" dxfId="6" priority="5791">
      <formula>LEN(TRIM(D1158))&gt;0</formula>
    </cfRule>
  </conditionalFormatting>
  <conditionalFormatting sqref="D1159">
    <cfRule type="notContainsBlanks" dxfId="6" priority="5796">
      <formula>LEN(TRIM(D1159))&gt;0</formula>
    </cfRule>
  </conditionalFormatting>
  <conditionalFormatting sqref="D116">
    <cfRule type="notContainsBlanks" dxfId="6" priority="581">
      <formula>LEN(TRIM(D116))&gt;0</formula>
    </cfRule>
  </conditionalFormatting>
  <conditionalFormatting sqref="D1160">
    <cfRule type="notContainsBlanks" dxfId="6" priority="5801">
      <formula>LEN(TRIM(D1160))&gt;0</formula>
    </cfRule>
  </conditionalFormatting>
  <conditionalFormatting sqref="D1161">
    <cfRule type="notContainsBlanks" dxfId="6" priority="5806">
      <formula>LEN(TRIM(D1161))&gt;0</formula>
    </cfRule>
  </conditionalFormatting>
  <conditionalFormatting sqref="D1162">
    <cfRule type="notContainsBlanks" dxfId="6" priority="5811">
      <formula>LEN(TRIM(D1162))&gt;0</formula>
    </cfRule>
  </conditionalFormatting>
  <conditionalFormatting sqref="D1163">
    <cfRule type="notContainsBlanks" dxfId="6" priority="5816">
      <formula>LEN(TRIM(D1163))&gt;0</formula>
    </cfRule>
  </conditionalFormatting>
  <conditionalFormatting sqref="D1164">
    <cfRule type="notContainsBlanks" dxfId="6" priority="5821">
      <formula>LEN(TRIM(D1164))&gt;0</formula>
    </cfRule>
  </conditionalFormatting>
  <conditionalFormatting sqref="D1165">
    <cfRule type="notContainsBlanks" dxfId="6" priority="5826">
      <formula>LEN(TRIM(D1165))&gt;0</formula>
    </cfRule>
  </conditionalFormatting>
  <conditionalFormatting sqref="D1166">
    <cfRule type="notContainsBlanks" dxfId="6" priority="5831">
      <formula>LEN(TRIM(D1166))&gt;0</formula>
    </cfRule>
  </conditionalFormatting>
  <conditionalFormatting sqref="D1167">
    <cfRule type="notContainsBlanks" dxfId="6" priority="5836">
      <formula>LEN(TRIM(D1167))&gt;0</formula>
    </cfRule>
  </conditionalFormatting>
  <conditionalFormatting sqref="D1168">
    <cfRule type="notContainsBlanks" dxfId="6" priority="5841">
      <formula>LEN(TRIM(D1168))&gt;0</formula>
    </cfRule>
  </conditionalFormatting>
  <conditionalFormatting sqref="D1169">
    <cfRule type="notContainsBlanks" dxfId="6" priority="5846">
      <formula>LEN(TRIM(D1169))&gt;0</formula>
    </cfRule>
  </conditionalFormatting>
  <conditionalFormatting sqref="D117">
    <cfRule type="notContainsBlanks" dxfId="6" priority="586">
      <formula>LEN(TRIM(D117))&gt;0</formula>
    </cfRule>
  </conditionalFormatting>
  <conditionalFormatting sqref="D1170">
    <cfRule type="notContainsBlanks" dxfId="6" priority="5851">
      <formula>LEN(TRIM(D1170))&gt;0</formula>
    </cfRule>
  </conditionalFormatting>
  <conditionalFormatting sqref="D1171">
    <cfRule type="notContainsBlanks" dxfId="6" priority="5856">
      <formula>LEN(TRIM(D1171))&gt;0</formula>
    </cfRule>
  </conditionalFormatting>
  <conditionalFormatting sqref="D1172">
    <cfRule type="notContainsBlanks" dxfId="6" priority="5861">
      <formula>LEN(TRIM(D1172))&gt;0</formula>
    </cfRule>
  </conditionalFormatting>
  <conditionalFormatting sqref="D1173">
    <cfRule type="notContainsBlanks" dxfId="6" priority="5866">
      <formula>LEN(TRIM(D1173))&gt;0</formula>
    </cfRule>
  </conditionalFormatting>
  <conditionalFormatting sqref="D1174">
    <cfRule type="notContainsBlanks" dxfId="6" priority="5871">
      <formula>LEN(TRIM(D1174))&gt;0</formula>
    </cfRule>
  </conditionalFormatting>
  <conditionalFormatting sqref="D1175">
    <cfRule type="notContainsBlanks" dxfId="6" priority="5876">
      <formula>LEN(TRIM(D1175))&gt;0</formula>
    </cfRule>
  </conditionalFormatting>
  <conditionalFormatting sqref="D1176">
    <cfRule type="notContainsBlanks" dxfId="6" priority="5881">
      <formula>LEN(TRIM(D1176))&gt;0</formula>
    </cfRule>
  </conditionalFormatting>
  <conditionalFormatting sqref="D1177">
    <cfRule type="notContainsBlanks" dxfId="6" priority="5886">
      <formula>LEN(TRIM(D1177))&gt;0</formula>
    </cfRule>
  </conditionalFormatting>
  <conditionalFormatting sqref="D1178">
    <cfRule type="notContainsBlanks" dxfId="6" priority="5891">
      <formula>LEN(TRIM(D1178))&gt;0</formula>
    </cfRule>
  </conditionalFormatting>
  <conditionalFormatting sqref="D1179">
    <cfRule type="notContainsBlanks" dxfId="6" priority="5896">
      <formula>LEN(TRIM(D1179))&gt;0</formula>
    </cfRule>
  </conditionalFormatting>
  <conditionalFormatting sqref="D118">
    <cfRule type="notContainsBlanks" dxfId="6" priority="591">
      <formula>LEN(TRIM(D118))&gt;0</formula>
    </cfRule>
  </conditionalFormatting>
  <conditionalFormatting sqref="D1180">
    <cfRule type="notContainsBlanks" dxfId="6" priority="5901">
      <formula>LEN(TRIM(D1180))&gt;0</formula>
    </cfRule>
  </conditionalFormatting>
  <conditionalFormatting sqref="D1181">
    <cfRule type="notContainsBlanks" dxfId="6" priority="5906">
      <formula>LEN(TRIM(D1181))&gt;0</formula>
    </cfRule>
  </conditionalFormatting>
  <conditionalFormatting sqref="D1182">
    <cfRule type="notContainsBlanks" dxfId="6" priority="5911">
      <formula>LEN(TRIM(D1182))&gt;0</formula>
    </cfRule>
  </conditionalFormatting>
  <conditionalFormatting sqref="D1183">
    <cfRule type="notContainsBlanks" dxfId="6" priority="5916">
      <formula>LEN(TRIM(D1183))&gt;0</formula>
    </cfRule>
  </conditionalFormatting>
  <conditionalFormatting sqref="D1184">
    <cfRule type="notContainsBlanks" dxfId="6" priority="5921">
      <formula>LEN(TRIM(D1184))&gt;0</formula>
    </cfRule>
  </conditionalFormatting>
  <conditionalFormatting sqref="D1185">
    <cfRule type="notContainsBlanks" dxfId="6" priority="5926">
      <formula>LEN(TRIM(D1185))&gt;0</formula>
    </cfRule>
  </conditionalFormatting>
  <conditionalFormatting sqref="D1186">
    <cfRule type="notContainsBlanks" dxfId="6" priority="5931">
      <formula>LEN(TRIM(D1186))&gt;0</formula>
    </cfRule>
  </conditionalFormatting>
  <conditionalFormatting sqref="D1187">
    <cfRule type="notContainsBlanks" dxfId="6" priority="5936">
      <formula>LEN(TRIM(D1187))&gt;0</formula>
    </cfRule>
  </conditionalFormatting>
  <conditionalFormatting sqref="D1188">
    <cfRule type="notContainsBlanks" dxfId="6" priority="5941">
      <formula>LEN(TRIM(D1188))&gt;0</formula>
    </cfRule>
  </conditionalFormatting>
  <conditionalFormatting sqref="D1189">
    <cfRule type="notContainsBlanks" dxfId="6" priority="5946">
      <formula>LEN(TRIM(D1189))&gt;0</formula>
    </cfRule>
  </conditionalFormatting>
  <conditionalFormatting sqref="D119">
    <cfRule type="notContainsBlanks" dxfId="6" priority="596">
      <formula>LEN(TRIM(D119))&gt;0</formula>
    </cfRule>
  </conditionalFormatting>
  <conditionalFormatting sqref="D1190">
    <cfRule type="notContainsBlanks" dxfId="6" priority="5951">
      <formula>LEN(TRIM(D1190))&gt;0</formula>
    </cfRule>
  </conditionalFormatting>
  <conditionalFormatting sqref="D1191">
    <cfRule type="notContainsBlanks" dxfId="6" priority="5956">
      <formula>LEN(TRIM(D1191))&gt;0</formula>
    </cfRule>
  </conditionalFormatting>
  <conditionalFormatting sqref="D1192">
    <cfRule type="notContainsBlanks" dxfId="6" priority="5961">
      <formula>LEN(TRIM(D1192))&gt;0</formula>
    </cfRule>
  </conditionalFormatting>
  <conditionalFormatting sqref="D1193">
    <cfRule type="notContainsBlanks" dxfId="6" priority="5966">
      <formula>LEN(TRIM(D1193))&gt;0</formula>
    </cfRule>
  </conditionalFormatting>
  <conditionalFormatting sqref="D1194">
    <cfRule type="notContainsBlanks" dxfId="6" priority="5971">
      <formula>LEN(TRIM(D1194))&gt;0</formula>
    </cfRule>
  </conditionalFormatting>
  <conditionalFormatting sqref="D1195">
    <cfRule type="notContainsBlanks" dxfId="6" priority="5976">
      <formula>LEN(TRIM(D1195))&gt;0</formula>
    </cfRule>
  </conditionalFormatting>
  <conditionalFormatting sqref="D1196">
    <cfRule type="notContainsBlanks" dxfId="6" priority="5981">
      <formula>LEN(TRIM(D1196))&gt;0</formula>
    </cfRule>
  </conditionalFormatting>
  <conditionalFormatting sqref="D1197">
    <cfRule type="notContainsBlanks" dxfId="6" priority="5986">
      <formula>LEN(TRIM(D1197))&gt;0</formula>
    </cfRule>
  </conditionalFormatting>
  <conditionalFormatting sqref="D1198">
    <cfRule type="notContainsBlanks" dxfId="6" priority="5991">
      <formula>LEN(TRIM(D1198))&gt;0</formula>
    </cfRule>
  </conditionalFormatting>
  <conditionalFormatting sqref="D1199">
    <cfRule type="notContainsBlanks" dxfId="6" priority="5996">
      <formula>LEN(TRIM(D1199))&gt;0</formula>
    </cfRule>
  </conditionalFormatting>
  <conditionalFormatting sqref="D12">
    <cfRule type="notContainsBlanks" dxfId="6" priority="61">
      <formula>LEN(TRIM(D12))&gt;0</formula>
    </cfRule>
  </conditionalFormatting>
  <conditionalFormatting sqref="D120">
    <cfRule type="notContainsBlanks" dxfId="6" priority="601">
      <formula>LEN(TRIM(D120))&gt;0</formula>
    </cfRule>
  </conditionalFormatting>
  <conditionalFormatting sqref="D1200">
    <cfRule type="notContainsBlanks" dxfId="6" priority="6001">
      <formula>LEN(TRIM(D1200))&gt;0</formula>
    </cfRule>
  </conditionalFormatting>
  <conditionalFormatting sqref="D1201">
    <cfRule type="notContainsBlanks" dxfId="6" priority="6006">
      <formula>LEN(TRIM(D1201))&gt;0</formula>
    </cfRule>
  </conditionalFormatting>
  <conditionalFormatting sqref="D1202">
    <cfRule type="notContainsBlanks" dxfId="6" priority="6011">
      <formula>LEN(TRIM(D1202))&gt;0</formula>
    </cfRule>
  </conditionalFormatting>
  <conditionalFormatting sqref="D1203">
    <cfRule type="notContainsBlanks" dxfId="6" priority="6016">
      <formula>LEN(TRIM(D1203))&gt;0</formula>
    </cfRule>
  </conditionalFormatting>
  <conditionalFormatting sqref="D1204">
    <cfRule type="notContainsBlanks" dxfId="6" priority="6021">
      <formula>LEN(TRIM(D1204))&gt;0</formula>
    </cfRule>
  </conditionalFormatting>
  <conditionalFormatting sqref="D1205">
    <cfRule type="notContainsBlanks" dxfId="6" priority="6026">
      <formula>LEN(TRIM(D1205))&gt;0</formula>
    </cfRule>
  </conditionalFormatting>
  <conditionalFormatting sqref="D1206">
    <cfRule type="notContainsBlanks" dxfId="6" priority="6031">
      <formula>LEN(TRIM(D1206))&gt;0</formula>
    </cfRule>
  </conditionalFormatting>
  <conditionalFormatting sqref="D1207">
    <cfRule type="notContainsBlanks" dxfId="6" priority="6036">
      <formula>LEN(TRIM(D1207))&gt;0</formula>
    </cfRule>
  </conditionalFormatting>
  <conditionalFormatting sqref="D1208">
    <cfRule type="notContainsBlanks" dxfId="6" priority="6041">
      <formula>LEN(TRIM(D1208))&gt;0</formula>
    </cfRule>
  </conditionalFormatting>
  <conditionalFormatting sqref="D1209">
    <cfRule type="notContainsBlanks" dxfId="6" priority="6046">
      <formula>LEN(TRIM(D1209))&gt;0</formula>
    </cfRule>
  </conditionalFormatting>
  <conditionalFormatting sqref="D121">
    <cfRule type="notContainsBlanks" dxfId="6" priority="606">
      <formula>LEN(TRIM(D121))&gt;0</formula>
    </cfRule>
  </conditionalFormatting>
  <conditionalFormatting sqref="D1210">
    <cfRule type="notContainsBlanks" dxfId="6" priority="6051">
      <formula>LEN(TRIM(D1210))&gt;0</formula>
    </cfRule>
  </conditionalFormatting>
  <conditionalFormatting sqref="D1211">
    <cfRule type="notContainsBlanks" dxfId="6" priority="6056">
      <formula>LEN(TRIM(D1211))&gt;0</formula>
    </cfRule>
  </conditionalFormatting>
  <conditionalFormatting sqref="D1212">
    <cfRule type="notContainsBlanks" dxfId="6" priority="6061">
      <formula>LEN(TRIM(D1212))&gt;0</formula>
    </cfRule>
  </conditionalFormatting>
  <conditionalFormatting sqref="D1213">
    <cfRule type="notContainsBlanks" dxfId="6" priority="6066">
      <formula>LEN(TRIM(D1213))&gt;0</formula>
    </cfRule>
  </conditionalFormatting>
  <conditionalFormatting sqref="D1214">
    <cfRule type="notContainsBlanks" dxfId="6" priority="6071">
      <formula>LEN(TRIM(D1214))&gt;0</formula>
    </cfRule>
  </conditionalFormatting>
  <conditionalFormatting sqref="D1215">
    <cfRule type="notContainsBlanks" dxfId="6" priority="6076">
      <formula>LEN(TRIM(D1215))&gt;0</formula>
    </cfRule>
  </conditionalFormatting>
  <conditionalFormatting sqref="D1216">
    <cfRule type="notContainsBlanks" dxfId="6" priority="6081">
      <formula>LEN(TRIM(D1216))&gt;0</formula>
    </cfRule>
  </conditionalFormatting>
  <conditionalFormatting sqref="D1217">
    <cfRule type="notContainsBlanks" dxfId="6" priority="6086">
      <formula>LEN(TRIM(D1217))&gt;0</formula>
    </cfRule>
  </conditionalFormatting>
  <conditionalFormatting sqref="D1218">
    <cfRule type="notContainsBlanks" dxfId="6" priority="6091">
      <formula>LEN(TRIM(D1218))&gt;0</formula>
    </cfRule>
  </conditionalFormatting>
  <conditionalFormatting sqref="D1219">
    <cfRule type="notContainsBlanks" dxfId="6" priority="6096">
      <formula>LEN(TRIM(D1219))&gt;0</formula>
    </cfRule>
  </conditionalFormatting>
  <conditionalFormatting sqref="D122">
    <cfRule type="notContainsBlanks" dxfId="6" priority="611">
      <formula>LEN(TRIM(D122))&gt;0</formula>
    </cfRule>
  </conditionalFormatting>
  <conditionalFormatting sqref="D1220">
    <cfRule type="notContainsBlanks" dxfId="6" priority="6101">
      <formula>LEN(TRIM(D1220))&gt;0</formula>
    </cfRule>
  </conditionalFormatting>
  <conditionalFormatting sqref="D1221">
    <cfRule type="notContainsBlanks" dxfId="6" priority="6106">
      <formula>LEN(TRIM(D1221))&gt;0</formula>
    </cfRule>
  </conditionalFormatting>
  <conditionalFormatting sqref="D1222">
    <cfRule type="notContainsBlanks" dxfId="6" priority="6111">
      <formula>LEN(TRIM(D1222))&gt;0</formula>
    </cfRule>
  </conditionalFormatting>
  <conditionalFormatting sqref="D1223">
    <cfRule type="notContainsBlanks" dxfId="6" priority="6116">
      <formula>LEN(TRIM(D1223))&gt;0</formula>
    </cfRule>
  </conditionalFormatting>
  <conditionalFormatting sqref="D1224">
    <cfRule type="notContainsBlanks" dxfId="6" priority="6121">
      <formula>LEN(TRIM(D1224))&gt;0</formula>
    </cfRule>
  </conditionalFormatting>
  <conditionalFormatting sqref="D1225">
    <cfRule type="notContainsBlanks" dxfId="6" priority="6126">
      <formula>LEN(TRIM(D1225))&gt;0</formula>
    </cfRule>
  </conditionalFormatting>
  <conditionalFormatting sqref="D1226">
    <cfRule type="notContainsBlanks" dxfId="6" priority="6131">
      <formula>LEN(TRIM(D1226))&gt;0</formula>
    </cfRule>
  </conditionalFormatting>
  <conditionalFormatting sqref="D1227">
    <cfRule type="notContainsBlanks" dxfId="6" priority="6136">
      <formula>LEN(TRIM(D1227))&gt;0</formula>
    </cfRule>
  </conditionalFormatting>
  <conditionalFormatting sqref="D1228">
    <cfRule type="notContainsBlanks" dxfId="6" priority="6141">
      <formula>LEN(TRIM(D1228))&gt;0</formula>
    </cfRule>
  </conditionalFormatting>
  <conditionalFormatting sqref="D1229">
    <cfRule type="notContainsBlanks" dxfId="6" priority="6146">
      <formula>LEN(TRIM(D1229))&gt;0</formula>
    </cfRule>
  </conditionalFormatting>
  <conditionalFormatting sqref="D123">
    <cfRule type="notContainsBlanks" dxfId="6" priority="616">
      <formula>LEN(TRIM(D123))&gt;0</formula>
    </cfRule>
  </conditionalFormatting>
  <conditionalFormatting sqref="D1230">
    <cfRule type="notContainsBlanks" dxfId="6" priority="6151">
      <formula>LEN(TRIM(D1230))&gt;0</formula>
    </cfRule>
  </conditionalFormatting>
  <conditionalFormatting sqref="D1231">
    <cfRule type="notContainsBlanks" dxfId="6" priority="6156">
      <formula>LEN(TRIM(D1231))&gt;0</formula>
    </cfRule>
  </conditionalFormatting>
  <conditionalFormatting sqref="D1232">
    <cfRule type="notContainsBlanks" dxfId="6" priority="6161">
      <formula>LEN(TRIM(D1232))&gt;0</formula>
    </cfRule>
  </conditionalFormatting>
  <conditionalFormatting sqref="D1233">
    <cfRule type="notContainsBlanks" dxfId="6" priority="6166">
      <formula>LEN(TRIM(D1233))&gt;0</formula>
    </cfRule>
  </conditionalFormatting>
  <conditionalFormatting sqref="D1234">
    <cfRule type="notContainsBlanks" dxfId="6" priority="6171">
      <formula>LEN(TRIM(D1234))&gt;0</formula>
    </cfRule>
  </conditionalFormatting>
  <conditionalFormatting sqref="D1235">
    <cfRule type="notContainsBlanks" dxfId="6" priority="6176">
      <formula>LEN(TRIM(D1235))&gt;0</formula>
    </cfRule>
  </conditionalFormatting>
  <conditionalFormatting sqref="D1236">
    <cfRule type="notContainsBlanks" dxfId="6" priority="6181">
      <formula>LEN(TRIM(D1236))&gt;0</formula>
    </cfRule>
  </conditionalFormatting>
  <conditionalFormatting sqref="D1237">
    <cfRule type="notContainsBlanks" dxfId="6" priority="6186">
      <formula>LEN(TRIM(D1237))&gt;0</formula>
    </cfRule>
  </conditionalFormatting>
  <conditionalFormatting sqref="D1238">
    <cfRule type="notContainsBlanks" dxfId="6" priority="6191">
      <formula>LEN(TRIM(D1238))&gt;0</formula>
    </cfRule>
  </conditionalFormatting>
  <conditionalFormatting sqref="D1239">
    <cfRule type="notContainsBlanks" dxfId="6" priority="6196">
      <formula>LEN(TRIM(D1239))&gt;0</formula>
    </cfRule>
  </conditionalFormatting>
  <conditionalFormatting sqref="D124">
    <cfRule type="notContainsBlanks" dxfId="6" priority="621">
      <formula>LEN(TRIM(D124))&gt;0</formula>
    </cfRule>
  </conditionalFormatting>
  <conditionalFormatting sqref="D1240">
    <cfRule type="notContainsBlanks" dxfId="6" priority="6201">
      <formula>LEN(TRIM(D1240))&gt;0</formula>
    </cfRule>
  </conditionalFormatting>
  <conditionalFormatting sqref="D1241">
    <cfRule type="notContainsBlanks" dxfId="6" priority="6206">
      <formula>LEN(TRIM(D1241))&gt;0</formula>
    </cfRule>
  </conditionalFormatting>
  <conditionalFormatting sqref="D1242">
    <cfRule type="notContainsBlanks" dxfId="6" priority="6211">
      <formula>LEN(TRIM(D1242))&gt;0</formula>
    </cfRule>
  </conditionalFormatting>
  <conditionalFormatting sqref="D1243">
    <cfRule type="notContainsBlanks" dxfId="6" priority="6216">
      <formula>LEN(TRIM(D1243))&gt;0</formula>
    </cfRule>
  </conditionalFormatting>
  <conditionalFormatting sqref="D1244">
    <cfRule type="notContainsBlanks" dxfId="6" priority="6221">
      <formula>LEN(TRIM(D1244))&gt;0</formula>
    </cfRule>
  </conditionalFormatting>
  <conditionalFormatting sqref="D1245">
    <cfRule type="notContainsBlanks" dxfId="6" priority="6226">
      <formula>LEN(TRIM(D1245))&gt;0</formula>
    </cfRule>
  </conditionalFormatting>
  <conditionalFormatting sqref="D1246">
    <cfRule type="notContainsBlanks" dxfId="6" priority="6231">
      <formula>LEN(TRIM(D1246))&gt;0</formula>
    </cfRule>
  </conditionalFormatting>
  <conditionalFormatting sqref="D1247">
    <cfRule type="notContainsBlanks" dxfId="6" priority="6236">
      <formula>LEN(TRIM(D1247))&gt;0</formula>
    </cfRule>
  </conditionalFormatting>
  <conditionalFormatting sqref="D1248">
    <cfRule type="notContainsBlanks" dxfId="6" priority="6241">
      <formula>LEN(TRIM(D1248))&gt;0</formula>
    </cfRule>
  </conditionalFormatting>
  <conditionalFormatting sqref="D1249">
    <cfRule type="notContainsBlanks" dxfId="6" priority="6246">
      <formula>LEN(TRIM(D1249))&gt;0</formula>
    </cfRule>
  </conditionalFormatting>
  <conditionalFormatting sqref="D125">
    <cfRule type="notContainsBlanks" dxfId="6" priority="626">
      <formula>LEN(TRIM(D125))&gt;0</formula>
    </cfRule>
  </conditionalFormatting>
  <conditionalFormatting sqref="D1250">
    <cfRule type="notContainsBlanks" dxfId="6" priority="6251">
      <formula>LEN(TRIM(D1250))&gt;0</formula>
    </cfRule>
  </conditionalFormatting>
  <conditionalFormatting sqref="D1251">
    <cfRule type="notContainsBlanks" dxfId="6" priority="6256">
      <formula>LEN(TRIM(D1251))&gt;0</formula>
    </cfRule>
  </conditionalFormatting>
  <conditionalFormatting sqref="D1252">
    <cfRule type="notContainsBlanks" dxfId="6" priority="6261">
      <formula>LEN(TRIM(D1252))&gt;0</formula>
    </cfRule>
  </conditionalFormatting>
  <conditionalFormatting sqref="D1253">
    <cfRule type="notContainsBlanks" dxfId="6" priority="6266">
      <formula>LEN(TRIM(D1253))&gt;0</formula>
    </cfRule>
  </conditionalFormatting>
  <conditionalFormatting sqref="D1254">
    <cfRule type="notContainsBlanks" dxfId="6" priority="6271">
      <formula>LEN(TRIM(D1254))&gt;0</formula>
    </cfRule>
  </conditionalFormatting>
  <conditionalFormatting sqref="D1255">
    <cfRule type="notContainsBlanks" dxfId="6" priority="6276">
      <formula>LEN(TRIM(D1255))&gt;0</formula>
    </cfRule>
  </conditionalFormatting>
  <conditionalFormatting sqref="D1256">
    <cfRule type="notContainsBlanks" dxfId="6" priority="6281">
      <formula>LEN(TRIM(D1256))&gt;0</formula>
    </cfRule>
  </conditionalFormatting>
  <conditionalFormatting sqref="D1257">
    <cfRule type="notContainsBlanks" dxfId="6" priority="6286">
      <formula>LEN(TRIM(D1257))&gt;0</formula>
    </cfRule>
  </conditionalFormatting>
  <conditionalFormatting sqref="D1258">
    <cfRule type="notContainsBlanks" dxfId="6" priority="6291">
      <formula>LEN(TRIM(D1258))&gt;0</formula>
    </cfRule>
  </conditionalFormatting>
  <conditionalFormatting sqref="D1259">
    <cfRule type="notContainsBlanks" dxfId="6" priority="6296">
      <formula>LEN(TRIM(D1259))&gt;0</formula>
    </cfRule>
  </conditionalFormatting>
  <conditionalFormatting sqref="D126">
    <cfRule type="notContainsBlanks" dxfId="6" priority="631">
      <formula>LEN(TRIM(D126))&gt;0</formula>
    </cfRule>
  </conditionalFormatting>
  <conditionalFormatting sqref="D1260">
    <cfRule type="notContainsBlanks" dxfId="6" priority="6301">
      <formula>LEN(TRIM(D1260))&gt;0</formula>
    </cfRule>
  </conditionalFormatting>
  <conditionalFormatting sqref="D1261">
    <cfRule type="notContainsBlanks" dxfId="6" priority="6306">
      <formula>LEN(TRIM(D1261))&gt;0</formula>
    </cfRule>
  </conditionalFormatting>
  <conditionalFormatting sqref="D1262">
    <cfRule type="notContainsBlanks" dxfId="6" priority="6311">
      <formula>LEN(TRIM(D1262))&gt;0</formula>
    </cfRule>
  </conditionalFormatting>
  <conditionalFormatting sqref="D1263">
    <cfRule type="notContainsBlanks" dxfId="6" priority="6316">
      <formula>LEN(TRIM(D1263))&gt;0</formula>
    </cfRule>
  </conditionalFormatting>
  <conditionalFormatting sqref="D1264">
    <cfRule type="notContainsBlanks" dxfId="6" priority="6321">
      <formula>LEN(TRIM(D1264))&gt;0</formula>
    </cfRule>
  </conditionalFormatting>
  <conditionalFormatting sqref="D1265">
    <cfRule type="notContainsBlanks" dxfId="6" priority="6326">
      <formula>LEN(TRIM(D1265))&gt;0</formula>
    </cfRule>
  </conditionalFormatting>
  <conditionalFormatting sqref="D1266">
    <cfRule type="notContainsBlanks" dxfId="6" priority="6331">
      <formula>LEN(TRIM(D1266))&gt;0</formula>
    </cfRule>
  </conditionalFormatting>
  <conditionalFormatting sqref="D1267">
    <cfRule type="notContainsBlanks" dxfId="6" priority="6336">
      <formula>LEN(TRIM(D1267))&gt;0</formula>
    </cfRule>
  </conditionalFormatting>
  <conditionalFormatting sqref="D1268">
    <cfRule type="notContainsBlanks" dxfId="6" priority="6341">
      <formula>LEN(TRIM(D1268))&gt;0</formula>
    </cfRule>
  </conditionalFormatting>
  <conditionalFormatting sqref="D1269">
    <cfRule type="notContainsBlanks" dxfId="6" priority="6346">
      <formula>LEN(TRIM(D1269))&gt;0</formula>
    </cfRule>
  </conditionalFormatting>
  <conditionalFormatting sqref="D127">
    <cfRule type="notContainsBlanks" dxfId="6" priority="636">
      <formula>LEN(TRIM(D127))&gt;0</formula>
    </cfRule>
  </conditionalFormatting>
  <conditionalFormatting sqref="D1270">
    <cfRule type="notContainsBlanks" dxfId="6" priority="6351">
      <formula>LEN(TRIM(D1270))&gt;0</formula>
    </cfRule>
  </conditionalFormatting>
  <conditionalFormatting sqref="D1271">
    <cfRule type="notContainsBlanks" dxfId="6" priority="6356">
      <formula>LEN(TRIM(D1271))&gt;0</formula>
    </cfRule>
  </conditionalFormatting>
  <conditionalFormatting sqref="D1272">
    <cfRule type="notContainsBlanks" dxfId="6" priority="6361">
      <formula>LEN(TRIM(D1272))&gt;0</formula>
    </cfRule>
  </conditionalFormatting>
  <conditionalFormatting sqref="D1273">
    <cfRule type="notContainsBlanks" dxfId="6" priority="6366">
      <formula>LEN(TRIM(D1273))&gt;0</formula>
    </cfRule>
  </conditionalFormatting>
  <conditionalFormatting sqref="D1274">
    <cfRule type="notContainsBlanks" dxfId="6" priority="6371">
      <formula>LEN(TRIM(D1274))&gt;0</formula>
    </cfRule>
  </conditionalFormatting>
  <conditionalFormatting sqref="D1275">
    <cfRule type="notContainsBlanks" dxfId="6" priority="6376">
      <formula>LEN(TRIM(D1275))&gt;0</formula>
    </cfRule>
  </conditionalFormatting>
  <conditionalFormatting sqref="D1276">
    <cfRule type="notContainsBlanks" dxfId="6" priority="6381">
      <formula>LEN(TRIM(D1276))&gt;0</formula>
    </cfRule>
  </conditionalFormatting>
  <conditionalFormatting sqref="D1277">
    <cfRule type="notContainsBlanks" dxfId="6" priority="6386">
      <formula>LEN(TRIM(D1277))&gt;0</formula>
    </cfRule>
  </conditionalFormatting>
  <conditionalFormatting sqref="D1278">
    <cfRule type="notContainsBlanks" dxfId="6" priority="6391">
      <formula>LEN(TRIM(D1278))&gt;0</formula>
    </cfRule>
  </conditionalFormatting>
  <conditionalFormatting sqref="D1279">
    <cfRule type="notContainsBlanks" dxfId="6" priority="6396">
      <formula>LEN(TRIM(D1279))&gt;0</formula>
    </cfRule>
  </conditionalFormatting>
  <conditionalFormatting sqref="D128">
    <cfRule type="notContainsBlanks" dxfId="6" priority="641">
      <formula>LEN(TRIM(D128))&gt;0</formula>
    </cfRule>
  </conditionalFormatting>
  <conditionalFormatting sqref="D1280">
    <cfRule type="notContainsBlanks" dxfId="6" priority="6401">
      <formula>LEN(TRIM(D1280))&gt;0</formula>
    </cfRule>
  </conditionalFormatting>
  <conditionalFormatting sqref="D1281">
    <cfRule type="notContainsBlanks" dxfId="6" priority="6406">
      <formula>LEN(TRIM(D1281))&gt;0</formula>
    </cfRule>
  </conditionalFormatting>
  <conditionalFormatting sqref="D1282">
    <cfRule type="notContainsBlanks" dxfId="6" priority="6411">
      <formula>LEN(TRIM(D1282))&gt;0</formula>
    </cfRule>
  </conditionalFormatting>
  <conditionalFormatting sqref="D1283">
    <cfRule type="notContainsBlanks" dxfId="6" priority="6416">
      <formula>LEN(TRIM(D1283))&gt;0</formula>
    </cfRule>
  </conditionalFormatting>
  <conditionalFormatting sqref="D1284">
    <cfRule type="notContainsBlanks" dxfId="6" priority="6421">
      <formula>LEN(TRIM(D1284))&gt;0</formula>
    </cfRule>
  </conditionalFormatting>
  <conditionalFormatting sqref="D1285">
    <cfRule type="notContainsBlanks" dxfId="6" priority="6426">
      <formula>LEN(TRIM(D1285))&gt;0</formula>
    </cfRule>
  </conditionalFormatting>
  <conditionalFormatting sqref="D1286">
    <cfRule type="notContainsBlanks" dxfId="6" priority="6431">
      <formula>LEN(TRIM(D1286))&gt;0</formula>
    </cfRule>
  </conditionalFormatting>
  <conditionalFormatting sqref="D1287">
    <cfRule type="notContainsBlanks" dxfId="6" priority="6436">
      <formula>LEN(TRIM(D1287))&gt;0</formula>
    </cfRule>
  </conditionalFormatting>
  <conditionalFormatting sqref="D1288">
    <cfRule type="notContainsBlanks" dxfId="6" priority="6441">
      <formula>LEN(TRIM(D1288))&gt;0</formula>
    </cfRule>
  </conditionalFormatting>
  <conditionalFormatting sqref="D1289">
    <cfRule type="notContainsBlanks" dxfId="6" priority="6446">
      <formula>LEN(TRIM(D1289))&gt;0</formula>
    </cfRule>
  </conditionalFormatting>
  <conditionalFormatting sqref="D129">
    <cfRule type="notContainsBlanks" dxfId="6" priority="646">
      <formula>LEN(TRIM(D129))&gt;0</formula>
    </cfRule>
  </conditionalFormatting>
  <conditionalFormatting sqref="D1290">
    <cfRule type="notContainsBlanks" dxfId="6" priority="6451">
      <formula>LEN(TRIM(D1290))&gt;0</formula>
    </cfRule>
  </conditionalFormatting>
  <conditionalFormatting sqref="D1291">
    <cfRule type="notContainsBlanks" dxfId="6" priority="6456">
      <formula>LEN(TRIM(D1291))&gt;0</formula>
    </cfRule>
  </conditionalFormatting>
  <conditionalFormatting sqref="D1292">
    <cfRule type="notContainsBlanks" dxfId="6" priority="6461">
      <formula>LEN(TRIM(D1292))&gt;0</formula>
    </cfRule>
  </conditionalFormatting>
  <conditionalFormatting sqref="D1293">
    <cfRule type="notContainsBlanks" dxfId="6" priority="6466">
      <formula>LEN(TRIM(D1293))&gt;0</formula>
    </cfRule>
  </conditionalFormatting>
  <conditionalFormatting sqref="D13">
    <cfRule type="notContainsBlanks" dxfId="6" priority="66">
      <formula>LEN(TRIM(D13))&gt;0</formula>
    </cfRule>
  </conditionalFormatting>
  <conditionalFormatting sqref="D130">
    <cfRule type="notContainsBlanks" dxfId="6" priority="651">
      <formula>LEN(TRIM(D130))&gt;0</formula>
    </cfRule>
  </conditionalFormatting>
  <conditionalFormatting sqref="D131">
    <cfRule type="notContainsBlanks" dxfId="6" priority="656">
      <formula>LEN(TRIM(D131))&gt;0</formula>
    </cfRule>
  </conditionalFormatting>
  <conditionalFormatting sqref="D132">
    <cfRule type="notContainsBlanks" dxfId="6" priority="661">
      <formula>LEN(TRIM(D132))&gt;0</formula>
    </cfRule>
  </conditionalFormatting>
  <conditionalFormatting sqref="D133">
    <cfRule type="notContainsBlanks" dxfId="6" priority="666">
      <formula>LEN(TRIM(D133))&gt;0</formula>
    </cfRule>
  </conditionalFormatting>
  <conditionalFormatting sqref="D134">
    <cfRule type="notContainsBlanks" dxfId="6" priority="671">
      <formula>LEN(TRIM(D134))&gt;0</formula>
    </cfRule>
  </conditionalFormatting>
  <conditionalFormatting sqref="D135">
    <cfRule type="notContainsBlanks" dxfId="6" priority="676">
      <formula>LEN(TRIM(D135))&gt;0</formula>
    </cfRule>
  </conditionalFormatting>
  <conditionalFormatting sqref="D136">
    <cfRule type="notContainsBlanks" dxfId="6" priority="681">
      <formula>LEN(TRIM(D136))&gt;0</formula>
    </cfRule>
  </conditionalFormatting>
  <conditionalFormatting sqref="D137">
    <cfRule type="notContainsBlanks" dxfId="6" priority="686">
      <formula>LEN(TRIM(D137))&gt;0</formula>
    </cfRule>
  </conditionalFormatting>
  <conditionalFormatting sqref="D138">
    <cfRule type="notContainsBlanks" dxfId="6" priority="691">
      <formula>LEN(TRIM(D138))&gt;0</formula>
    </cfRule>
  </conditionalFormatting>
  <conditionalFormatting sqref="D139">
    <cfRule type="notContainsBlanks" dxfId="6" priority="696">
      <formula>LEN(TRIM(D139))&gt;0</formula>
    </cfRule>
  </conditionalFormatting>
  <conditionalFormatting sqref="D14">
    <cfRule type="notContainsBlanks" dxfId="6" priority="71">
      <formula>LEN(TRIM(D14))&gt;0</formula>
    </cfRule>
  </conditionalFormatting>
  <conditionalFormatting sqref="D140">
    <cfRule type="notContainsBlanks" dxfId="6" priority="701">
      <formula>LEN(TRIM(D140))&gt;0</formula>
    </cfRule>
  </conditionalFormatting>
  <conditionalFormatting sqref="D141">
    <cfRule type="notContainsBlanks" dxfId="6" priority="706">
      <formula>LEN(TRIM(D141))&gt;0</formula>
    </cfRule>
  </conditionalFormatting>
  <conditionalFormatting sqref="D142">
    <cfRule type="notContainsBlanks" dxfId="6" priority="711">
      <formula>LEN(TRIM(D142))&gt;0</formula>
    </cfRule>
  </conditionalFormatting>
  <conditionalFormatting sqref="D143">
    <cfRule type="notContainsBlanks" dxfId="6" priority="716">
      <formula>LEN(TRIM(D143))&gt;0</formula>
    </cfRule>
  </conditionalFormatting>
  <conditionalFormatting sqref="D144">
    <cfRule type="notContainsBlanks" dxfId="6" priority="721">
      <formula>LEN(TRIM(D144))&gt;0</formula>
    </cfRule>
  </conditionalFormatting>
  <conditionalFormatting sqref="D145">
    <cfRule type="notContainsBlanks" dxfId="6" priority="726">
      <formula>LEN(TRIM(D145))&gt;0</formula>
    </cfRule>
  </conditionalFormatting>
  <conditionalFormatting sqref="D146">
    <cfRule type="notContainsBlanks" dxfId="6" priority="731">
      <formula>LEN(TRIM(D146))&gt;0</formula>
    </cfRule>
  </conditionalFormatting>
  <conditionalFormatting sqref="D147">
    <cfRule type="notContainsBlanks" dxfId="6" priority="736">
      <formula>LEN(TRIM(D147))&gt;0</formula>
    </cfRule>
  </conditionalFormatting>
  <conditionalFormatting sqref="D148">
    <cfRule type="notContainsBlanks" dxfId="6" priority="741">
      <formula>LEN(TRIM(D148))&gt;0</formula>
    </cfRule>
  </conditionalFormatting>
  <conditionalFormatting sqref="D149">
    <cfRule type="notContainsBlanks" dxfId="6" priority="746">
      <formula>LEN(TRIM(D149))&gt;0</formula>
    </cfRule>
  </conditionalFormatting>
  <conditionalFormatting sqref="D15">
    <cfRule type="notContainsBlanks" dxfId="6" priority="76">
      <formula>LEN(TRIM(D15))&gt;0</formula>
    </cfRule>
  </conditionalFormatting>
  <conditionalFormatting sqref="D150">
    <cfRule type="notContainsBlanks" dxfId="6" priority="751">
      <formula>LEN(TRIM(D150))&gt;0</formula>
    </cfRule>
  </conditionalFormatting>
  <conditionalFormatting sqref="D151">
    <cfRule type="notContainsBlanks" dxfId="6" priority="756">
      <formula>LEN(TRIM(D151))&gt;0</formula>
    </cfRule>
  </conditionalFormatting>
  <conditionalFormatting sqref="D152">
    <cfRule type="notContainsBlanks" dxfId="6" priority="761">
      <formula>LEN(TRIM(D152))&gt;0</formula>
    </cfRule>
  </conditionalFormatting>
  <conditionalFormatting sqref="D153">
    <cfRule type="notContainsBlanks" dxfId="6" priority="766">
      <formula>LEN(TRIM(D153))&gt;0</formula>
    </cfRule>
  </conditionalFormatting>
  <conditionalFormatting sqref="D154">
    <cfRule type="notContainsBlanks" dxfId="6" priority="771">
      <formula>LEN(TRIM(D154))&gt;0</formula>
    </cfRule>
  </conditionalFormatting>
  <conditionalFormatting sqref="D155">
    <cfRule type="notContainsBlanks" dxfId="6" priority="776">
      <formula>LEN(TRIM(D155))&gt;0</formula>
    </cfRule>
  </conditionalFormatting>
  <conditionalFormatting sqref="D156">
    <cfRule type="notContainsBlanks" dxfId="6" priority="781">
      <formula>LEN(TRIM(D156))&gt;0</formula>
    </cfRule>
  </conditionalFormatting>
  <conditionalFormatting sqref="D157">
    <cfRule type="notContainsBlanks" dxfId="6" priority="786">
      <formula>LEN(TRIM(D157))&gt;0</formula>
    </cfRule>
  </conditionalFormatting>
  <conditionalFormatting sqref="D158">
    <cfRule type="notContainsBlanks" dxfId="6" priority="791">
      <formula>LEN(TRIM(D158))&gt;0</formula>
    </cfRule>
  </conditionalFormatting>
  <conditionalFormatting sqref="D159">
    <cfRule type="notContainsBlanks" dxfId="6" priority="796">
      <formula>LEN(TRIM(D159))&gt;0</formula>
    </cfRule>
  </conditionalFormatting>
  <conditionalFormatting sqref="D16">
    <cfRule type="notContainsBlanks" dxfId="6" priority="81">
      <formula>LEN(TRIM(D16))&gt;0</formula>
    </cfRule>
  </conditionalFormatting>
  <conditionalFormatting sqref="D160">
    <cfRule type="notContainsBlanks" dxfId="6" priority="801">
      <formula>LEN(TRIM(D160))&gt;0</formula>
    </cfRule>
  </conditionalFormatting>
  <conditionalFormatting sqref="D161">
    <cfRule type="notContainsBlanks" dxfId="6" priority="806">
      <formula>LEN(TRIM(D161))&gt;0</formula>
    </cfRule>
  </conditionalFormatting>
  <conditionalFormatting sqref="D162">
    <cfRule type="notContainsBlanks" dxfId="6" priority="811">
      <formula>LEN(TRIM(D162))&gt;0</formula>
    </cfRule>
  </conditionalFormatting>
  <conditionalFormatting sqref="D163">
    <cfRule type="notContainsBlanks" dxfId="6" priority="816">
      <formula>LEN(TRIM(D163))&gt;0</formula>
    </cfRule>
  </conditionalFormatting>
  <conditionalFormatting sqref="D164">
    <cfRule type="notContainsBlanks" dxfId="6" priority="821">
      <formula>LEN(TRIM(D164))&gt;0</formula>
    </cfRule>
  </conditionalFormatting>
  <conditionalFormatting sqref="D165">
    <cfRule type="notContainsBlanks" dxfId="6" priority="826">
      <formula>LEN(TRIM(D165))&gt;0</formula>
    </cfRule>
  </conditionalFormatting>
  <conditionalFormatting sqref="D166">
    <cfRule type="notContainsBlanks" dxfId="6" priority="831">
      <formula>LEN(TRIM(D166))&gt;0</formula>
    </cfRule>
  </conditionalFormatting>
  <conditionalFormatting sqref="D167">
    <cfRule type="notContainsBlanks" dxfId="6" priority="836">
      <formula>LEN(TRIM(D167))&gt;0</formula>
    </cfRule>
  </conditionalFormatting>
  <conditionalFormatting sqref="D168">
    <cfRule type="notContainsBlanks" dxfId="6" priority="841">
      <formula>LEN(TRIM(D168))&gt;0</formula>
    </cfRule>
  </conditionalFormatting>
  <conditionalFormatting sqref="D169">
    <cfRule type="notContainsBlanks" dxfId="6" priority="846">
      <formula>LEN(TRIM(D169))&gt;0</formula>
    </cfRule>
  </conditionalFormatting>
  <conditionalFormatting sqref="D17">
    <cfRule type="notContainsBlanks" dxfId="6" priority="86">
      <formula>LEN(TRIM(D17))&gt;0</formula>
    </cfRule>
  </conditionalFormatting>
  <conditionalFormatting sqref="D170">
    <cfRule type="notContainsBlanks" dxfId="6" priority="851">
      <formula>LEN(TRIM(D170))&gt;0</formula>
    </cfRule>
  </conditionalFormatting>
  <conditionalFormatting sqref="D171">
    <cfRule type="notContainsBlanks" dxfId="6" priority="856">
      <formula>LEN(TRIM(D171))&gt;0</formula>
    </cfRule>
  </conditionalFormatting>
  <conditionalFormatting sqref="D172">
    <cfRule type="notContainsBlanks" dxfId="6" priority="861">
      <formula>LEN(TRIM(D172))&gt;0</formula>
    </cfRule>
  </conditionalFormatting>
  <conditionalFormatting sqref="D173">
    <cfRule type="notContainsBlanks" dxfId="6" priority="866">
      <formula>LEN(TRIM(D173))&gt;0</formula>
    </cfRule>
  </conditionalFormatting>
  <conditionalFormatting sqref="D174">
    <cfRule type="notContainsBlanks" dxfId="6" priority="871">
      <formula>LEN(TRIM(D174))&gt;0</formula>
    </cfRule>
  </conditionalFormatting>
  <conditionalFormatting sqref="D175">
    <cfRule type="notContainsBlanks" dxfId="6" priority="876">
      <formula>LEN(TRIM(D175))&gt;0</formula>
    </cfRule>
  </conditionalFormatting>
  <conditionalFormatting sqref="D176">
    <cfRule type="notContainsBlanks" dxfId="6" priority="881">
      <formula>LEN(TRIM(D176))&gt;0</formula>
    </cfRule>
  </conditionalFormatting>
  <conditionalFormatting sqref="D177">
    <cfRule type="notContainsBlanks" dxfId="6" priority="886">
      <formula>LEN(TRIM(D177))&gt;0</formula>
    </cfRule>
  </conditionalFormatting>
  <conditionalFormatting sqref="D178">
    <cfRule type="notContainsBlanks" dxfId="6" priority="891">
      <formula>LEN(TRIM(D178))&gt;0</formula>
    </cfRule>
  </conditionalFormatting>
  <conditionalFormatting sqref="D179">
    <cfRule type="notContainsBlanks" dxfId="6" priority="896">
      <formula>LEN(TRIM(D179))&gt;0</formula>
    </cfRule>
  </conditionalFormatting>
  <conditionalFormatting sqref="D18">
    <cfRule type="notContainsBlanks" dxfId="6" priority="91">
      <formula>LEN(TRIM(D18))&gt;0</formula>
    </cfRule>
  </conditionalFormatting>
  <conditionalFormatting sqref="D180">
    <cfRule type="notContainsBlanks" dxfId="6" priority="901">
      <formula>LEN(TRIM(D180))&gt;0</formula>
    </cfRule>
  </conditionalFormatting>
  <conditionalFormatting sqref="D181">
    <cfRule type="notContainsBlanks" dxfId="6" priority="906">
      <formula>LEN(TRIM(D181))&gt;0</formula>
    </cfRule>
  </conditionalFormatting>
  <conditionalFormatting sqref="D182">
    <cfRule type="notContainsBlanks" dxfId="6" priority="911">
      <formula>LEN(TRIM(D182))&gt;0</formula>
    </cfRule>
  </conditionalFormatting>
  <conditionalFormatting sqref="D183">
    <cfRule type="notContainsBlanks" dxfId="6" priority="916">
      <formula>LEN(TRIM(D183))&gt;0</formula>
    </cfRule>
  </conditionalFormatting>
  <conditionalFormatting sqref="D184">
    <cfRule type="notContainsBlanks" dxfId="6" priority="921">
      <formula>LEN(TRIM(D184))&gt;0</formula>
    </cfRule>
  </conditionalFormatting>
  <conditionalFormatting sqref="D185">
    <cfRule type="notContainsBlanks" dxfId="6" priority="926">
      <formula>LEN(TRIM(D185))&gt;0</formula>
    </cfRule>
  </conditionalFormatting>
  <conditionalFormatting sqref="D186">
    <cfRule type="notContainsBlanks" dxfId="6" priority="931">
      <formula>LEN(TRIM(D186))&gt;0</formula>
    </cfRule>
  </conditionalFormatting>
  <conditionalFormatting sqref="D187">
    <cfRule type="notContainsBlanks" dxfId="6" priority="936">
      <formula>LEN(TRIM(D187))&gt;0</formula>
    </cfRule>
  </conditionalFormatting>
  <conditionalFormatting sqref="D188">
    <cfRule type="notContainsBlanks" dxfId="6" priority="941">
      <formula>LEN(TRIM(D188))&gt;0</formula>
    </cfRule>
  </conditionalFormatting>
  <conditionalFormatting sqref="D189">
    <cfRule type="notContainsBlanks" dxfId="6" priority="946">
      <formula>LEN(TRIM(D189))&gt;0</formula>
    </cfRule>
  </conditionalFormatting>
  <conditionalFormatting sqref="D19">
    <cfRule type="notContainsBlanks" dxfId="6" priority="96">
      <formula>LEN(TRIM(D19))&gt;0</formula>
    </cfRule>
  </conditionalFormatting>
  <conditionalFormatting sqref="D190">
    <cfRule type="notContainsBlanks" dxfId="6" priority="951">
      <formula>LEN(TRIM(D190))&gt;0</formula>
    </cfRule>
  </conditionalFormatting>
  <conditionalFormatting sqref="D191">
    <cfRule type="notContainsBlanks" dxfId="6" priority="956">
      <formula>LEN(TRIM(D191))&gt;0</formula>
    </cfRule>
  </conditionalFormatting>
  <conditionalFormatting sqref="D192">
    <cfRule type="notContainsBlanks" dxfId="6" priority="961">
      <formula>LEN(TRIM(D192))&gt;0</formula>
    </cfRule>
  </conditionalFormatting>
  <conditionalFormatting sqref="D193">
    <cfRule type="notContainsBlanks" dxfId="6" priority="966">
      <formula>LEN(TRIM(D193))&gt;0</formula>
    </cfRule>
  </conditionalFormatting>
  <conditionalFormatting sqref="D194">
    <cfRule type="notContainsBlanks" dxfId="6" priority="971">
      <formula>LEN(TRIM(D194))&gt;0</formula>
    </cfRule>
  </conditionalFormatting>
  <conditionalFormatting sqref="D195">
    <cfRule type="notContainsBlanks" dxfId="6" priority="976">
      <formula>LEN(TRIM(D195))&gt;0</formula>
    </cfRule>
  </conditionalFormatting>
  <conditionalFormatting sqref="D196">
    <cfRule type="notContainsBlanks" dxfId="6" priority="981">
      <formula>LEN(TRIM(D196))&gt;0</formula>
    </cfRule>
  </conditionalFormatting>
  <conditionalFormatting sqref="D197">
    <cfRule type="notContainsBlanks" dxfId="6" priority="986">
      <formula>LEN(TRIM(D197))&gt;0</formula>
    </cfRule>
  </conditionalFormatting>
  <conditionalFormatting sqref="D198">
    <cfRule type="notContainsBlanks" dxfId="6" priority="991">
      <formula>LEN(TRIM(D198))&gt;0</formula>
    </cfRule>
  </conditionalFormatting>
  <conditionalFormatting sqref="D199">
    <cfRule type="notContainsBlanks" dxfId="6" priority="996">
      <formula>LEN(TRIM(D199))&gt;0</formula>
    </cfRule>
  </conditionalFormatting>
  <conditionalFormatting sqref="D2">
    <cfRule type="notContainsBlanks" dxfId="6" priority="11">
      <formula>LEN(TRIM(D2))&gt;0</formula>
    </cfRule>
  </conditionalFormatting>
  <conditionalFormatting sqref="D20">
    <cfRule type="notContainsBlanks" dxfId="6" priority="101">
      <formula>LEN(TRIM(D20))&gt;0</formula>
    </cfRule>
  </conditionalFormatting>
  <conditionalFormatting sqref="D200">
    <cfRule type="notContainsBlanks" dxfId="6" priority="1001">
      <formula>LEN(TRIM(D200))&gt;0</formula>
    </cfRule>
  </conditionalFormatting>
  <conditionalFormatting sqref="D201">
    <cfRule type="notContainsBlanks" dxfId="6" priority="1006">
      <formula>LEN(TRIM(D201))&gt;0</formula>
    </cfRule>
  </conditionalFormatting>
  <conditionalFormatting sqref="D202">
    <cfRule type="notContainsBlanks" dxfId="6" priority="1011">
      <formula>LEN(TRIM(D202))&gt;0</formula>
    </cfRule>
  </conditionalFormatting>
  <conditionalFormatting sqref="D203">
    <cfRule type="notContainsBlanks" dxfId="6" priority="1016">
      <formula>LEN(TRIM(D203))&gt;0</formula>
    </cfRule>
  </conditionalFormatting>
  <conditionalFormatting sqref="D204">
    <cfRule type="notContainsBlanks" dxfId="6" priority="1021">
      <formula>LEN(TRIM(D204))&gt;0</formula>
    </cfRule>
  </conditionalFormatting>
  <conditionalFormatting sqref="D205">
    <cfRule type="notContainsBlanks" dxfId="6" priority="1026">
      <formula>LEN(TRIM(D205))&gt;0</formula>
    </cfRule>
  </conditionalFormatting>
  <conditionalFormatting sqref="D206">
    <cfRule type="notContainsBlanks" dxfId="6" priority="1031">
      <formula>LEN(TRIM(D206))&gt;0</formula>
    </cfRule>
  </conditionalFormatting>
  <conditionalFormatting sqref="D207">
    <cfRule type="notContainsBlanks" dxfId="6" priority="1036">
      <formula>LEN(TRIM(D207))&gt;0</formula>
    </cfRule>
  </conditionalFormatting>
  <conditionalFormatting sqref="D208">
    <cfRule type="notContainsBlanks" dxfId="6" priority="1041">
      <formula>LEN(TRIM(D208))&gt;0</formula>
    </cfRule>
  </conditionalFormatting>
  <conditionalFormatting sqref="D209">
    <cfRule type="notContainsBlanks" dxfId="6" priority="1046">
      <formula>LEN(TRIM(D209))&gt;0</formula>
    </cfRule>
  </conditionalFormatting>
  <conditionalFormatting sqref="D21">
    <cfRule type="notContainsBlanks" dxfId="6" priority="106">
      <formula>LEN(TRIM(D21))&gt;0</formula>
    </cfRule>
  </conditionalFormatting>
  <conditionalFormatting sqref="D210">
    <cfRule type="notContainsBlanks" dxfId="6" priority="1051">
      <formula>LEN(TRIM(D210))&gt;0</formula>
    </cfRule>
  </conditionalFormatting>
  <conditionalFormatting sqref="D211">
    <cfRule type="notContainsBlanks" dxfId="6" priority="1056">
      <formula>LEN(TRIM(D211))&gt;0</formula>
    </cfRule>
  </conditionalFormatting>
  <conditionalFormatting sqref="D212">
    <cfRule type="notContainsBlanks" dxfId="6" priority="1061">
      <formula>LEN(TRIM(D212))&gt;0</formula>
    </cfRule>
  </conditionalFormatting>
  <conditionalFormatting sqref="D213">
    <cfRule type="notContainsBlanks" dxfId="6" priority="1066">
      <formula>LEN(TRIM(D213))&gt;0</formula>
    </cfRule>
  </conditionalFormatting>
  <conditionalFormatting sqref="D214">
    <cfRule type="notContainsBlanks" dxfId="6" priority="1071">
      <formula>LEN(TRIM(D214))&gt;0</formula>
    </cfRule>
  </conditionalFormatting>
  <conditionalFormatting sqref="D215">
    <cfRule type="notContainsBlanks" dxfId="6" priority="1076">
      <formula>LEN(TRIM(D215))&gt;0</formula>
    </cfRule>
  </conditionalFormatting>
  <conditionalFormatting sqref="D216">
    <cfRule type="notContainsBlanks" dxfId="6" priority="1081">
      <formula>LEN(TRIM(D216))&gt;0</formula>
    </cfRule>
  </conditionalFormatting>
  <conditionalFormatting sqref="D217">
    <cfRule type="notContainsBlanks" dxfId="6" priority="1086">
      <formula>LEN(TRIM(D217))&gt;0</formula>
    </cfRule>
  </conditionalFormatting>
  <conditionalFormatting sqref="D218">
    <cfRule type="notContainsBlanks" dxfId="6" priority="1091">
      <formula>LEN(TRIM(D218))&gt;0</formula>
    </cfRule>
  </conditionalFormatting>
  <conditionalFormatting sqref="D219">
    <cfRule type="notContainsBlanks" dxfId="6" priority="1096">
      <formula>LEN(TRIM(D219))&gt;0</formula>
    </cfRule>
  </conditionalFormatting>
  <conditionalFormatting sqref="D22">
    <cfRule type="notContainsBlanks" dxfId="6" priority="111">
      <formula>LEN(TRIM(D22))&gt;0</formula>
    </cfRule>
  </conditionalFormatting>
  <conditionalFormatting sqref="D220">
    <cfRule type="notContainsBlanks" dxfId="6" priority="1101">
      <formula>LEN(TRIM(D220))&gt;0</formula>
    </cfRule>
  </conditionalFormatting>
  <conditionalFormatting sqref="D221">
    <cfRule type="notContainsBlanks" dxfId="6" priority="1106">
      <formula>LEN(TRIM(D221))&gt;0</formula>
    </cfRule>
  </conditionalFormatting>
  <conditionalFormatting sqref="D222">
    <cfRule type="notContainsBlanks" dxfId="6" priority="1111">
      <formula>LEN(TRIM(D222))&gt;0</formula>
    </cfRule>
  </conditionalFormatting>
  <conditionalFormatting sqref="D223">
    <cfRule type="notContainsBlanks" dxfId="6" priority="1116">
      <formula>LEN(TRIM(D223))&gt;0</formula>
    </cfRule>
  </conditionalFormatting>
  <conditionalFormatting sqref="D224">
    <cfRule type="notContainsBlanks" dxfId="6" priority="1121">
      <formula>LEN(TRIM(D224))&gt;0</formula>
    </cfRule>
  </conditionalFormatting>
  <conditionalFormatting sqref="D225">
    <cfRule type="notContainsBlanks" dxfId="6" priority="1126">
      <formula>LEN(TRIM(D225))&gt;0</formula>
    </cfRule>
  </conditionalFormatting>
  <conditionalFormatting sqref="D226">
    <cfRule type="notContainsBlanks" dxfId="6" priority="1131">
      <formula>LEN(TRIM(D226))&gt;0</formula>
    </cfRule>
  </conditionalFormatting>
  <conditionalFormatting sqref="D227">
    <cfRule type="notContainsBlanks" dxfId="6" priority="1136">
      <formula>LEN(TRIM(D227))&gt;0</formula>
    </cfRule>
  </conditionalFormatting>
  <conditionalFormatting sqref="D228">
    <cfRule type="notContainsBlanks" dxfId="6" priority="1141">
      <formula>LEN(TRIM(D228))&gt;0</formula>
    </cfRule>
  </conditionalFormatting>
  <conditionalFormatting sqref="D229">
    <cfRule type="notContainsBlanks" dxfId="6" priority="1146">
      <formula>LEN(TRIM(D229))&gt;0</formula>
    </cfRule>
  </conditionalFormatting>
  <conditionalFormatting sqref="D23">
    <cfRule type="notContainsBlanks" dxfId="6" priority="116">
      <formula>LEN(TRIM(D23))&gt;0</formula>
    </cfRule>
  </conditionalFormatting>
  <conditionalFormatting sqref="D230">
    <cfRule type="notContainsBlanks" dxfId="6" priority="1151">
      <formula>LEN(TRIM(D230))&gt;0</formula>
    </cfRule>
  </conditionalFormatting>
  <conditionalFormatting sqref="D231">
    <cfRule type="notContainsBlanks" dxfId="6" priority="1156">
      <formula>LEN(TRIM(D231))&gt;0</formula>
    </cfRule>
  </conditionalFormatting>
  <conditionalFormatting sqref="D232">
    <cfRule type="notContainsBlanks" dxfId="6" priority="1161">
      <formula>LEN(TRIM(D232))&gt;0</formula>
    </cfRule>
  </conditionalFormatting>
  <conditionalFormatting sqref="D233">
    <cfRule type="notContainsBlanks" dxfId="6" priority="1166">
      <formula>LEN(TRIM(D233))&gt;0</formula>
    </cfRule>
  </conditionalFormatting>
  <conditionalFormatting sqref="D234">
    <cfRule type="notContainsBlanks" dxfId="6" priority="1171">
      <formula>LEN(TRIM(D234))&gt;0</formula>
    </cfRule>
  </conditionalFormatting>
  <conditionalFormatting sqref="D235">
    <cfRule type="notContainsBlanks" dxfId="6" priority="1176">
      <formula>LEN(TRIM(D235))&gt;0</formula>
    </cfRule>
  </conditionalFormatting>
  <conditionalFormatting sqref="D236">
    <cfRule type="notContainsBlanks" dxfId="6" priority="1181">
      <formula>LEN(TRIM(D236))&gt;0</formula>
    </cfRule>
  </conditionalFormatting>
  <conditionalFormatting sqref="D237">
    <cfRule type="notContainsBlanks" dxfId="6" priority="1186">
      <formula>LEN(TRIM(D237))&gt;0</formula>
    </cfRule>
  </conditionalFormatting>
  <conditionalFormatting sqref="D238">
    <cfRule type="notContainsBlanks" dxfId="6" priority="1191">
      <formula>LEN(TRIM(D238))&gt;0</formula>
    </cfRule>
  </conditionalFormatting>
  <conditionalFormatting sqref="D239">
    <cfRule type="notContainsBlanks" dxfId="6" priority="1196">
      <formula>LEN(TRIM(D239))&gt;0</formula>
    </cfRule>
  </conditionalFormatting>
  <conditionalFormatting sqref="D24">
    <cfRule type="notContainsBlanks" dxfId="6" priority="121">
      <formula>LEN(TRIM(D24))&gt;0</formula>
    </cfRule>
  </conditionalFormatting>
  <conditionalFormatting sqref="D240">
    <cfRule type="notContainsBlanks" dxfId="6" priority="1201">
      <formula>LEN(TRIM(D240))&gt;0</formula>
    </cfRule>
  </conditionalFormatting>
  <conditionalFormatting sqref="D241">
    <cfRule type="notContainsBlanks" dxfId="6" priority="1206">
      <formula>LEN(TRIM(D241))&gt;0</formula>
    </cfRule>
  </conditionalFormatting>
  <conditionalFormatting sqref="D242">
    <cfRule type="notContainsBlanks" dxfId="6" priority="1211">
      <formula>LEN(TRIM(D242))&gt;0</formula>
    </cfRule>
  </conditionalFormatting>
  <conditionalFormatting sqref="D243">
    <cfRule type="notContainsBlanks" dxfId="6" priority="1216">
      <formula>LEN(TRIM(D243))&gt;0</formula>
    </cfRule>
  </conditionalFormatting>
  <conditionalFormatting sqref="D244">
    <cfRule type="notContainsBlanks" dxfId="6" priority="1221">
      <formula>LEN(TRIM(D244))&gt;0</formula>
    </cfRule>
  </conditionalFormatting>
  <conditionalFormatting sqref="D245">
    <cfRule type="notContainsBlanks" dxfId="6" priority="1226">
      <formula>LEN(TRIM(D245))&gt;0</formula>
    </cfRule>
  </conditionalFormatting>
  <conditionalFormatting sqref="D246">
    <cfRule type="notContainsBlanks" dxfId="6" priority="1231">
      <formula>LEN(TRIM(D246))&gt;0</formula>
    </cfRule>
  </conditionalFormatting>
  <conditionalFormatting sqref="D247">
    <cfRule type="notContainsBlanks" dxfId="6" priority="1236">
      <formula>LEN(TRIM(D247))&gt;0</formula>
    </cfRule>
  </conditionalFormatting>
  <conditionalFormatting sqref="D248">
    <cfRule type="notContainsBlanks" dxfId="6" priority="1241">
      <formula>LEN(TRIM(D248))&gt;0</formula>
    </cfRule>
  </conditionalFormatting>
  <conditionalFormatting sqref="D249">
    <cfRule type="notContainsBlanks" dxfId="6" priority="1246">
      <formula>LEN(TRIM(D249))&gt;0</formula>
    </cfRule>
  </conditionalFormatting>
  <conditionalFormatting sqref="D25">
    <cfRule type="notContainsBlanks" dxfId="6" priority="126">
      <formula>LEN(TRIM(D25))&gt;0</formula>
    </cfRule>
  </conditionalFormatting>
  <conditionalFormatting sqref="D250">
    <cfRule type="notContainsBlanks" dxfId="6" priority="1251">
      <formula>LEN(TRIM(D250))&gt;0</formula>
    </cfRule>
  </conditionalFormatting>
  <conditionalFormatting sqref="D251">
    <cfRule type="notContainsBlanks" dxfId="6" priority="1256">
      <formula>LEN(TRIM(D251))&gt;0</formula>
    </cfRule>
  </conditionalFormatting>
  <conditionalFormatting sqref="D252">
    <cfRule type="notContainsBlanks" dxfId="6" priority="1261">
      <formula>LEN(TRIM(D252))&gt;0</formula>
    </cfRule>
  </conditionalFormatting>
  <conditionalFormatting sqref="D253">
    <cfRule type="notContainsBlanks" dxfId="6" priority="1266">
      <formula>LEN(TRIM(D253))&gt;0</formula>
    </cfRule>
  </conditionalFormatting>
  <conditionalFormatting sqref="D254">
    <cfRule type="notContainsBlanks" dxfId="6" priority="1271">
      <formula>LEN(TRIM(D254))&gt;0</formula>
    </cfRule>
  </conditionalFormatting>
  <conditionalFormatting sqref="D255">
    <cfRule type="notContainsBlanks" dxfId="6" priority="1276">
      <formula>LEN(TRIM(D255))&gt;0</formula>
    </cfRule>
  </conditionalFormatting>
  <conditionalFormatting sqref="D256">
    <cfRule type="notContainsBlanks" dxfId="6" priority="1281">
      <formula>LEN(TRIM(D256))&gt;0</formula>
    </cfRule>
  </conditionalFormatting>
  <conditionalFormatting sqref="D257">
    <cfRule type="notContainsBlanks" dxfId="6" priority="1286">
      <formula>LEN(TRIM(D257))&gt;0</formula>
    </cfRule>
  </conditionalFormatting>
  <conditionalFormatting sqref="D258">
    <cfRule type="notContainsBlanks" dxfId="6" priority="1291">
      <formula>LEN(TRIM(D258))&gt;0</formula>
    </cfRule>
  </conditionalFormatting>
  <conditionalFormatting sqref="D259">
    <cfRule type="notContainsBlanks" dxfId="6" priority="1296">
      <formula>LEN(TRIM(D259))&gt;0</formula>
    </cfRule>
  </conditionalFormatting>
  <conditionalFormatting sqref="D26">
    <cfRule type="notContainsBlanks" dxfId="6" priority="131">
      <formula>LEN(TRIM(D26))&gt;0</formula>
    </cfRule>
  </conditionalFormatting>
  <conditionalFormatting sqref="D260">
    <cfRule type="notContainsBlanks" dxfId="6" priority="1301">
      <formula>LEN(TRIM(D260))&gt;0</formula>
    </cfRule>
  </conditionalFormatting>
  <conditionalFormatting sqref="D261">
    <cfRule type="notContainsBlanks" dxfId="6" priority="1306">
      <formula>LEN(TRIM(D261))&gt;0</formula>
    </cfRule>
  </conditionalFormatting>
  <conditionalFormatting sqref="D262">
    <cfRule type="notContainsBlanks" dxfId="6" priority="1311">
      <formula>LEN(TRIM(D262))&gt;0</formula>
    </cfRule>
  </conditionalFormatting>
  <conditionalFormatting sqref="D263">
    <cfRule type="notContainsBlanks" dxfId="6" priority="1316">
      <formula>LEN(TRIM(D263))&gt;0</formula>
    </cfRule>
  </conditionalFormatting>
  <conditionalFormatting sqref="D264">
    <cfRule type="notContainsBlanks" dxfId="6" priority="1321">
      <formula>LEN(TRIM(D264))&gt;0</formula>
    </cfRule>
  </conditionalFormatting>
  <conditionalFormatting sqref="D265">
    <cfRule type="notContainsBlanks" dxfId="6" priority="1326">
      <formula>LEN(TRIM(D265))&gt;0</formula>
    </cfRule>
  </conditionalFormatting>
  <conditionalFormatting sqref="D266">
    <cfRule type="notContainsBlanks" dxfId="6" priority="1331">
      <formula>LEN(TRIM(D266))&gt;0</formula>
    </cfRule>
  </conditionalFormatting>
  <conditionalFormatting sqref="D267">
    <cfRule type="notContainsBlanks" dxfId="6" priority="1336">
      <formula>LEN(TRIM(D267))&gt;0</formula>
    </cfRule>
  </conditionalFormatting>
  <conditionalFormatting sqref="D268">
    <cfRule type="notContainsBlanks" dxfId="6" priority="1341">
      <formula>LEN(TRIM(D268))&gt;0</formula>
    </cfRule>
  </conditionalFormatting>
  <conditionalFormatting sqref="D269">
    <cfRule type="notContainsBlanks" dxfId="6" priority="1346">
      <formula>LEN(TRIM(D269))&gt;0</formula>
    </cfRule>
  </conditionalFormatting>
  <conditionalFormatting sqref="D27">
    <cfRule type="notContainsBlanks" dxfId="6" priority="136">
      <formula>LEN(TRIM(D27))&gt;0</formula>
    </cfRule>
  </conditionalFormatting>
  <conditionalFormatting sqref="D270">
    <cfRule type="notContainsBlanks" dxfId="6" priority="1351">
      <formula>LEN(TRIM(D270))&gt;0</formula>
    </cfRule>
  </conditionalFormatting>
  <conditionalFormatting sqref="D271">
    <cfRule type="notContainsBlanks" dxfId="6" priority="1356">
      <formula>LEN(TRIM(D271))&gt;0</formula>
    </cfRule>
  </conditionalFormatting>
  <conditionalFormatting sqref="D272">
    <cfRule type="notContainsBlanks" dxfId="6" priority="1361">
      <formula>LEN(TRIM(D272))&gt;0</formula>
    </cfRule>
  </conditionalFormatting>
  <conditionalFormatting sqref="D273">
    <cfRule type="notContainsBlanks" dxfId="6" priority="1366">
      <formula>LEN(TRIM(D273))&gt;0</formula>
    </cfRule>
  </conditionalFormatting>
  <conditionalFormatting sqref="D274">
    <cfRule type="notContainsBlanks" dxfId="6" priority="1371">
      <formula>LEN(TRIM(D274))&gt;0</formula>
    </cfRule>
  </conditionalFormatting>
  <conditionalFormatting sqref="D275">
    <cfRule type="notContainsBlanks" dxfId="6" priority="1376">
      <formula>LEN(TRIM(D275))&gt;0</formula>
    </cfRule>
  </conditionalFormatting>
  <conditionalFormatting sqref="D276">
    <cfRule type="notContainsBlanks" dxfId="6" priority="1381">
      <formula>LEN(TRIM(D276))&gt;0</formula>
    </cfRule>
  </conditionalFormatting>
  <conditionalFormatting sqref="D277">
    <cfRule type="notContainsBlanks" dxfId="6" priority="1386">
      <formula>LEN(TRIM(D277))&gt;0</formula>
    </cfRule>
  </conditionalFormatting>
  <conditionalFormatting sqref="D278">
    <cfRule type="notContainsBlanks" dxfId="6" priority="1391">
      <formula>LEN(TRIM(D278))&gt;0</formula>
    </cfRule>
  </conditionalFormatting>
  <conditionalFormatting sqref="D279">
    <cfRule type="notContainsBlanks" dxfId="6" priority="1396">
      <formula>LEN(TRIM(D279))&gt;0</formula>
    </cfRule>
  </conditionalFormatting>
  <conditionalFormatting sqref="D28">
    <cfRule type="notContainsBlanks" dxfId="6" priority="141">
      <formula>LEN(TRIM(D28))&gt;0</formula>
    </cfRule>
  </conditionalFormatting>
  <conditionalFormatting sqref="D280">
    <cfRule type="notContainsBlanks" dxfId="6" priority="1401">
      <formula>LEN(TRIM(D280))&gt;0</formula>
    </cfRule>
  </conditionalFormatting>
  <conditionalFormatting sqref="D281">
    <cfRule type="notContainsBlanks" dxfId="6" priority="1406">
      <formula>LEN(TRIM(D281))&gt;0</formula>
    </cfRule>
  </conditionalFormatting>
  <conditionalFormatting sqref="D282">
    <cfRule type="notContainsBlanks" dxfId="6" priority="1411">
      <formula>LEN(TRIM(D282))&gt;0</formula>
    </cfRule>
  </conditionalFormatting>
  <conditionalFormatting sqref="D283">
    <cfRule type="notContainsBlanks" dxfId="6" priority="1416">
      <formula>LEN(TRIM(D283))&gt;0</formula>
    </cfRule>
  </conditionalFormatting>
  <conditionalFormatting sqref="D284">
    <cfRule type="notContainsBlanks" dxfId="6" priority="1421">
      <formula>LEN(TRIM(D284))&gt;0</formula>
    </cfRule>
  </conditionalFormatting>
  <conditionalFormatting sqref="D285">
    <cfRule type="notContainsBlanks" dxfId="6" priority="1426">
      <formula>LEN(TRIM(D285))&gt;0</formula>
    </cfRule>
  </conditionalFormatting>
  <conditionalFormatting sqref="D286">
    <cfRule type="notContainsBlanks" dxfId="6" priority="1431">
      <formula>LEN(TRIM(D286))&gt;0</formula>
    </cfRule>
  </conditionalFormatting>
  <conditionalFormatting sqref="D287">
    <cfRule type="notContainsBlanks" dxfId="6" priority="1436">
      <formula>LEN(TRIM(D287))&gt;0</formula>
    </cfRule>
  </conditionalFormatting>
  <conditionalFormatting sqref="D288">
    <cfRule type="notContainsBlanks" dxfId="6" priority="1441">
      <formula>LEN(TRIM(D288))&gt;0</formula>
    </cfRule>
  </conditionalFormatting>
  <conditionalFormatting sqref="D289">
    <cfRule type="notContainsBlanks" dxfId="6" priority="1446">
      <formula>LEN(TRIM(D289))&gt;0</formula>
    </cfRule>
  </conditionalFormatting>
  <conditionalFormatting sqref="D29">
    <cfRule type="notContainsBlanks" dxfId="6" priority="146">
      <formula>LEN(TRIM(D29))&gt;0</formula>
    </cfRule>
  </conditionalFormatting>
  <conditionalFormatting sqref="D290">
    <cfRule type="notContainsBlanks" dxfId="6" priority="1451">
      <formula>LEN(TRIM(D290))&gt;0</formula>
    </cfRule>
  </conditionalFormatting>
  <conditionalFormatting sqref="D291">
    <cfRule type="notContainsBlanks" dxfId="6" priority="1456">
      <formula>LEN(TRIM(D291))&gt;0</formula>
    </cfRule>
  </conditionalFormatting>
  <conditionalFormatting sqref="D292">
    <cfRule type="notContainsBlanks" dxfId="6" priority="1461">
      <formula>LEN(TRIM(D292))&gt;0</formula>
    </cfRule>
  </conditionalFormatting>
  <conditionalFormatting sqref="D293">
    <cfRule type="notContainsBlanks" dxfId="6" priority="1466">
      <formula>LEN(TRIM(D293))&gt;0</formula>
    </cfRule>
  </conditionalFormatting>
  <conditionalFormatting sqref="D294">
    <cfRule type="notContainsBlanks" dxfId="6" priority="1471">
      <formula>LEN(TRIM(D294))&gt;0</formula>
    </cfRule>
  </conditionalFormatting>
  <conditionalFormatting sqref="D295">
    <cfRule type="notContainsBlanks" dxfId="6" priority="1476">
      <formula>LEN(TRIM(D295))&gt;0</formula>
    </cfRule>
  </conditionalFormatting>
  <conditionalFormatting sqref="D296">
    <cfRule type="notContainsBlanks" dxfId="6" priority="1481">
      <formula>LEN(TRIM(D296))&gt;0</formula>
    </cfRule>
  </conditionalFormatting>
  <conditionalFormatting sqref="D297">
    <cfRule type="notContainsBlanks" dxfId="6" priority="1486">
      <formula>LEN(TRIM(D297))&gt;0</formula>
    </cfRule>
  </conditionalFormatting>
  <conditionalFormatting sqref="D298">
    <cfRule type="notContainsBlanks" dxfId="6" priority="1491">
      <formula>LEN(TRIM(D298))&gt;0</formula>
    </cfRule>
  </conditionalFormatting>
  <conditionalFormatting sqref="D299">
    <cfRule type="notContainsBlanks" dxfId="6" priority="1496">
      <formula>LEN(TRIM(D299))&gt;0</formula>
    </cfRule>
  </conditionalFormatting>
  <conditionalFormatting sqref="D3">
    <cfRule type="notContainsBlanks" dxfId="6" priority="16">
      <formula>LEN(TRIM(D3))&gt;0</formula>
    </cfRule>
  </conditionalFormatting>
  <conditionalFormatting sqref="D30">
    <cfRule type="notContainsBlanks" dxfId="6" priority="151">
      <formula>LEN(TRIM(D30))&gt;0</formula>
    </cfRule>
  </conditionalFormatting>
  <conditionalFormatting sqref="D300">
    <cfRule type="notContainsBlanks" dxfId="6" priority="1501">
      <formula>LEN(TRIM(D300))&gt;0</formula>
    </cfRule>
  </conditionalFormatting>
  <conditionalFormatting sqref="D301">
    <cfRule type="notContainsBlanks" dxfId="6" priority="1506">
      <formula>LEN(TRIM(D301))&gt;0</formula>
    </cfRule>
  </conditionalFormatting>
  <conditionalFormatting sqref="D302">
    <cfRule type="notContainsBlanks" dxfId="6" priority="1511">
      <formula>LEN(TRIM(D302))&gt;0</formula>
    </cfRule>
  </conditionalFormatting>
  <conditionalFormatting sqref="D303">
    <cfRule type="notContainsBlanks" dxfId="6" priority="1516">
      <formula>LEN(TRIM(D303))&gt;0</formula>
    </cfRule>
  </conditionalFormatting>
  <conditionalFormatting sqref="D304">
    <cfRule type="notContainsBlanks" dxfId="6" priority="1521">
      <formula>LEN(TRIM(D304))&gt;0</formula>
    </cfRule>
  </conditionalFormatting>
  <conditionalFormatting sqref="D305">
    <cfRule type="notContainsBlanks" dxfId="6" priority="1526">
      <formula>LEN(TRIM(D305))&gt;0</formula>
    </cfRule>
  </conditionalFormatting>
  <conditionalFormatting sqref="D306">
    <cfRule type="notContainsBlanks" dxfId="6" priority="1531">
      <formula>LEN(TRIM(D306))&gt;0</formula>
    </cfRule>
  </conditionalFormatting>
  <conditionalFormatting sqref="D307">
    <cfRule type="notContainsBlanks" dxfId="6" priority="1536">
      <formula>LEN(TRIM(D307))&gt;0</formula>
    </cfRule>
  </conditionalFormatting>
  <conditionalFormatting sqref="D308">
    <cfRule type="notContainsBlanks" dxfId="6" priority="1541">
      <formula>LEN(TRIM(D308))&gt;0</formula>
    </cfRule>
  </conditionalFormatting>
  <conditionalFormatting sqref="D309">
    <cfRule type="notContainsBlanks" dxfId="6" priority="1546">
      <formula>LEN(TRIM(D309))&gt;0</formula>
    </cfRule>
  </conditionalFormatting>
  <conditionalFormatting sqref="D31">
    <cfRule type="notContainsBlanks" dxfId="6" priority="156">
      <formula>LEN(TRIM(D31))&gt;0</formula>
    </cfRule>
  </conditionalFormatting>
  <conditionalFormatting sqref="D310">
    <cfRule type="notContainsBlanks" dxfId="6" priority="1551">
      <formula>LEN(TRIM(D310))&gt;0</formula>
    </cfRule>
  </conditionalFormatting>
  <conditionalFormatting sqref="D311">
    <cfRule type="notContainsBlanks" dxfId="6" priority="1556">
      <formula>LEN(TRIM(D311))&gt;0</formula>
    </cfRule>
  </conditionalFormatting>
  <conditionalFormatting sqref="D312">
    <cfRule type="notContainsBlanks" dxfId="6" priority="1561">
      <formula>LEN(TRIM(D312))&gt;0</formula>
    </cfRule>
  </conditionalFormatting>
  <conditionalFormatting sqref="D313">
    <cfRule type="notContainsBlanks" dxfId="6" priority="1566">
      <formula>LEN(TRIM(D313))&gt;0</formula>
    </cfRule>
  </conditionalFormatting>
  <conditionalFormatting sqref="D314">
    <cfRule type="notContainsBlanks" dxfId="6" priority="1571">
      <formula>LEN(TRIM(D314))&gt;0</formula>
    </cfRule>
  </conditionalFormatting>
  <conditionalFormatting sqref="D315">
    <cfRule type="notContainsBlanks" dxfId="6" priority="1576">
      <formula>LEN(TRIM(D315))&gt;0</formula>
    </cfRule>
  </conditionalFormatting>
  <conditionalFormatting sqref="D316">
    <cfRule type="notContainsBlanks" dxfId="6" priority="1581">
      <formula>LEN(TRIM(D316))&gt;0</formula>
    </cfRule>
  </conditionalFormatting>
  <conditionalFormatting sqref="D317">
    <cfRule type="notContainsBlanks" dxfId="6" priority="1586">
      <formula>LEN(TRIM(D317))&gt;0</formula>
    </cfRule>
  </conditionalFormatting>
  <conditionalFormatting sqref="D318">
    <cfRule type="notContainsBlanks" dxfId="6" priority="1591">
      <formula>LEN(TRIM(D318))&gt;0</formula>
    </cfRule>
  </conditionalFormatting>
  <conditionalFormatting sqref="D319">
    <cfRule type="notContainsBlanks" dxfId="6" priority="1596">
      <formula>LEN(TRIM(D319))&gt;0</formula>
    </cfRule>
  </conditionalFormatting>
  <conditionalFormatting sqref="D32">
    <cfRule type="notContainsBlanks" dxfId="6" priority="161">
      <formula>LEN(TRIM(D32))&gt;0</formula>
    </cfRule>
  </conditionalFormatting>
  <conditionalFormatting sqref="D320">
    <cfRule type="notContainsBlanks" dxfId="6" priority="1601">
      <formula>LEN(TRIM(D320))&gt;0</formula>
    </cfRule>
  </conditionalFormatting>
  <conditionalFormatting sqref="D321">
    <cfRule type="notContainsBlanks" dxfId="6" priority="1606">
      <formula>LEN(TRIM(D321))&gt;0</formula>
    </cfRule>
  </conditionalFormatting>
  <conditionalFormatting sqref="D322">
    <cfRule type="notContainsBlanks" dxfId="6" priority="1611">
      <formula>LEN(TRIM(D322))&gt;0</formula>
    </cfRule>
  </conditionalFormatting>
  <conditionalFormatting sqref="D323">
    <cfRule type="notContainsBlanks" dxfId="6" priority="1616">
      <formula>LEN(TRIM(D323))&gt;0</formula>
    </cfRule>
  </conditionalFormatting>
  <conditionalFormatting sqref="D324">
    <cfRule type="notContainsBlanks" dxfId="6" priority="1621">
      <formula>LEN(TRIM(D324))&gt;0</formula>
    </cfRule>
  </conditionalFormatting>
  <conditionalFormatting sqref="D325">
    <cfRule type="notContainsBlanks" dxfId="6" priority="1626">
      <formula>LEN(TRIM(D325))&gt;0</formula>
    </cfRule>
  </conditionalFormatting>
  <conditionalFormatting sqref="D326">
    <cfRule type="notContainsBlanks" dxfId="6" priority="1631">
      <formula>LEN(TRIM(D326))&gt;0</formula>
    </cfRule>
  </conditionalFormatting>
  <conditionalFormatting sqref="D327">
    <cfRule type="notContainsBlanks" dxfId="6" priority="1636">
      <formula>LEN(TRIM(D327))&gt;0</formula>
    </cfRule>
  </conditionalFormatting>
  <conditionalFormatting sqref="D328">
    <cfRule type="notContainsBlanks" dxfId="6" priority="1641">
      <formula>LEN(TRIM(D328))&gt;0</formula>
    </cfRule>
  </conditionalFormatting>
  <conditionalFormatting sqref="D329">
    <cfRule type="notContainsBlanks" dxfId="6" priority="1646">
      <formula>LEN(TRIM(D329))&gt;0</formula>
    </cfRule>
  </conditionalFormatting>
  <conditionalFormatting sqref="D33">
    <cfRule type="notContainsBlanks" dxfId="6" priority="166">
      <formula>LEN(TRIM(D33))&gt;0</formula>
    </cfRule>
  </conditionalFormatting>
  <conditionalFormatting sqref="D330">
    <cfRule type="notContainsBlanks" dxfId="6" priority="1651">
      <formula>LEN(TRIM(D330))&gt;0</formula>
    </cfRule>
  </conditionalFormatting>
  <conditionalFormatting sqref="D331">
    <cfRule type="notContainsBlanks" dxfId="6" priority="1656">
      <formula>LEN(TRIM(D331))&gt;0</formula>
    </cfRule>
  </conditionalFormatting>
  <conditionalFormatting sqref="D332">
    <cfRule type="notContainsBlanks" dxfId="6" priority="1661">
      <formula>LEN(TRIM(D332))&gt;0</formula>
    </cfRule>
  </conditionalFormatting>
  <conditionalFormatting sqref="D333">
    <cfRule type="notContainsBlanks" dxfId="6" priority="1666">
      <formula>LEN(TRIM(D333))&gt;0</formula>
    </cfRule>
  </conditionalFormatting>
  <conditionalFormatting sqref="D334">
    <cfRule type="notContainsBlanks" dxfId="6" priority="1671">
      <formula>LEN(TRIM(D334))&gt;0</formula>
    </cfRule>
  </conditionalFormatting>
  <conditionalFormatting sqref="D335">
    <cfRule type="notContainsBlanks" dxfId="6" priority="1676">
      <formula>LEN(TRIM(D335))&gt;0</formula>
    </cfRule>
  </conditionalFormatting>
  <conditionalFormatting sqref="D336">
    <cfRule type="notContainsBlanks" dxfId="6" priority="1681">
      <formula>LEN(TRIM(D336))&gt;0</formula>
    </cfRule>
  </conditionalFormatting>
  <conditionalFormatting sqref="D337">
    <cfRule type="notContainsBlanks" dxfId="6" priority="1686">
      <formula>LEN(TRIM(D337))&gt;0</formula>
    </cfRule>
  </conditionalFormatting>
  <conditionalFormatting sqref="D338">
    <cfRule type="notContainsBlanks" dxfId="6" priority="1691">
      <formula>LEN(TRIM(D338))&gt;0</formula>
    </cfRule>
  </conditionalFormatting>
  <conditionalFormatting sqref="D339">
    <cfRule type="notContainsBlanks" dxfId="6" priority="1696">
      <formula>LEN(TRIM(D339))&gt;0</formula>
    </cfRule>
  </conditionalFormatting>
  <conditionalFormatting sqref="D34">
    <cfRule type="notContainsBlanks" dxfId="6" priority="171">
      <formula>LEN(TRIM(D34))&gt;0</formula>
    </cfRule>
  </conditionalFormatting>
  <conditionalFormatting sqref="D340">
    <cfRule type="notContainsBlanks" dxfId="6" priority="1701">
      <formula>LEN(TRIM(D340))&gt;0</formula>
    </cfRule>
  </conditionalFormatting>
  <conditionalFormatting sqref="D341">
    <cfRule type="notContainsBlanks" dxfId="6" priority="1706">
      <formula>LEN(TRIM(D341))&gt;0</formula>
    </cfRule>
  </conditionalFormatting>
  <conditionalFormatting sqref="D342">
    <cfRule type="notContainsBlanks" dxfId="6" priority="1711">
      <formula>LEN(TRIM(D342))&gt;0</formula>
    </cfRule>
  </conditionalFormatting>
  <conditionalFormatting sqref="D343">
    <cfRule type="notContainsBlanks" dxfId="6" priority="1716">
      <formula>LEN(TRIM(D343))&gt;0</formula>
    </cfRule>
  </conditionalFormatting>
  <conditionalFormatting sqref="D344">
    <cfRule type="notContainsBlanks" dxfId="6" priority="1721">
      <formula>LEN(TRIM(D344))&gt;0</formula>
    </cfRule>
  </conditionalFormatting>
  <conditionalFormatting sqref="D345">
    <cfRule type="notContainsBlanks" dxfId="6" priority="1726">
      <formula>LEN(TRIM(D345))&gt;0</formula>
    </cfRule>
  </conditionalFormatting>
  <conditionalFormatting sqref="D346">
    <cfRule type="notContainsBlanks" dxfId="6" priority="1731">
      <formula>LEN(TRIM(D346))&gt;0</formula>
    </cfRule>
  </conditionalFormatting>
  <conditionalFormatting sqref="D347">
    <cfRule type="notContainsBlanks" dxfId="6" priority="1736">
      <formula>LEN(TRIM(D347))&gt;0</formula>
    </cfRule>
  </conditionalFormatting>
  <conditionalFormatting sqref="D348">
    <cfRule type="notContainsBlanks" dxfId="6" priority="1741">
      <formula>LEN(TRIM(D348))&gt;0</formula>
    </cfRule>
  </conditionalFormatting>
  <conditionalFormatting sqref="D349">
    <cfRule type="notContainsBlanks" dxfId="6" priority="1746">
      <formula>LEN(TRIM(D349))&gt;0</formula>
    </cfRule>
  </conditionalFormatting>
  <conditionalFormatting sqref="D35">
    <cfRule type="notContainsBlanks" dxfId="6" priority="176">
      <formula>LEN(TRIM(D35))&gt;0</formula>
    </cfRule>
  </conditionalFormatting>
  <conditionalFormatting sqref="D350">
    <cfRule type="notContainsBlanks" dxfId="6" priority="1751">
      <formula>LEN(TRIM(D350))&gt;0</formula>
    </cfRule>
  </conditionalFormatting>
  <conditionalFormatting sqref="D351">
    <cfRule type="notContainsBlanks" dxfId="6" priority="1756">
      <formula>LEN(TRIM(D351))&gt;0</formula>
    </cfRule>
  </conditionalFormatting>
  <conditionalFormatting sqref="D352">
    <cfRule type="notContainsBlanks" dxfId="6" priority="1761">
      <formula>LEN(TRIM(D352))&gt;0</formula>
    </cfRule>
  </conditionalFormatting>
  <conditionalFormatting sqref="D353">
    <cfRule type="notContainsBlanks" dxfId="6" priority="1766">
      <formula>LEN(TRIM(D353))&gt;0</formula>
    </cfRule>
  </conditionalFormatting>
  <conditionalFormatting sqref="D354">
    <cfRule type="notContainsBlanks" dxfId="6" priority="1771">
      <formula>LEN(TRIM(D354))&gt;0</formula>
    </cfRule>
  </conditionalFormatting>
  <conditionalFormatting sqref="D355">
    <cfRule type="notContainsBlanks" dxfId="6" priority="1776">
      <formula>LEN(TRIM(D355))&gt;0</formula>
    </cfRule>
  </conditionalFormatting>
  <conditionalFormatting sqref="D356">
    <cfRule type="notContainsBlanks" dxfId="6" priority="1781">
      <formula>LEN(TRIM(D356))&gt;0</formula>
    </cfRule>
  </conditionalFormatting>
  <conditionalFormatting sqref="D357">
    <cfRule type="notContainsBlanks" dxfId="6" priority="1786">
      <formula>LEN(TRIM(D357))&gt;0</formula>
    </cfRule>
  </conditionalFormatting>
  <conditionalFormatting sqref="D358">
    <cfRule type="notContainsBlanks" dxfId="6" priority="1791">
      <formula>LEN(TRIM(D358))&gt;0</formula>
    </cfRule>
  </conditionalFormatting>
  <conditionalFormatting sqref="D359">
    <cfRule type="notContainsBlanks" dxfId="6" priority="1796">
      <formula>LEN(TRIM(D359))&gt;0</formula>
    </cfRule>
  </conditionalFormatting>
  <conditionalFormatting sqref="D36">
    <cfRule type="notContainsBlanks" dxfId="6" priority="181">
      <formula>LEN(TRIM(D36))&gt;0</formula>
    </cfRule>
  </conditionalFormatting>
  <conditionalFormatting sqref="D360">
    <cfRule type="notContainsBlanks" dxfId="6" priority="1801">
      <formula>LEN(TRIM(D360))&gt;0</formula>
    </cfRule>
  </conditionalFormatting>
  <conditionalFormatting sqref="D361">
    <cfRule type="notContainsBlanks" dxfId="6" priority="1806">
      <formula>LEN(TRIM(D361))&gt;0</formula>
    </cfRule>
  </conditionalFormatting>
  <conditionalFormatting sqref="D362">
    <cfRule type="notContainsBlanks" dxfId="6" priority="1811">
      <formula>LEN(TRIM(D362))&gt;0</formula>
    </cfRule>
  </conditionalFormatting>
  <conditionalFormatting sqref="D363">
    <cfRule type="notContainsBlanks" dxfId="6" priority="1816">
      <formula>LEN(TRIM(D363))&gt;0</formula>
    </cfRule>
  </conditionalFormatting>
  <conditionalFormatting sqref="D364">
    <cfRule type="notContainsBlanks" dxfId="6" priority="1821">
      <formula>LEN(TRIM(D364))&gt;0</formula>
    </cfRule>
  </conditionalFormatting>
  <conditionalFormatting sqref="D365">
    <cfRule type="notContainsBlanks" dxfId="6" priority="1826">
      <formula>LEN(TRIM(D365))&gt;0</formula>
    </cfRule>
  </conditionalFormatting>
  <conditionalFormatting sqref="D366">
    <cfRule type="notContainsBlanks" dxfId="6" priority="1831">
      <formula>LEN(TRIM(D366))&gt;0</formula>
    </cfRule>
  </conditionalFormatting>
  <conditionalFormatting sqref="D367">
    <cfRule type="notContainsBlanks" dxfId="6" priority="1836">
      <formula>LEN(TRIM(D367))&gt;0</formula>
    </cfRule>
  </conditionalFormatting>
  <conditionalFormatting sqref="D368">
    <cfRule type="notContainsBlanks" dxfId="6" priority="1841">
      <formula>LEN(TRIM(D368))&gt;0</formula>
    </cfRule>
  </conditionalFormatting>
  <conditionalFormatting sqref="D369">
    <cfRule type="notContainsBlanks" dxfId="6" priority="1846">
      <formula>LEN(TRIM(D369))&gt;0</formula>
    </cfRule>
  </conditionalFormatting>
  <conditionalFormatting sqref="D37">
    <cfRule type="notContainsBlanks" dxfId="6" priority="186">
      <formula>LEN(TRIM(D37))&gt;0</formula>
    </cfRule>
  </conditionalFormatting>
  <conditionalFormatting sqref="D370">
    <cfRule type="notContainsBlanks" dxfId="6" priority="1851">
      <formula>LEN(TRIM(D370))&gt;0</formula>
    </cfRule>
  </conditionalFormatting>
  <conditionalFormatting sqref="D371">
    <cfRule type="notContainsBlanks" dxfId="6" priority="1856">
      <formula>LEN(TRIM(D371))&gt;0</formula>
    </cfRule>
  </conditionalFormatting>
  <conditionalFormatting sqref="D372">
    <cfRule type="notContainsBlanks" dxfId="6" priority="1861">
      <formula>LEN(TRIM(D372))&gt;0</formula>
    </cfRule>
  </conditionalFormatting>
  <conditionalFormatting sqref="D373">
    <cfRule type="notContainsBlanks" dxfId="6" priority="1866">
      <formula>LEN(TRIM(D373))&gt;0</formula>
    </cfRule>
  </conditionalFormatting>
  <conditionalFormatting sqref="D374">
    <cfRule type="notContainsBlanks" dxfId="6" priority="1871">
      <formula>LEN(TRIM(D374))&gt;0</formula>
    </cfRule>
  </conditionalFormatting>
  <conditionalFormatting sqref="D375">
    <cfRule type="notContainsBlanks" dxfId="6" priority="1876">
      <formula>LEN(TRIM(D375))&gt;0</formula>
    </cfRule>
  </conditionalFormatting>
  <conditionalFormatting sqref="D376">
    <cfRule type="notContainsBlanks" dxfId="6" priority="1881">
      <formula>LEN(TRIM(D376))&gt;0</formula>
    </cfRule>
  </conditionalFormatting>
  <conditionalFormatting sqref="D377">
    <cfRule type="notContainsBlanks" dxfId="6" priority="1886">
      <formula>LEN(TRIM(D377))&gt;0</formula>
    </cfRule>
  </conditionalFormatting>
  <conditionalFormatting sqref="D378">
    <cfRule type="notContainsBlanks" dxfId="6" priority="1891">
      <formula>LEN(TRIM(D378))&gt;0</formula>
    </cfRule>
  </conditionalFormatting>
  <conditionalFormatting sqref="D379">
    <cfRule type="notContainsBlanks" dxfId="6" priority="1896">
      <formula>LEN(TRIM(D379))&gt;0</formula>
    </cfRule>
  </conditionalFormatting>
  <conditionalFormatting sqref="D38">
    <cfRule type="notContainsBlanks" dxfId="6" priority="191">
      <formula>LEN(TRIM(D38))&gt;0</formula>
    </cfRule>
  </conditionalFormatting>
  <conditionalFormatting sqref="D380">
    <cfRule type="notContainsBlanks" dxfId="6" priority="1901">
      <formula>LEN(TRIM(D380))&gt;0</formula>
    </cfRule>
  </conditionalFormatting>
  <conditionalFormatting sqref="D381">
    <cfRule type="notContainsBlanks" dxfId="6" priority="1906">
      <formula>LEN(TRIM(D381))&gt;0</formula>
    </cfRule>
  </conditionalFormatting>
  <conditionalFormatting sqref="D382">
    <cfRule type="notContainsBlanks" dxfId="6" priority="1911">
      <formula>LEN(TRIM(D382))&gt;0</formula>
    </cfRule>
  </conditionalFormatting>
  <conditionalFormatting sqref="D383">
    <cfRule type="notContainsBlanks" dxfId="6" priority="1916">
      <formula>LEN(TRIM(D383))&gt;0</formula>
    </cfRule>
  </conditionalFormatting>
  <conditionalFormatting sqref="D384">
    <cfRule type="notContainsBlanks" dxfId="6" priority="1921">
      <formula>LEN(TRIM(D384))&gt;0</formula>
    </cfRule>
  </conditionalFormatting>
  <conditionalFormatting sqref="D385">
    <cfRule type="notContainsBlanks" dxfId="6" priority="1926">
      <formula>LEN(TRIM(D385))&gt;0</formula>
    </cfRule>
  </conditionalFormatting>
  <conditionalFormatting sqref="D386">
    <cfRule type="notContainsBlanks" dxfId="6" priority="1931">
      <formula>LEN(TRIM(D386))&gt;0</formula>
    </cfRule>
  </conditionalFormatting>
  <conditionalFormatting sqref="D387">
    <cfRule type="notContainsBlanks" dxfId="6" priority="1936">
      <formula>LEN(TRIM(D387))&gt;0</formula>
    </cfRule>
  </conditionalFormatting>
  <conditionalFormatting sqref="D388">
    <cfRule type="notContainsBlanks" dxfId="6" priority="1941">
      <formula>LEN(TRIM(D388))&gt;0</formula>
    </cfRule>
  </conditionalFormatting>
  <conditionalFormatting sqref="D389">
    <cfRule type="notContainsBlanks" dxfId="6" priority="1946">
      <formula>LEN(TRIM(D389))&gt;0</formula>
    </cfRule>
  </conditionalFormatting>
  <conditionalFormatting sqref="D39">
    <cfRule type="notContainsBlanks" dxfId="6" priority="196">
      <formula>LEN(TRIM(D39))&gt;0</formula>
    </cfRule>
  </conditionalFormatting>
  <conditionalFormatting sqref="D390">
    <cfRule type="notContainsBlanks" dxfId="6" priority="1951">
      <formula>LEN(TRIM(D390))&gt;0</formula>
    </cfRule>
  </conditionalFormatting>
  <conditionalFormatting sqref="D391">
    <cfRule type="notContainsBlanks" dxfId="6" priority="1956">
      <formula>LEN(TRIM(D391))&gt;0</formula>
    </cfRule>
  </conditionalFormatting>
  <conditionalFormatting sqref="D392">
    <cfRule type="notContainsBlanks" dxfId="6" priority="1961">
      <formula>LEN(TRIM(D392))&gt;0</formula>
    </cfRule>
  </conditionalFormatting>
  <conditionalFormatting sqref="D393">
    <cfRule type="notContainsBlanks" dxfId="6" priority="1966">
      <formula>LEN(TRIM(D393))&gt;0</formula>
    </cfRule>
  </conditionalFormatting>
  <conditionalFormatting sqref="D394">
    <cfRule type="notContainsBlanks" dxfId="6" priority="1971">
      <formula>LEN(TRIM(D394))&gt;0</formula>
    </cfRule>
  </conditionalFormatting>
  <conditionalFormatting sqref="D395">
    <cfRule type="notContainsBlanks" dxfId="6" priority="1976">
      <formula>LEN(TRIM(D395))&gt;0</formula>
    </cfRule>
  </conditionalFormatting>
  <conditionalFormatting sqref="D396">
    <cfRule type="notContainsBlanks" dxfId="6" priority="1981">
      <formula>LEN(TRIM(D396))&gt;0</formula>
    </cfRule>
  </conditionalFormatting>
  <conditionalFormatting sqref="D397">
    <cfRule type="notContainsBlanks" dxfId="6" priority="1986">
      <formula>LEN(TRIM(D397))&gt;0</formula>
    </cfRule>
  </conditionalFormatting>
  <conditionalFormatting sqref="D398">
    <cfRule type="notContainsBlanks" dxfId="6" priority="1991">
      <formula>LEN(TRIM(D398))&gt;0</formula>
    </cfRule>
  </conditionalFormatting>
  <conditionalFormatting sqref="D399">
    <cfRule type="notContainsBlanks" dxfId="6" priority="1996">
      <formula>LEN(TRIM(D399))&gt;0</formula>
    </cfRule>
  </conditionalFormatting>
  <conditionalFormatting sqref="D4">
    <cfRule type="notContainsBlanks" dxfId="6" priority="21">
      <formula>LEN(TRIM(D4))&gt;0</formula>
    </cfRule>
  </conditionalFormatting>
  <conditionalFormatting sqref="D40">
    <cfRule type="notContainsBlanks" dxfId="6" priority="201">
      <formula>LEN(TRIM(D40))&gt;0</formula>
    </cfRule>
  </conditionalFormatting>
  <conditionalFormatting sqref="D400">
    <cfRule type="notContainsBlanks" dxfId="6" priority="2001">
      <formula>LEN(TRIM(D400))&gt;0</formula>
    </cfRule>
  </conditionalFormatting>
  <conditionalFormatting sqref="D401">
    <cfRule type="notContainsBlanks" dxfId="6" priority="2006">
      <formula>LEN(TRIM(D401))&gt;0</formula>
    </cfRule>
  </conditionalFormatting>
  <conditionalFormatting sqref="D402">
    <cfRule type="notContainsBlanks" dxfId="6" priority="2011">
      <formula>LEN(TRIM(D402))&gt;0</formula>
    </cfRule>
  </conditionalFormatting>
  <conditionalFormatting sqref="D403">
    <cfRule type="notContainsBlanks" dxfId="6" priority="2016">
      <formula>LEN(TRIM(D403))&gt;0</formula>
    </cfRule>
  </conditionalFormatting>
  <conditionalFormatting sqref="D404">
    <cfRule type="notContainsBlanks" dxfId="6" priority="2021">
      <formula>LEN(TRIM(D404))&gt;0</formula>
    </cfRule>
  </conditionalFormatting>
  <conditionalFormatting sqref="D405">
    <cfRule type="notContainsBlanks" dxfId="6" priority="2026">
      <formula>LEN(TRIM(D405))&gt;0</formula>
    </cfRule>
  </conditionalFormatting>
  <conditionalFormatting sqref="D406">
    <cfRule type="notContainsBlanks" dxfId="6" priority="2031">
      <formula>LEN(TRIM(D406))&gt;0</formula>
    </cfRule>
  </conditionalFormatting>
  <conditionalFormatting sqref="D407">
    <cfRule type="notContainsBlanks" dxfId="6" priority="2036">
      <formula>LEN(TRIM(D407))&gt;0</formula>
    </cfRule>
  </conditionalFormatting>
  <conditionalFormatting sqref="D408">
    <cfRule type="notContainsBlanks" dxfId="6" priority="2041">
      <formula>LEN(TRIM(D408))&gt;0</formula>
    </cfRule>
  </conditionalFormatting>
  <conditionalFormatting sqref="D409">
    <cfRule type="notContainsBlanks" dxfId="6" priority="2046">
      <formula>LEN(TRIM(D409))&gt;0</formula>
    </cfRule>
  </conditionalFormatting>
  <conditionalFormatting sqref="D41">
    <cfRule type="notContainsBlanks" dxfId="6" priority="206">
      <formula>LEN(TRIM(D41))&gt;0</formula>
    </cfRule>
  </conditionalFormatting>
  <conditionalFormatting sqref="D410">
    <cfRule type="notContainsBlanks" dxfId="6" priority="2051">
      <formula>LEN(TRIM(D410))&gt;0</formula>
    </cfRule>
  </conditionalFormatting>
  <conditionalFormatting sqref="D411">
    <cfRule type="notContainsBlanks" dxfId="6" priority="2056">
      <formula>LEN(TRIM(D411))&gt;0</formula>
    </cfRule>
  </conditionalFormatting>
  <conditionalFormatting sqref="D412">
    <cfRule type="notContainsBlanks" dxfId="6" priority="2061">
      <formula>LEN(TRIM(D412))&gt;0</formula>
    </cfRule>
  </conditionalFormatting>
  <conditionalFormatting sqref="D413">
    <cfRule type="notContainsBlanks" dxfId="6" priority="2066">
      <formula>LEN(TRIM(D413))&gt;0</formula>
    </cfRule>
  </conditionalFormatting>
  <conditionalFormatting sqref="D414">
    <cfRule type="notContainsBlanks" dxfId="6" priority="2071">
      <formula>LEN(TRIM(D414))&gt;0</formula>
    </cfRule>
  </conditionalFormatting>
  <conditionalFormatting sqref="D415">
    <cfRule type="notContainsBlanks" dxfId="6" priority="2076">
      <formula>LEN(TRIM(D415))&gt;0</formula>
    </cfRule>
  </conditionalFormatting>
  <conditionalFormatting sqref="D416">
    <cfRule type="notContainsBlanks" dxfId="6" priority="2081">
      <formula>LEN(TRIM(D416))&gt;0</formula>
    </cfRule>
  </conditionalFormatting>
  <conditionalFormatting sqref="D417">
    <cfRule type="notContainsBlanks" dxfId="6" priority="2086">
      <formula>LEN(TRIM(D417))&gt;0</formula>
    </cfRule>
  </conditionalFormatting>
  <conditionalFormatting sqref="D418">
    <cfRule type="notContainsBlanks" dxfId="6" priority="2091">
      <formula>LEN(TRIM(D418))&gt;0</formula>
    </cfRule>
  </conditionalFormatting>
  <conditionalFormatting sqref="D419">
    <cfRule type="notContainsBlanks" dxfId="6" priority="2096">
      <formula>LEN(TRIM(D419))&gt;0</formula>
    </cfRule>
  </conditionalFormatting>
  <conditionalFormatting sqref="D42">
    <cfRule type="notContainsBlanks" dxfId="6" priority="211">
      <formula>LEN(TRIM(D42))&gt;0</formula>
    </cfRule>
  </conditionalFormatting>
  <conditionalFormatting sqref="D420">
    <cfRule type="notContainsBlanks" dxfId="6" priority="2101">
      <formula>LEN(TRIM(D420))&gt;0</formula>
    </cfRule>
  </conditionalFormatting>
  <conditionalFormatting sqref="D421">
    <cfRule type="notContainsBlanks" dxfId="6" priority="2106">
      <formula>LEN(TRIM(D421))&gt;0</formula>
    </cfRule>
  </conditionalFormatting>
  <conditionalFormatting sqref="D422">
    <cfRule type="notContainsBlanks" dxfId="6" priority="2111">
      <formula>LEN(TRIM(D422))&gt;0</formula>
    </cfRule>
  </conditionalFormatting>
  <conditionalFormatting sqref="D423">
    <cfRule type="notContainsBlanks" dxfId="6" priority="2116">
      <formula>LEN(TRIM(D423))&gt;0</formula>
    </cfRule>
  </conditionalFormatting>
  <conditionalFormatting sqref="D424">
    <cfRule type="notContainsBlanks" dxfId="6" priority="2121">
      <formula>LEN(TRIM(D424))&gt;0</formula>
    </cfRule>
  </conditionalFormatting>
  <conditionalFormatting sqref="D425">
    <cfRule type="notContainsBlanks" dxfId="6" priority="2126">
      <formula>LEN(TRIM(D425))&gt;0</formula>
    </cfRule>
  </conditionalFormatting>
  <conditionalFormatting sqref="D426">
    <cfRule type="notContainsBlanks" dxfId="6" priority="2131">
      <formula>LEN(TRIM(D426))&gt;0</formula>
    </cfRule>
  </conditionalFormatting>
  <conditionalFormatting sqref="D427">
    <cfRule type="notContainsBlanks" dxfId="6" priority="2136">
      <formula>LEN(TRIM(D427))&gt;0</formula>
    </cfRule>
  </conditionalFormatting>
  <conditionalFormatting sqref="D428">
    <cfRule type="notContainsBlanks" dxfId="6" priority="2141">
      <formula>LEN(TRIM(D428))&gt;0</formula>
    </cfRule>
  </conditionalFormatting>
  <conditionalFormatting sqref="D429">
    <cfRule type="notContainsBlanks" dxfId="6" priority="2146">
      <formula>LEN(TRIM(D429))&gt;0</formula>
    </cfRule>
  </conditionalFormatting>
  <conditionalFormatting sqref="D43">
    <cfRule type="notContainsBlanks" dxfId="6" priority="216">
      <formula>LEN(TRIM(D43))&gt;0</formula>
    </cfRule>
  </conditionalFormatting>
  <conditionalFormatting sqref="D430">
    <cfRule type="notContainsBlanks" dxfId="6" priority="2151">
      <formula>LEN(TRIM(D430))&gt;0</formula>
    </cfRule>
  </conditionalFormatting>
  <conditionalFormatting sqref="D431">
    <cfRule type="notContainsBlanks" dxfId="6" priority="2156">
      <formula>LEN(TRIM(D431))&gt;0</formula>
    </cfRule>
  </conditionalFormatting>
  <conditionalFormatting sqref="D432">
    <cfRule type="notContainsBlanks" dxfId="6" priority="2161">
      <formula>LEN(TRIM(D432))&gt;0</formula>
    </cfRule>
  </conditionalFormatting>
  <conditionalFormatting sqref="D433">
    <cfRule type="notContainsBlanks" dxfId="6" priority="2166">
      <formula>LEN(TRIM(D433))&gt;0</formula>
    </cfRule>
  </conditionalFormatting>
  <conditionalFormatting sqref="D434">
    <cfRule type="notContainsBlanks" dxfId="6" priority="2171">
      <formula>LEN(TRIM(D434))&gt;0</formula>
    </cfRule>
  </conditionalFormatting>
  <conditionalFormatting sqref="D435">
    <cfRule type="notContainsBlanks" dxfId="6" priority="2176">
      <formula>LEN(TRIM(D435))&gt;0</formula>
    </cfRule>
  </conditionalFormatting>
  <conditionalFormatting sqref="D436">
    <cfRule type="notContainsBlanks" dxfId="6" priority="2181">
      <formula>LEN(TRIM(D436))&gt;0</formula>
    </cfRule>
  </conditionalFormatting>
  <conditionalFormatting sqref="D437">
    <cfRule type="notContainsBlanks" dxfId="6" priority="2186">
      <formula>LEN(TRIM(D437))&gt;0</formula>
    </cfRule>
  </conditionalFormatting>
  <conditionalFormatting sqref="D438">
    <cfRule type="notContainsBlanks" dxfId="6" priority="2191">
      <formula>LEN(TRIM(D438))&gt;0</formula>
    </cfRule>
  </conditionalFormatting>
  <conditionalFormatting sqref="D439">
    <cfRule type="notContainsBlanks" dxfId="6" priority="2196">
      <formula>LEN(TRIM(D439))&gt;0</formula>
    </cfRule>
  </conditionalFormatting>
  <conditionalFormatting sqref="D44">
    <cfRule type="notContainsBlanks" dxfId="6" priority="221">
      <formula>LEN(TRIM(D44))&gt;0</formula>
    </cfRule>
  </conditionalFormatting>
  <conditionalFormatting sqref="D440">
    <cfRule type="notContainsBlanks" dxfId="6" priority="2201">
      <formula>LEN(TRIM(D440))&gt;0</formula>
    </cfRule>
  </conditionalFormatting>
  <conditionalFormatting sqref="D441">
    <cfRule type="notContainsBlanks" dxfId="6" priority="2206">
      <formula>LEN(TRIM(D441))&gt;0</formula>
    </cfRule>
  </conditionalFormatting>
  <conditionalFormatting sqref="D442">
    <cfRule type="notContainsBlanks" dxfId="6" priority="2211">
      <formula>LEN(TRIM(D442))&gt;0</formula>
    </cfRule>
  </conditionalFormatting>
  <conditionalFormatting sqref="D443">
    <cfRule type="notContainsBlanks" dxfId="6" priority="2216">
      <formula>LEN(TRIM(D443))&gt;0</formula>
    </cfRule>
  </conditionalFormatting>
  <conditionalFormatting sqref="D444">
    <cfRule type="notContainsBlanks" dxfId="6" priority="2221">
      <formula>LEN(TRIM(D444))&gt;0</formula>
    </cfRule>
  </conditionalFormatting>
  <conditionalFormatting sqref="D445">
    <cfRule type="notContainsBlanks" dxfId="6" priority="2226">
      <formula>LEN(TRIM(D445))&gt;0</formula>
    </cfRule>
  </conditionalFormatting>
  <conditionalFormatting sqref="D446">
    <cfRule type="notContainsBlanks" dxfId="6" priority="2231">
      <formula>LEN(TRIM(D446))&gt;0</formula>
    </cfRule>
  </conditionalFormatting>
  <conditionalFormatting sqref="D447">
    <cfRule type="notContainsBlanks" dxfId="6" priority="2236">
      <formula>LEN(TRIM(D447))&gt;0</formula>
    </cfRule>
  </conditionalFormatting>
  <conditionalFormatting sqref="D448">
    <cfRule type="notContainsBlanks" dxfId="6" priority="2241">
      <formula>LEN(TRIM(D448))&gt;0</formula>
    </cfRule>
  </conditionalFormatting>
  <conditionalFormatting sqref="D449">
    <cfRule type="notContainsBlanks" dxfId="6" priority="2246">
      <formula>LEN(TRIM(D449))&gt;0</formula>
    </cfRule>
  </conditionalFormatting>
  <conditionalFormatting sqref="D45">
    <cfRule type="notContainsBlanks" dxfId="6" priority="226">
      <formula>LEN(TRIM(D45))&gt;0</formula>
    </cfRule>
  </conditionalFormatting>
  <conditionalFormatting sqref="D450">
    <cfRule type="notContainsBlanks" dxfId="6" priority="2251">
      <formula>LEN(TRIM(D450))&gt;0</formula>
    </cfRule>
  </conditionalFormatting>
  <conditionalFormatting sqref="D451">
    <cfRule type="notContainsBlanks" dxfId="6" priority="2256">
      <formula>LEN(TRIM(D451))&gt;0</formula>
    </cfRule>
  </conditionalFormatting>
  <conditionalFormatting sqref="D452">
    <cfRule type="notContainsBlanks" dxfId="6" priority="2261">
      <formula>LEN(TRIM(D452))&gt;0</formula>
    </cfRule>
  </conditionalFormatting>
  <conditionalFormatting sqref="D453">
    <cfRule type="notContainsBlanks" dxfId="6" priority="2266">
      <formula>LEN(TRIM(D453))&gt;0</formula>
    </cfRule>
  </conditionalFormatting>
  <conditionalFormatting sqref="D454">
    <cfRule type="notContainsBlanks" dxfId="6" priority="2271">
      <formula>LEN(TRIM(D454))&gt;0</formula>
    </cfRule>
  </conditionalFormatting>
  <conditionalFormatting sqref="D455">
    <cfRule type="notContainsBlanks" dxfId="6" priority="2276">
      <formula>LEN(TRIM(D455))&gt;0</formula>
    </cfRule>
  </conditionalFormatting>
  <conditionalFormatting sqref="D456">
    <cfRule type="notContainsBlanks" dxfId="6" priority="2281">
      <formula>LEN(TRIM(D456))&gt;0</formula>
    </cfRule>
  </conditionalFormatting>
  <conditionalFormatting sqref="D457">
    <cfRule type="notContainsBlanks" dxfId="6" priority="2286">
      <formula>LEN(TRIM(D457))&gt;0</formula>
    </cfRule>
  </conditionalFormatting>
  <conditionalFormatting sqref="D458">
    <cfRule type="notContainsBlanks" dxfId="6" priority="2291">
      <formula>LEN(TRIM(D458))&gt;0</formula>
    </cfRule>
  </conditionalFormatting>
  <conditionalFormatting sqref="D459">
    <cfRule type="notContainsBlanks" dxfId="6" priority="2296">
      <formula>LEN(TRIM(D459))&gt;0</formula>
    </cfRule>
  </conditionalFormatting>
  <conditionalFormatting sqref="D46">
    <cfRule type="notContainsBlanks" dxfId="6" priority="231">
      <formula>LEN(TRIM(D46))&gt;0</formula>
    </cfRule>
  </conditionalFormatting>
  <conditionalFormatting sqref="D460">
    <cfRule type="notContainsBlanks" dxfId="6" priority="2301">
      <formula>LEN(TRIM(D460))&gt;0</formula>
    </cfRule>
  </conditionalFormatting>
  <conditionalFormatting sqref="D461">
    <cfRule type="notContainsBlanks" dxfId="6" priority="2306">
      <formula>LEN(TRIM(D461))&gt;0</formula>
    </cfRule>
  </conditionalFormatting>
  <conditionalFormatting sqref="D462">
    <cfRule type="notContainsBlanks" dxfId="6" priority="2311">
      <formula>LEN(TRIM(D462))&gt;0</formula>
    </cfRule>
  </conditionalFormatting>
  <conditionalFormatting sqref="D463">
    <cfRule type="notContainsBlanks" dxfId="6" priority="2316">
      <formula>LEN(TRIM(D463))&gt;0</formula>
    </cfRule>
  </conditionalFormatting>
  <conditionalFormatting sqref="D464">
    <cfRule type="notContainsBlanks" dxfId="6" priority="2321">
      <formula>LEN(TRIM(D464))&gt;0</formula>
    </cfRule>
  </conditionalFormatting>
  <conditionalFormatting sqref="D465">
    <cfRule type="notContainsBlanks" dxfId="6" priority="2326">
      <formula>LEN(TRIM(D465))&gt;0</formula>
    </cfRule>
  </conditionalFormatting>
  <conditionalFormatting sqref="D466">
    <cfRule type="notContainsBlanks" dxfId="6" priority="2331">
      <formula>LEN(TRIM(D466))&gt;0</formula>
    </cfRule>
  </conditionalFormatting>
  <conditionalFormatting sqref="D467">
    <cfRule type="notContainsBlanks" dxfId="6" priority="2336">
      <formula>LEN(TRIM(D467))&gt;0</formula>
    </cfRule>
  </conditionalFormatting>
  <conditionalFormatting sqref="D468">
    <cfRule type="notContainsBlanks" dxfId="6" priority="2341">
      <formula>LEN(TRIM(D468))&gt;0</formula>
    </cfRule>
  </conditionalFormatting>
  <conditionalFormatting sqref="D469">
    <cfRule type="notContainsBlanks" dxfId="6" priority="2346">
      <formula>LEN(TRIM(D469))&gt;0</formula>
    </cfRule>
  </conditionalFormatting>
  <conditionalFormatting sqref="D47">
    <cfRule type="notContainsBlanks" dxfId="6" priority="236">
      <formula>LEN(TRIM(D47))&gt;0</formula>
    </cfRule>
  </conditionalFormatting>
  <conditionalFormatting sqref="D470">
    <cfRule type="notContainsBlanks" dxfId="6" priority="2351">
      <formula>LEN(TRIM(D470))&gt;0</formula>
    </cfRule>
  </conditionalFormatting>
  <conditionalFormatting sqref="D471">
    <cfRule type="notContainsBlanks" dxfId="6" priority="2356">
      <formula>LEN(TRIM(D471))&gt;0</formula>
    </cfRule>
  </conditionalFormatting>
  <conditionalFormatting sqref="D472">
    <cfRule type="notContainsBlanks" dxfId="6" priority="2361">
      <formula>LEN(TRIM(D472))&gt;0</formula>
    </cfRule>
  </conditionalFormatting>
  <conditionalFormatting sqref="D473">
    <cfRule type="notContainsBlanks" dxfId="6" priority="2366">
      <formula>LEN(TRIM(D473))&gt;0</formula>
    </cfRule>
  </conditionalFormatting>
  <conditionalFormatting sqref="D474">
    <cfRule type="notContainsBlanks" dxfId="6" priority="2371">
      <formula>LEN(TRIM(D474))&gt;0</formula>
    </cfRule>
  </conditionalFormatting>
  <conditionalFormatting sqref="D475">
    <cfRule type="notContainsBlanks" dxfId="6" priority="2376">
      <formula>LEN(TRIM(D475))&gt;0</formula>
    </cfRule>
  </conditionalFormatting>
  <conditionalFormatting sqref="D476">
    <cfRule type="notContainsBlanks" dxfId="6" priority="2381">
      <formula>LEN(TRIM(D476))&gt;0</formula>
    </cfRule>
  </conditionalFormatting>
  <conditionalFormatting sqref="D477">
    <cfRule type="notContainsBlanks" dxfId="6" priority="2386">
      <formula>LEN(TRIM(D477))&gt;0</formula>
    </cfRule>
  </conditionalFormatting>
  <conditionalFormatting sqref="D478">
    <cfRule type="notContainsBlanks" dxfId="6" priority="2391">
      <formula>LEN(TRIM(D478))&gt;0</formula>
    </cfRule>
  </conditionalFormatting>
  <conditionalFormatting sqref="D479">
    <cfRule type="notContainsBlanks" dxfId="6" priority="2396">
      <formula>LEN(TRIM(D479))&gt;0</formula>
    </cfRule>
  </conditionalFormatting>
  <conditionalFormatting sqref="D48">
    <cfRule type="notContainsBlanks" dxfId="6" priority="241">
      <formula>LEN(TRIM(D48))&gt;0</formula>
    </cfRule>
  </conditionalFormatting>
  <conditionalFormatting sqref="D480">
    <cfRule type="notContainsBlanks" dxfId="6" priority="2401">
      <formula>LEN(TRIM(D480))&gt;0</formula>
    </cfRule>
  </conditionalFormatting>
  <conditionalFormatting sqref="D481">
    <cfRule type="notContainsBlanks" dxfId="6" priority="2406">
      <formula>LEN(TRIM(D481))&gt;0</formula>
    </cfRule>
  </conditionalFormatting>
  <conditionalFormatting sqref="D482">
    <cfRule type="notContainsBlanks" dxfId="6" priority="2411">
      <formula>LEN(TRIM(D482))&gt;0</formula>
    </cfRule>
  </conditionalFormatting>
  <conditionalFormatting sqref="D483">
    <cfRule type="notContainsBlanks" dxfId="6" priority="2416">
      <formula>LEN(TRIM(D483))&gt;0</formula>
    </cfRule>
  </conditionalFormatting>
  <conditionalFormatting sqref="D484">
    <cfRule type="notContainsBlanks" dxfId="6" priority="2421">
      <formula>LEN(TRIM(D484))&gt;0</formula>
    </cfRule>
  </conditionalFormatting>
  <conditionalFormatting sqref="D485">
    <cfRule type="notContainsBlanks" dxfId="6" priority="2426">
      <formula>LEN(TRIM(D485))&gt;0</formula>
    </cfRule>
  </conditionalFormatting>
  <conditionalFormatting sqref="D486">
    <cfRule type="notContainsBlanks" dxfId="6" priority="2431">
      <formula>LEN(TRIM(D486))&gt;0</formula>
    </cfRule>
  </conditionalFormatting>
  <conditionalFormatting sqref="D487">
    <cfRule type="notContainsBlanks" dxfId="6" priority="2436">
      <formula>LEN(TRIM(D487))&gt;0</formula>
    </cfRule>
  </conditionalFormatting>
  <conditionalFormatting sqref="D488">
    <cfRule type="notContainsBlanks" dxfId="6" priority="2441">
      <formula>LEN(TRIM(D488))&gt;0</formula>
    </cfRule>
  </conditionalFormatting>
  <conditionalFormatting sqref="D489">
    <cfRule type="notContainsBlanks" dxfId="6" priority="2446">
      <formula>LEN(TRIM(D489))&gt;0</formula>
    </cfRule>
  </conditionalFormatting>
  <conditionalFormatting sqref="D49">
    <cfRule type="notContainsBlanks" dxfId="6" priority="246">
      <formula>LEN(TRIM(D49))&gt;0</formula>
    </cfRule>
  </conditionalFormatting>
  <conditionalFormatting sqref="D490">
    <cfRule type="notContainsBlanks" dxfId="6" priority="2451">
      <formula>LEN(TRIM(D490))&gt;0</formula>
    </cfRule>
  </conditionalFormatting>
  <conditionalFormatting sqref="D491">
    <cfRule type="notContainsBlanks" dxfId="6" priority="2456">
      <formula>LEN(TRIM(D491))&gt;0</formula>
    </cfRule>
  </conditionalFormatting>
  <conditionalFormatting sqref="D492">
    <cfRule type="notContainsBlanks" dxfId="6" priority="2461">
      <formula>LEN(TRIM(D492))&gt;0</formula>
    </cfRule>
  </conditionalFormatting>
  <conditionalFormatting sqref="D493">
    <cfRule type="notContainsBlanks" dxfId="6" priority="2466">
      <formula>LEN(TRIM(D493))&gt;0</formula>
    </cfRule>
  </conditionalFormatting>
  <conditionalFormatting sqref="D494">
    <cfRule type="notContainsBlanks" dxfId="6" priority="2471">
      <formula>LEN(TRIM(D494))&gt;0</formula>
    </cfRule>
  </conditionalFormatting>
  <conditionalFormatting sqref="D495">
    <cfRule type="notContainsBlanks" dxfId="6" priority="2476">
      <formula>LEN(TRIM(D495))&gt;0</formula>
    </cfRule>
  </conditionalFormatting>
  <conditionalFormatting sqref="D496">
    <cfRule type="notContainsBlanks" dxfId="6" priority="2481">
      <formula>LEN(TRIM(D496))&gt;0</formula>
    </cfRule>
  </conditionalFormatting>
  <conditionalFormatting sqref="D497">
    <cfRule type="notContainsBlanks" dxfId="6" priority="2486">
      <formula>LEN(TRIM(D497))&gt;0</formula>
    </cfRule>
  </conditionalFormatting>
  <conditionalFormatting sqref="D498">
    <cfRule type="notContainsBlanks" dxfId="6" priority="2491">
      <formula>LEN(TRIM(D498))&gt;0</formula>
    </cfRule>
  </conditionalFormatting>
  <conditionalFormatting sqref="D499">
    <cfRule type="notContainsBlanks" dxfId="6" priority="2496">
      <formula>LEN(TRIM(D499))&gt;0</formula>
    </cfRule>
  </conditionalFormatting>
  <conditionalFormatting sqref="D5">
    <cfRule type="notContainsBlanks" dxfId="6" priority="26">
      <formula>LEN(TRIM(D5))&gt;0</formula>
    </cfRule>
  </conditionalFormatting>
  <conditionalFormatting sqref="D50">
    <cfRule type="notContainsBlanks" dxfId="6" priority="251">
      <formula>LEN(TRIM(D50))&gt;0</formula>
    </cfRule>
  </conditionalFormatting>
  <conditionalFormatting sqref="D500">
    <cfRule type="notContainsBlanks" dxfId="6" priority="2501">
      <formula>LEN(TRIM(D500))&gt;0</formula>
    </cfRule>
  </conditionalFormatting>
  <conditionalFormatting sqref="D501">
    <cfRule type="notContainsBlanks" dxfId="6" priority="2506">
      <formula>LEN(TRIM(D501))&gt;0</formula>
    </cfRule>
  </conditionalFormatting>
  <conditionalFormatting sqref="D502">
    <cfRule type="notContainsBlanks" dxfId="6" priority="2511">
      <formula>LEN(TRIM(D502))&gt;0</formula>
    </cfRule>
  </conditionalFormatting>
  <conditionalFormatting sqref="D503">
    <cfRule type="notContainsBlanks" dxfId="6" priority="2516">
      <formula>LEN(TRIM(D503))&gt;0</formula>
    </cfRule>
  </conditionalFormatting>
  <conditionalFormatting sqref="D504">
    <cfRule type="notContainsBlanks" dxfId="6" priority="2521">
      <formula>LEN(TRIM(D504))&gt;0</formula>
    </cfRule>
  </conditionalFormatting>
  <conditionalFormatting sqref="D505">
    <cfRule type="notContainsBlanks" dxfId="6" priority="2526">
      <formula>LEN(TRIM(D505))&gt;0</formula>
    </cfRule>
  </conditionalFormatting>
  <conditionalFormatting sqref="D506">
    <cfRule type="notContainsBlanks" dxfId="6" priority="2531">
      <formula>LEN(TRIM(D506))&gt;0</formula>
    </cfRule>
  </conditionalFormatting>
  <conditionalFormatting sqref="D507">
    <cfRule type="notContainsBlanks" dxfId="6" priority="2536">
      <formula>LEN(TRIM(D507))&gt;0</formula>
    </cfRule>
  </conditionalFormatting>
  <conditionalFormatting sqref="D508">
    <cfRule type="notContainsBlanks" dxfId="6" priority="2541">
      <formula>LEN(TRIM(D508))&gt;0</formula>
    </cfRule>
  </conditionalFormatting>
  <conditionalFormatting sqref="D509">
    <cfRule type="notContainsBlanks" dxfId="6" priority="2546">
      <formula>LEN(TRIM(D509))&gt;0</formula>
    </cfRule>
  </conditionalFormatting>
  <conditionalFormatting sqref="D51">
    <cfRule type="notContainsBlanks" dxfId="6" priority="256">
      <formula>LEN(TRIM(D51))&gt;0</formula>
    </cfRule>
  </conditionalFormatting>
  <conditionalFormatting sqref="D510">
    <cfRule type="notContainsBlanks" dxfId="6" priority="2551">
      <formula>LEN(TRIM(D510))&gt;0</formula>
    </cfRule>
  </conditionalFormatting>
  <conditionalFormatting sqref="D511">
    <cfRule type="notContainsBlanks" dxfId="6" priority="2556">
      <formula>LEN(TRIM(D511))&gt;0</formula>
    </cfRule>
  </conditionalFormatting>
  <conditionalFormatting sqref="D512">
    <cfRule type="notContainsBlanks" dxfId="6" priority="2561">
      <formula>LEN(TRIM(D512))&gt;0</formula>
    </cfRule>
  </conditionalFormatting>
  <conditionalFormatting sqref="D513">
    <cfRule type="notContainsBlanks" dxfId="6" priority="2566">
      <formula>LEN(TRIM(D513))&gt;0</formula>
    </cfRule>
  </conditionalFormatting>
  <conditionalFormatting sqref="D514">
    <cfRule type="notContainsBlanks" dxfId="6" priority="2571">
      <formula>LEN(TRIM(D514))&gt;0</formula>
    </cfRule>
  </conditionalFormatting>
  <conditionalFormatting sqref="D515">
    <cfRule type="notContainsBlanks" dxfId="6" priority="2576">
      <formula>LEN(TRIM(D515))&gt;0</formula>
    </cfRule>
  </conditionalFormatting>
  <conditionalFormatting sqref="D516">
    <cfRule type="notContainsBlanks" dxfId="6" priority="2581">
      <formula>LEN(TRIM(D516))&gt;0</formula>
    </cfRule>
  </conditionalFormatting>
  <conditionalFormatting sqref="D517">
    <cfRule type="notContainsBlanks" dxfId="6" priority="2586">
      <formula>LEN(TRIM(D517))&gt;0</formula>
    </cfRule>
  </conditionalFormatting>
  <conditionalFormatting sqref="D518">
    <cfRule type="notContainsBlanks" dxfId="6" priority="2591">
      <formula>LEN(TRIM(D518))&gt;0</formula>
    </cfRule>
  </conditionalFormatting>
  <conditionalFormatting sqref="D519">
    <cfRule type="notContainsBlanks" dxfId="6" priority="2596">
      <formula>LEN(TRIM(D519))&gt;0</formula>
    </cfRule>
  </conditionalFormatting>
  <conditionalFormatting sqref="D52">
    <cfRule type="notContainsBlanks" dxfId="6" priority="261">
      <formula>LEN(TRIM(D52))&gt;0</formula>
    </cfRule>
  </conditionalFormatting>
  <conditionalFormatting sqref="D520">
    <cfRule type="notContainsBlanks" dxfId="6" priority="2601">
      <formula>LEN(TRIM(D520))&gt;0</formula>
    </cfRule>
  </conditionalFormatting>
  <conditionalFormatting sqref="D521">
    <cfRule type="notContainsBlanks" dxfId="6" priority="2606">
      <formula>LEN(TRIM(D521))&gt;0</formula>
    </cfRule>
  </conditionalFormatting>
  <conditionalFormatting sqref="D522">
    <cfRule type="notContainsBlanks" dxfId="6" priority="2611">
      <formula>LEN(TRIM(D522))&gt;0</formula>
    </cfRule>
  </conditionalFormatting>
  <conditionalFormatting sqref="D523">
    <cfRule type="notContainsBlanks" dxfId="6" priority="2616">
      <formula>LEN(TRIM(D523))&gt;0</formula>
    </cfRule>
  </conditionalFormatting>
  <conditionalFormatting sqref="D524">
    <cfRule type="notContainsBlanks" dxfId="6" priority="2621">
      <formula>LEN(TRIM(D524))&gt;0</formula>
    </cfRule>
  </conditionalFormatting>
  <conditionalFormatting sqref="D525">
    <cfRule type="notContainsBlanks" dxfId="6" priority="2626">
      <formula>LEN(TRIM(D525))&gt;0</formula>
    </cfRule>
  </conditionalFormatting>
  <conditionalFormatting sqref="D526">
    <cfRule type="notContainsBlanks" dxfId="6" priority="2631">
      <formula>LEN(TRIM(D526))&gt;0</formula>
    </cfRule>
  </conditionalFormatting>
  <conditionalFormatting sqref="D527">
    <cfRule type="notContainsBlanks" dxfId="6" priority="2636">
      <formula>LEN(TRIM(D527))&gt;0</formula>
    </cfRule>
  </conditionalFormatting>
  <conditionalFormatting sqref="D528">
    <cfRule type="notContainsBlanks" dxfId="6" priority="2641">
      <formula>LEN(TRIM(D528))&gt;0</formula>
    </cfRule>
  </conditionalFormatting>
  <conditionalFormatting sqref="D529">
    <cfRule type="notContainsBlanks" dxfId="6" priority="2646">
      <formula>LEN(TRIM(D529))&gt;0</formula>
    </cfRule>
  </conditionalFormatting>
  <conditionalFormatting sqref="D53">
    <cfRule type="notContainsBlanks" dxfId="6" priority="266">
      <formula>LEN(TRIM(D53))&gt;0</formula>
    </cfRule>
  </conditionalFormatting>
  <conditionalFormatting sqref="D530">
    <cfRule type="notContainsBlanks" dxfId="6" priority="2651">
      <formula>LEN(TRIM(D530))&gt;0</formula>
    </cfRule>
  </conditionalFormatting>
  <conditionalFormatting sqref="D531">
    <cfRule type="notContainsBlanks" dxfId="6" priority="2656">
      <formula>LEN(TRIM(D531))&gt;0</formula>
    </cfRule>
  </conditionalFormatting>
  <conditionalFormatting sqref="D532">
    <cfRule type="notContainsBlanks" dxfId="6" priority="2661">
      <formula>LEN(TRIM(D532))&gt;0</formula>
    </cfRule>
  </conditionalFormatting>
  <conditionalFormatting sqref="D533">
    <cfRule type="notContainsBlanks" dxfId="6" priority="2666">
      <formula>LEN(TRIM(D533))&gt;0</formula>
    </cfRule>
  </conditionalFormatting>
  <conditionalFormatting sqref="D534">
    <cfRule type="notContainsBlanks" dxfId="6" priority="2671">
      <formula>LEN(TRIM(D534))&gt;0</formula>
    </cfRule>
  </conditionalFormatting>
  <conditionalFormatting sqref="D535">
    <cfRule type="notContainsBlanks" dxfId="6" priority="2676">
      <formula>LEN(TRIM(D535))&gt;0</formula>
    </cfRule>
  </conditionalFormatting>
  <conditionalFormatting sqref="D536">
    <cfRule type="notContainsBlanks" dxfId="6" priority="2681">
      <formula>LEN(TRIM(D536))&gt;0</formula>
    </cfRule>
  </conditionalFormatting>
  <conditionalFormatting sqref="D537">
    <cfRule type="notContainsBlanks" dxfId="6" priority="2686">
      <formula>LEN(TRIM(D537))&gt;0</formula>
    </cfRule>
  </conditionalFormatting>
  <conditionalFormatting sqref="D538">
    <cfRule type="notContainsBlanks" dxfId="6" priority="2691">
      <formula>LEN(TRIM(D538))&gt;0</formula>
    </cfRule>
  </conditionalFormatting>
  <conditionalFormatting sqref="D539">
    <cfRule type="notContainsBlanks" dxfId="6" priority="2696">
      <formula>LEN(TRIM(D539))&gt;0</formula>
    </cfRule>
  </conditionalFormatting>
  <conditionalFormatting sqref="D54">
    <cfRule type="notContainsBlanks" dxfId="6" priority="271">
      <formula>LEN(TRIM(D54))&gt;0</formula>
    </cfRule>
  </conditionalFormatting>
  <conditionalFormatting sqref="D540">
    <cfRule type="notContainsBlanks" dxfId="6" priority="2701">
      <formula>LEN(TRIM(D540))&gt;0</formula>
    </cfRule>
  </conditionalFormatting>
  <conditionalFormatting sqref="D541">
    <cfRule type="notContainsBlanks" dxfId="6" priority="2706">
      <formula>LEN(TRIM(D541))&gt;0</formula>
    </cfRule>
  </conditionalFormatting>
  <conditionalFormatting sqref="D542">
    <cfRule type="notContainsBlanks" dxfId="6" priority="2711">
      <formula>LEN(TRIM(D542))&gt;0</formula>
    </cfRule>
  </conditionalFormatting>
  <conditionalFormatting sqref="D543">
    <cfRule type="notContainsBlanks" dxfId="6" priority="2716">
      <formula>LEN(TRIM(D543))&gt;0</formula>
    </cfRule>
  </conditionalFormatting>
  <conditionalFormatting sqref="D544">
    <cfRule type="notContainsBlanks" dxfId="6" priority="2721">
      <formula>LEN(TRIM(D544))&gt;0</formula>
    </cfRule>
  </conditionalFormatting>
  <conditionalFormatting sqref="D545">
    <cfRule type="notContainsBlanks" dxfId="6" priority="2726">
      <formula>LEN(TRIM(D545))&gt;0</formula>
    </cfRule>
  </conditionalFormatting>
  <conditionalFormatting sqref="D546">
    <cfRule type="notContainsBlanks" dxfId="6" priority="2731">
      <formula>LEN(TRIM(D546))&gt;0</formula>
    </cfRule>
  </conditionalFormatting>
  <conditionalFormatting sqref="D547">
    <cfRule type="notContainsBlanks" dxfId="6" priority="2736">
      <formula>LEN(TRIM(D547))&gt;0</formula>
    </cfRule>
  </conditionalFormatting>
  <conditionalFormatting sqref="D548">
    <cfRule type="notContainsBlanks" dxfId="6" priority="2741">
      <formula>LEN(TRIM(D548))&gt;0</formula>
    </cfRule>
  </conditionalFormatting>
  <conditionalFormatting sqref="D549">
    <cfRule type="notContainsBlanks" dxfId="6" priority="2746">
      <formula>LEN(TRIM(D549))&gt;0</formula>
    </cfRule>
  </conditionalFormatting>
  <conditionalFormatting sqref="D55">
    <cfRule type="notContainsBlanks" dxfId="6" priority="276">
      <formula>LEN(TRIM(D55))&gt;0</formula>
    </cfRule>
  </conditionalFormatting>
  <conditionalFormatting sqref="D550">
    <cfRule type="notContainsBlanks" dxfId="6" priority="2751">
      <formula>LEN(TRIM(D550))&gt;0</formula>
    </cfRule>
  </conditionalFormatting>
  <conditionalFormatting sqref="D551">
    <cfRule type="notContainsBlanks" dxfId="6" priority="2756">
      <formula>LEN(TRIM(D551))&gt;0</formula>
    </cfRule>
  </conditionalFormatting>
  <conditionalFormatting sqref="D552">
    <cfRule type="notContainsBlanks" dxfId="6" priority="2761">
      <formula>LEN(TRIM(D552))&gt;0</formula>
    </cfRule>
  </conditionalFormatting>
  <conditionalFormatting sqref="D553">
    <cfRule type="notContainsBlanks" dxfId="6" priority="2766">
      <formula>LEN(TRIM(D553))&gt;0</formula>
    </cfRule>
  </conditionalFormatting>
  <conditionalFormatting sqref="D554">
    <cfRule type="notContainsBlanks" dxfId="6" priority="2771">
      <formula>LEN(TRIM(D554))&gt;0</formula>
    </cfRule>
  </conditionalFormatting>
  <conditionalFormatting sqref="D555">
    <cfRule type="notContainsBlanks" dxfId="6" priority="2776">
      <formula>LEN(TRIM(D555))&gt;0</formula>
    </cfRule>
  </conditionalFormatting>
  <conditionalFormatting sqref="D556">
    <cfRule type="notContainsBlanks" dxfId="6" priority="2781">
      <formula>LEN(TRIM(D556))&gt;0</formula>
    </cfRule>
  </conditionalFormatting>
  <conditionalFormatting sqref="D557">
    <cfRule type="notContainsBlanks" dxfId="6" priority="2786">
      <formula>LEN(TRIM(D557))&gt;0</formula>
    </cfRule>
  </conditionalFormatting>
  <conditionalFormatting sqref="D558">
    <cfRule type="notContainsBlanks" dxfId="6" priority="2791">
      <formula>LEN(TRIM(D558))&gt;0</formula>
    </cfRule>
  </conditionalFormatting>
  <conditionalFormatting sqref="D559">
    <cfRule type="notContainsBlanks" dxfId="6" priority="2796">
      <formula>LEN(TRIM(D559))&gt;0</formula>
    </cfRule>
  </conditionalFormatting>
  <conditionalFormatting sqref="D56">
    <cfRule type="notContainsBlanks" dxfId="6" priority="281">
      <formula>LEN(TRIM(D56))&gt;0</formula>
    </cfRule>
  </conditionalFormatting>
  <conditionalFormatting sqref="D560">
    <cfRule type="notContainsBlanks" dxfId="6" priority="2801">
      <formula>LEN(TRIM(D560))&gt;0</formula>
    </cfRule>
  </conditionalFormatting>
  <conditionalFormatting sqref="D561">
    <cfRule type="notContainsBlanks" dxfId="6" priority="2806">
      <formula>LEN(TRIM(D561))&gt;0</formula>
    </cfRule>
  </conditionalFormatting>
  <conditionalFormatting sqref="D562">
    <cfRule type="notContainsBlanks" dxfId="6" priority="2811">
      <formula>LEN(TRIM(D562))&gt;0</formula>
    </cfRule>
  </conditionalFormatting>
  <conditionalFormatting sqref="D563">
    <cfRule type="notContainsBlanks" dxfId="6" priority="2816">
      <formula>LEN(TRIM(D563))&gt;0</formula>
    </cfRule>
  </conditionalFormatting>
  <conditionalFormatting sqref="D564">
    <cfRule type="notContainsBlanks" dxfId="6" priority="2821">
      <formula>LEN(TRIM(D564))&gt;0</formula>
    </cfRule>
  </conditionalFormatting>
  <conditionalFormatting sqref="D565">
    <cfRule type="notContainsBlanks" dxfId="6" priority="2826">
      <formula>LEN(TRIM(D565))&gt;0</formula>
    </cfRule>
  </conditionalFormatting>
  <conditionalFormatting sqref="D566">
    <cfRule type="notContainsBlanks" dxfId="6" priority="2831">
      <formula>LEN(TRIM(D566))&gt;0</formula>
    </cfRule>
  </conditionalFormatting>
  <conditionalFormatting sqref="D567">
    <cfRule type="notContainsBlanks" dxfId="6" priority="2836">
      <formula>LEN(TRIM(D567))&gt;0</formula>
    </cfRule>
  </conditionalFormatting>
  <conditionalFormatting sqref="D568">
    <cfRule type="notContainsBlanks" dxfId="6" priority="2841">
      <formula>LEN(TRIM(D568))&gt;0</formula>
    </cfRule>
  </conditionalFormatting>
  <conditionalFormatting sqref="D569">
    <cfRule type="notContainsBlanks" dxfId="6" priority="2846">
      <formula>LEN(TRIM(D569))&gt;0</formula>
    </cfRule>
  </conditionalFormatting>
  <conditionalFormatting sqref="D57">
    <cfRule type="notContainsBlanks" dxfId="6" priority="286">
      <formula>LEN(TRIM(D57))&gt;0</formula>
    </cfRule>
  </conditionalFormatting>
  <conditionalFormatting sqref="D570">
    <cfRule type="notContainsBlanks" dxfId="6" priority="2851">
      <formula>LEN(TRIM(D570))&gt;0</formula>
    </cfRule>
  </conditionalFormatting>
  <conditionalFormatting sqref="D571">
    <cfRule type="notContainsBlanks" dxfId="6" priority="2856">
      <formula>LEN(TRIM(D571))&gt;0</formula>
    </cfRule>
  </conditionalFormatting>
  <conditionalFormatting sqref="D572">
    <cfRule type="notContainsBlanks" dxfId="6" priority="2861">
      <formula>LEN(TRIM(D572))&gt;0</formula>
    </cfRule>
  </conditionalFormatting>
  <conditionalFormatting sqref="D573">
    <cfRule type="notContainsBlanks" dxfId="6" priority="2866">
      <formula>LEN(TRIM(D573))&gt;0</formula>
    </cfRule>
  </conditionalFormatting>
  <conditionalFormatting sqref="D574">
    <cfRule type="notContainsBlanks" dxfId="6" priority="2871">
      <formula>LEN(TRIM(D574))&gt;0</formula>
    </cfRule>
  </conditionalFormatting>
  <conditionalFormatting sqref="D575">
    <cfRule type="notContainsBlanks" dxfId="6" priority="2876">
      <formula>LEN(TRIM(D575))&gt;0</formula>
    </cfRule>
  </conditionalFormatting>
  <conditionalFormatting sqref="D576">
    <cfRule type="notContainsBlanks" dxfId="6" priority="2881">
      <formula>LEN(TRIM(D576))&gt;0</formula>
    </cfRule>
  </conditionalFormatting>
  <conditionalFormatting sqref="D577">
    <cfRule type="notContainsBlanks" dxfId="6" priority="2886">
      <formula>LEN(TRIM(D577))&gt;0</formula>
    </cfRule>
  </conditionalFormatting>
  <conditionalFormatting sqref="D578">
    <cfRule type="notContainsBlanks" dxfId="6" priority="2891">
      <formula>LEN(TRIM(D578))&gt;0</formula>
    </cfRule>
  </conditionalFormatting>
  <conditionalFormatting sqref="D579">
    <cfRule type="notContainsBlanks" dxfId="6" priority="2896">
      <formula>LEN(TRIM(D579))&gt;0</formula>
    </cfRule>
  </conditionalFormatting>
  <conditionalFormatting sqref="D58">
    <cfRule type="notContainsBlanks" dxfId="6" priority="291">
      <formula>LEN(TRIM(D58))&gt;0</formula>
    </cfRule>
  </conditionalFormatting>
  <conditionalFormatting sqref="D580">
    <cfRule type="notContainsBlanks" dxfId="6" priority="2901">
      <formula>LEN(TRIM(D580))&gt;0</formula>
    </cfRule>
  </conditionalFormatting>
  <conditionalFormatting sqref="D581">
    <cfRule type="notContainsBlanks" dxfId="6" priority="2906">
      <formula>LEN(TRIM(D581))&gt;0</formula>
    </cfRule>
  </conditionalFormatting>
  <conditionalFormatting sqref="D582">
    <cfRule type="notContainsBlanks" dxfId="6" priority="2911">
      <formula>LEN(TRIM(D582))&gt;0</formula>
    </cfRule>
  </conditionalFormatting>
  <conditionalFormatting sqref="D583">
    <cfRule type="notContainsBlanks" dxfId="6" priority="2916">
      <formula>LEN(TRIM(D583))&gt;0</formula>
    </cfRule>
  </conditionalFormatting>
  <conditionalFormatting sqref="D584">
    <cfRule type="notContainsBlanks" dxfId="6" priority="2921">
      <formula>LEN(TRIM(D584))&gt;0</formula>
    </cfRule>
  </conditionalFormatting>
  <conditionalFormatting sqref="D585">
    <cfRule type="notContainsBlanks" dxfId="6" priority="2926">
      <formula>LEN(TRIM(D585))&gt;0</formula>
    </cfRule>
  </conditionalFormatting>
  <conditionalFormatting sqref="D586">
    <cfRule type="notContainsBlanks" dxfId="6" priority="2931">
      <formula>LEN(TRIM(D586))&gt;0</formula>
    </cfRule>
  </conditionalFormatting>
  <conditionalFormatting sqref="D587">
    <cfRule type="notContainsBlanks" dxfId="6" priority="2936">
      <formula>LEN(TRIM(D587))&gt;0</formula>
    </cfRule>
  </conditionalFormatting>
  <conditionalFormatting sqref="D588">
    <cfRule type="notContainsBlanks" dxfId="6" priority="2941">
      <formula>LEN(TRIM(D588))&gt;0</formula>
    </cfRule>
  </conditionalFormatting>
  <conditionalFormatting sqref="D589">
    <cfRule type="notContainsBlanks" dxfId="6" priority="2946">
      <formula>LEN(TRIM(D589))&gt;0</formula>
    </cfRule>
  </conditionalFormatting>
  <conditionalFormatting sqref="D59">
    <cfRule type="notContainsBlanks" dxfId="6" priority="296">
      <formula>LEN(TRIM(D59))&gt;0</formula>
    </cfRule>
  </conditionalFormatting>
  <conditionalFormatting sqref="D590">
    <cfRule type="notContainsBlanks" dxfId="6" priority="2951">
      <formula>LEN(TRIM(D590))&gt;0</formula>
    </cfRule>
  </conditionalFormatting>
  <conditionalFormatting sqref="D591">
    <cfRule type="notContainsBlanks" dxfId="6" priority="2956">
      <formula>LEN(TRIM(D591))&gt;0</formula>
    </cfRule>
  </conditionalFormatting>
  <conditionalFormatting sqref="D592">
    <cfRule type="notContainsBlanks" dxfId="6" priority="2961">
      <formula>LEN(TRIM(D592))&gt;0</formula>
    </cfRule>
  </conditionalFormatting>
  <conditionalFormatting sqref="D593">
    <cfRule type="notContainsBlanks" dxfId="6" priority="2966">
      <formula>LEN(TRIM(D593))&gt;0</formula>
    </cfRule>
  </conditionalFormatting>
  <conditionalFormatting sqref="D594">
    <cfRule type="notContainsBlanks" dxfId="6" priority="2971">
      <formula>LEN(TRIM(D594))&gt;0</formula>
    </cfRule>
  </conditionalFormatting>
  <conditionalFormatting sqref="D595">
    <cfRule type="notContainsBlanks" dxfId="6" priority="2976">
      <formula>LEN(TRIM(D595))&gt;0</formula>
    </cfRule>
  </conditionalFormatting>
  <conditionalFormatting sqref="D596">
    <cfRule type="notContainsBlanks" dxfId="6" priority="2981">
      <formula>LEN(TRIM(D596))&gt;0</formula>
    </cfRule>
  </conditionalFormatting>
  <conditionalFormatting sqref="D597">
    <cfRule type="notContainsBlanks" dxfId="6" priority="2986">
      <formula>LEN(TRIM(D597))&gt;0</formula>
    </cfRule>
  </conditionalFormatting>
  <conditionalFormatting sqref="D598">
    <cfRule type="notContainsBlanks" dxfId="6" priority="2991">
      <formula>LEN(TRIM(D598))&gt;0</formula>
    </cfRule>
  </conditionalFormatting>
  <conditionalFormatting sqref="D599">
    <cfRule type="notContainsBlanks" dxfId="6" priority="2996">
      <formula>LEN(TRIM(D599))&gt;0</formula>
    </cfRule>
  </conditionalFormatting>
  <conditionalFormatting sqref="D6">
    <cfRule type="notContainsBlanks" dxfId="6" priority="31">
      <formula>LEN(TRIM(D6))&gt;0</formula>
    </cfRule>
  </conditionalFormatting>
  <conditionalFormatting sqref="D60">
    <cfRule type="notContainsBlanks" dxfId="6" priority="301">
      <formula>LEN(TRIM(D60))&gt;0</formula>
    </cfRule>
  </conditionalFormatting>
  <conditionalFormatting sqref="D600">
    <cfRule type="notContainsBlanks" dxfId="6" priority="3001">
      <formula>LEN(TRIM(D600))&gt;0</formula>
    </cfRule>
  </conditionalFormatting>
  <conditionalFormatting sqref="D601">
    <cfRule type="notContainsBlanks" dxfId="6" priority="3006">
      <formula>LEN(TRIM(D601))&gt;0</formula>
    </cfRule>
  </conditionalFormatting>
  <conditionalFormatting sqref="D602">
    <cfRule type="notContainsBlanks" dxfId="6" priority="3011">
      <formula>LEN(TRIM(D602))&gt;0</formula>
    </cfRule>
  </conditionalFormatting>
  <conditionalFormatting sqref="D603">
    <cfRule type="notContainsBlanks" dxfId="6" priority="3016">
      <formula>LEN(TRIM(D603))&gt;0</formula>
    </cfRule>
  </conditionalFormatting>
  <conditionalFormatting sqref="D604">
    <cfRule type="notContainsBlanks" dxfId="6" priority="3021">
      <formula>LEN(TRIM(D604))&gt;0</formula>
    </cfRule>
  </conditionalFormatting>
  <conditionalFormatting sqref="D605">
    <cfRule type="notContainsBlanks" dxfId="6" priority="3026">
      <formula>LEN(TRIM(D605))&gt;0</formula>
    </cfRule>
  </conditionalFormatting>
  <conditionalFormatting sqref="D606">
    <cfRule type="notContainsBlanks" dxfId="6" priority="3031">
      <formula>LEN(TRIM(D606))&gt;0</formula>
    </cfRule>
  </conditionalFormatting>
  <conditionalFormatting sqref="D607">
    <cfRule type="notContainsBlanks" dxfId="6" priority="3036">
      <formula>LEN(TRIM(D607))&gt;0</formula>
    </cfRule>
  </conditionalFormatting>
  <conditionalFormatting sqref="D608">
    <cfRule type="notContainsBlanks" dxfId="6" priority="3041">
      <formula>LEN(TRIM(D608))&gt;0</formula>
    </cfRule>
  </conditionalFormatting>
  <conditionalFormatting sqref="D609">
    <cfRule type="notContainsBlanks" dxfId="6" priority="3046">
      <formula>LEN(TRIM(D609))&gt;0</formula>
    </cfRule>
  </conditionalFormatting>
  <conditionalFormatting sqref="D61">
    <cfRule type="notContainsBlanks" dxfId="6" priority="306">
      <formula>LEN(TRIM(D61))&gt;0</formula>
    </cfRule>
  </conditionalFormatting>
  <conditionalFormatting sqref="D610">
    <cfRule type="notContainsBlanks" dxfId="6" priority="3051">
      <formula>LEN(TRIM(D610))&gt;0</formula>
    </cfRule>
  </conditionalFormatting>
  <conditionalFormatting sqref="D611">
    <cfRule type="notContainsBlanks" dxfId="6" priority="3056">
      <formula>LEN(TRIM(D611))&gt;0</formula>
    </cfRule>
  </conditionalFormatting>
  <conditionalFormatting sqref="D612">
    <cfRule type="notContainsBlanks" dxfId="6" priority="3061">
      <formula>LEN(TRIM(D612))&gt;0</formula>
    </cfRule>
  </conditionalFormatting>
  <conditionalFormatting sqref="D613">
    <cfRule type="notContainsBlanks" dxfId="6" priority="3066">
      <formula>LEN(TRIM(D613))&gt;0</formula>
    </cfRule>
  </conditionalFormatting>
  <conditionalFormatting sqref="D614">
    <cfRule type="notContainsBlanks" dxfId="6" priority="3071">
      <formula>LEN(TRIM(D614))&gt;0</formula>
    </cfRule>
  </conditionalFormatting>
  <conditionalFormatting sqref="D615">
    <cfRule type="notContainsBlanks" dxfId="6" priority="3076">
      <formula>LEN(TRIM(D615))&gt;0</formula>
    </cfRule>
  </conditionalFormatting>
  <conditionalFormatting sqref="D616">
    <cfRule type="notContainsBlanks" dxfId="6" priority="3081">
      <formula>LEN(TRIM(D616))&gt;0</formula>
    </cfRule>
  </conditionalFormatting>
  <conditionalFormatting sqref="D617">
    <cfRule type="notContainsBlanks" dxfId="6" priority="3086">
      <formula>LEN(TRIM(D617))&gt;0</formula>
    </cfRule>
  </conditionalFormatting>
  <conditionalFormatting sqref="D618">
    <cfRule type="notContainsBlanks" dxfId="6" priority="3091">
      <formula>LEN(TRIM(D618))&gt;0</formula>
    </cfRule>
  </conditionalFormatting>
  <conditionalFormatting sqref="D619">
    <cfRule type="notContainsBlanks" dxfId="6" priority="3096">
      <formula>LEN(TRIM(D619))&gt;0</formula>
    </cfRule>
  </conditionalFormatting>
  <conditionalFormatting sqref="D62">
    <cfRule type="notContainsBlanks" dxfId="6" priority="311">
      <formula>LEN(TRIM(D62))&gt;0</formula>
    </cfRule>
  </conditionalFormatting>
  <conditionalFormatting sqref="D620">
    <cfRule type="notContainsBlanks" dxfId="6" priority="3101">
      <formula>LEN(TRIM(D620))&gt;0</formula>
    </cfRule>
  </conditionalFormatting>
  <conditionalFormatting sqref="D621">
    <cfRule type="notContainsBlanks" dxfId="6" priority="3106">
      <formula>LEN(TRIM(D621))&gt;0</formula>
    </cfRule>
  </conditionalFormatting>
  <conditionalFormatting sqref="D622">
    <cfRule type="notContainsBlanks" dxfId="6" priority="3111">
      <formula>LEN(TRIM(D622))&gt;0</formula>
    </cfRule>
  </conditionalFormatting>
  <conditionalFormatting sqref="D623">
    <cfRule type="notContainsBlanks" dxfId="6" priority="3116">
      <formula>LEN(TRIM(D623))&gt;0</formula>
    </cfRule>
  </conditionalFormatting>
  <conditionalFormatting sqref="D624">
    <cfRule type="notContainsBlanks" dxfId="6" priority="3121">
      <formula>LEN(TRIM(D624))&gt;0</formula>
    </cfRule>
  </conditionalFormatting>
  <conditionalFormatting sqref="D625">
    <cfRule type="notContainsBlanks" dxfId="6" priority="3126">
      <formula>LEN(TRIM(D625))&gt;0</formula>
    </cfRule>
  </conditionalFormatting>
  <conditionalFormatting sqref="D626">
    <cfRule type="notContainsBlanks" dxfId="6" priority="3131">
      <formula>LEN(TRIM(D626))&gt;0</formula>
    </cfRule>
  </conditionalFormatting>
  <conditionalFormatting sqref="D627">
    <cfRule type="notContainsBlanks" dxfId="6" priority="3136">
      <formula>LEN(TRIM(D627))&gt;0</formula>
    </cfRule>
  </conditionalFormatting>
  <conditionalFormatting sqref="D628">
    <cfRule type="notContainsBlanks" dxfId="6" priority="3141">
      <formula>LEN(TRIM(D628))&gt;0</formula>
    </cfRule>
  </conditionalFormatting>
  <conditionalFormatting sqref="D629">
    <cfRule type="notContainsBlanks" dxfId="6" priority="3146">
      <formula>LEN(TRIM(D629))&gt;0</formula>
    </cfRule>
  </conditionalFormatting>
  <conditionalFormatting sqref="D63">
    <cfRule type="notContainsBlanks" dxfId="6" priority="316">
      <formula>LEN(TRIM(D63))&gt;0</formula>
    </cfRule>
  </conditionalFormatting>
  <conditionalFormatting sqref="D630">
    <cfRule type="notContainsBlanks" dxfId="6" priority="3151">
      <formula>LEN(TRIM(D630))&gt;0</formula>
    </cfRule>
  </conditionalFormatting>
  <conditionalFormatting sqref="D631">
    <cfRule type="notContainsBlanks" dxfId="6" priority="3156">
      <formula>LEN(TRIM(D631))&gt;0</formula>
    </cfRule>
  </conditionalFormatting>
  <conditionalFormatting sqref="D632">
    <cfRule type="notContainsBlanks" dxfId="6" priority="3161">
      <formula>LEN(TRIM(D632))&gt;0</formula>
    </cfRule>
  </conditionalFormatting>
  <conditionalFormatting sqref="D633">
    <cfRule type="notContainsBlanks" dxfId="6" priority="3166">
      <formula>LEN(TRIM(D633))&gt;0</formula>
    </cfRule>
  </conditionalFormatting>
  <conditionalFormatting sqref="D634">
    <cfRule type="notContainsBlanks" dxfId="6" priority="3171">
      <formula>LEN(TRIM(D634))&gt;0</formula>
    </cfRule>
  </conditionalFormatting>
  <conditionalFormatting sqref="D635">
    <cfRule type="notContainsBlanks" dxfId="6" priority="3176">
      <formula>LEN(TRIM(D635))&gt;0</formula>
    </cfRule>
  </conditionalFormatting>
  <conditionalFormatting sqref="D636">
    <cfRule type="notContainsBlanks" dxfId="6" priority="3181">
      <formula>LEN(TRIM(D636))&gt;0</formula>
    </cfRule>
  </conditionalFormatting>
  <conditionalFormatting sqref="D637">
    <cfRule type="notContainsBlanks" dxfId="6" priority="3186">
      <formula>LEN(TRIM(D637))&gt;0</formula>
    </cfRule>
  </conditionalFormatting>
  <conditionalFormatting sqref="D638">
    <cfRule type="notContainsBlanks" dxfId="6" priority="3191">
      <formula>LEN(TRIM(D638))&gt;0</formula>
    </cfRule>
  </conditionalFormatting>
  <conditionalFormatting sqref="D639">
    <cfRule type="notContainsBlanks" dxfId="6" priority="3196">
      <formula>LEN(TRIM(D639))&gt;0</formula>
    </cfRule>
  </conditionalFormatting>
  <conditionalFormatting sqref="D64">
    <cfRule type="notContainsBlanks" dxfId="6" priority="321">
      <formula>LEN(TRIM(D64))&gt;0</formula>
    </cfRule>
  </conditionalFormatting>
  <conditionalFormatting sqref="D640">
    <cfRule type="notContainsBlanks" dxfId="6" priority="3201">
      <formula>LEN(TRIM(D640))&gt;0</formula>
    </cfRule>
  </conditionalFormatting>
  <conditionalFormatting sqref="D641">
    <cfRule type="notContainsBlanks" dxfId="6" priority="3206">
      <formula>LEN(TRIM(D641))&gt;0</formula>
    </cfRule>
  </conditionalFormatting>
  <conditionalFormatting sqref="D642">
    <cfRule type="notContainsBlanks" dxfId="6" priority="3211">
      <formula>LEN(TRIM(D642))&gt;0</formula>
    </cfRule>
  </conditionalFormatting>
  <conditionalFormatting sqref="D643">
    <cfRule type="notContainsBlanks" dxfId="6" priority="3216">
      <formula>LEN(TRIM(D643))&gt;0</formula>
    </cfRule>
  </conditionalFormatting>
  <conditionalFormatting sqref="D644">
    <cfRule type="notContainsBlanks" dxfId="6" priority="3221">
      <formula>LEN(TRIM(D644))&gt;0</formula>
    </cfRule>
  </conditionalFormatting>
  <conditionalFormatting sqref="D645">
    <cfRule type="notContainsBlanks" dxfId="6" priority="3226">
      <formula>LEN(TRIM(D645))&gt;0</formula>
    </cfRule>
  </conditionalFormatting>
  <conditionalFormatting sqref="D646">
    <cfRule type="notContainsBlanks" dxfId="6" priority="3231">
      <formula>LEN(TRIM(D646))&gt;0</formula>
    </cfRule>
  </conditionalFormatting>
  <conditionalFormatting sqref="D647">
    <cfRule type="notContainsBlanks" dxfId="6" priority="3236">
      <formula>LEN(TRIM(D647))&gt;0</formula>
    </cfRule>
  </conditionalFormatting>
  <conditionalFormatting sqref="D648">
    <cfRule type="notContainsBlanks" dxfId="6" priority="3241">
      <formula>LEN(TRIM(D648))&gt;0</formula>
    </cfRule>
  </conditionalFormatting>
  <conditionalFormatting sqref="D649">
    <cfRule type="notContainsBlanks" dxfId="6" priority="3246">
      <formula>LEN(TRIM(D649))&gt;0</formula>
    </cfRule>
  </conditionalFormatting>
  <conditionalFormatting sqref="D65">
    <cfRule type="notContainsBlanks" dxfId="6" priority="326">
      <formula>LEN(TRIM(D65))&gt;0</formula>
    </cfRule>
  </conditionalFormatting>
  <conditionalFormatting sqref="D650">
    <cfRule type="notContainsBlanks" dxfId="6" priority="3251">
      <formula>LEN(TRIM(D650))&gt;0</formula>
    </cfRule>
  </conditionalFormatting>
  <conditionalFormatting sqref="D651">
    <cfRule type="notContainsBlanks" dxfId="6" priority="3256">
      <formula>LEN(TRIM(D651))&gt;0</formula>
    </cfRule>
  </conditionalFormatting>
  <conditionalFormatting sqref="D652">
    <cfRule type="notContainsBlanks" dxfId="6" priority="3261">
      <formula>LEN(TRIM(D652))&gt;0</formula>
    </cfRule>
  </conditionalFormatting>
  <conditionalFormatting sqref="D653">
    <cfRule type="notContainsBlanks" dxfId="6" priority="3266">
      <formula>LEN(TRIM(D653))&gt;0</formula>
    </cfRule>
  </conditionalFormatting>
  <conditionalFormatting sqref="D654">
    <cfRule type="notContainsBlanks" dxfId="6" priority="3271">
      <formula>LEN(TRIM(D654))&gt;0</formula>
    </cfRule>
  </conditionalFormatting>
  <conditionalFormatting sqref="D655">
    <cfRule type="notContainsBlanks" dxfId="6" priority="3276">
      <formula>LEN(TRIM(D655))&gt;0</formula>
    </cfRule>
  </conditionalFormatting>
  <conditionalFormatting sqref="D656">
    <cfRule type="notContainsBlanks" dxfId="6" priority="3281">
      <formula>LEN(TRIM(D656))&gt;0</formula>
    </cfRule>
  </conditionalFormatting>
  <conditionalFormatting sqref="D657">
    <cfRule type="notContainsBlanks" dxfId="6" priority="3286">
      <formula>LEN(TRIM(D657))&gt;0</formula>
    </cfRule>
  </conditionalFormatting>
  <conditionalFormatting sqref="D658">
    <cfRule type="notContainsBlanks" dxfId="6" priority="3291">
      <formula>LEN(TRIM(D658))&gt;0</formula>
    </cfRule>
  </conditionalFormatting>
  <conditionalFormatting sqref="D659">
    <cfRule type="notContainsBlanks" dxfId="6" priority="3296">
      <formula>LEN(TRIM(D659))&gt;0</formula>
    </cfRule>
  </conditionalFormatting>
  <conditionalFormatting sqref="D66">
    <cfRule type="notContainsBlanks" dxfId="6" priority="331">
      <formula>LEN(TRIM(D66))&gt;0</formula>
    </cfRule>
  </conditionalFormatting>
  <conditionalFormatting sqref="D660">
    <cfRule type="notContainsBlanks" dxfId="6" priority="3301">
      <formula>LEN(TRIM(D660))&gt;0</formula>
    </cfRule>
  </conditionalFormatting>
  <conditionalFormatting sqref="D661">
    <cfRule type="notContainsBlanks" dxfId="6" priority="3306">
      <formula>LEN(TRIM(D661))&gt;0</formula>
    </cfRule>
  </conditionalFormatting>
  <conditionalFormatting sqref="D662">
    <cfRule type="notContainsBlanks" dxfId="6" priority="3311">
      <formula>LEN(TRIM(D662))&gt;0</formula>
    </cfRule>
  </conditionalFormatting>
  <conditionalFormatting sqref="D663">
    <cfRule type="notContainsBlanks" dxfId="6" priority="3316">
      <formula>LEN(TRIM(D663))&gt;0</formula>
    </cfRule>
  </conditionalFormatting>
  <conditionalFormatting sqref="D664">
    <cfRule type="notContainsBlanks" dxfId="6" priority="3321">
      <formula>LEN(TRIM(D664))&gt;0</formula>
    </cfRule>
  </conditionalFormatting>
  <conditionalFormatting sqref="D665">
    <cfRule type="notContainsBlanks" dxfId="6" priority="3326">
      <formula>LEN(TRIM(D665))&gt;0</formula>
    </cfRule>
  </conditionalFormatting>
  <conditionalFormatting sqref="D666">
    <cfRule type="notContainsBlanks" dxfId="6" priority="3331">
      <formula>LEN(TRIM(D666))&gt;0</formula>
    </cfRule>
  </conditionalFormatting>
  <conditionalFormatting sqref="D667">
    <cfRule type="notContainsBlanks" dxfId="6" priority="3336">
      <formula>LEN(TRIM(D667))&gt;0</formula>
    </cfRule>
  </conditionalFormatting>
  <conditionalFormatting sqref="D668">
    <cfRule type="notContainsBlanks" dxfId="6" priority="3341">
      <formula>LEN(TRIM(D668))&gt;0</formula>
    </cfRule>
  </conditionalFormatting>
  <conditionalFormatting sqref="D669">
    <cfRule type="notContainsBlanks" dxfId="6" priority="3346">
      <formula>LEN(TRIM(D669))&gt;0</formula>
    </cfRule>
  </conditionalFormatting>
  <conditionalFormatting sqref="D67">
    <cfRule type="notContainsBlanks" dxfId="6" priority="336">
      <formula>LEN(TRIM(D67))&gt;0</formula>
    </cfRule>
  </conditionalFormatting>
  <conditionalFormatting sqref="D670">
    <cfRule type="notContainsBlanks" dxfId="6" priority="3351">
      <formula>LEN(TRIM(D670))&gt;0</formula>
    </cfRule>
  </conditionalFormatting>
  <conditionalFormatting sqref="D671">
    <cfRule type="notContainsBlanks" dxfId="6" priority="3356">
      <formula>LEN(TRIM(D671))&gt;0</formula>
    </cfRule>
  </conditionalFormatting>
  <conditionalFormatting sqref="D672">
    <cfRule type="notContainsBlanks" dxfId="6" priority="3361">
      <formula>LEN(TRIM(D672))&gt;0</formula>
    </cfRule>
  </conditionalFormatting>
  <conditionalFormatting sqref="D673">
    <cfRule type="notContainsBlanks" dxfId="6" priority="3366">
      <formula>LEN(TRIM(D673))&gt;0</formula>
    </cfRule>
  </conditionalFormatting>
  <conditionalFormatting sqref="D674">
    <cfRule type="notContainsBlanks" dxfId="6" priority="3371">
      <formula>LEN(TRIM(D674))&gt;0</formula>
    </cfRule>
  </conditionalFormatting>
  <conditionalFormatting sqref="D675">
    <cfRule type="notContainsBlanks" dxfId="6" priority="3376">
      <formula>LEN(TRIM(D675))&gt;0</formula>
    </cfRule>
  </conditionalFormatting>
  <conditionalFormatting sqref="D676">
    <cfRule type="notContainsBlanks" dxfId="6" priority="3381">
      <formula>LEN(TRIM(D676))&gt;0</formula>
    </cfRule>
  </conditionalFormatting>
  <conditionalFormatting sqref="D677">
    <cfRule type="notContainsBlanks" dxfId="6" priority="3386">
      <formula>LEN(TRIM(D677))&gt;0</formula>
    </cfRule>
  </conditionalFormatting>
  <conditionalFormatting sqref="D678">
    <cfRule type="notContainsBlanks" dxfId="6" priority="3391">
      <formula>LEN(TRIM(D678))&gt;0</formula>
    </cfRule>
  </conditionalFormatting>
  <conditionalFormatting sqref="D679">
    <cfRule type="notContainsBlanks" dxfId="6" priority="3396">
      <formula>LEN(TRIM(D679))&gt;0</formula>
    </cfRule>
  </conditionalFormatting>
  <conditionalFormatting sqref="D68">
    <cfRule type="notContainsBlanks" dxfId="6" priority="341">
      <formula>LEN(TRIM(D68))&gt;0</formula>
    </cfRule>
  </conditionalFormatting>
  <conditionalFormatting sqref="D680">
    <cfRule type="notContainsBlanks" dxfId="6" priority="3401">
      <formula>LEN(TRIM(D680))&gt;0</formula>
    </cfRule>
  </conditionalFormatting>
  <conditionalFormatting sqref="D681">
    <cfRule type="notContainsBlanks" dxfId="6" priority="3406">
      <formula>LEN(TRIM(D681))&gt;0</formula>
    </cfRule>
  </conditionalFormatting>
  <conditionalFormatting sqref="D682">
    <cfRule type="notContainsBlanks" dxfId="6" priority="3411">
      <formula>LEN(TRIM(D682))&gt;0</formula>
    </cfRule>
  </conditionalFormatting>
  <conditionalFormatting sqref="D683">
    <cfRule type="notContainsBlanks" dxfId="6" priority="3416">
      <formula>LEN(TRIM(D683))&gt;0</formula>
    </cfRule>
  </conditionalFormatting>
  <conditionalFormatting sqref="D684">
    <cfRule type="notContainsBlanks" dxfId="6" priority="3421">
      <formula>LEN(TRIM(D684))&gt;0</formula>
    </cfRule>
  </conditionalFormatting>
  <conditionalFormatting sqref="D685">
    <cfRule type="notContainsBlanks" dxfId="6" priority="3426">
      <formula>LEN(TRIM(D685))&gt;0</formula>
    </cfRule>
  </conditionalFormatting>
  <conditionalFormatting sqref="D686">
    <cfRule type="notContainsBlanks" dxfId="6" priority="3431">
      <formula>LEN(TRIM(D686))&gt;0</formula>
    </cfRule>
  </conditionalFormatting>
  <conditionalFormatting sqref="D687">
    <cfRule type="notContainsBlanks" dxfId="6" priority="3436">
      <formula>LEN(TRIM(D687))&gt;0</formula>
    </cfRule>
  </conditionalFormatting>
  <conditionalFormatting sqref="D688">
    <cfRule type="notContainsBlanks" dxfId="6" priority="3441">
      <formula>LEN(TRIM(D688))&gt;0</formula>
    </cfRule>
  </conditionalFormatting>
  <conditionalFormatting sqref="D689">
    <cfRule type="notContainsBlanks" dxfId="6" priority="3446">
      <formula>LEN(TRIM(D689))&gt;0</formula>
    </cfRule>
  </conditionalFormatting>
  <conditionalFormatting sqref="D69">
    <cfRule type="notContainsBlanks" dxfId="6" priority="346">
      <formula>LEN(TRIM(D69))&gt;0</formula>
    </cfRule>
  </conditionalFormatting>
  <conditionalFormatting sqref="D690">
    <cfRule type="notContainsBlanks" dxfId="6" priority="3451">
      <formula>LEN(TRIM(D690))&gt;0</formula>
    </cfRule>
  </conditionalFormatting>
  <conditionalFormatting sqref="D691">
    <cfRule type="notContainsBlanks" dxfId="6" priority="3456">
      <formula>LEN(TRIM(D691))&gt;0</formula>
    </cfRule>
  </conditionalFormatting>
  <conditionalFormatting sqref="D692">
    <cfRule type="notContainsBlanks" dxfId="6" priority="3461">
      <formula>LEN(TRIM(D692))&gt;0</formula>
    </cfRule>
  </conditionalFormatting>
  <conditionalFormatting sqref="D693">
    <cfRule type="notContainsBlanks" dxfId="6" priority="3466">
      <formula>LEN(TRIM(D693))&gt;0</formula>
    </cfRule>
  </conditionalFormatting>
  <conditionalFormatting sqref="D694">
    <cfRule type="notContainsBlanks" dxfId="6" priority="3471">
      <formula>LEN(TRIM(D694))&gt;0</formula>
    </cfRule>
  </conditionalFormatting>
  <conditionalFormatting sqref="D695">
    <cfRule type="notContainsBlanks" dxfId="6" priority="3476">
      <formula>LEN(TRIM(D695))&gt;0</formula>
    </cfRule>
  </conditionalFormatting>
  <conditionalFormatting sqref="D696">
    <cfRule type="notContainsBlanks" dxfId="6" priority="3481">
      <formula>LEN(TRIM(D696))&gt;0</formula>
    </cfRule>
  </conditionalFormatting>
  <conditionalFormatting sqref="D697">
    <cfRule type="notContainsBlanks" dxfId="6" priority="3486">
      <formula>LEN(TRIM(D697))&gt;0</formula>
    </cfRule>
  </conditionalFormatting>
  <conditionalFormatting sqref="D698">
    <cfRule type="notContainsBlanks" dxfId="6" priority="3491">
      <formula>LEN(TRIM(D698))&gt;0</formula>
    </cfRule>
  </conditionalFormatting>
  <conditionalFormatting sqref="D699">
    <cfRule type="notContainsBlanks" dxfId="6" priority="3496">
      <formula>LEN(TRIM(D699))&gt;0</formula>
    </cfRule>
  </conditionalFormatting>
  <conditionalFormatting sqref="D7">
    <cfRule type="notContainsBlanks" dxfId="6" priority="36">
      <formula>LEN(TRIM(D7))&gt;0</formula>
    </cfRule>
  </conditionalFormatting>
  <conditionalFormatting sqref="D70">
    <cfRule type="notContainsBlanks" dxfId="6" priority="351">
      <formula>LEN(TRIM(D70))&gt;0</formula>
    </cfRule>
  </conditionalFormatting>
  <conditionalFormatting sqref="D700">
    <cfRule type="notContainsBlanks" dxfId="6" priority="3501">
      <formula>LEN(TRIM(D700))&gt;0</formula>
    </cfRule>
  </conditionalFormatting>
  <conditionalFormatting sqref="D701">
    <cfRule type="notContainsBlanks" dxfId="6" priority="3506">
      <formula>LEN(TRIM(D701))&gt;0</formula>
    </cfRule>
  </conditionalFormatting>
  <conditionalFormatting sqref="D702">
    <cfRule type="notContainsBlanks" dxfId="6" priority="3511">
      <formula>LEN(TRIM(D702))&gt;0</formula>
    </cfRule>
  </conditionalFormatting>
  <conditionalFormatting sqref="D703">
    <cfRule type="notContainsBlanks" dxfId="6" priority="3516">
      <formula>LEN(TRIM(D703))&gt;0</formula>
    </cfRule>
  </conditionalFormatting>
  <conditionalFormatting sqref="D704">
    <cfRule type="notContainsBlanks" dxfId="6" priority="3521">
      <formula>LEN(TRIM(D704))&gt;0</formula>
    </cfRule>
  </conditionalFormatting>
  <conditionalFormatting sqref="D705">
    <cfRule type="notContainsBlanks" dxfId="6" priority="3526">
      <formula>LEN(TRIM(D705))&gt;0</formula>
    </cfRule>
  </conditionalFormatting>
  <conditionalFormatting sqref="D706">
    <cfRule type="notContainsBlanks" dxfId="6" priority="3531">
      <formula>LEN(TRIM(D706))&gt;0</formula>
    </cfRule>
  </conditionalFormatting>
  <conditionalFormatting sqref="D707">
    <cfRule type="notContainsBlanks" dxfId="6" priority="3536">
      <formula>LEN(TRIM(D707))&gt;0</formula>
    </cfRule>
  </conditionalFormatting>
  <conditionalFormatting sqref="D708">
    <cfRule type="notContainsBlanks" dxfId="6" priority="3541">
      <formula>LEN(TRIM(D708))&gt;0</formula>
    </cfRule>
  </conditionalFormatting>
  <conditionalFormatting sqref="D709">
    <cfRule type="notContainsBlanks" dxfId="6" priority="3546">
      <formula>LEN(TRIM(D709))&gt;0</formula>
    </cfRule>
  </conditionalFormatting>
  <conditionalFormatting sqref="D71">
    <cfRule type="notContainsBlanks" dxfId="6" priority="356">
      <formula>LEN(TRIM(D71))&gt;0</formula>
    </cfRule>
  </conditionalFormatting>
  <conditionalFormatting sqref="D710">
    <cfRule type="notContainsBlanks" dxfId="6" priority="3551">
      <formula>LEN(TRIM(D710))&gt;0</formula>
    </cfRule>
  </conditionalFormatting>
  <conditionalFormatting sqref="D711">
    <cfRule type="notContainsBlanks" dxfId="6" priority="3556">
      <formula>LEN(TRIM(D711))&gt;0</formula>
    </cfRule>
  </conditionalFormatting>
  <conditionalFormatting sqref="D712">
    <cfRule type="notContainsBlanks" dxfId="6" priority="3561">
      <formula>LEN(TRIM(D712))&gt;0</formula>
    </cfRule>
  </conditionalFormatting>
  <conditionalFormatting sqref="D713">
    <cfRule type="notContainsBlanks" dxfId="6" priority="3566">
      <formula>LEN(TRIM(D713))&gt;0</formula>
    </cfRule>
  </conditionalFormatting>
  <conditionalFormatting sqref="D714">
    <cfRule type="notContainsBlanks" dxfId="6" priority="3571">
      <formula>LEN(TRIM(D714))&gt;0</formula>
    </cfRule>
  </conditionalFormatting>
  <conditionalFormatting sqref="D715">
    <cfRule type="notContainsBlanks" dxfId="6" priority="3576">
      <formula>LEN(TRIM(D715))&gt;0</formula>
    </cfRule>
  </conditionalFormatting>
  <conditionalFormatting sqref="D716">
    <cfRule type="notContainsBlanks" dxfId="6" priority="3581">
      <formula>LEN(TRIM(D716))&gt;0</formula>
    </cfRule>
  </conditionalFormatting>
  <conditionalFormatting sqref="D717">
    <cfRule type="notContainsBlanks" dxfId="6" priority="3586">
      <formula>LEN(TRIM(D717))&gt;0</formula>
    </cfRule>
  </conditionalFormatting>
  <conditionalFormatting sqref="D718">
    <cfRule type="notContainsBlanks" dxfId="6" priority="3591">
      <formula>LEN(TRIM(D718))&gt;0</formula>
    </cfRule>
  </conditionalFormatting>
  <conditionalFormatting sqref="D719">
    <cfRule type="notContainsBlanks" dxfId="6" priority="3596">
      <formula>LEN(TRIM(D719))&gt;0</formula>
    </cfRule>
  </conditionalFormatting>
  <conditionalFormatting sqref="D72">
    <cfRule type="notContainsBlanks" dxfId="6" priority="361">
      <formula>LEN(TRIM(D72))&gt;0</formula>
    </cfRule>
  </conditionalFormatting>
  <conditionalFormatting sqref="D720">
    <cfRule type="notContainsBlanks" dxfId="6" priority="3601">
      <formula>LEN(TRIM(D720))&gt;0</formula>
    </cfRule>
  </conditionalFormatting>
  <conditionalFormatting sqref="D721">
    <cfRule type="notContainsBlanks" dxfId="6" priority="3606">
      <formula>LEN(TRIM(D721))&gt;0</formula>
    </cfRule>
  </conditionalFormatting>
  <conditionalFormatting sqref="D722">
    <cfRule type="notContainsBlanks" dxfId="6" priority="3611">
      <formula>LEN(TRIM(D722))&gt;0</formula>
    </cfRule>
  </conditionalFormatting>
  <conditionalFormatting sqref="D723">
    <cfRule type="notContainsBlanks" dxfId="6" priority="3616">
      <formula>LEN(TRIM(D723))&gt;0</formula>
    </cfRule>
  </conditionalFormatting>
  <conditionalFormatting sqref="D724">
    <cfRule type="notContainsBlanks" dxfId="6" priority="3621">
      <formula>LEN(TRIM(D724))&gt;0</formula>
    </cfRule>
  </conditionalFormatting>
  <conditionalFormatting sqref="D725">
    <cfRule type="notContainsBlanks" dxfId="6" priority="3626">
      <formula>LEN(TRIM(D725))&gt;0</formula>
    </cfRule>
  </conditionalFormatting>
  <conditionalFormatting sqref="D726">
    <cfRule type="notContainsBlanks" dxfId="6" priority="3631">
      <formula>LEN(TRIM(D726))&gt;0</formula>
    </cfRule>
  </conditionalFormatting>
  <conditionalFormatting sqref="D727">
    <cfRule type="notContainsBlanks" dxfId="6" priority="3636">
      <formula>LEN(TRIM(D727))&gt;0</formula>
    </cfRule>
  </conditionalFormatting>
  <conditionalFormatting sqref="D728">
    <cfRule type="notContainsBlanks" dxfId="6" priority="3641">
      <formula>LEN(TRIM(D728))&gt;0</formula>
    </cfRule>
  </conditionalFormatting>
  <conditionalFormatting sqref="D729">
    <cfRule type="notContainsBlanks" dxfId="6" priority="3646">
      <formula>LEN(TRIM(D729))&gt;0</formula>
    </cfRule>
  </conditionalFormatting>
  <conditionalFormatting sqref="D73">
    <cfRule type="notContainsBlanks" dxfId="6" priority="366">
      <formula>LEN(TRIM(D73))&gt;0</formula>
    </cfRule>
  </conditionalFormatting>
  <conditionalFormatting sqref="D730">
    <cfRule type="notContainsBlanks" dxfId="6" priority="3651">
      <formula>LEN(TRIM(D730))&gt;0</formula>
    </cfRule>
  </conditionalFormatting>
  <conditionalFormatting sqref="D731">
    <cfRule type="notContainsBlanks" dxfId="6" priority="3656">
      <formula>LEN(TRIM(D731))&gt;0</formula>
    </cfRule>
  </conditionalFormatting>
  <conditionalFormatting sqref="D732">
    <cfRule type="notContainsBlanks" dxfId="6" priority="3661">
      <formula>LEN(TRIM(D732))&gt;0</formula>
    </cfRule>
  </conditionalFormatting>
  <conditionalFormatting sqref="D733">
    <cfRule type="notContainsBlanks" dxfId="6" priority="3666">
      <formula>LEN(TRIM(D733))&gt;0</formula>
    </cfRule>
  </conditionalFormatting>
  <conditionalFormatting sqref="D734">
    <cfRule type="notContainsBlanks" dxfId="6" priority="3671">
      <formula>LEN(TRIM(D734))&gt;0</formula>
    </cfRule>
  </conditionalFormatting>
  <conditionalFormatting sqref="D735">
    <cfRule type="notContainsBlanks" dxfId="6" priority="3676">
      <formula>LEN(TRIM(D735))&gt;0</formula>
    </cfRule>
  </conditionalFormatting>
  <conditionalFormatting sqref="D736">
    <cfRule type="notContainsBlanks" dxfId="6" priority="3681">
      <formula>LEN(TRIM(D736))&gt;0</formula>
    </cfRule>
  </conditionalFormatting>
  <conditionalFormatting sqref="D737">
    <cfRule type="notContainsBlanks" dxfId="6" priority="3686">
      <formula>LEN(TRIM(D737))&gt;0</formula>
    </cfRule>
  </conditionalFormatting>
  <conditionalFormatting sqref="D738">
    <cfRule type="notContainsBlanks" dxfId="6" priority="3691">
      <formula>LEN(TRIM(D738))&gt;0</formula>
    </cfRule>
  </conditionalFormatting>
  <conditionalFormatting sqref="D739">
    <cfRule type="notContainsBlanks" dxfId="6" priority="3696">
      <formula>LEN(TRIM(D739))&gt;0</formula>
    </cfRule>
  </conditionalFormatting>
  <conditionalFormatting sqref="D74">
    <cfRule type="notContainsBlanks" dxfId="6" priority="371">
      <formula>LEN(TRIM(D74))&gt;0</formula>
    </cfRule>
  </conditionalFormatting>
  <conditionalFormatting sqref="D740">
    <cfRule type="notContainsBlanks" dxfId="6" priority="3701">
      <formula>LEN(TRIM(D740))&gt;0</formula>
    </cfRule>
  </conditionalFormatting>
  <conditionalFormatting sqref="D741">
    <cfRule type="notContainsBlanks" dxfId="6" priority="3706">
      <formula>LEN(TRIM(D741))&gt;0</formula>
    </cfRule>
  </conditionalFormatting>
  <conditionalFormatting sqref="D742">
    <cfRule type="notContainsBlanks" dxfId="6" priority="3711">
      <formula>LEN(TRIM(D742))&gt;0</formula>
    </cfRule>
  </conditionalFormatting>
  <conditionalFormatting sqref="D743">
    <cfRule type="notContainsBlanks" dxfId="6" priority="3716">
      <formula>LEN(TRIM(D743))&gt;0</formula>
    </cfRule>
  </conditionalFormatting>
  <conditionalFormatting sqref="D744">
    <cfRule type="notContainsBlanks" dxfId="6" priority="3721">
      <formula>LEN(TRIM(D744))&gt;0</formula>
    </cfRule>
  </conditionalFormatting>
  <conditionalFormatting sqref="D745">
    <cfRule type="notContainsBlanks" dxfId="6" priority="3726">
      <formula>LEN(TRIM(D745))&gt;0</formula>
    </cfRule>
  </conditionalFormatting>
  <conditionalFormatting sqref="D746">
    <cfRule type="notContainsBlanks" dxfId="6" priority="3731">
      <formula>LEN(TRIM(D746))&gt;0</formula>
    </cfRule>
  </conditionalFormatting>
  <conditionalFormatting sqref="D747">
    <cfRule type="notContainsBlanks" dxfId="6" priority="3736">
      <formula>LEN(TRIM(D747))&gt;0</formula>
    </cfRule>
  </conditionalFormatting>
  <conditionalFormatting sqref="D748">
    <cfRule type="notContainsBlanks" dxfId="6" priority="3741">
      <formula>LEN(TRIM(D748))&gt;0</formula>
    </cfRule>
  </conditionalFormatting>
  <conditionalFormatting sqref="D749">
    <cfRule type="notContainsBlanks" dxfId="6" priority="3746">
      <formula>LEN(TRIM(D749))&gt;0</formula>
    </cfRule>
  </conditionalFormatting>
  <conditionalFormatting sqref="D75">
    <cfRule type="notContainsBlanks" dxfId="6" priority="376">
      <formula>LEN(TRIM(D75))&gt;0</formula>
    </cfRule>
  </conditionalFormatting>
  <conditionalFormatting sqref="D750">
    <cfRule type="notContainsBlanks" dxfId="6" priority="3751">
      <formula>LEN(TRIM(D750))&gt;0</formula>
    </cfRule>
  </conditionalFormatting>
  <conditionalFormatting sqref="D751">
    <cfRule type="notContainsBlanks" dxfId="6" priority="3756">
      <formula>LEN(TRIM(D751))&gt;0</formula>
    </cfRule>
  </conditionalFormatting>
  <conditionalFormatting sqref="D752">
    <cfRule type="notContainsBlanks" dxfId="6" priority="3761">
      <formula>LEN(TRIM(D752))&gt;0</formula>
    </cfRule>
  </conditionalFormatting>
  <conditionalFormatting sqref="D753">
    <cfRule type="notContainsBlanks" dxfId="6" priority="3766">
      <formula>LEN(TRIM(D753))&gt;0</formula>
    </cfRule>
  </conditionalFormatting>
  <conditionalFormatting sqref="D754">
    <cfRule type="notContainsBlanks" dxfId="6" priority="3771">
      <formula>LEN(TRIM(D754))&gt;0</formula>
    </cfRule>
  </conditionalFormatting>
  <conditionalFormatting sqref="D755">
    <cfRule type="notContainsBlanks" dxfId="6" priority="3776">
      <formula>LEN(TRIM(D755))&gt;0</formula>
    </cfRule>
  </conditionalFormatting>
  <conditionalFormatting sqref="D756">
    <cfRule type="notContainsBlanks" dxfId="6" priority="3781">
      <formula>LEN(TRIM(D756))&gt;0</formula>
    </cfRule>
  </conditionalFormatting>
  <conditionalFormatting sqref="D757">
    <cfRule type="notContainsBlanks" dxfId="6" priority="3786">
      <formula>LEN(TRIM(D757))&gt;0</formula>
    </cfRule>
  </conditionalFormatting>
  <conditionalFormatting sqref="D758">
    <cfRule type="notContainsBlanks" dxfId="6" priority="3791">
      <formula>LEN(TRIM(D758))&gt;0</formula>
    </cfRule>
  </conditionalFormatting>
  <conditionalFormatting sqref="D759">
    <cfRule type="notContainsBlanks" dxfId="6" priority="3796">
      <formula>LEN(TRIM(D759))&gt;0</formula>
    </cfRule>
  </conditionalFormatting>
  <conditionalFormatting sqref="D76">
    <cfRule type="notContainsBlanks" dxfId="6" priority="381">
      <formula>LEN(TRIM(D76))&gt;0</formula>
    </cfRule>
  </conditionalFormatting>
  <conditionalFormatting sqref="D760">
    <cfRule type="notContainsBlanks" dxfId="6" priority="3801">
      <formula>LEN(TRIM(D760))&gt;0</formula>
    </cfRule>
  </conditionalFormatting>
  <conditionalFormatting sqref="D761">
    <cfRule type="notContainsBlanks" dxfId="6" priority="3806">
      <formula>LEN(TRIM(D761))&gt;0</formula>
    </cfRule>
  </conditionalFormatting>
  <conditionalFormatting sqref="D762">
    <cfRule type="notContainsBlanks" dxfId="6" priority="3811">
      <formula>LEN(TRIM(D762))&gt;0</formula>
    </cfRule>
  </conditionalFormatting>
  <conditionalFormatting sqref="D763">
    <cfRule type="notContainsBlanks" dxfId="6" priority="3816">
      <formula>LEN(TRIM(D763))&gt;0</formula>
    </cfRule>
  </conditionalFormatting>
  <conditionalFormatting sqref="D764">
    <cfRule type="notContainsBlanks" dxfId="6" priority="3821">
      <formula>LEN(TRIM(D764))&gt;0</formula>
    </cfRule>
  </conditionalFormatting>
  <conditionalFormatting sqref="D765">
    <cfRule type="notContainsBlanks" dxfId="6" priority="3826">
      <formula>LEN(TRIM(D765))&gt;0</formula>
    </cfRule>
  </conditionalFormatting>
  <conditionalFormatting sqref="D766">
    <cfRule type="notContainsBlanks" dxfId="6" priority="3831">
      <formula>LEN(TRIM(D766))&gt;0</formula>
    </cfRule>
  </conditionalFormatting>
  <conditionalFormatting sqref="D767">
    <cfRule type="notContainsBlanks" dxfId="6" priority="3836">
      <formula>LEN(TRIM(D767))&gt;0</formula>
    </cfRule>
  </conditionalFormatting>
  <conditionalFormatting sqref="D768">
    <cfRule type="notContainsBlanks" dxfId="6" priority="3841">
      <formula>LEN(TRIM(D768))&gt;0</formula>
    </cfRule>
  </conditionalFormatting>
  <conditionalFormatting sqref="D769">
    <cfRule type="notContainsBlanks" dxfId="6" priority="3846">
      <formula>LEN(TRIM(D769))&gt;0</formula>
    </cfRule>
  </conditionalFormatting>
  <conditionalFormatting sqref="D77">
    <cfRule type="notContainsBlanks" dxfId="6" priority="386">
      <formula>LEN(TRIM(D77))&gt;0</formula>
    </cfRule>
  </conditionalFormatting>
  <conditionalFormatting sqref="D770">
    <cfRule type="notContainsBlanks" dxfId="6" priority="3851">
      <formula>LEN(TRIM(D770))&gt;0</formula>
    </cfRule>
  </conditionalFormatting>
  <conditionalFormatting sqref="D771">
    <cfRule type="notContainsBlanks" dxfId="6" priority="3856">
      <formula>LEN(TRIM(D771))&gt;0</formula>
    </cfRule>
  </conditionalFormatting>
  <conditionalFormatting sqref="D772">
    <cfRule type="notContainsBlanks" dxfId="6" priority="3861">
      <formula>LEN(TRIM(D772))&gt;0</formula>
    </cfRule>
  </conditionalFormatting>
  <conditionalFormatting sqref="D773">
    <cfRule type="notContainsBlanks" dxfId="6" priority="3866">
      <formula>LEN(TRIM(D773))&gt;0</formula>
    </cfRule>
  </conditionalFormatting>
  <conditionalFormatting sqref="D774">
    <cfRule type="notContainsBlanks" dxfId="6" priority="3871">
      <formula>LEN(TRIM(D774))&gt;0</formula>
    </cfRule>
  </conditionalFormatting>
  <conditionalFormatting sqref="D775">
    <cfRule type="notContainsBlanks" dxfId="6" priority="3876">
      <formula>LEN(TRIM(D775))&gt;0</formula>
    </cfRule>
  </conditionalFormatting>
  <conditionalFormatting sqref="D776">
    <cfRule type="notContainsBlanks" dxfId="6" priority="3881">
      <formula>LEN(TRIM(D776))&gt;0</formula>
    </cfRule>
  </conditionalFormatting>
  <conditionalFormatting sqref="D777">
    <cfRule type="notContainsBlanks" dxfId="6" priority="3886">
      <formula>LEN(TRIM(D777))&gt;0</formula>
    </cfRule>
  </conditionalFormatting>
  <conditionalFormatting sqref="D778">
    <cfRule type="notContainsBlanks" dxfId="6" priority="3891">
      <formula>LEN(TRIM(D778))&gt;0</formula>
    </cfRule>
  </conditionalFormatting>
  <conditionalFormatting sqref="D779">
    <cfRule type="notContainsBlanks" dxfId="6" priority="3896">
      <formula>LEN(TRIM(D779))&gt;0</formula>
    </cfRule>
  </conditionalFormatting>
  <conditionalFormatting sqref="D78">
    <cfRule type="notContainsBlanks" dxfId="6" priority="391">
      <formula>LEN(TRIM(D78))&gt;0</formula>
    </cfRule>
  </conditionalFormatting>
  <conditionalFormatting sqref="D780">
    <cfRule type="notContainsBlanks" dxfId="6" priority="3901">
      <formula>LEN(TRIM(D780))&gt;0</formula>
    </cfRule>
  </conditionalFormatting>
  <conditionalFormatting sqref="D781">
    <cfRule type="notContainsBlanks" dxfId="6" priority="3906">
      <formula>LEN(TRIM(D781))&gt;0</formula>
    </cfRule>
  </conditionalFormatting>
  <conditionalFormatting sqref="D782">
    <cfRule type="notContainsBlanks" dxfId="6" priority="3911">
      <formula>LEN(TRIM(D782))&gt;0</formula>
    </cfRule>
  </conditionalFormatting>
  <conditionalFormatting sqref="D783">
    <cfRule type="notContainsBlanks" dxfId="6" priority="3916">
      <formula>LEN(TRIM(D783))&gt;0</formula>
    </cfRule>
  </conditionalFormatting>
  <conditionalFormatting sqref="D784">
    <cfRule type="notContainsBlanks" dxfId="6" priority="3921">
      <formula>LEN(TRIM(D784))&gt;0</formula>
    </cfRule>
  </conditionalFormatting>
  <conditionalFormatting sqref="D785">
    <cfRule type="notContainsBlanks" dxfId="6" priority="3926">
      <formula>LEN(TRIM(D785))&gt;0</formula>
    </cfRule>
  </conditionalFormatting>
  <conditionalFormatting sqref="D786">
    <cfRule type="notContainsBlanks" dxfId="6" priority="3931">
      <formula>LEN(TRIM(D786))&gt;0</formula>
    </cfRule>
  </conditionalFormatting>
  <conditionalFormatting sqref="D787">
    <cfRule type="notContainsBlanks" dxfId="6" priority="3936">
      <formula>LEN(TRIM(D787))&gt;0</formula>
    </cfRule>
  </conditionalFormatting>
  <conditionalFormatting sqref="D788">
    <cfRule type="notContainsBlanks" dxfId="6" priority="3941">
      <formula>LEN(TRIM(D788))&gt;0</formula>
    </cfRule>
  </conditionalFormatting>
  <conditionalFormatting sqref="D789">
    <cfRule type="notContainsBlanks" dxfId="6" priority="3946">
      <formula>LEN(TRIM(D789))&gt;0</formula>
    </cfRule>
  </conditionalFormatting>
  <conditionalFormatting sqref="D79">
    <cfRule type="notContainsBlanks" dxfId="6" priority="396">
      <formula>LEN(TRIM(D79))&gt;0</formula>
    </cfRule>
  </conditionalFormatting>
  <conditionalFormatting sqref="D790">
    <cfRule type="notContainsBlanks" dxfId="6" priority="3951">
      <formula>LEN(TRIM(D790))&gt;0</formula>
    </cfRule>
  </conditionalFormatting>
  <conditionalFormatting sqref="D791">
    <cfRule type="notContainsBlanks" dxfId="6" priority="3956">
      <formula>LEN(TRIM(D791))&gt;0</formula>
    </cfRule>
  </conditionalFormatting>
  <conditionalFormatting sqref="D792">
    <cfRule type="notContainsBlanks" dxfId="6" priority="3961">
      <formula>LEN(TRIM(D792))&gt;0</formula>
    </cfRule>
  </conditionalFormatting>
  <conditionalFormatting sqref="D793">
    <cfRule type="notContainsBlanks" dxfId="6" priority="3966">
      <formula>LEN(TRIM(D793))&gt;0</formula>
    </cfRule>
  </conditionalFormatting>
  <conditionalFormatting sqref="D794">
    <cfRule type="notContainsBlanks" dxfId="6" priority="3971">
      <formula>LEN(TRIM(D794))&gt;0</formula>
    </cfRule>
  </conditionalFormatting>
  <conditionalFormatting sqref="D795">
    <cfRule type="notContainsBlanks" dxfId="6" priority="3976">
      <formula>LEN(TRIM(D795))&gt;0</formula>
    </cfRule>
  </conditionalFormatting>
  <conditionalFormatting sqref="D796">
    <cfRule type="notContainsBlanks" dxfId="6" priority="3981">
      <formula>LEN(TRIM(D796))&gt;0</formula>
    </cfRule>
  </conditionalFormatting>
  <conditionalFormatting sqref="D797">
    <cfRule type="notContainsBlanks" dxfId="6" priority="3986">
      <formula>LEN(TRIM(D797))&gt;0</formula>
    </cfRule>
  </conditionalFormatting>
  <conditionalFormatting sqref="D798">
    <cfRule type="notContainsBlanks" dxfId="6" priority="3991">
      <formula>LEN(TRIM(D798))&gt;0</formula>
    </cfRule>
  </conditionalFormatting>
  <conditionalFormatting sqref="D799">
    <cfRule type="notContainsBlanks" dxfId="6" priority="3996">
      <formula>LEN(TRIM(D799))&gt;0</formula>
    </cfRule>
  </conditionalFormatting>
  <conditionalFormatting sqref="D8">
    <cfRule type="notContainsBlanks" dxfId="6" priority="41">
      <formula>LEN(TRIM(D8))&gt;0</formula>
    </cfRule>
  </conditionalFormatting>
  <conditionalFormatting sqref="D80">
    <cfRule type="notContainsBlanks" dxfId="6" priority="401">
      <formula>LEN(TRIM(D80))&gt;0</formula>
    </cfRule>
  </conditionalFormatting>
  <conditionalFormatting sqref="D800">
    <cfRule type="notContainsBlanks" dxfId="6" priority="4001">
      <formula>LEN(TRIM(D800))&gt;0</formula>
    </cfRule>
  </conditionalFormatting>
  <conditionalFormatting sqref="D801">
    <cfRule type="notContainsBlanks" dxfId="6" priority="4006">
      <formula>LEN(TRIM(D801))&gt;0</formula>
    </cfRule>
  </conditionalFormatting>
  <conditionalFormatting sqref="D802">
    <cfRule type="notContainsBlanks" dxfId="6" priority="4011">
      <formula>LEN(TRIM(D802))&gt;0</formula>
    </cfRule>
  </conditionalFormatting>
  <conditionalFormatting sqref="D803">
    <cfRule type="notContainsBlanks" dxfId="6" priority="4016">
      <formula>LEN(TRIM(D803))&gt;0</formula>
    </cfRule>
  </conditionalFormatting>
  <conditionalFormatting sqref="D804">
    <cfRule type="notContainsBlanks" dxfId="6" priority="4021">
      <formula>LEN(TRIM(D804))&gt;0</formula>
    </cfRule>
  </conditionalFormatting>
  <conditionalFormatting sqref="D805">
    <cfRule type="notContainsBlanks" dxfId="6" priority="4026">
      <formula>LEN(TRIM(D805))&gt;0</formula>
    </cfRule>
  </conditionalFormatting>
  <conditionalFormatting sqref="D806">
    <cfRule type="notContainsBlanks" dxfId="6" priority="4031">
      <formula>LEN(TRIM(D806))&gt;0</formula>
    </cfRule>
  </conditionalFormatting>
  <conditionalFormatting sqref="D807">
    <cfRule type="notContainsBlanks" dxfId="6" priority="4036">
      <formula>LEN(TRIM(D807))&gt;0</formula>
    </cfRule>
  </conditionalFormatting>
  <conditionalFormatting sqref="D808">
    <cfRule type="notContainsBlanks" dxfId="6" priority="4041">
      <formula>LEN(TRIM(D808))&gt;0</formula>
    </cfRule>
  </conditionalFormatting>
  <conditionalFormatting sqref="D809">
    <cfRule type="notContainsBlanks" dxfId="6" priority="4046">
      <formula>LEN(TRIM(D809))&gt;0</formula>
    </cfRule>
  </conditionalFormatting>
  <conditionalFormatting sqref="D81">
    <cfRule type="notContainsBlanks" dxfId="6" priority="406">
      <formula>LEN(TRIM(D81))&gt;0</formula>
    </cfRule>
  </conditionalFormatting>
  <conditionalFormatting sqref="D810">
    <cfRule type="notContainsBlanks" dxfId="6" priority="4051">
      <formula>LEN(TRIM(D810))&gt;0</formula>
    </cfRule>
  </conditionalFormatting>
  <conditionalFormatting sqref="D811">
    <cfRule type="notContainsBlanks" dxfId="6" priority="4056">
      <formula>LEN(TRIM(D811))&gt;0</formula>
    </cfRule>
  </conditionalFormatting>
  <conditionalFormatting sqref="D812">
    <cfRule type="notContainsBlanks" dxfId="6" priority="4061">
      <formula>LEN(TRIM(D812))&gt;0</formula>
    </cfRule>
  </conditionalFormatting>
  <conditionalFormatting sqref="D813">
    <cfRule type="notContainsBlanks" dxfId="6" priority="4066">
      <formula>LEN(TRIM(D813))&gt;0</formula>
    </cfRule>
  </conditionalFormatting>
  <conditionalFormatting sqref="D814">
    <cfRule type="notContainsBlanks" dxfId="6" priority="4071">
      <formula>LEN(TRIM(D814))&gt;0</formula>
    </cfRule>
  </conditionalFormatting>
  <conditionalFormatting sqref="D815">
    <cfRule type="notContainsBlanks" dxfId="6" priority="4076">
      <formula>LEN(TRIM(D815))&gt;0</formula>
    </cfRule>
  </conditionalFormatting>
  <conditionalFormatting sqref="D816">
    <cfRule type="notContainsBlanks" dxfId="6" priority="4081">
      <formula>LEN(TRIM(D816))&gt;0</formula>
    </cfRule>
  </conditionalFormatting>
  <conditionalFormatting sqref="D817">
    <cfRule type="notContainsBlanks" dxfId="6" priority="4086">
      <formula>LEN(TRIM(D817))&gt;0</formula>
    </cfRule>
  </conditionalFormatting>
  <conditionalFormatting sqref="D818">
    <cfRule type="notContainsBlanks" dxfId="6" priority="4091">
      <formula>LEN(TRIM(D818))&gt;0</formula>
    </cfRule>
  </conditionalFormatting>
  <conditionalFormatting sqref="D819">
    <cfRule type="notContainsBlanks" dxfId="6" priority="4096">
      <formula>LEN(TRIM(D819))&gt;0</formula>
    </cfRule>
  </conditionalFormatting>
  <conditionalFormatting sqref="D82">
    <cfRule type="notContainsBlanks" dxfId="6" priority="411">
      <formula>LEN(TRIM(D82))&gt;0</formula>
    </cfRule>
  </conditionalFormatting>
  <conditionalFormatting sqref="D820">
    <cfRule type="notContainsBlanks" dxfId="6" priority="4101">
      <formula>LEN(TRIM(D820))&gt;0</formula>
    </cfRule>
  </conditionalFormatting>
  <conditionalFormatting sqref="D821">
    <cfRule type="notContainsBlanks" dxfId="6" priority="4106">
      <formula>LEN(TRIM(D821))&gt;0</formula>
    </cfRule>
  </conditionalFormatting>
  <conditionalFormatting sqref="D822">
    <cfRule type="notContainsBlanks" dxfId="6" priority="4111">
      <formula>LEN(TRIM(D822))&gt;0</formula>
    </cfRule>
  </conditionalFormatting>
  <conditionalFormatting sqref="D823">
    <cfRule type="notContainsBlanks" dxfId="6" priority="4116">
      <formula>LEN(TRIM(D823))&gt;0</formula>
    </cfRule>
  </conditionalFormatting>
  <conditionalFormatting sqref="D824">
    <cfRule type="notContainsBlanks" dxfId="6" priority="4121">
      <formula>LEN(TRIM(D824))&gt;0</formula>
    </cfRule>
  </conditionalFormatting>
  <conditionalFormatting sqref="D825">
    <cfRule type="notContainsBlanks" dxfId="6" priority="4126">
      <formula>LEN(TRIM(D825))&gt;0</formula>
    </cfRule>
  </conditionalFormatting>
  <conditionalFormatting sqref="D826">
    <cfRule type="notContainsBlanks" dxfId="6" priority="4131">
      <formula>LEN(TRIM(D826))&gt;0</formula>
    </cfRule>
  </conditionalFormatting>
  <conditionalFormatting sqref="D827">
    <cfRule type="notContainsBlanks" dxfId="6" priority="4136">
      <formula>LEN(TRIM(D827))&gt;0</formula>
    </cfRule>
  </conditionalFormatting>
  <conditionalFormatting sqref="D828">
    <cfRule type="notContainsBlanks" dxfId="6" priority="4141">
      <formula>LEN(TRIM(D828))&gt;0</formula>
    </cfRule>
  </conditionalFormatting>
  <conditionalFormatting sqref="D829">
    <cfRule type="notContainsBlanks" dxfId="6" priority="4146">
      <formula>LEN(TRIM(D829))&gt;0</formula>
    </cfRule>
  </conditionalFormatting>
  <conditionalFormatting sqref="D83">
    <cfRule type="notContainsBlanks" dxfId="6" priority="416">
      <formula>LEN(TRIM(D83))&gt;0</formula>
    </cfRule>
  </conditionalFormatting>
  <conditionalFormatting sqref="D830">
    <cfRule type="notContainsBlanks" dxfId="6" priority="4151">
      <formula>LEN(TRIM(D830))&gt;0</formula>
    </cfRule>
  </conditionalFormatting>
  <conditionalFormatting sqref="D831">
    <cfRule type="notContainsBlanks" dxfId="6" priority="4156">
      <formula>LEN(TRIM(D831))&gt;0</formula>
    </cfRule>
  </conditionalFormatting>
  <conditionalFormatting sqref="D832">
    <cfRule type="notContainsBlanks" dxfId="6" priority="4161">
      <formula>LEN(TRIM(D832))&gt;0</formula>
    </cfRule>
  </conditionalFormatting>
  <conditionalFormatting sqref="D833">
    <cfRule type="notContainsBlanks" dxfId="6" priority="4166">
      <formula>LEN(TRIM(D833))&gt;0</formula>
    </cfRule>
  </conditionalFormatting>
  <conditionalFormatting sqref="D834">
    <cfRule type="notContainsBlanks" dxfId="6" priority="4171">
      <formula>LEN(TRIM(D834))&gt;0</formula>
    </cfRule>
  </conditionalFormatting>
  <conditionalFormatting sqref="D835">
    <cfRule type="notContainsBlanks" dxfId="6" priority="4176">
      <formula>LEN(TRIM(D835))&gt;0</formula>
    </cfRule>
  </conditionalFormatting>
  <conditionalFormatting sqref="D836">
    <cfRule type="notContainsBlanks" dxfId="6" priority="4181">
      <formula>LEN(TRIM(D836))&gt;0</formula>
    </cfRule>
  </conditionalFormatting>
  <conditionalFormatting sqref="D837">
    <cfRule type="notContainsBlanks" dxfId="6" priority="4186">
      <formula>LEN(TRIM(D837))&gt;0</formula>
    </cfRule>
  </conditionalFormatting>
  <conditionalFormatting sqref="D838">
    <cfRule type="notContainsBlanks" dxfId="6" priority="4191">
      <formula>LEN(TRIM(D838))&gt;0</formula>
    </cfRule>
  </conditionalFormatting>
  <conditionalFormatting sqref="D839">
    <cfRule type="notContainsBlanks" dxfId="6" priority="4196">
      <formula>LEN(TRIM(D839))&gt;0</formula>
    </cfRule>
  </conditionalFormatting>
  <conditionalFormatting sqref="D84">
    <cfRule type="notContainsBlanks" dxfId="6" priority="421">
      <formula>LEN(TRIM(D84))&gt;0</formula>
    </cfRule>
  </conditionalFormatting>
  <conditionalFormatting sqref="D840">
    <cfRule type="notContainsBlanks" dxfId="6" priority="4201">
      <formula>LEN(TRIM(D840))&gt;0</formula>
    </cfRule>
  </conditionalFormatting>
  <conditionalFormatting sqref="D841">
    <cfRule type="notContainsBlanks" dxfId="6" priority="4206">
      <formula>LEN(TRIM(D841))&gt;0</formula>
    </cfRule>
  </conditionalFormatting>
  <conditionalFormatting sqref="D842">
    <cfRule type="notContainsBlanks" dxfId="6" priority="4211">
      <formula>LEN(TRIM(D842))&gt;0</formula>
    </cfRule>
  </conditionalFormatting>
  <conditionalFormatting sqref="D843">
    <cfRule type="notContainsBlanks" dxfId="6" priority="4216">
      <formula>LEN(TRIM(D843))&gt;0</formula>
    </cfRule>
  </conditionalFormatting>
  <conditionalFormatting sqref="D844">
    <cfRule type="notContainsBlanks" dxfId="6" priority="4221">
      <formula>LEN(TRIM(D844))&gt;0</formula>
    </cfRule>
  </conditionalFormatting>
  <conditionalFormatting sqref="D845">
    <cfRule type="notContainsBlanks" dxfId="6" priority="4226">
      <formula>LEN(TRIM(D845))&gt;0</formula>
    </cfRule>
  </conditionalFormatting>
  <conditionalFormatting sqref="D846">
    <cfRule type="notContainsBlanks" dxfId="6" priority="4231">
      <formula>LEN(TRIM(D846))&gt;0</formula>
    </cfRule>
  </conditionalFormatting>
  <conditionalFormatting sqref="D847">
    <cfRule type="notContainsBlanks" dxfId="6" priority="4236">
      <formula>LEN(TRIM(D847))&gt;0</formula>
    </cfRule>
  </conditionalFormatting>
  <conditionalFormatting sqref="D848">
    <cfRule type="notContainsBlanks" dxfId="6" priority="4241">
      <formula>LEN(TRIM(D848))&gt;0</formula>
    </cfRule>
  </conditionalFormatting>
  <conditionalFormatting sqref="D849">
    <cfRule type="notContainsBlanks" dxfId="6" priority="4246">
      <formula>LEN(TRIM(D849))&gt;0</formula>
    </cfRule>
  </conditionalFormatting>
  <conditionalFormatting sqref="D85">
    <cfRule type="notContainsBlanks" dxfId="6" priority="426">
      <formula>LEN(TRIM(D85))&gt;0</formula>
    </cfRule>
  </conditionalFormatting>
  <conditionalFormatting sqref="D850">
    <cfRule type="notContainsBlanks" dxfId="6" priority="4251">
      <formula>LEN(TRIM(D850))&gt;0</formula>
    </cfRule>
  </conditionalFormatting>
  <conditionalFormatting sqref="D851">
    <cfRule type="notContainsBlanks" dxfId="6" priority="4256">
      <formula>LEN(TRIM(D851))&gt;0</formula>
    </cfRule>
  </conditionalFormatting>
  <conditionalFormatting sqref="D852">
    <cfRule type="notContainsBlanks" dxfId="6" priority="4261">
      <formula>LEN(TRIM(D852))&gt;0</formula>
    </cfRule>
  </conditionalFormatting>
  <conditionalFormatting sqref="D853">
    <cfRule type="notContainsBlanks" dxfId="6" priority="4266">
      <formula>LEN(TRIM(D853))&gt;0</formula>
    </cfRule>
  </conditionalFormatting>
  <conditionalFormatting sqref="D854">
    <cfRule type="notContainsBlanks" dxfId="6" priority="4271">
      <formula>LEN(TRIM(D854))&gt;0</formula>
    </cfRule>
  </conditionalFormatting>
  <conditionalFormatting sqref="D855">
    <cfRule type="notContainsBlanks" dxfId="6" priority="4276">
      <formula>LEN(TRIM(D855))&gt;0</formula>
    </cfRule>
  </conditionalFormatting>
  <conditionalFormatting sqref="D856">
    <cfRule type="notContainsBlanks" dxfId="6" priority="4281">
      <formula>LEN(TRIM(D856))&gt;0</formula>
    </cfRule>
  </conditionalFormatting>
  <conditionalFormatting sqref="D857">
    <cfRule type="notContainsBlanks" dxfId="6" priority="4286">
      <formula>LEN(TRIM(D857))&gt;0</formula>
    </cfRule>
  </conditionalFormatting>
  <conditionalFormatting sqref="D858">
    <cfRule type="notContainsBlanks" dxfId="6" priority="4291">
      <formula>LEN(TRIM(D858))&gt;0</formula>
    </cfRule>
  </conditionalFormatting>
  <conditionalFormatting sqref="D859">
    <cfRule type="notContainsBlanks" dxfId="6" priority="4296">
      <formula>LEN(TRIM(D859))&gt;0</formula>
    </cfRule>
  </conditionalFormatting>
  <conditionalFormatting sqref="D86">
    <cfRule type="notContainsBlanks" dxfId="6" priority="431">
      <formula>LEN(TRIM(D86))&gt;0</formula>
    </cfRule>
  </conditionalFormatting>
  <conditionalFormatting sqref="D860">
    <cfRule type="notContainsBlanks" dxfId="6" priority="4301">
      <formula>LEN(TRIM(D860))&gt;0</formula>
    </cfRule>
  </conditionalFormatting>
  <conditionalFormatting sqref="D861">
    <cfRule type="notContainsBlanks" dxfId="6" priority="4306">
      <formula>LEN(TRIM(D861))&gt;0</formula>
    </cfRule>
  </conditionalFormatting>
  <conditionalFormatting sqref="D862">
    <cfRule type="notContainsBlanks" dxfId="6" priority="4311">
      <formula>LEN(TRIM(D862))&gt;0</formula>
    </cfRule>
  </conditionalFormatting>
  <conditionalFormatting sqref="D863">
    <cfRule type="notContainsBlanks" dxfId="6" priority="4316">
      <formula>LEN(TRIM(D863))&gt;0</formula>
    </cfRule>
  </conditionalFormatting>
  <conditionalFormatting sqref="D864">
    <cfRule type="notContainsBlanks" dxfId="6" priority="4321">
      <formula>LEN(TRIM(D864))&gt;0</formula>
    </cfRule>
  </conditionalFormatting>
  <conditionalFormatting sqref="D865">
    <cfRule type="notContainsBlanks" dxfId="6" priority="4326">
      <formula>LEN(TRIM(D865))&gt;0</formula>
    </cfRule>
  </conditionalFormatting>
  <conditionalFormatting sqref="D866">
    <cfRule type="notContainsBlanks" dxfId="6" priority="4331">
      <formula>LEN(TRIM(D866))&gt;0</formula>
    </cfRule>
  </conditionalFormatting>
  <conditionalFormatting sqref="D867">
    <cfRule type="notContainsBlanks" dxfId="6" priority="4336">
      <formula>LEN(TRIM(D867))&gt;0</formula>
    </cfRule>
  </conditionalFormatting>
  <conditionalFormatting sqref="D868">
    <cfRule type="notContainsBlanks" dxfId="6" priority="4341">
      <formula>LEN(TRIM(D868))&gt;0</formula>
    </cfRule>
  </conditionalFormatting>
  <conditionalFormatting sqref="D869">
    <cfRule type="notContainsBlanks" dxfId="6" priority="4346">
      <formula>LEN(TRIM(D869))&gt;0</formula>
    </cfRule>
  </conditionalFormatting>
  <conditionalFormatting sqref="D87">
    <cfRule type="notContainsBlanks" dxfId="6" priority="436">
      <formula>LEN(TRIM(D87))&gt;0</formula>
    </cfRule>
  </conditionalFormatting>
  <conditionalFormatting sqref="D870">
    <cfRule type="notContainsBlanks" dxfId="6" priority="4351">
      <formula>LEN(TRIM(D870))&gt;0</formula>
    </cfRule>
  </conditionalFormatting>
  <conditionalFormatting sqref="D871">
    <cfRule type="notContainsBlanks" dxfId="6" priority="4356">
      <formula>LEN(TRIM(D871))&gt;0</formula>
    </cfRule>
  </conditionalFormatting>
  <conditionalFormatting sqref="D872">
    <cfRule type="notContainsBlanks" dxfId="6" priority="4361">
      <formula>LEN(TRIM(D872))&gt;0</formula>
    </cfRule>
  </conditionalFormatting>
  <conditionalFormatting sqref="D873">
    <cfRule type="notContainsBlanks" dxfId="6" priority="4366">
      <formula>LEN(TRIM(D873))&gt;0</formula>
    </cfRule>
  </conditionalFormatting>
  <conditionalFormatting sqref="D874">
    <cfRule type="notContainsBlanks" dxfId="6" priority="4371">
      <formula>LEN(TRIM(D874))&gt;0</formula>
    </cfRule>
  </conditionalFormatting>
  <conditionalFormatting sqref="D875">
    <cfRule type="notContainsBlanks" dxfId="6" priority="4376">
      <formula>LEN(TRIM(D875))&gt;0</formula>
    </cfRule>
  </conditionalFormatting>
  <conditionalFormatting sqref="D876">
    <cfRule type="notContainsBlanks" dxfId="6" priority="4381">
      <formula>LEN(TRIM(D876))&gt;0</formula>
    </cfRule>
  </conditionalFormatting>
  <conditionalFormatting sqref="D877">
    <cfRule type="notContainsBlanks" dxfId="6" priority="4386">
      <formula>LEN(TRIM(D877))&gt;0</formula>
    </cfRule>
  </conditionalFormatting>
  <conditionalFormatting sqref="D878">
    <cfRule type="notContainsBlanks" dxfId="6" priority="4391">
      <formula>LEN(TRIM(D878))&gt;0</formula>
    </cfRule>
  </conditionalFormatting>
  <conditionalFormatting sqref="D879">
    <cfRule type="notContainsBlanks" dxfId="6" priority="4396">
      <formula>LEN(TRIM(D879))&gt;0</formula>
    </cfRule>
  </conditionalFormatting>
  <conditionalFormatting sqref="D88">
    <cfRule type="notContainsBlanks" dxfId="6" priority="441">
      <formula>LEN(TRIM(D88))&gt;0</formula>
    </cfRule>
  </conditionalFormatting>
  <conditionalFormatting sqref="D880">
    <cfRule type="notContainsBlanks" dxfId="6" priority="4401">
      <formula>LEN(TRIM(D880))&gt;0</formula>
    </cfRule>
  </conditionalFormatting>
  <conditionalFormatting sqref="D881">
    <cfRule type="notContainsBlanks" dxfId="6" priority="4406">
      <formula>LEN(TRIM(D881))&gt;0</formula>
    </cfRule>
  </conditionalFormatting>
  <conditionalFormatting sqref="D882">
    <cfRule type="notContainsBlanks" dxfId="6" priority="4411">
      <formula>LEN(TRIM(D882))&gt;0</formula>
    </cfRule>
  </conditionalFormatting>
  <conditionalFormatting sqref="D883">
    <cfRule type="notContainsBlanks" dxfId="6" priority="4416">
      <formula>LEN(TRIM(D883))&gt;0</formula>
    </cfRule>
  </conditionalFormatting>
  <conditionalFormatting sqref="D884">
    <cfRule type="notContainsBlanks" dxfId="6" priority="4421">
      <formula>LEN(TRIM(D884))&gt;0</formula>
    </cfRule>
  </conditionalFormatting>
  <conditionalFormatting sqref="D885">
    <cfRule type="notContainsBlanks" dxfId="6" priority="4426">
      <formula>LEN(TRIM(D885))&gt;0</formula>
    </cfRule>
  </conditionalFormatting>
  <conditionalFormatting sqref="D886">
    <cfRule type="notContainsBlanks" dxfId="6" priority="4431">
      <formula>LEN(TRIM(D886))&gt;0</formula>
    </cfRule>
  </conditionalFormatting>
  <conditionalFormatting sqref="D887">
    <cfRule type="notContainsBlanks" dxfId="6" priority="4436">
      <formula>LEN(TRIM(D887))&gt;0</formula>
    </cfRule>
  </conditionalFormatting>
  <conditionalFormatting sqref="D888">
    <cfRule type="notContainsBlanks" dxfId="6" priority="4441">
      <formula>LEN(TRIM(D888))&gt;0</formula>
    </cfRule>
  </conditionalFormatting>
  <conditionalFormatting sqref="D889">
    <cfRule type="notContainsBlanks" dxfId="6" priority="4446">
      <formula>LEN(TRIM(D889))&gt;0</formula>
    </cfRule>
  </conditionalFormatting>
  <conditionalFormatting sqref="D89">
    <cfRule type="notContainsBlanks" dxfId="6" priority="446">
      <formula>LEN(TRIM(D89))&gt;0</formula>
    </cfRule>
  </conditionalFormatting>
  <conditionalFormatting sqref="D890">
    <cfRule type="notContainsBlanks" dxfId="6" priority="4451">
      <formula>LEN(TRIM(D890))&gt;0</formula>
    </cfRule>
  </conditionalFormatting>
  <conditionalFormatting sqref="D891">
    <cfRule type="notContainsBlanks" dxfId="6" priority="4456">
      <formula>LEN(TRIM(D891))&gt;0</formula>
    </cfRule>
  </conditionalFormatting>
  <conditionalFormatting sqref="D892">
    <cfRule type="notContainsBlanks" dxfId="6" priority="4461">
      <formula>LEN(TRIM(D892))&gt;0</formula>
    </cfRule>
  </conditionalFormatting>
  <conditionalFormatting sqref="D893">
    <cfRule type="notContainsBlanks" dxfId="6" priority="4466">
      <formula>LEN(TRIM(D893))&gt;0</formula>
    </cfRule>
  </conditionalFormatting>
  <conditionalFormatting sqref="D894">
    <cfRule type="notContainsBlanks" dxfId="6" priority="4471">
      <formula>LEN(TRIM(D894))&gt;0</formula>
    </cfRule>
  </conditionalFormatting>
  <conditionalFormatting sqref="D895">
    <cfRule type="notContainsBlanks" dxfId="6" priority="4476">
      <formula>LEN(TRIM(D895))&gt;0</formula>
    </cfRule>
  </conditionalFormatting>
  <conditionalFormatting sqref="D896">
    <cfRule type="notContainsBlanks" dxfId="6" priority="4481">
      <formula>LEN(TRIM(D896))&gt;0</formula>
    </cfRule>
  </conditionalFormatting>
  <conditionalFormatting sqref="D897">
    <cfRule type="notContainsBlanks" dxfId="6" priority="4486">
      <formula>LEN(TRIM(D897))&gt;0</formula>
    </cfRule>
  </conditionalFormatting>
  <conditionalFormatting sqref="D898">
    <cfRule type="notContainsBlanks" dxfId="6" priority="4491">
      <formula>LEN(TRIM(D898))&gt;0</formula>
    </cfRule>
  </conditionalFormatting>
  <conditionalFormatting sqref="D899">
    <cfRule type="notContainsBlanks" dxfId="6" priority="4496">
      <formula>LEN(TRIM(D899))&gt;0</formula>
    </cfRule>
  </conditionalFormatting>
  <conditionalFormatting sqref="D9">
    <cfRule type="notContainsBlanks" dxfId="6" priority="46">
      <formula>LEN(TRIM(D9))&gt;0</formula>
    </cfRule>
  </conditionalFormatting>
  <conditionalFormatting sqref="D90">
    <cfRule type="notContainsBlanks" dxfId="6" priority="451">
      <formula>LEN(TRIM(D90))&gt;0</formula>
    </cfRule>
  </conditionalFormatting>
  <conditionalFormatting sqref="D900">
    <cfRule type="notContainsBlanks" dxfId="6" priority="4501">
      <formula>LEN(TRIM(D900))&gt;0</formula>
    </cfRule>
  </conditionalFormatting>
  <conditionalFormatting sqref="D901">
    <cfRule type="notContainsBlanks" dxfId="6" priority="4506">
      <formula>LEN(TRIM(D901))&gt;0</formula>
    </cfRule>
  </conditionalFormatting>
  <conditionalFormatting sqref="D902">
    <cfRule type="notContainsBlanks" dxfId="6" priority="4511">
      <formula>LEN(TRIM(D902))&gt;0</formula>
    </cfRule>
  </conditionalFormatting>
  <conditionalFormatting sqref="D903">
    <cfRule type="notContainsBlanks" dxfId="6" priority="4516">
      <formula>LEN(TRIM(D903))&gt;0</formula>
    </cfRule>
  </conditionalFormatting>
  <conditionalFormatting sqref="D904">
    <cfRule type="notContainsBlanks" dxfId="6" priority="4521">
      <formula>LEN(TRIM(D904))&gt;0</formula>
    </cfRule>
  </conditionalFormatting>
  <conditionalFormatting sqref="D905">
    <cfRule type="notContainsBlanks" dxfId="6" priority="4526">
      <formula>LEN(TRIM(D905))&gt;0</formula>
    </cfRule>
  </conditionalFormatting>
  <conditionalFormatting sqref="D906">
    <cfRule type="notContainsBlanks" dxfId="6" priority="4531">
      <formula>LEN(TRIM(D906))&gt;0</formula>
    </cfRule>
  </conditionalFormatting>
  <conditionalFormatting sqref="D907">
    <cfRule type="notContainsBlanks" dxfId="6" priority="4536">
      <formula>LEN(TRIM(D907))&gt;0</formula>
    </cfRule>
  </conditionalFormatting>
  <conditionalFormatting sqref="D908">
    <cfRule type="notContainsBlanks" dxfId="6" priority="4541">
      <formula>LEN(TRIM(D908))&gt;0</formula>
    </cfRule>
  </conditionalFormatting>
  <conditionalFormatting sqref="D909">
    <cfRule type="notContainsBlanks" dxfId="6" priority="4546">
      <formula>LEN(TRIM(D909))&gt;0</formula>
    </cfRule>
  </conditionalFormatting>
  <conditionalFormatting sqref="D91">
    <cfRule type="notContainsBlanks" dxfId="6" priority="456">
      <formula>LEN(TRIM(D91))&gt;0</formula>
    </cfRule>
  </conditionalFormatting>
  <conditionalFormatting sqref="D910">
    <cfRule type="notContainsBlanks" dxfId="6" priority="4551">
      <formula>LEN(TRIM(D910))&gt;0</formula>
    </cfRule>
  </conditionalFormatting>
  <conditionalFormatting sqref="D911">
    <cfRule type="notContainsBlanks" dxfId="6" priority="4556">
      <formula>LEN(TRIM(D911))&gt;0</formula>
    </cfRule>
  </conditionalFormatting>
  <conditionalFormatting sqref="D912">
    <cfRule type="notContainsBlanks" dxfId="6" priority="4561">
      <formula>LEN(TRIM(D912))&gt;0</formula>
    </cfRule>
  </conditionalFormatting>
  <conditionalFormatting sqref="D913">
    <cfRule type="notContainsBlanks" dxfId="6" priority="4566">
      <formula>LEN(TRIM(D913))&gt;0</formula>
    </cfRule>
  </conditionalFormatting>
  <conditionalFormatting sqref="D914">
    <cfRule type="notContainsBlanks" dxfId="6" priority="4571">
      <formula>LEN(TRIM(D914))&gt;0</formula>
    </cfRule>
  </conditionalFormatting>
  <conditionalFormatting sqref="D915">
    <cfRule type="notContainsBlanks" dxfId="6" priority="4576">
      <formula>LEN(TRIM(D915))&gt;0</formula>
    </cfRule>
  </conditionalFormatting>
  <conditionalFormatting sqref="D916">
    <cfRule type="notContainsBlanks" dxfId="6" priority="4581">
      <formula>LEN(TRIM(D916))&gt;0</formula>
    </cfRule>
  </conditionalFormatting>
  <conditionalFormatting sqref="D917">
    <cfRule type="notContainsBlanks" dxfId="6" priority="4586">
      <formula>LEN(TRIM(D917))&gt;0</formula>
    </cfRule>
  </conditionalFormatting>
  <conditionalFormatting sqref="D918">
    <cfRule type="notContainsBlanks" dxfId="6" priority="4591">
      <formula>LEN(TRIM(D918))&gt;0</formula>
    </cfRule>
  </conditionalFormatting>
  <conditionalFormatting sqref="D919">
    <cfRule type="notContainsBlanks" dxfId="6" priority="4596">
      <formula>LEN(TRIM(D919))&gt;0</formula>
    </cfRule>
  </conditionalFormatting>
  <conditionalFormatting sqref="D92">
    <cfRule type="notContainsBlanks" dxfId="6" priority="461">
      <formula>LEN(TRIM(D92))&gt;0</formula>
    </cfRule>
  </conditionalFormatting>
  <conditionalFormatting sqref="D920">
    <cfRule type="notContainsBlanks" dxfId="6" priority="4601">
      <formula>LEN(TRIM(D920))&gt;0</formula>
    </cfRule>
  </conditionalFormatting>
  <conditionalFormatting sqref="D921">
    <cfRule type="notContainsBlanks" dxfId="6" priority="4606">
      <formula>LEN(TRIM(D921))&gt;0</formula>
    </cfRule>
  </conditionalFormatting>
  <conditionalFormatting sqref="D922">
    <cfRule type="notContainsBlanks" dxfId="6" priority="4611">
      <formula>LEN(TRIM(D922))&gt;0</formula>
    </cfRule>
  </conditionalFormatting>
  <conditionalFormatting sqref="D923">
    <cfRule type="notContainsBlanks" dxfId="6" priority="4616">
      <formula>LEN(TRIM(D923))&gt;0</formula>
    </cfRule>
  </conditionalFormatting>
  <conditionalFormatting sqref="D924">
    <cfRule type="notContainsBlanks" dxfId="6" priority="4621">
      <formula>LEN(TRIM(D924))&gt;0</formula>
    </cfRule>
  </conditionalFormatting>
  <conditionalFormatting sqref="D925">
    <cfRule type="notContainsBlanks" dxfId="6" priority="4626">
      <formula>LEN(TRIM(D925))&gt;0</formula>
    </cfRule>
  </conditionalFormatting>
  <conditionalFormatting sqref="D926">
    <cfRule type="notContainsBlanks" dxfId="6" priority="4631">
      <formula>LEN(TRIM(D926))&gt;0</formula>
    </cfRule>
  </conditionalFormatting>
  <conditionalFormatting sqref="D927">
    <cfRule type="notContainsBlanks" dxfId="6" priority="4636">
      <formula>LEN(TRIM(D927))&gt;0</formula>
    </cfRule>
  </conditionalFormatting>
  <conditionalFormatting sqref="D928">
    <cfRule type="notContainsBlanks" dxfId="6" priority="4641">
      <formula>LEN(TRIM(D928))&gt;0</formula>
    </cfRule>
  </conditionalFormatting>
  <conditionalFormatting sqref="D929">
    <cfRule type="notContainsBlanks" dxfId="6" priority="4646">
      <formula>LEN(TRIM(D929))&gt;0</formula>
    </cfRule>
  </conditionalFormatting>
  <conditionalFormatting sqref="D93">
    <cfRule type="notContainsBlanks" dxfId="6" priority="466">
      <formula>LEN(TRIM(D93))&gt;0</formula>
    </cfRule>
  </conditionalFormatting>
  <conditionalFormatting sqref="D930">
    <cfRule type="notContainsBlanks" dxfId="6" priority="4651">
      <formula>LEN(TRIM(D930))&gt;0</formula>
    </cfRule>
  </conditionalFormatting>
  <conditionalFormatting sqref="D931">
    <cfRule type="notContainsBlanks" dxfId="6" priority="4656">
      <formula>LEN(TRIM(D931))&gt;0</formula>
    </cfRule>
  </conditionalFormatting>
  <conditionalFormatting sqref="D932">
    <cfRule type="notContainsBlanks" dxfId="6" priority="4661">
      <formula>LEN(TRIM(D932))&gt;0</formula>
    </cfRule>
  </conditionalFormatting>
  <conditionalFormatting sqref="D933">
    <cfRule type="notContainsBlanks" dxfId="6" priority="4666">
      <formula>LEN(TRIM(D933))&gt;0</formula>
    </cfRule>
  </conditionalFormatting>
  <conditionalFormatting sqref="D934">
    <cfRule type="notContainsBlanks" dxfId="6" priority="4671">
      <formula>LEN(TRIM(D934))&gt;0</formula>
    </cfRule>
  </conditionalFormatting>
  <conditionalFormatting sqref="D935">
    <cfRule type="notContainsBlanks" dxfId="6" priority="4676">
      <formula>LEN(TRIM(D935))&gt;0</formula>
    </cfRule>
  </conditionalFormatting>
  <conditionalFormatting sqref="D936">
    <cfRule type="notContainsBlanks" dxfId="6" priority="4681">
      <formula>LEN(TRIM(D936))&gt;0</formula>
    </cfRule>
  </conditionalFormatting>
  <conditionalFormatting sqref="D937">
    <cfRule type="notContainsBlanks" dxfId="6" priority="4686">
      <formula>LEN(TRIM(D937))&gt;0</formula>
    </cfRule>
  </conditionalFormatting>
  <conditionalFormatting sqref="D938">
    <cfRule type="notContainsBlanks" dxfId="6" priority="4691">
      <formula>LEN(TRIM(D938))&gt;0</formula>
    </cfRule>
  </conditionalFormatting>
  <conditionalFormatting sqref="D939">
    <cfRule type="notContainsBlanks" dxfId="6" priority="4696">
      <formula>LEN(TRIM(D939))&gt;0</formula>
    </cfRule>
  </conditionalFormatting>
  <conditionalFormatting sqref="D94">
    <cfRule type="notContainsBlanks" dxfId="6" priority="471">
      <formula>LEN(TRIM(D94))&gt;0</formula>
    </cfRule>
  </conditionalFormatting>
  <conditionalFormatting sqref="D940">
    <cfRule type="notContainsBlanks" dxfId="6" priority="4701">
      <formula>LEN(TRIM(D940))&gt;0</formula>
    </cfRule>
  </conditionalFormatting>
  <conditionalFormatting sqref="D941">
    <cfRule type="notContainsBlanks" dxfId="6" priority="4706">
      <formula>LEN(TRIM(D941))&gt;0</formula>
    </cfRule>
  </conditionalFormatting>
  <conditionalFormatting sqref="D942">
    <cfRule type="notContainsBlanks" dxfId="6" priority="4711">
      <formula>LEN(TRIM(D942))&gt;0</formula>
    </cfRule>
  </conditionalFormatting>
  <conditionalFormatting sqref="D943">
    <cfRule type="notContainsBlanks" dxfId="6" priority="4716">
      <formula>LEN(TRIM(D943))&gt;0</formula>
    </cfRule>
  </conditionalFormatting>
  <conditionalFormatting sqref="D944">
    <cfRule type="notContainsBlanks" dxfId="6" priority="4721">
      <formula>LEN(TRIM(D944))&gt;0</formula>
    </cfRule>
  </conditionalFormatting>
  <conditionalFormatting sqref="D945">
    <cfRule type="notContainsBlanks" dxfId="6" priority="4726">
      <formula>LEN(TRIM(D945))&gt;0</formula>
    </cfRule>
  </conditionalFormatting>
  <conditionalFormatting sqref="D946">
    <cfRule type="notContainsBlanks" dxfId="6" priority="4731">
      <formula>LEN(TRIM(D946))&gt;0</formula>
    </cfRule>
  </conditionalFormatting>
  <conditionalFormatting sqref="D947">
    <cfRule type="notContainsBlanks" dxfId="6" priority="4736">
      <formula>LEN(TRIM(D947))&gt;0</formula>
    </cfRule>
  </conditionalFormatting>
  <conditionalFormatting sqref="D948">
    <cfRule type="notContainsBlanks" dxfId="6" priority="4741">
      <formula>LEN(TRIM(D948))&gt;0</formula>
    </cfRule>
  </conditionalFormatting>
  <conditionalFormatting sqref="D949">
    <cfRule type="notContainsBlanks" dxfId="6" priority="4746">
      <formula>LEN(TRIM(D949))&gt;0</formula>
    </cfRule>
  </conditionalFormatting>
  <conditionalFormatting sqref="D95">
    <cfRule type="notContainsBlanks" dxfId="6" priority="476">
      <formula>LEN(TRIM(D95))&gt;0</formula>
    </cfRule>
  </conditionalFormatting>
  <conditionalFormatting sqref="D950">
    <cfRule type="notContainsBlanks" dxfId="6" priority="4751">
      <formula>LEN(TRIM(D950))&gt;0</formula>
    </cfRule>
  </conditionalFormatting>
  <conditionalFormatting sqref="D951">
    <cfRule type="notContainsBlanks" dxfId="6" priority="4756">
      <formula>LEN(TRIM(D951))&gt;0</formula>
    </cfRule>
  </conditionalFormatting>
  <conditionalFormatting sqref="D952">
    <cfRule type="notContainsBlanks" dxfId="6" priority="4761">
      <formula>LEN(TRIM(D952))&gt;0</formula>
    </cfRule>
  </conditionalFormatting>
  <conditionalFormatting sqref="D953">
    <cfRule type="notContainsBlanks" dxfId="6" priority="4766">
      <formula>LEN(TRIM(D953))&gt;0</formula>
    </cfRule>
  </conditionalFormatting>
  <conditionalFormatting sqref="D954">
    <cfRule type="notContainsBlanks" dxfId="6" priority="4771">
      <formula>LEN(TRIM(D954))&gt;0</formula>
    </cfRule>
  </conditionalFormatting>
  <conditionalFormatting sqref="D955">
    <cfRule type="notContainsBlanks" dxfId="6" priority="4776">
      <formula>LEN(TRIM(D955))&gt;0</formula>
    </cfRule>
  </conditionalFormatting>
  <conditionalFormatting sqref="D956">
    <cfRule type="notContainsBlanks" dxfId="6" priority="4781">
      <formula>LEN(TRIM(D956))&gt;0</formula>
    </cfRule>
  </conditionalFormatting>
  <conditionalFormatting sqref="D957">
    <cfRule type="notContainsBlanks" dxfId="6" priority="4786">
      <formula>LEN(TRIM(D957))&gt;0</formula>
    </cfRule>
  </conditionalFormatting>
  <conditionalFormatting sqref="D958">
    <cfRule type="notContainsBlanks" dxfId="6" priority="4791">
      <formula>LEN(TRIM(D958))&gt;0</formula>
    </cfRule>
  </conditionalFormatting>
  <conditionalFormatting sqref="D959">
    <cfRule type="notContainsBlanks" dxfId="6" priority="4796">
      <formula>LEN(TRIM(D959))&gt;0</formula>
    </cfRule>
  </conditionalFormatting>
  <conditionalFormatting sqref="D96">
    <cfRule type="notContainsBlanks" dxfId="6" priority="481">
      <formula>LEN(TRIM(D96))&gt;0</formula>
    </cfRule>
  </conditionalFormatting>
  <conditionalFormatting sqref="D960">
    <cfRule type="notContainsBlanks" dxfId="6" priority="4801">
      <formula>LEN(TRIM(D960))&gt;0</formula>
    </cfRule>
  </conditionalFormatting>
  <conditionalFormatting sqref="D961">
    <cfRule type="notContainsBlanks" dxfId="6" priority="4806">
      <formula>LEN(TRIM(D961))&gt;0</formula>
    </cfRule>
  </conditionalFormatting>
  <conditionalFormatting sqref="D962">
    <cfRule type="notContainsBlanks" dxfId="6" priority="4811">
      <formula>LEN(TRIM(D962))&gt;0</formula>
    </cfRule>
  </conditionalFormatting>
  <conditionalFormatting sqref="D963">
    <cfRule type="notContainsBlanks" dxfId="6" priority="4816">
      <formula>LEN(TRIM(D963))&gt;0</formula>
    </cfRule>
  </conditionalFormatting>
  <conditionalFormatting sqref="D964">
    <cfRule type="notContainsBlanks" dxfId="6" priority="4821">
      <formula>LEN(TRIM(D964))&gt;0</formula>
    </cfRule>
  </conditionalFormatting>
  <conditionalFormatting sqref="D965">
    <cfRule type="notContainsBlanks" dxfId="6" priority="4826">
      <formula>LEN(TRIM(D965))&gt;0</formula>
    </cfRule>
  </conditionalFormatting>
  <conditionalFormatting sqref="D966">
    <cfRule type="notContainsBlanks" dxfId="6" priority="4831">
      <formula>LEN(TRIM(D966))&gt;0</formula>
    </cfRule>
  </conditionalFormatting>
  <conditionalFormatting sqref="D967">
    <cfRule type="notContainsBlanks" dxfId="6" priority="4836">
      <formula>LEN(TRIM(D967))&gt;0</formula>
    </cfRule>
  </conditionalFormatting>
  <conditionalFormatting sqref="D968">
    <cfRule type="notContainsBlanks" dxfId="6" priority="4841">
      <formula>LEN(TRIM(D968))&gt;0</formula>
    </cfRule>
  </conditionalFormatting>
  <conditionalFormatting sqref="D969">
    <cfRule type="notContainsBlanks" dxfId="6" priority="4846">
      <formula>LEN(TRIM(D969))&gt;0</formula>
    </cfRule>
  </conditionalFormatting>
  <conditionalFormatting sqref="D97">
    <cfRule type="notContainsBlanks" dxfId="6" priority="486">
      <formula>LEN(TRIM(D97))&gt;0</formula>
    </cfRule>
  </conditionalFormatting>
  <conditionalFormatting sqref="D970">
    <cfRule type="notContainsBlanks" dxfId="6" priority="4851">
      <formula>LEN(TRIM(D970))&gt;0</formula>
    </cfRule>
  </conditionalFormatting>
  <conditionalFormatting sqref="D971">
    <cfRule type="notContainsBlanks" dxfId="6" priority="4856">
      <formula>LEN(TRIM(D971))&gt;0</formula>
    </cfRule>
  </conditionalFormatting>
  <conditionalFormatting sqref="D972">
    <cfRule type="notContainsBlanks" dxfId="6" priority="4861">
      <formula>LEN(TRIM(D972))&gt;0</formula>
    </cfRule>
  </conditionalFormatting>
  <conditionalFormatting sqref="D973">
    <cfRule type="notContainsBlanks" dxfId="6" priority="4866">
      <formula>LEN(TRIM(D973))&gt;0</formula>
    </cfRule>
  </conditionalFormatting>
  <conditionalFormatting sqref="D974">
    <cfRule type="notContainsBlanks" dxfId="6" priority="4871">
      <formula>LEN(TRIM(D974))&gt;0</formula>
    </cfRule>
  </conditionalFormatting>
  <conditionalFormatting sqref="D975">
    <cfRule type="notContainsBlanks" dxfId="6" priority="4876">
      <formula>LEN(TRIM(D975))&gt;0</formula>
    </cfRule>
  </conditionalFormatting>
  <conditionalFormatting sqref="D976">
    <cfRule type="notContainsBlanks" dxfId="6" priority="4881">
      <formula>LEN(TRIM(D976))&gt;0</formula>
    </cfRule>
  </conditionalFormatting>
  <conditionalFormatting sqref="D977">
    <cfRule type="notContainsBlanks" dxfId="6" priority="4886">
      <formula>LEN(TRIM(D977))&gt;0</formula>
    </cfRule>
  </conditionalFormatting>
  <conditionalFormatting sqref="D978">
    <cfRule type="notContainsBlanks" dxfId="6" priority="4891">
      <formula>LEN(TRIM(D978))&gt;0</formula>
    </cfRule>
  </conditionalFormatting>
  <conditionalFormatting sqref="D979">
    <cfRule type="notContainsBlanks" dxfId="6" priority="4896">
      <formula>LEN(TRIM(D979))&gt;0</formula>
    </cfRule>
  </conditionalFormatting>
  <conditionalFormatting sqref="D98">
    <cfRule type="notContainsBlanks" dxfId="6" priority="491">
      <formula>LEN(TRIM(D98))&gt;0</formula>
    </cfRule>
  </conditionalFormatting>
  <conditionalFormatting sqref="D980">
    <cfRule type="notContainsBlanks" dxfId="6" priority="4901">
      <formula>LEN(TRIM(D980))&gt;0</formula>
    </cfRule>
  </conditionalFormatting>
  <conditionalFormatting sqref="D981">
    <cfRule type="notContainsBlanks" dxfId="6" priority="4906">
      <formula>LEN(TRIM(D981))&gt;0</formula>
    </cfRule>
  </conditionalFormatting>
  <conditionalFormatting sqref="D982">
    <cfRule type="notContainsBlanks" dxfId="6" priority="4911">
      <formula>LEN(TRIM(D982))&gt;0</formula>
    </cfRule>
  </conditionalFormatting>
  <conditionalFormatting sqref="D983">
    <cfRule type="notContainsBlanks" dxfId="6" priority="4916">
      <formula>LEN(TRIM(D983))&gt;0</formula>
    </cfRule>
  </conditionalFormatting>
  <conditionalFormatting sqref="D984">
    <cfRule type="notContainsBlanks" dxfId="6" priority="4921">
      <formula>LEN(TRIM(D984))&gt;0</formula>
    </cfRule>
  </conditionalFormatting>
  <conditionalFormatting sqref="D985">
    <cfRule type="notContainsBlanks" dxfId="6" priority="4926">
      <formula>LEN(TRIM(D985))&gt;0</formula>
    </cfRule>
  </conditionalFormatting>
  <conditionalFormatting sqref="D986">
    <cfRule type="notContainsBlanks" dxfId="6" priority="4931">
      <formula>LEN(TRIM(D986))&gt;0</formula>
    </cfRule>
  </conditionalFormatting>
  <conditionalFormatting sqref="D987">
    <cfRule type="notContainsBlanks" dxfId="6" priority="4936">
      <formula>LEN(TRIM(D987))&gt;0</formula>
    </cfRule>
  </conditionalFormatting>
  <conditionalFormatting sqref="D988">
    <cfRule type="notContainsBlanks" dxfId="6" priority="4941">
      <formula>LEN(TRIM(D988))&gt;0</formula>
    </cfRule>
  </conditionalFormatting>
  <conditionalFormatting sqref="D989">
    <cfRule type="notContainsBlanks" dxfId="6" priority="4946">
      <formula>LEN(TRIM(D989))&gt;0</formula>
    </cfRule>
  </conditionalFormatting>
  <conditionalFormatting sqref="D99">
    <cfRule type="notContainsBlanks" dxfId="6" priority="496">
      <formula>LEN(TRIM(D99))&gt;0</formula>
    </cfRule>
  </conditionalFormatting>
  <conditionalFormatting sqref="D990">
    <cfRule type="notContainsBlanks" dxfId="6" priority="4951">
      <formula>LEN(TRIM(D990))&gt;0</formula>
    </cfRule>
  </conditionalFormatting>
  <conditionalFormatting sqref="D991">
    <cfRule type="notContainsBlanks" dxfId="6" priority="4956">
      <formula>LEN(TRIM(D991))&gt;0</formula>
    </cfRule>
  </conditionalFormatting>
  <conditionalFormatting sqref="D992">
    <cfRule type="notContainsBlanks" dxfId="6" priority="4961">
      <formula>LEN(TRIM(D992))&gt;0</formula>
    </cfRule>
  </conditionalFormatting>
  <conditionalFormatting sqref="D993">
    <cfRule type="notContainsBlanks" dxfId="6" priority="4966">
      <formula>LEN(TRIM(D993))&gt;0</formula>
    </cfRule>
  </conditionalFormatting>
  <conditionalFormatting sqref="D994">
    <cfRule type="notContainsBlanks" dxfId="6" priority="4971">
      <formula>LEN(TRIM(D994))&gt;0</formula>
    </cfRule>
  </conditionalFormatting>
  <conditionalFormatting sqref="D995">
    <cfRule type="notContainsBlanks" dxfId="6" priority="4976">
      <formula>LEN(TRIM(D995))&gt;0</formula>
    </cfRule>
  </conditionalFormatting>
  <conditionalFormatting sqref="D996">
    <cfRule type="notContainsBlanks" dxfId="6" priority="4981">
      <formula>LEN(TRIM(D996))&gt;0</formula>
    </cfRule>
  </conditionalFormatting>
  <conditionalFormatting sqref="D997">
    <cfRule type="notContainsBlanks" dxfId="6" priority="4986">
      <formula>LEN(TRIM(D997))&gt;0</formula>
    </cfRule>
  </conditionalFormatting>
  <conditionalFormatting sqref="D998">
    <cfRule type="notContainsBlanks" dxfId="6" priority="4991">
      <formula>LEN(TRIM(D998))&gt;0</formula>
    </cfRule>
  </conditionalFormatting>
  <conditionalFormatting sqref="D999">
    <cfRule type="notContainsBlanks" dxfId="6" priority="4996">
      <formula>LEN(TRIM(D999))&gt;0</formula>
    </cfRule>
  </conditionalFormatting>
  <conditionalFormatting sqref="I2">
    <cfRule type="notContainsBlanks" dxfId="0" priority="1">
      <formula>LEN(TRIM(I2))&gt;0</formula>
    </cfRule>
  </conditionalFormatting>
  <conditionalFormatting sqref="I3">
    <cfRule type="notContainsBlanks" dxfId="0" priority="4">
      <formula>LEN(TRIM(I3))&gt;0</formula>
    </cfRule>
  </conditionalFormatting>
  <conditionalFormatting sqref="J2">
    <cfRule type="notContainsBlanks" dxfId="1" priority="2">
      <formula>LEN(TRIM(J2))&gt;0</formula>
    </cfRule>
  </conditionalFormatting>
  <conditionalFormatting sqref="J3">
    <cfRule type="notContainsBlanks" dxfId="1" priority="5">
      <formula>LEN(TRIM(J3))&gt;0</formula>
    </cfRule>
  </conditionalFormatting>
  <conditionalFormatting sqref="K2">
    <cfRule type="notContainsBlanks" dxfId="2" priority="3">
      <formula>LEN(TRIM(K2))&gt;0</formula>
    </cfRule>
  </conditionalFormatting>
  <conditionalFormatting sqref="K3">
    <cfRule type="notContainsBlanks" dxfId="2" priority="6">
      <formula>LEN(TRIM(K3))&gt;0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215"/>
  <sheetViews>
    <sheetView workbookViewId="0"/>
  </sheetViews>
  <sheetFormatPr defaultRowHeight="15"/>
  <cols>
    <col min="2" max="7" width="13.7109375" customWidth="1"/>
    <col min="9" max="14" width="13.7109375" customWidth="1"/>
  </cols>
  <sheetData>
    <row r="2" spans="2:14">
      <c r="B2" s="37" t="s">
        <v>1332</v>
      </c>
      <c r="I2" s="37" t="s">
        <v>1333</v>
      </c>
    </row>
    <row r="3" spans="2:14" ht="72" customHeight="1">
      <c r="B3" s="38">
        <f>IMAGE("https://raw.githubusercontent.com/stautonico/pokemon-home-pokedex/main/sprites/bulbasaur.png", 2)</f>
        <v>0</v>
      </c>
      <c r="C3" s="38">
        <f>IMAGE("https://raw.githubusercontent.com/stautonico/pokemon-home-pokedex/main/sprites/ivysaur.png", 2)</f>
        <v>0</v>
      </c>
      <c r="D3" s="38">
        <f>IMAGE("https://raw.githubusercontent.com/stautonico/pokemon-home-pokedex/main/sprites/venusaur.png", 2)</f>
        <v>0</v>
      </c>
      <c r="E3" s="38">
        <f>IMAGE("https://raw.githubusercontent.com/stautonico/pokemon-home-pokedex/main/sprites/charmander.png", 2)</f>
        <v>0</v>
      </c>
      <c r="F3" s="38">
        <f>IMAGE("https://raw.githubusercontent.com/stautonico/pokemon-home-pokedex/main/sprites/charmeleon.png", 2)</f>
        <v>0</v>
      </c>
      <c r="G3" s="38">
        <f>IMAGE("https://raw.githubusercontent.com/stautonico/pokemon-home-pokedex/main/sprites/charizard.png", 2)</f>
        <v>0</v>
      </c>
      <c r="I3" s="38">
        <f>IMAGE("https://raw.githubusercontent.com/stautonico/pokemon-home-pokedex/main/sprites/nidoqueen.png", 2)</f>
        <v>0</v>
      </c>
      <c r="J3" s="38">
        <f>IMAGE("https://raw.githubusercontent.com/stautonico/pokemon-home-pokedex/main/sprites/nidoran-f.png", 2)</f>
        <v>0</v>
      </c>
      <c r="K3" s="38">
        <f>IMAGE("https://raw.githubusercontent.com/stautonico/pokemon-home-pokedex/main/sprites/nidorino.png", 2)</f>
        <v>0</v>
      </c>
      <c r="L3" s="38">
        <f>IMAGE("https://raw.githubusercontent.com/stautonico/pokemon-home-pokedex/main/sprites/nidoking.png", 2)</f>
        <v>0</v>
      </c>
      <c r="M3" s="38">
        <f>IMAGE("https://raw.githubusercontent.com/stautonico/pokemon-home-pokedex/main/sprites/clefairy.png", 2)</f>
        <v>0</v>
      </c>
      <c r="N3" s="38">
        <f>IMAGE("https://raw.githubusercontent.com/stautonico/pokemon-home-pokedex/main/sprites/clefable.png", 2)</f>
        <v>0</v>
      </c>
    </row>
    <row r="4" spans="2:14" ht="72" customHeight="1">
      <c r="B4" s="38">
        <f>IMAGE("https://raw.githubusercontent.com/stautonico/pokemon-home-pokedex/main/sprites/squirtle.png", 2)</f>
        <v>0</v>
      </c>
      <c r="C4" s="38">
        <f>IMAGE("https://raw.githubusercontent.com/stautonico/pokemon-home-pokedex/main/sprites/wartortle.png", 2)</f>
        <v>0</v>
      </c>
      <c r="D4" s="38">
        <f>IMAGE("https://raw.githubusercontent.com/stautonico/pokemon-home-pokedex/main/sprites/blastoise.png", 2)</f>
        <v>0</v>
      </c>
      <c r="E4" s="38">
        <f>IMAGE("https://raw.githubusercontent.com/stautonico/pokemon-home-pokedex/main/sprites/caterpie.png", 2)</f>
        <v>0</v>
      </c>
      <c r="F4" s="38">
        <f>IMAGE("https://raw.githubusercontent.com/stautonico/pokemon-home-pokedex/main/sprites/metapod.png", 2)</f>
        <v>0</v>
      </c>
      <c r="G4" s="38">
        <f>IMAGE("https://raw.githubusercontent.com/stautonico/pokemon-home-pokedex/main/sprites/butterfree.png", 2)</f>
        <v>0</v>
      </c>
      <c r="I4" s="38">
        <f>IMAGE("https://raw.githubusercontent.com/stautonico/pokemon-home-pokedex/main/sprites/vulpix.png", 2)</f>
        <v>0</v>
      </c>
      <c r="J4" s="38">
        <f>IMAGE("https://raw.githubusercontent.com/stautonico/pokemon-home-pokedex/main/sprites/ninetales.png", 2)</f>
        <v>0</v>
      </c>
      <c r="K4" s="38">
        <f>IMAGE("https://raw.githubusercontent.com/stautonico/pokemon-home-pokedex/main/sprites/jigglypuff.png", 2)</f>
        <v>0</v>
      </c>
      <c r="L4" s="38">
        <f>IMAGE("https://raw.githubusercontent.com/stautonico/pokemon-home-pokedex/main/sprites/wigglytuff.png", 2)</f>
        <v>0</v>
      </c>
      <c r="M4" s="38">
        <f>IMAGE("https://raw.githubusercontent.com/stautonico/pokemon-home-pokedex/main/sprites/zubat.png", 2)</f>
        <v>0</v>
      </c>
      <c r="N4" s="38">
        <f>IMAGE("https://raw.githubusercontent.com/stautonico/pokemon-home-pokedex/main/sprites/golbat.png", 2)</f>
        <v>0</v>
      </c>
    </row>
    <row r="5" spans="2:14" ht="72" customHeight="1">
      <c r="B5" s="38">
        <f>IMAGE("https://raw.githubusercontent.com/stautonico/pokemon-home-pokedex/main/sprites/weedle.png", 2)</f>
        <v>0</v>
      </c>
      <c r="C5" s="38">
        <f>IMAGE("https://raw.githubusercontent.com/stautonico/pokemon-home-pokedex/main/sprites/kakuna.png", 2)</f>
        <v>0</v>
      </c>
      <c r="D5" s="38">
        <f>IMAGE("https://raw.githubusercontent.com/stautonico/pokemon-home-pokedex/main/sprites/beedrill.png", 2)</f>
        <v>0</v>
      </c>
      <c r="E5" s="38">
        <f>IMAGE("https://raw.githubusercontent.com/stautonico/pokemon-home-pokedex/main/sprites/pidgey.png", 2)</f>
        <v>0</v>
      </c>
      <c r="F5" s="38">
        <f>IMAGE("https://raw.githubusercontent.com/stautonico/pokemon-home-pokedex/main/sprites/pidgeotto.png", 2)</f>
        <v>0</v>
      </c>
      <c r="G5" s="38">
        <f>IMAGE("https://raw.githubusercontent.com/stautonico/pokemon-home-pokedex/main/sprites/pidgeot.png", 2)</f>
        <v>0</v>
      </c>
      <c r="I5" s="38">
        <f>IMAGE("https://raw.githubusercontent.com/stautonico/pokemon-home-pokedex/main/sprites/oddish.png", 2)</f>
        <v>0</v>
      </c>
      <c r="J5" s="38">
        <f>IMAGE("https://raw.githubusercontent.com/stautonico/pokemon-home-pokedex/main/sprites/gloom.png", 2)</f>
        <v>0</v>
      </c>
      <c r="K5" s="38">
        <f>IMAGE("https://raw.githubusercontent.com/stautonico/pokemon-home-pokedex/main/sprites/vileplume.png", 2)</f>
        <v>0</v>
      </c>
      <c r="L5" s="38">
        <f>IMAGE("https://raw.githubusercontent.com/stautonico/pokemon-home-pokedex/main/sprites/paras.png", 2)</f>
        <v>0</v>
      </c>
      <c r="M5" s="38">
        <f>IMAGE("https://raw.githubusercontent.com/stautonico/pokemon-home-pokedex/main/sprites/parasect.png", 2)</f>
        <v>0</v>
      </c>
      <c r="N5" s="38">
        <f>IMAGE("https://raw.githubusercontent.com/stautonico/pokemon-home-pokedex/main/sprites/venonat.png", 2)</f>
        <v>0</v>
      </c>
    </row>
    <row r="6" spans="2:14" ht="72" customHeight="1">
      <c r="B6" s="38">
        <f>IMAGE("https://raw.githubusercontent.com/stautonico/pokemon-home-pokedex/main/sprites/rattata.png", 2)</f>
        <v>0</v>
      </c>
      <c r="C6" s="38">
        <f>IMAGE("https://raw.githubusercontent.com/stautonico/pokemon-home-pokedex/main/sprites/raticate.png", 2)</f>
        <v>0</v>
      </c>
      <c r="D6" s="38">
        <f>IMAGE("https://raw.githubusercontent.com/stautonico/pokemon-home-pokedex/main/sprites/spearow.png", 2)</f>
        <v>0</v>
      </c>
      <c r="E6" s="38">
        <f>IMAGE("https://raw.githubusercontent.com/stautonico/pokemon-home-pokedex/main/sprites/fearow.png", 2)</f>
        <v>0</v>
      </c>
      <c r="F6" s="38">
        <f>IMAGE("https://raw.githubusercontent.com/stautonico/pokemon-home-pokedex/main/sprites/ekans.png", 2)</f>
        <v>0</v>
      </c>
      <c r="G6" s="38">
        <f>IMAGE("https://raw.githubusercontent.com/stautonico/pokemon-home-pokedex/main/sprites/arbok.png", 2)</f>
        <v>0</v>
      </c>
      <c r="I6" s="38">
        <f>IMAGE("https://raw.githubusercontent.com/stautonico/pokemon-home-pokedex/main/sprites/venomoth.png", 2)</f>
        <v>0</v>
      </c>
      <c r="J6" s="38">
        <f>IMAGE("https://raw.githubusercontent.com/stautonico/pokemon-home-pokedex/main/sprites/diglett.png", 2)</f>
        <v>0</v>
      </c>
      <c r="K6" s="38">
        <f>IMAGE("https://raw.githubusercontent.com/stautonico/pokemon-home-pokedex/main/sprites/dugtrio.png", 2)</f>
        <v>0</v>
      </c>
      <c r="L6" s="38">
        <f>IMAGE("https://raw.githubusercontent.com/stautonico/pokemon-home-pokedex/main/sprites/meowth.png", 2)</f>
        <v>0</v>
      </c>
      <c r="M6" s="38">
        <f>IMAGE("https://raw.githubusercontent.com/stautonico/pokemon-home-pokedex/main/sprites/persian.png", 2)</f>
        <v>0</v>
      </c>
      <c r="N6" s="38">
        <f>IMAGE("https://raw.githubusercontent.com/stautonico/pokemon-home-pokedex/main/sprites/psyduck.png", 2)</f>
        <v>0</v>
      </c>
    </row>
    <row r="7" spans="2:14" ht="72" customHeight="1">
      <c r="B7" s="38">
        <f>IMAGE("https://raw.githubusercontent.com/stautonico/pokemon-home-pokedex/main/sprites/pikachu.png", 2)</f>
        <v>0</v>
      </c>
      <c r="C7" s="38">
        <f>IMAGE("https://raw.githubusercontent.com/stautonico/pokemon-home-pokedex/main/sprites/raichu.png", 2)</f>
        <v>0</v>
      </c>
      <c r="D7" s="38">
        <f>IMAGE("https://raw.githubusercontent.com/stautonico/pokemon-home-pokedex/main/sprites/sandshrew.png", 2)</f>
        <v>0</v>
      </c>
      <c r="E7" s="38">
        <f>IMAGE("https://raw.githubusercontent.com/stautonico/pokemon-home-pokedex/main/sprites/sandslash.png", 2)</f>
        <v>0</v>
      </c>
      <c r="F7" s="38">
        <f>IMAGE("https://raw.githubusercontent.com/stautonico/pokemon-home-pokedex/main/sprites/nidoran-f.png", 2)</f>
        <v>0</v>
      </c>
      <c r="G7" s="38">
        <f>IMAGE("https://raw.githubusercontent.com/stautonico/pokemon-home-pokedex/main/sprites/nidorina.png", 2)</f>
        <v>0</v>
      </c>
      <c r="I7" s="38">
        <f>IMAGE("https://raw.githubusercontent.com/stautonico/pokemon-home-pokedex/main/sprites/golduck.png", 2)</f>
        <v>0</v>
      </c>
      <c r="J7" s="38">
        <f>IMAGE("https://raw.githubusercontent.com/stautonico/pokemon-home-pokedex/main/sprites/mankey.png", 2)</f>
        <v>0</v>
      </c>
      <c r="K7" s="38">
        <f>IMAGE("https://raw.githubusercontent.com/stautonico/pokemon-home-pokedex/main/sprites/primeape.png", 2)</f>
        <v>0</v>
      </c>
      <c r="L7" s="38">
        <f>IMAGE("https://raw.githubusercontent.com/stautonico/pokemon-home-pokedex/main/sprites/growlithe.png", 2)</f>
        <v>0</v>
      </c>
      <c r="M7" s="38">
        <f>IMAGE("https://raw.githubusercontent.com/stautonico/pokemon-home-pokedex/main/sprites/arcanine.png", 2)</f>
        <v>0</v>
      </c>
      <c r="N7" s="38">
        <f>IMAGE("https://raw.githubusercontent.com/stautonico/pokemon-home-pokedex/main/sprites/poliwag.png", 2)</f>
        <v>0</v>
      </c>
    </row>
    <row r="10" spans="2:14">
      <c r="B10" s="37" t="s">
        <v>1334</v>
      </c>
      <c r="I10" s="37" t="s">
        <v>1335</v>
      </c>
    </row>
    <row r="11" spans="2:14" ht="72" customHeight="1">
      <c r="B11" s="38">
        <f>IMAGE("https://raw.githubusercontent.com/stautonico/pokemon-home-pokedex/main/sprites/poliwhirl.png", 2)</f>
        <v>0</v>
      </c>
      <c r="C11" s="38">
        <f>IMAGE("https://raw.githubusercontent.com/stautonico/pokemon-home-pokedex/main/sprites/poliwrath.png", 2)</f>
        <v>0</v>
      </c>
      <c r="D11" s="38">
        <f>IMAGE("https://raw.githubusercontent.com/stautonico/pokemon-home-pokedex/main/sprites/abra.png", 2)</f>
        <v>0</v>
      </c>
      <c r="E11" s="38">
        <f>IMAGE("https://raw.githubusercontent.com/stautonico/pokemon-home-pokedex/main/sprites/kadabra.png", 2)</f>
        <v>0</v>
      </c>
      <c r="F11" s="38">
        <f>IMAGE("https://raw.githubusercontent.com/stautonico/pokemon-home-pokedex/main/sprites/alakazam.png", 2)</f>
        <v>0</v>
      </c>
      <c r="G11" s="38">
        <f>IMAGE("https://raw.githubusercontent.com/stautonico/pokemon-home-pokedex/main/sprites/machop.png", 2)</f>
        <v>0</v>
      </c>
      <c r="I11" s="38">
        <f>IMAGE("https://raw.githubusercontent.com/stautonico/pokemon-home-pokedex/main/sprites/cloyster.png", 2)</f>
        <v>0</v>
      </c>
      <c r="J11" s="38">
        <f>IMAGE("https://raw.githubusercontent.com/stautonico/pokemon-home-pokedex/main/sprites/gastly.png", 2)</f>
        <v>0</v>
      </c>
      <c r="K11" s="38">
        <f>IMAGE("https://raw.githubusercontent.com/stautonico/pokemon-home-pokedex/main/sprites/haunter.png", 2)</f>
        <v>0</v>
      </c>
      <c r="L11" s="38">
        <f>IMAGE("https://raw.githubusercontent.com/stautonico/pokemon-home-pokedex/main/sprites/gengar.png", 2)</f>
        <v>0</v>
      </c>
      <c r="M11" s="38">
        <f>IMAGE("https://raw.githubusercontent.com/stautonico/pokemon-home-pokedex/main/sprites/onix.png", 2)</f>
        <v>0</v>
      </c>
      <c r="N11" s="38">
        <f>IMAGE("https://raw.githubusercontent.com/stautonico/pokemon-home-pokedex/main/sprites/drowzee.png", 2)</f>
        <v>0</v>
      </c>
    </row>
    <row r="12" spans="2:14" ht="72" customHeight="1">
      <c r="B12" s="38">
        <f>IMAGE("https://raw.githubusercontent.com/stautonico/pokemon-home-pokedex/main/sprites/machoke.png", 2)</f>
        <v>0</v>
      </c>
      <c r="C12" s="38">
        <f>IMAGE("https://raw.githubusercontent.com/stautonico/pokemon-home-pokedex/main/sprites/machamp.png", 2)</f>
        <v>0</v>
      </c>
      <c r="D12" s="38">
        <f>IMAGE("https://raw.githubusercontent.com/stautonico/pokemon-home-pokedex/main/sprites/bellsprout.png", 2)</f>
        <v>0</v>
      </c>
      <c r="E12" s="38">
        <f>IMAGE("https://raw.githubusercontent.com/stautonico/pokemon-home-pokedex/main/sprites/weepinbell.png", 2)</f>
        <v>0</v>
      </c>
      <c r="F12" s="38">
        <f>IMAGE("https://raw.githubusercontent.com/stautonico/pokemon-home-pokedex/main/sprites/victreebel.png", 2)</f>
        <v>0</v>
      </c>
      <c r="G12" s="38">
        <f>IMAGE("https://raw.githubusercontent.com/stautonico/pokemon-home-pokedex/main/sprites/tentacool.png", 2)</f>
        <v>0</v>
      </c>
      <c r="I12" s="38">
        <f>IMAGE("https://raw.githubusercontent.com/stautonico/pokemon-home-pokedex/main/sprites/hypno.png", 2)</f>
        <v>0</v>
      </c>
      <c r="J12" s="38">
        <f>IMAGE("https://raw.githubusercontent.com/stautonico/pokemon-home-pokedex/main/sprites/krabby.png", 2)</f>
        <v>0</v>
      </c>
      <c r="K12" s="38">
        <f>IMAGE("https://raw.githubusercontent.com/stautonico/pokemon-home-pokedex/main/sprites/kingler.png", 2)</f>
        <v>0</v>
      </c>
      <c r="L12" s="38">
        <f>IMAGE("https://raw.githubusercontent.com/stautonico/pokemon-home-pokedex/main/sprites/voltorb.png", 2)</f>
        <v>0</v>
      </c>
      <c r="M12" s="38">
        <f>IMAGE("https://raw.githubusercontent.com/stautonico/pokemon-home-pokedex/main/sprites/electrode.png", 2)</f>
        <v>0</v>
      </c>
      <c r="N12" s="38">
        <f>IMAGE("https://raw.githubusercontent.com/stautonico/pokemon-home-pokedex/main/sprites/exeggcute.png", 2)</f>
        <v>0</v>
      </c>
    </row>
    <row r="13" spans="2:14" ht="72" customHeight="1">
      <c r="B13" s="38">
        <f>IMAGE("https://raw.githubusercontent.com/stautonico/pokemon-home-pokedex/main/sprites/tentacruel.png", 2)</f>
        <v>0</v>
      </c>
      <c r="C13" s="38">
        <f>IMAGE("https://raw.githubusercontent.com/stautonico/pokemon-home-pokedex/main/sprites/geodude.png", 2)</f>
        <v>0</v>
      </c>
      <c r="D13" s="38">
        <f>IMAGE("https://raw.githubusercontent.com/stautonico/pokemon-home-pokedex/main/sprites/graveler.png", 2)</f>
        <v>0</v>
      </c>
      <c r="E13" s="38">
        <f>IMAGE("https://raw.githubusercontent.com/stautonico/pokemon-home-pokedex/main/sprites/golem.png", 2)</f>
        <v>0</v>
      </c>
      <c r="F13" s="38">
        <f>IMAGE("https://raw.githubusercontent.com/stautonico/pokemon-home-pokedex/main/sprites/ponyta.png", 2)</f>
        <v>0</v>
      </c>
      <c r="G13" s="38">
        <f>IMAGE("https://raw.githubusercontent.com/stautonico/pokemon-home-pokedex/main/sprites/rapidash.png", 2)</f>
        <v>0</v>
      </c>
      <c r="I13" s="38">
        <f>IMAGE("https://raw.githubusercontent.com/stautonico/pokemon-home-pokedex/main/sprites/exeggutor.png", 2)</f>
        <v>0</v>
      </c>
      <c r="J13" s="38">
        <f>IMAGE("https://raw.githubusercontent.com/stautonico/pokemon-home-pokedex/main/sprites/cubone.png", 2)</f>
        <v>0</v>
      </c>
      <c r="K13" s="38">
        <f>IMAGE("https://raw.githubusercontent.com/stautonico/pokemon-home-pokedex/main/sprites/marowak.png", 2)</f>
        <v>0</v>
      </c>
      <c r="L13" s="38">
        <f>IMAGE("https://raw.githubusercontent.com/stautonico/pokemon-home-pokedex/main/sprites/hitmonlee.png", 2)</f>
        <v>0</v>
      </c>
      <c r="M13" s="38">
        <f>IMAGE("https://raw.githubusercontent.com/stautonico/pokemon-home-pokedex/main/sprites/hitmonchan.png", 2)</f>
        <v>0</v>
      </c>
      <c r="N13" s="38">
        <f>IMAGE("https://raw.githubusercontent.com/stautonico/pokemon-home-pokedex/main/sprites/lickitung.png", 2)</f>
        <v>0</v>
      </c>
    </row>
    <row r="14" spans="2:14" ht="72" customHeight="1">
      <c r="B14" s="38">
        <f>IMAGE("https://raw.githubusercontent.com/stautonico/pokemon-home-pokedex/main/sprites/slowpoke.png", 2)</f>
        <v>0</v>
      </c>
      <c r="C14" s="38">
        <f>IMAGE("https://raw.githubusercontent.com/stautonico/pokemon-home-pokedex/main/sprites/slowbro.png", 2)</f>
        <v>0</v>
      </c>
      <c r="D14" s="38">
        <f>IMAGE("https://raw.githubusercontent.com/stautonico/pokemon-home-pokedex/main/sprites/magnemite.png", 2)</f>
        <v>0</v>
      </c>
      <c r="E14" s="38">
        <f>IMAGE("https://raw.githubusercontent.com/stautonico/pokemon-home-pokedex/main/sprites/magneton.png", 2)</f>
        <v>0</v>
      </c>
      <c r="F14" s="38">
        <f>IMAGE("https://raw.githubusercontent.com/stautonico/pokemon-home-pokedex/main/sprites/farfetchd.png", 2)</f>
        <v>0</v>
      </c>
      <c r="G14" s="38">
        <f>IMAGE("https://raw.githubusercontent.com/stautonico/pokemon-home-pokedex/main/sprites/doduo.png", 2)</f>
        <v>0</v>
      </c>
      <c r="I14" s="38">
        <f>IMAGE("https://raw.githubusercontent.com/stautonico/pokemon-home-pokedex/main/sprites/koffing.png", 2)</f>
        <v>0</v>
      </c>
      <c r="J14" s="38">
        <f>IMAGE("https://raw.githubusercontent.com/stautonico/pokemon-home-pokedex/main/sprites/weezing.png", 2)</f>
        <v>0</v>
      </c>
      <c r="K14" s="38">
        <f>IMAGE("https://raw.githubusercontent.com/stautonico/pokemon-home-pokedex/main/sprites/rhyhorn.png", 2)</f>
        <v>0</v>
      </c>
      <c r="L14" s="38">
        <f>IMAGE("https://raw.githubusercontent.com/stautonico/pokemon-home-pokedex/main/sprites/rhydon.png", 2)</f>
        <v>0</v>
      </c>
      <c r="M14" s="38">
        <f>IMAGE("https://raw.githubusercontent.com/stautonico/pokemon-home-pokedex/main/sprites/chansey.png", 2)</f>
        <v>0</v>
      </c>
      <c r="N14" s="38">
        <f>IMAGE("https://raw.githubusercontent.com/stautonico/pokemon-home-pokedex/main/sprites/tangela.png", 2)</f>
        <v>0</v>
      </c>
    </row>
    <row r="15" spans="2:14" ht="72" customHeight="1">
      <c r="B15" s="38">
        <f>IMAGE("https://raw.githubusercontent.com/stautonico/pokemon-home-pokedex/main/sprites/dodrio.png", 2)</f>
        <v>0</v>
      </c>
      <c r="C15" s="38">
        <f>IMAGE("https://raw.githubusercontent.com/stautonico/pokemon-home-pokedex/main/sprites/seel.png", 2)</f>
        <v>0</v>
      </c>
      <c r="D15" s="38">
        <f>IMAGE("https://raw.githubusercontent.com/stautonico/pokemon-home-pokedex/main/sprites/dewgong.png", 2)</f>
        <v>0</v>
      </c>
      <c r="E15" s="38">
        <f>IMAGE("https://raw.githubusercontent.com/stautonico/pokemon-home-pokedex/main/sprites/grimer.png", 2)</f>
        <v>0</v>
      </c>
      <c r="F15" s="38">
        <f>IMAGE("https://raw.githubusercontent.com/stautonico/pokemon-home-pokedex/main/sprites/muk.png", 2)</f>
        <v>0</v>
      </c>
      <c r="G15" s="38">
        <f>IMAGE("https://raw.githubusercontent.com/stautonico/pokemon-home-pokedex/main/sprites/shellder.png", 2)</f>
        <v>0</v>
      </c>
      <c r="I15" s="38">
        <f>IMAGE("https://raw.githubusercontent.com/stautonico/pokemon-home-pokedex/main/sprites/kangaskhan.png", 2)</f>
        <v>0</v>
      </c>
      <c r="J15" s="38">
        <f>IMAGE("https://raw.githubusercontent.com/stautonico/pokemon-home-pokedex/main/sprites/horsea.png", 2)</f>
        <v>0</v>
      </c>
      <c r="K15" s="38">
        <f>IMAGE("https://raw.githubusercontent.com/stautonico/pokemon-home-pokedex/main/sprites/seadra.png", 2)</f>
        <v>0</v>
      </c>
      <c r="L15" s="38">
        <f>IMAGE("https://raw.githubusercontent.com/stautonico/pokemon-home-pokedex/main/sprites/goldeen.png", 2)</f>
        <v>0</v>
      </c>
      <c r="M15" s="38">
        <f>IMAGE("https://raw.githubusercontent.com/stautonico/pokemon-home-pokedex/main/sprites/seaking.png", 2)</f>
        <v>0</v>
      </c>
      <c r="N15" s="38">
        <f>IMAGE("https://raw.githubusercontent.com/stautonico/pokemon-home-pokedex/main/sprites/staryu.png", 2)</f>
        <v>0</v>
      </c>
    </row>
    <row r="18" spans="2:14">
      <c r="B18" s="37" t="s">
        <v>1336</v>
      </c>
      <c r="I18" s="37" t="s">
        <v>1337</v>
      </c>
    </row>
    <row r="19" spans="2:14" ht="72" customHeight="1">
      <c r="B19" s="38">
        <f>IMAGE("https://raw.githubusercontent.com/stautonico/pokemon-home-pokedex/main/sprites/starmie.png", 2)</f>
        <v>0</v>
      </c>
      <c r="C19" s="38">
        <f>IMAGE("https://raw.githubusercontent.com/stautonico/pokemon-home-pokedex/main/sprites/mrmime.png", 2)</f>
        <v>0</v>
      </c>
      <c r="D19" s="38">
        <f>IMAGE("https://raw.githubusercontent.com/stautonico/pokemon-home-pokedex/main/sprites/scyther.png", 2)</f>
        <v>0</v>
      </c>
      <c r="E19" s="38">
        <f>IMAGE("https://raw.githubusercontent.com/stautonico/pokemon-home-pokedex/main/sprites/jynx.png", 2)</f>
        <v>0</v>
      </c>
      <c r="F19" s="38">
        <f>IMAGE("https://raw.githubusercontent.com/stautonico/pokemon-home-pokedex/main/sprites/electabuzz.png", 2)</f>
        <v>0</v>
      </c>
      <c r="G19" s="38">
        <f>IMAGE("https://raw.githubusercontent.com/stautonico/pokemon-home-pokedex/main/sprites/magmar.png", 2)</f>
        <v>0</v>
      </c>
      <c r="I19" s="38">
        <f>IMAGE("https://raw.githubusercontent.com/stautonico/pokemon-home-pokedex/main/sprites/mew.png", 2)</f>
        <v>0</v>
      </c>
      <c r="J19" s="38">
        <f>IMAGE("https://raw.githubusercontent.com/stautonico/pokemon-home-pokedex/main/sprites/chikorita.png", 2)</f>
        <v>0</v>
      </c>
      <c r="K19" s="38">
        <f>IMAGE("https://raw.githubusercontent.com/stautonico/pokemon-home-pokedex/main/sprites/bayleef.png", 2)</f>
        <v>0</v>
      </c>
      <c r="L19" s="38">
        <f>IMAGE("https://raw.githubusercontent.com/stautonico/pokemon-home-pokedex/main/sprites/meganium.png", 2)</f>
        <v>0</v>
      </c>
      <c r="M19" s="38">
        <f>IMAGE("https://raw.githubusercontent.com/stautonico/pokemon-home-pokedex/main/sprites/cyndaquil.png", 2)</f>
        <v>0</v>
      </c>
      <c r="N19" s="38">
        <f>IMAGE("https://raw.githubusercontent.com/stautonico/pokemon-home-pokedex/main/sprites/quilava.png", 2)</f>
        <v>0</v>
      </c>
    </row>
    <row r="20" spans="2:14" ht="72" customHeight="1">
      <c r="B20" s="38">
        <f>IMAGE("https://raw.githubusercontent.com/stautonico/pokemon-home-pokedex/main/sprites/pinsir.png", 2)</f>
        <v>0</v>
      </c>
      <c r="C20" s="38">
        <f>IMAGE("https://raw.githubusercontent.com/stautonico/pokemon-home-pokedex/main/sprites/tauros.png", 2)</f>
        <v>0</v>
      </c>
      <c r="D20" s="38">
        <f>IMAGE("https://raw.githubusercontent.com/stautonico/pokemon-home-pokedex/main/sprites/magikarp.png", 2)</f>
        <v>0</v>
      </c>
      <c r="E20" s="38">
        <f>IMAGE("https://raw.githubusercontent.com/stautonico/pokemon-home-pokedex/main/sprites/gyarados.png", 2)</f>
        <v>0</v>
      </c>
      <c r="F20" s="38">
        <f>IMAGE("https://raw.githubusercontent.com/stautonico/pokemon-home-pokedex/main/sprites/lapras.png", 2)</f>
        <v>0</v>
      </c>
      <c r="G20" s="38">
        <f>IMAGE("https://raw.githubusercontent.com/stautonico/pokemon-home-pokedex/main/sprites/ditto.png", 2)</f>
        <v>0</v>
      </c>
      <c r="I20" s="38">
        <f>IMAGE("https://raw.githubusercontent.com/stautonico/pokemon-home-pokedex/main/sprites/typhlosion.png", 2)</f>
        <v>0</v>
      </c>
      <c r="J20" s="38">
        <f>IMAGE("https://raw.githubusercontent.com/stautonico/pokemon-home-pokedex/main/sprites/totodile.png", 2)</f>
        <v>0</v>
      </c>
      <c r="K20" s="38">
        <f>IMAGE("https://raw.githubusercontent.com/stautonico/pokemon-home-pokedex/main/sprites/croconaw.png", 2)</f>
        <v>0</v>
      </c>
      <c r="L20" s="38">
        <f>IMAGE("https://raw.githubusercontent.com/stautonico/pokemon-home-pokedex/main/sprites/feraligatr.png", 2)</f>
        <v>0</v>
      </c>
      <c r="M20" s="38">
        <f>IMAGE("https://raw.githubusercontent.com/stautonico/pokemon-home-pokedex/main/sprites/sentret.png", 2)</f>
        <v>0</v>
      </c>
      <c r="N20" s="38">
        <f>IMAGE("https://raw.githubusercontent.com/stautonico/pokemon-home-pokedex/main/sprites/furret.png", 2)</f>
        <v>0</v>
      </c>
    </row>
    <row r="21" spans="2:14" ht="72" customHeight="1">
      <c r="B21" s="38">
        <f>IMAGE("https://raw.githubusercontent.com/stautonico/pokemon-home-pokedex/main/sprites/eevee.png", 2)</f>
        <v>0</v>
      </c>
      <c r="C21" s="38">
        <f>IMAGE("https://raw.githubusercontent.com/stautonico/pokemon-home-pokedex/main/sprites/vaporeon.png", 2)</f>
        <v>0</v>
      </c>
      <c r="D21" s="38">
        <f>IMAGE("https://raw.githubusercontent.com/stautonico/pokemon-home-pokedex/main/sprites/jolteon.png", 2)</f>
        <v>0</v>
      </c>
      <c r="E21" s="38">
        <f>IMAGE("https://raw.githubusercontent.com/stautonico/pokemon-home-pokedex/main/sprites/flareon.png", 2)</f>
        <v>0</v>
      </c>
      <c r="F21" s="38">
        <f>IMAGE("https://raw.githubusercontent.com/stautonico/pokemon-home-pokedex/main/sprites/porygon.png", 2)</f>
        <v>0</v>
      </c>
      <c r="G21" s="38">
        <f>IMAGE("https://raw.githubusercontent.com/stautonico/pokemon-home-pokedex/main/sprites/omanyte.png", 2)</f>
        <v>0</v>
      </c>
      <c r="I21" s="38">
        <f>IMAGE("https://raw.githubusercontent.com/stautonico/pokemon-home-pokedex/main/sprites/hoothoot.png", 2)</f>
        <v>0</v>
      </c>
      <c r="J21" s="38">
        <f>IMAGE("https://raw.githubusercontent.com/stautonico/pokemon-home-pokedex/main/sprites/noctowl.png", 2)</f>
        <v>0</v>
      </c>
      <c r="K21" s="38">
        <f>IMAGE("https://raw.githubusercontent.com/stautonico/pokemon-home-pokedex/main/sprites/ledyba.png", 2)</f>
        <v>0</v>
      </c>
      <c r="L21" s="38">
        <f>IMAGE("https://raw.githubusercontent.com/stautonico/pokemon-home-pokedex/main/sprites/ledian.png", 2)</f>
        <v>0</v>
      </c>
      <c r="M21" s="38">
        <f>IMAGE("https://raw.githubusercontent.com/stautonico/pokemon-home-pokedex/main/sprites/spinarak.png", 2)</f>
        <v>0</v>
      </c>
      <c r="N21" s="38">
        <f>IMAGE("https://raw.githubusercontent.com/stautonico/pokemon-home-pokedex/main/sprites/ariados.png", 2)</f>
        <v>0</v>
      </c>
    </row>
    <row r="22" spans="2:14" ht="72" customHeight="1">
      <c r="B22" s="38">
        <f>IMAGE("https://raw.githubusercontent.com/stautonico/pokemon-home-pokedex/main/sprites/omastar.png", 2)</f>
        <v>0</v>
      </c>
      <c r="C22" s="38">
        <f>IMAGE("https://raw.githubusercontent.com/stautonico/pokemon-home-pokedex/main/sprites/kabuto.png", 2)</f>
        <v>0</v>
      </c>
      <c r="D22" s="38">
        <f>IMAGE("https://raw.githubusercontent.com/stautonico/pokemon-home-pokedex/main/sprites/kabutops.png", 2)</f>
        <v>0</v>
      </c>
      <c r="E22" s="38">
        <f>IMAGE("https://raw.githubusercontent.com/stautonico/pokemon-home-pokedex/main/sprites/aerodactyl.png", 2)</f>
        <v>0</v>
      </c>
      <c r="F22" s="38">
        <f>IMAGE("https://raw.githubusercontent.com/stautonico/pokemon-home-pokedex/main/sprites/snorlax.png", 2)</f>
        <v>0</v>
      </c>
      <c r="G22" s="38">
        <f>IMAGE("https://raw.githubusercontent.com/stautonico/pokemon-home-pokedex/main/sprites/articuno.png", 2)</f>
        <v>0</v>
      </c>
      <c r="I22" s="38">
        <f>IMAGE("https://raw.githubusercontent.com/stautonico/pokemon-home-pokedex/main/sprites/crobat.png", 2)</f>
        <v>0</v>
      </c>
      <c r="J22" s="38">
        <f>IMAGE("https://raw.githubusercontent.com/stautonico/pokemon-home-pokedex/main/sprites/chinchou.png", 2)</f>
        <v>0</v>
      </c>
      <c r="K22" s="38">
        <f>IMAGE("https://raw.githubusercontent.com/stautonico/pokemon-home-pokedex/main/sprites/lanturn.png", 2)</f>
        <v>0</v>
      </c>
      <c r="L22" s="38">
        <f>IMAGE("https://raw.githubusercontent.com/stautonico/pokemon-home-pokedex/main/sprites/pichu.png", 2)</f>
        <v>0</v>
      </c>
      <c r="M22" s="38">
        <f>IMAGE("https://raw.githubusercontent.com/stautonico/pokemon-home-pokedex/main/sprites/cleffa.png", 2)</f>
        <v>0</v>
      </c>
      <c r="N22" s="38">
        <f>IMAGE("https://raw.githubusercontent.com/stautonico/pokemon-home-pokedex/main/sprites/igglybuff.png", 2)</f>
        <v>0</v>
      </c>
    </row>
    <row r="23" spans="2:14" ht="72" customHeight="1">
      <c r="B23" s="38">
        <f>IMAGE("https://raw.githubusercontent.com/stautonico/pokemon-home-pokedex/main/sprites/zapdos.png", 2)</f>
        <v>0</v>
      </c>
      <c r="C23" s="38">
        <f>IMAGE("https://raw.githubusercontent.com/stautonico/pokemon-home-pokedex/main/sprites/moltres.png", 2)</f>
        <v>0</v>
      </c>
      <c r="D23" s="38">
        <f>IMAGE("https://raw.githubusercontent.com/stautonico/pokemon-home-pokedex/main/sprites/dratini.png", 2)</f>
        <v>0</v>
      </c>
      <c r="E23" s="38">
        <f>IMAGE("https://raw.githubusercontent.com/stautonico/pokemon-home-pokedex/main/sprites/dragonair.png", 2)</f>
        <v>0</v>
      </c>
      <c r="F23" s="38">
        <f>IMAGE("https://raw.githubusercontent.com/stautonico/pokemon-home-pokedex/main/sprites/dragonite.png", 2)</f>
        <v>0</v>
      </c>
      <c r="G23" s="38">
        <f>IMAGE("https://raw.githubusercontent.com/stautonico/pokemon-home-pokedex/main/sprites/mewtwo.png", 2)</f>
        <v>0</v>
      </c>
      <c r="I23" s="38">
        <f>IMAGE("https://raw.githubusercontent.com/stautonico/pokemon-home-pokedex/main/sprites/togepi.png", 2)</f>
        <v>0</v>
      </c>
      <c r="J23" s="38">
        <f>IMAGE("https://raw.githubusercontent.com/stautonico/pokemon-home-pokedex/main/sprites/togetic.png", 2)</f>
        <v>0</v>
      </c>
      <c r="K23" s="38">
        <f>IMAGE("https://raw.githubusercontent.com/stautonico/pokemon-home-pokedex/main/sprites/natu.png", 2)</f>
        <v>0</v>
      </c>
      <c r="L23" s="38">
        <f>IMAGE("https://raw.githubusercontent.com/stautonico/pokemon-home-pokedex/main/sprites/xatu.png", 2)</f>
        <v>0</v>
      </c>
      <c r="M23" s="38">
        <f>IMAGE("https://raw.githubusercontent.com/stautonico/pokemon-home-pokedex/main/sprites/mareep.png", 2)</f>
        <v>0</v>
      </c>
      <c r="N23" s="38">
        <f>IMAGE("https://raw.githubusercontent.com/stautonico/pokemon-home-pokedex/main/sprites/flaaffy.png", 2)</f>
        <v>0</v>
      </c>
    </row>
    <row r="26" spans="2:14">
      <c r="B26" s="37" t="s">
        <v>1338</v>
      </c>
      <c r="I26" s="37" t="s">
        <v>1339</v>
      </c>
    </row>
    <row r="27" spans="2:14" ht="72" customHeight="1">
      <c r="B27" s="38">
        <f>IMAGE("https://raw.githubusercontent.com/stautonico/pokemon-home-pokedex/main/sprites/ampharos.png", 2)</f>
        <v>0</v>
      </c>
      <c r="C27" s="38">
        <f>IMAGE("https://raw.githubusercontent.com/stautonico/pokemon-home-pokedex/main/sprites/bellossom.png", 2)</f>
        <v>0</v>
      </c>
      <c r="D27" s="38">
        <f>IMAGE("https://raw.githubusercontent.com/stautonico/pokemon-home-pokedex/main/sprites/marill.png", 2)</f>
        <v>0</v>
      </c>
      <c r="E27" s="38">
        <f>IMAGE("https://raw.githubusercontent.com/stautonico/pokemon-home-pokedex/main/sprites/azumarill.png", 2)</f>
        <v>0</v>
      </c>
      <c r="F27" s="38">
        <f>IMAGE("https://raw.githubusercontent.com/stautonico/pokemon-home-pokedex/main/sprites/sudowoodo.png", 2)</f>
        <v>0</v>
      </c>
      <c r="G27" s="38">
        <f>IMAGE("https://raw.githubusercontent.com/stautonico/pokemon-home-pokedex/main/sprites/politoed.png", 2)</f>
        <v>0</v>
      </c>
      <c r="I27" s="38">
        <f>IMAGE("https://raw.githubusercontent.com/stautonico/pokemon-home-pokedex/main/sprites/qwilfish.png", 2)</f>
        <v>0</v>
      </c>
      <c r="J27" s="38">
        <f>IMAGE("https://raw.githubusercontent.com/stautonico/pokemon-home-pokedex/main/sprites/scizor.png", 2)</f>
        <v>0</v>
      </c>
      <c r="K27" s="38">
        <f>IMAGE("https://raw.githubusercontent.com/stautonico/pokemon-home-pokedex/main/sprites/shuckle.png", 2)</f>
        <v>0</v>
      </c>
      <c r="L27" s="38">
        <f>IMAGE("https://raw.githubusercontent.com/stautonico/pokemon-home-pokedex/main/sprites/heracross.png", 2)</f>
        <v>0</v>
      </c>
      <c r="M27" s="38">
        <f>IMAGE("https://raw.githubusercontent.com/stautonico/pokemon-home-pokedex/main/sprites/sneasel.png", 2)</f>
        <v>0</v>
      </c>
      <c r="N27" s="38">
        <f>IMAGE("https://raw.githubusercontent.com/stautonico/pokemon-home-pokedex/main/sprites/teddiursa.png", 2)</f>
        <v>0</v>
      </c>
    </row>
    <row r="28" spans="2:14" ht="72" customHeight="1">
      <c r="B28" s="38">
        <f>IMAGE("https://raw.githubusercontent.com/stautonico/pokemon-home-pokedex/main/sprites/hoppip.png", 2)</f>
        <v>0</v>
      </c>
      <c r="C28" s="38">
        <f>IMAGE("https://raw.githubusercontent.com/stautonico/pokemon-home-pokedex/main/sprites/skiploom.png", 2)</f>
        <v>0</v>
      </c>
      <c r="D28" s="38">
        <f>IMAGE("https://raw.githubusercontent.com/stautonico/pokemon-home-pokedex/main/sprites/jumpluff.png", 2)</f>
        <v>0</v>
      </c>
      <c r="E28" s="38">
        <f>IMAGE("https://raw.githubusercontent.com/stautonico/pokemon-home-pokedex/main/sprites/aipom.png", 2)</f>
        <v>0</v>
      </c>
      <c r="F28" s="38">
        <f>IMAGE("https://raw.githubusercontent.com/stautonico/pokemon-home-pokedex/main/sprites/sunkern.png", 2)</f>
        <v>0</v>
      </c>
      <c r="G28" s="38">
        <f>IMAGE("https://raw.githubusercontent.com/stautonico/pokemon-home-pokedex/main/sprites/sunflora.png", 2)</f>
        <v>0</v>
      </c>
      <c r="I28" s="38">
        <f>IMAGE("https://raw.githubusercontent.com/stautonico/pokemon-home-pokedex/main/sprites/ursaring.png", 2)</f>
        <v>0</v>
      </c>
      <c r="J28" s="38">
        <f>IMAGE("https://raw.githubusercontent.com/stautonico/pokemon-home-pokedex/main/sprites/slugma.png", 2)</f>
        <v>0</v>
      </c>
      <c r="K28" s="38">
        <f>IMAGE("https://raw.githubusercontent.com/stautonico/pokemon-home-pokedex/main/sprites/magcargo.png", 2)</f>
        <v>0</v>
      </c>
      <c r="L28" s="38">
        <f>IMAGE("https://raw.githubusercontent.com/stautonico/pokemon-home-pokedex/main/sprites/swinub.png", 2)</f>
        <v>0</v>
      </c>
      <c r="M28" s="38">
        <f>IMAGE("https://raw.githubusercontent.com/stautonico/pokemon-home-pokedex/main/sprites/piloswine.png", 2)</f>
        <v>0</v>
      </c>
      <c r="N28" s="38">
        <f>IMAGE("https://raw.githubusercontent.com/stautonico/pokemon-home-pokedex/main/sprites/corsola.png", 2)</f>
        <v>0</v>
      </c>
    </row>
    <row r="29" spans="2:14" ht="72" customHeight="1">
      <c r="B29" s="38">
        <f>IMAGE("https://raw.githubusercontent.com/stautonico/pokemon-home-pokedex/main/sprites/yanma.png", 2)</f>
        <v>0</v>
      </c>
      <c r="C29" s="38">
        <f>IMAGE("https://raw.githubusercontent.com/stautonico/pokemon-home-pokedex/main/sprites/wooper.png", 2)</f>
        <v>0</v>
      </c>
      <c r="D29" s="38">
        <f>IMAGE("https://raw.githubusercontent.com/stautonico/pokemon-home-pokedex/main/sprites/quagsire.png", 2)</f>
        <v>0</v>
      </c>
      <c r="E29" s="38">
        <f>IMAGE("https://raw.githubusercontent.com/stautonico/pokemon-home-pokedex/main/sprites/espeon.png", 2)</f>
        <v>0</v>
      </c>
      <c r="F29" s="38">
        <f>IMAGE("https://raw.githubusercontent.com/stautonico/pokemon-home-pokedex/main/sprites/umbreon.png", 2)</f>
        <v>0</v>
      </c>
      <c r="G29" s="38">
        <f>IMAGE("https://raw.githubusercontent.com/stautonico/pokemon-home-pokedex/main/sprites/murkrow.png", 2)</f>
        <v>0</v>
      </c>
      <c r="I29" s="38">
        <f>IMAGE("https://raw.githubusercontent.com/stautonico/pokemon-home-pokedex/main/sprites/remoraid.png", 2)</f>
        <v>0</v>
      </c>
      <c r="J29" s="38">
        <f>IMAGE("https://raw.githubusercontent.com/stautonico/pokemon-home-pokedex/main/sprites/octillery.png", 2)</f>
        <v>0</v>
      </c>
      <c r="K29" s="38">
        <f>IMAGE("https://raw.githubusercontent.com/stautonico/pokemon-home-pokedex/main/sprites/delibird.png", 2)</f>
        <v>0</v>
      </c>
      <c r="L29" s="38">
        <f>IMAGE("https://raw.githubusercontent.com/stautonico/pokemon-home-pokedex/main/sprites/mantine.png", 2)</f>
        <v>0</v>
      </c>
      <c r="M29" s="38">
        <f>IMAGE("https://raw.githubusercontent.com/stautonico/pokemon-home-pokedex/main/sprites/skarmory.png", 2)</f>
        <v>0</v>
      </c>
      <c r="N29" s="38">
        <f>IMAGE("https://raw.githubusercontent.com/stautonico/pokemon-home-pokedex/main/sprites/houndour.png", 2)</f>
        <v>0</v>
      </c>
    </row>
    <row r="30" spans="2:14" ht="72" customHeight="1">
      <c r="B30" s="38">
        <f>IMAGE("https://raw.githubusercontent.com/stautonico/pokemon-home-pokedex/main/sprites/slowking.png", 2)</f>
        <v>0</v>
      </c>
      <c r="C30" s="38">
        <f>IMAGE("https://raw.githubusercontent.com/stautonico/pokemon-home-pokedex/main/sprites/misdreavus.png", 2)</f>
        <v>0</v>
      </c>
      <c r="D30" s="38">
        <f>IMAGE("https://raw.githubusercontent.com/stautonico/pokemon-home-pokedex/main/sprites/unown.png", 2)</f>
        <v>0</v>
      </c>
      <c r="E30" s="38">
        <f>IMAGE("https://raw.githubusercontent.com/stautonico/pokemon-home-pokedex/main/sprites/wobbuffet.png", 2)</f>
        <v>0</v>
      </c>
      <c r="F30" s="38">
        <f>IMAGE("https://raw.githubusercontent.com/stautonico/pokemon-home-pokedex/main/sprites/girafarig.png", 2)</f>
        <v>0</v>
      </c>
      <c r="G30" s="38">
        <f>IMAGE("https://raw.githubusercontent.com/stautonico/pokemon-home-pokedex/main/sprites/pineco.png", 2)</f>
        <v>0</v>
      </c>
      <c r="I30" s="38">
        <f>IMAGE("https://raw.githubusercontent.com/stautonico/pokemon-home-pokedex/main/sprites/houndoom.png", 2)</f>
        <v>0</v>
      </c>
      <c r="J30" s="38">
        <f>IMAGE("https://raw.githubusercontent.com/stautonico/pokemon-home-pokedex/main/sprites/kingdra.png", 2)</f>
        <v>0</v>
      </c>
      <c r="K30" s="38">
        <f>IMAGE("https://raw.githubusercontent.com/stautonico/pokemon-home-pokedex/main/sprites/phanpy.png", 2)</f>
        <v>0</v>
      </c>
      <c r="L30" s="38">
        <f>IMAGE("https://raw.githubusercontent.com/stautonico/pokemon-home-pokedex/main/sprites/donphan.png", 2)</f>
        <v>0</v>
      </c>
      <c r="M30" s="38">
        <f>IMAGE("https://raw.githubusercontent.com/stautonico/pokemon-home-pokedex/main/sprites/porygon2.png", 2)</f>
        <v>0</v>
      </c>
      <c r="N30" s="38">
        <f>IMAGE("https://raw.githubusercontent.com/stautonico/pokemon-home-pokedex/main/sprites/stantler.png", 2)</f>
        <v>0</v>
      </c>
    </row>
    <row r="31" spans="2:14" ht="72" customHeight="1">
      <c r="B31" s="38">
        <f>IMAGE("https://raw.githubusercontent.com/stautonico/pokemon-home-pokedex/main/sprites/forretress.png", 2)</f>
        <v>0</v>
      </c>
      <c r="C31" s="38">
        <f>IMAGE("https://raw.githubusercontent.com/stautonico/pokemon-home-pokedex/main/sprites/dunsparce.png", 2)</f>
        <v>0</v>
      </c>
      <c r="D31" s="38">
        <f>IMAGE("https://raw.githubusercontent.com/stautonico/pokemon-home-pokedex/main/sprites/gligar.png", 2)</f>
        <v>0</v>
      </c>
      <c r="E31" s="38">
        <f>IMAGE("https://raw.githubusercontent.com/stautonico/pokemon-home-pokedex/main/sprites/steelix.png", 2)</f>
        <v>0</v>
      </c>
      <c r="F31" s="38">
        <f>IMAGE("https://raw.githubusercontent.com/stautonico/pokemon-home-pokedex/main/sprites/snubbull.png", 2)</f>
        <v>0</v>
      </c>
      <c r="G31" s="38">
        <f>IMAGE("https://raw.githubusercontent.com/stautonico/pokemon-home-pokedex/main/sprites/granbull.png", 2)</f>
        <v>0</v>
      </c>
      <c r="I31" s="38">
        <f>IMAGE("https://raw.githubusercontent.com/stautonico/pokemon-home-pokedex/main/sprites/smeargle.png", 2)</f>
        <v>0</v>
      </c>
      <c r="J31" s="38">
        <f>IMAGE("https://raw.githubusercontent.com/stautonico/pokemon-home-pokedex/main/sprites/tyrogue.png", 2)</f>
        <v>0</v>
      </c>
      <c r="K31" s="38">
        <f>IMAGE("https://raw.githubusercontent.com/stautonico/pokemon-home-pokedex/main/sprites/hitmontop.png", 2)</f>
        <v>0</v>
      </c>
      <c r="L31" s="38">
        <f>IMAGE("https://raw.githubusercontent.com/stautonico/pokemon-home-pokedex/main/sprites/smoochum.png", 2)</f>
        <v>0</v>
      </c>
      <c r="M31" s="38">
        <f>IMAGE("https://raw.githubusercontent.com/stautonico/pokemon-home-pokedex/main/sprites/elekid.png", 2)</f>
        <v>0</v>
      </c>
      <c r="N31" s="38">
        <f>IMAGE("https://raw.githubusercontent.com/stautonico/pokemon-home-pokedex/main/sprites/magby.png", 2)</f>
        <v>0</v>
      </c>
    </row>
    <row r="34" spans="2:14">
      <c r="B34" s="37" t="s">
        <v>1340</v>
      </c>
      <c r="I34" s="37" t="s">
        <v>1341</v>
      </c>
    </row>
    <row r="35" spans="2:14" ht="72" customHeight="1">
      <c r="B35" s="38">
        <f>IMAGE("https://raw.githubusercontent.com/stautonico/pokemon-home-pokedex/main/sprites/miltank.png", 2)</f>
        <v>0</v>
      </c>
      <c r="C35" s="38">
        <f>IMAGE("https://raw.githubusercontent.com/stautonico/pokemon-home-pokedex/main/sprites/blissey.png", 2)</f>
        <v>0</v>
      </c>
      <c r="D35" s="38">
        <f>IMAGE("https://raw.githubusercontent.com/stautonico/pokemon-home-pokedex/main/sprites/raikou.png", 2)</f>
        <v>0</v>
      </c>
      <c r="E35" s="38">
        <f>IMAGE("https://raw.githubusercontent.com/stautonico/pokemon-home-pokedex/main/sprites/entei.png", 2)</f>
        <v>0</v>
      </c>
      <c r="F35" s="38">
        <f>IMAGE("https://raw.githubusercontent.com/stautonico/pokemon-home-pokedex/main/sprites/suicune.png", 2)</f>
        <v>0</v>
      </c>
      <c r="G35" s="38">
        <f>IMAGE("https://raw.githubusercontent.com/stautonico/pokemon-home-pokedex/main/sprites/larvitar.png", 2)</f>
        <v>0</v>
      </c>
      <c r="I35" s="38">
        <f>IMAGE("https://raw.githubusercontent.com/stautonico/pokemon-home-pokedex/main/sprites/lombre.png", 2)</f>
        <v>0</v>
      </c>
      <c r="J35" s="38">
        <f>IMAGE("https://raw.githubusercontent.com/stautonico/pokemon-home-pokedex/main/sprites/ludicolo.png", 2)</f>
        <v>0</v>
      </c>
      <c r="K35" s="38">
        <f>IMAGE("https://raw.githubusercontent.com/stautonico/pokemon-home-pokedex/main/sprites/seedot.png", 2)</f>
        <v>0</v>
      </c>
      <c r="L35" s="38">
        <f>IMAGE("https://raw.githubusercontent.com/stautonico/pokemon-home-pokedex/main/sprites/nuzleaf.png", 2)</f>
        <v>0</v>
      </c>
      <c r="M35" s="38">
        <f>IMAGE("https://raw.githubusercontent.com/stautonico/pokemon-home-pokedex/main/sprites/shiftry.png", 2)</f>
        <v>0</v>
      </c>
      <c r="N35" s="38">
        <f>IMAGE("https://raw.githubusercontent.com/stautonico/pokemon-home-pokedex/main/sprites/taillow.png", 2)</f>
        <v>0</v>
      </c>
    </row>
    <row r="36" spans="2:14" ht="72" customHeight="1">
      <c r="B36" s="38">
        <f>IMAGE("https://raw.githubusercontent.com/stautonico/pokemon-home-pokedex/main/sprites/pupitar.png", 2)</f>
        <v>0</v>
      </c>
      <c r="C36" s="38">
        <f>IMAGE("https://raw.githubusercontent.com/stautonico/pokemon-home-pokedex/main/sprites/tyranitar.png", 2)</f>
        <v>0</v>
      </c>
      <c r="D36" s="38">
        <f>IMAGE("https://raw.githubusercontent.com/stautonico/pokemon-home-pokedex/main/sprites/lugia.png", 2)</f>
        <v>0</v>
      </c>
      <c r="E36" s="38">
        <f>IMAGE("https://raw.githubusercontent.com/stautonico/pokemon-home-pokedex/main/sprites/hooh.png", 2)</f>
        <v>0</v>
      </c>
      <c r="F36" s="38">
        <f>IMAGE("https://raw.githubusercontent.com/stautonico/pokemon-home-pokedex/main/sprites/celebi.png", 2)</f>
        <v>0</v>
      </c>
      <c r="G36" s="38">
        <f>IMAGE("https://raw.githubusercontent.com/stautonico/pokemon-home-pokedex/main/sprites/treecko.png", 2)</f>
        <v>0</v>
      </c>
      <c r="I36" s="38">
        <f>IMAGE("https://raw.githubusercontent.com/stautonico/pokemon-home-pokedex/main/sprites/swellow.png", 2)</f>
        <v>0</v>
      </c>
      <c r="J36" s="38">
        <f>IMAGE("https://raw.githubusercontent.com/stautonico/pokemon-home-pokedex/main/sprites/wingull.png", 2)</f>
        <v>0</v>
      </c>
      <c r="K36" s="38">
        <f>IMAGE("https://raw.githubusercontent.com/stautonico/pokemon-home-pokedex/main/sprites/pelipper.png", 2)</f>
        <v>0</v>
      </c>
      <c r="L36" s="38">
        <f>IMAGE("https://raw.githubusercontent.com/stautonico/pokemon-home-pokedex/main/sprites/ralts.png", 2)</f>
        <v>0</v>
      </c>
      <c r="M36" s="38">
        <f>IMAGE("https://raw.githubusercontent.com/stautonico/pokemon-home-pokedex/main/sprites/kirlia.png", 2)</f>
        <v>0</v>
      </c>
      <c r="N36" s="38">
        <f>IMAGE("https://raw.githubusercontent.com/stautonico/pokemon-home-pokedex/main/sprites/gardevoir.png", 2)</f>
        <v>0</v>
      </c>
    </row>
    <row r="37" spans="2:14" ht="72" customHeight="1">
      <c r="B37" s="38">
        <f>IMAGE("https://raw.githubusercontent.com/stautonico/pokemon-home-pokedex/main/sprites/grovyle.png", 2)</f>
        <v>0</v>
      </c>
      <c r="C37" s="38">
        <f>IMAGE("https://raw.githubusercontent.com/stautonico/pokemon-home-pokedex/main/sprites/sceptile.png", 2)</f>
        <v>0</v>
      </c>
      <c r="D37" s="38">
        <f>IMAGE("https://raw.githubusercontent.com/stautonico/pokemon-home-pokedex/main/sprites/torchic.png", 2)</f>
        <v>0</v>
      </c>
      <c r="E37" s="38">
        <f>IMAGE("https://raw.githubusercontent.com/stautonico/pokemon-home-pokedex/main/sprites/combusken.png", 2)</f>
        <v>0</v>
      </c>
      <c r="F37" s="38">
        <f>IMAGE("https://raw.githubusercontent.com/stautonico/pokemon-home-pokedex/main/sprites/blaziken.png", 2)</f>
        <v>0</v>
      </c>
      <c r="G37" s="38">
        <f>IMAGE("https://raw.githubusercontent.com/stautonico/pokemon-home-pokedex/main/sprites/mudkip.png", 2)</f>
        <v>0</v>
      </c>
      <c r="I37" s="38">
        <f>IMAGE("https://raw.githubusercontent.com/stautonico/pokemon-home-pokedex/main/sprites/surskit.png", 2)</f>
        <v>0</v>
      </c>
      <c r="J37" s="38">
        <f>IMAGE("https://raw.githubusercontent.com/stautonico/pokemon-home-pokedex/main/sprites/masquerain.png", 2)</f>
        <v>0</v>
      </c>
      <c r="K37" s="38">
        <f>IMAGE("https://raw.githubusercontent.com/stautonico/pokemon-home-pokedex/main/sprites/shroomish.png", 2)</f>
        <v>0</v>
      </c>
      <c r="L37" s="38">
        <f>IMAGE("https://raw.githubusercontent.com/stautonico/pokemon-home-pokedex/main/sprites/breloom.png", 2)</f>
        <v>0</v>
      </c>
      <c r="M37" s="38">
        <f>IMAGE("https://raw.githubusercontent.com/stautonico/pokemon-home-pokedex/main/sprites/slakoth.png", 2)</f>
        <v>0</v>
      </c>
      <c r="N37" s="38">
        <f>IMAGE("https://raw.githubusercontent.com/stautonico/pokemon-home-pokedex/main/sprites/vigoroth.png", 2)</f>
        <v>0</v>
      </c>
    </row>
    <row r="38" spans="2:14" ht="72" customHeight="1">
      <c r="B38" s="38">
        <f>IMAGE("https://raw.githubusercontent.com/stautonico/pokemon-home-pokedex/main/sprites/marshtomp.png", 2)</f>
        <v>0</v>
      </c>
      <c r="C38" s="38">
        <f>IMAGE("https://raw.githubusercontent.com/stautonico/pokemon-home-pokedex/main/sprites/swampert.png", 2)</f>
        <v>0</v>
      </c>
      <c r="D38" s="38">
        <f>IMAGE("https://raw.githubusercontent.com/stautonico/pokemon-home-pokedex/main/sprites/poochyena.png", 2)</f>
        <v>0</v>
      </c>
      <c r="E38" s="38">
        <f>IMAGE("https://raw.githubusercontent.com/stautonico/pokemon-home-pokedex/main/sprites/mightyena.png", 2)</f>
        <v>0</v>
      </c>
      <c r="F38" s="38">
        <f>IMAGE("https://raw.githubusercontent.com/stautonico/pokemon-home-pokedex/main/sprites/zigzagoon.png", 2)</f>
        <v>0</v>
      </c>
      <c r="G38" s="38">
        <f>IMAGE("https://raw.githubusercontent.com/stautonico/pokemon-home-pokedex/main/sprites/linoone.png", 2)</f>
        <v>0</v>
      </c>
      <c r="I38" s="38">
        <f>IMAGE("https://raw.githubusercontent.com/stautonico/pokemon-home-pokedex/main/sprites/slaking.png", 2)</f>
        <v>0</v>
      </c>
      <c r="J38" s="38">
        <f>IMAGE("https://raw.githubusercontent.com/stautonico/pokemon-home-pokedex/main/sprites/nincada.png", 2)</f>
        <v>0</v>
      </c>
      <c r="K38" s="38">
        <f>IMAGE("https://raw.githubusercontent.com/stautonico/pokemon-home-pokedex/main/sprites/ninjask.png", 2)</f>
        <v>0</v>
      </c>
      <c r="L38" s="38">
        <f>IMAGE("https://raw.githubusercontent.com/stautonico/pokemon-home-pokedex/main/sprites/shedinja.png", 2)</f>
        <v>0</v>
      </c>
      <c r="M38" s="38">
        <f>IMAGE("https://raw.githubusercontent.com/stautonico/pokemon-home-pokedex/main/sprites/whismur.png", 2)</f>
        <v>0</v>
      </c>
      <c r="N38" s="38">
        <f>IMAGE("https://raw.githubusercontent.com/stautonico/pokemon-home-pokedex/main/sprites/loudred.png", 2)</f>
        <v>0</v>
      </c>
    </row>
    <row r="39" spans="2:14" ht="72" customHeight="1">
      <c r="B39" s="38">
        <f>IMAGE("https://raw.githubusercontent.com/stautonico/pokemon-home-pokedex/main/sprites/wurmple.png", 2)</f>
        <v>0</v>
      </c>
      <c r="C39" s="38">
        <f>IMAGE("https://raw.githubusercontent.com/stautonico/pokemon-home-pokedex/main/sprites/silcoon.png", 2)</f>
        <v>0</v>
      </c>
      <c r="D39" s="38">
        <f>IMAGE("https://raw.githubusercontent.com/stautonico/pokemon-home-pokedex/main/sprites/beautifly.png", 2)</f>
        <v>0</v>
      </c>
      <c r="E39" s="38">
        <f>IMAGE("https://raw.githubusercontent.com/stautonico/pokemon-home-pokedex/main/sprites/cascoon.png", 2)</f>
        <v>0</v>
      </c>
      <c r="F39" s="38">
        <f>IMAGE("https://raw.githubusercontent.com/stautonico/pokemon-home-pokedex/main/sprites/dustox.png", 2)</f>
        <v>0</v>
      </c>
      <c r="G39" s="38">
        <f>IMAGE("https://raw.githubusercontent.com/stautonico/pokemon-home-pokedex/main/sprites/lotad.png", 2)</f>
        <v>0</v>
      </c>
      <c r="I39" s="38">
        <f>IMAGE("https://raw.githubusercontent.com/stautonico/pokemon-home-pokedex/main/sprites/exploud.png", 2)</f>
        <v>0</v>
      </c>
      <c r="J39" s="38">
        <f>IMAGE("https://raw.githubusercontent.com/stautonico/pokemon-home-pokedex/main/sprites/makuhita.png", 2)</f>
        <v>0</v>
      </c>
      <c r="K39" s="38">
        <f>IMAGE("https://raw.githubusercontent.com/stautonico/pokemon-home-pokedex/main/sprites/hariyama.png", 2)</f>
        <v>0</v>
      </c>
      <c r="L39" s="38">
        <f>IMAGE("https://raw.githubusercontent.com/stautonico/pokemon-home-pokedex/main/sprites/azurill.png", 2)</f>
        <v>0</v>
      </c>
      <c r="M39" s="38">
        <f>IMAGE("https://raw.githubusercontent.com/stautonico/pokemon-home-pokedex/main/sprites/nosepass.png", 2)</f>
        <v>0</v>
      </c>
      <c r="N39" s="38">
        <f>IMAGE("https://raw.githubusercontent.com/stautonico/pokemon-home-pokedex/main/sprites/skitty.png", 2)</f>
        <v>0</v>
      </c>
    </row>
    <row r="42" spans="2:14">
      <c r="B42" s="37" t="s">
        <v>1342</v>
      </c>
      <c r="I42" s="37" t="s">
        <v>1343</v>
      </c>
    </row>
    <row r="43" spans="2:14" ht="72" customHeight="1">
      <c r="B43" s="38">
        <f>IMAGE("https://raw.githubusercontent.com/stautonico/pokemon-home-pokedex/main/sprites/delcatty.png", 2)</f>
        <v>0</v>
      </c>
      <c r="C43" s="38">
        <f>IMAGE("https://raw.githubusercontent.com/stautonico/pokemon-home-pokedex/main/sprites/sableye.png", 2)</f>
        <v>0</v>
      </c>
      <c r="D43" s="38">
        <f>IMAGE("https://raw.githubusercontent.com/stautonico/pokemon-home-pokedex/main/sprites/mawile.png", 2)</f>
        <v>0</v>
      </c>
      <c r="E43" s="38">
        <f>IMAGE("https://raw.githubusercontent.com/stautonico/pokemon-home-pokedex/main/sprites/aron.png", 2)</f>
        <v>0</v>
      </c>
      <c r="F43" s="38">
        <f>IMAGE("https://raw.githubusercontent.com/stautonico/pokemon-home-pokedex/main/sprites/lairon.png", 2)</f>
        <v>0</v>
      </c>
      <c r="G43" s="38">
        <f>IMAGE("https://raw.githubusercontent.com/stautonico/pokemon-home-pokedex/main/sprites/aggron.png", 2)</f>
        <v>0</v>
      </c>
      <c r="I43" s="38">
        <f>IMAGE("https://raw.githubusercontent.com/stautonico/pokemon-home-pokedex/main/sprites/cacnea.png", 2)</f>
        <v>0</v>
      </c>
      <c r="J43" s="38">
        <f>IMAGE("https://raw.githubusercontent.com/stautonico/pokemon-home-pokedex/main/sprites/cacturne.png", 2)</f>
        <v>0</v>
      </c>
      <c r="K43" s="38">
        <f>IMAGE("https://raw.githubusercontent.com/stautonico/pokemon-home-pokedex/main/sprites/swablu.png", 2)</f>
        <v>0</v>
      </c>
      <c r="L43" s="38">
        <f>IMAGE("https://raw.githubusercontent.com/stautonico/pokemon-home-pokedex/main/sprites/altaria.png", 2)</f>
        <v>0</v>
      </c>
      <c r="M43" s="38">
        <f>IMAGE("https://raw.githubusercontent.com/stautonico/pokemon-home-pokedex/main/sprites/zangoose.png", 2)</f>
        <v>0</v>
      </c>
      <c r="N43" s="38">
        <f>IMAGE("https://raw.githubusercontent.com/stautonico/pokemon-home-pokedex/main/sprites/seviper.png", 2)</f>
        <v>0</v>
      </c>
    </row>
    <row r="44" spans="2:14" ht="72" customHeight="1">
      <c r="B44" s="38">
        <f>IMAGE("https://raw.githubusercontent.com/stautonico/pokemon-home-pokedex/main/sprites/meditite.png", 2)</f>
        <v>0</v>
      </c>
      <c r="C44" s="38">
        <f>IMAGE("https://raw.githubusercontent.com/stautonico/pokemon-home-pokedex/main/sprites/medicham.png", 2)</f>
        <v>0</v>
      </c>
      <c r="D44" s="38">
        <f>IMAGE("https://raw.githubusercontent.com/stautonico/pokemon-home-pokedex/main/sprites/electrike.png", 2)</f>
        <v>0</v>
      </c>
      <c r="E44" s="38">
        <f>IMAGE("https://raw.githubusercontent.com/stautonico/pokemon-home-pokedex/main/sprites/manectric.png", 2)</f>
        <v>0</v>
      </c>
      <c r="F44" s="38">
        <f>IMAGE("https://raw.githubusercontent.com/stautonico/pokemon-home-pokedex/main/sprites/plusle.png", 2)</f>
        <v>0</v>
      </c>
      <c r="G44" s="38">
        <f>IMAGE("https://raw.githubusercontent.com/stautonico/pokemon-home-pokedex/main/sprites/minun.png", 2)</f>
        <v>0</v>
      </c>
      <c r="I44" s="38">
        <f>IMAGE("https://raw.githubusercontent.com/stautonico/pokemon-home-pokedex/main/sprites/lunatone.png", 2)</f>
        <v>0</v>
      </c>
      <c r="J44" s="38">
        <f>IMAGE("https://raw.githubusercontent.com/stautonico/pokemon-home-pokedex/main/sprites/solrock.png", 2)</f>
        <v>0</v>
      </c>
      <c r="K44" s="38">
        <f>IMAGE("https://raw.githubusercontent.com/stautonico/pokemon-home-pokedex/main/sprites/barboach.png", 2)</f>
        <v>0</v>
      </c>
      <c r="L44" s="38">
        <f>IMAGE("https://raw.githubusercontent.com/stautonico/pokemon-home-pokedex/main/sprites/whiscash.png", 2)</f>
        <v>0</v>
      </c>
      <c r="M44" s="38">
        <f>IMAGE("https://raw.githubusercontent.com/stautonico/pokemon-home-pokedex/main/sprites/corphish.png", 2)</f>
        <v>0</v>
      </c>
      <c r="N44" s="38">
        <f>IMAGE("https://raw.githubusercontent.com/stautonico/pokemon-home-pokedex/main/sprites/crawdaunt.png", 2)</f>
        <v>0</v>
      </c>
    </row>
    <row r="45" spans="2:14" ht="72" customHeight="1">
      <c r="B45" s="38">
        <f>IMAGE("https://raw.githubusercontent.com/stautonico/pokemon-home-pokedex/main/sprites/volbeat.png", 2)</f>
        <v>0</v>
      </c>
      <c r="C45" s="38">
        <f>IMAGE("https://raw.githubusercontent.com/stautonico/pokemon-home-pokedex/main/sprites/illumise.png", 2)</f>
        <v>0</v>
      </c>
      <c r="D45" s="38">
        <f>IMAGE("https://raw.githubusercontent.com/stautonico/pokemon-home-pokedex/main/sprites/roselia.png", 2)</f>
        <v>0</v>
      </c>
      <c r="E45" s="38">
        <f>IMAGE("https://raw.githubusercontent.com/stautonico/pokemon-home-pokedex/main/sprites/gulpin.png", 2)</f>
        <v>0</v>
      </c>
      <c r="F45" s="38">
        <f>IMAGE("https://raw.githubusercontent.com/stautonico/pokemon-home-pokedex/main/sprites/swalot.png", 2)</f>
        <v>0</v>
      </c>
      <c r="G45" s="38">
        <f>IMAGE("https://raw.githubusercontent.com/stautonico/pokemon-home-pokedex/main/sprites/carvanha.png", 2)</f>
        <v>0</v>
      </c>
      <c r="I45" s="38">
        <f>IMAGE("https://raw.githubusercontent.com/stautonico/pokemon-home-pokedex/main/sprites/baltoy.png", 2)</f>
        <v>0</v>
      </c>
      <c r="J45" s="38">
        <f>IMAGE("https://raw.githubusercontent.com/stautonico/pokemon-home-pokedex/main/sprites/claydol.png", 2)</f>
        <v>0</v>
      </c>
      <c r="K45" s="38">
        <f>IMAGE("https://raw.githubusercontent.com/stautonico/pokemon-home-pokedex/main/sprites/lileep.png", 2)</f>
        <v>0</v>
      </c>
      <c r="L45" s="38">
        <f>IMAGE("https://raw.githubusercontent.com/stautonico/pokemon-home-pokedex/main/sprites/cradily.png", 2)</f>
        <v>0</v>
      </c>
      <c r="M45" s="38">
        <f>IMAGE("https://raw.githubusercontent.com/stautonico/pokemon-home-pokedex/main/sprites/anorith.png", 2)</f>
        <v>0</v>
      </c>
      <c r="N45" s="38">
        <f>IMAGE("https://raw.githubusercontent.com/stautonico/pokemon-home-pokedex/main/sprites/armaldo.png", 2)</f>
        <v>0</v>
      </c>
    </row>
    <row r="46" spans="2:14" ht="72" customHeight="1">
      <c r="B46" s="38">
        <f>IMAGE("https://raw.githubusercontent.com/stautonico/pokemon-home-pokedex/main/sprites/sharpedo.png", 2)</f>
        <v>0</v>
      </c>
      <c r="C46" s="38">
        <f>IMAGE("https://raw.githubusercontent.com/stautonico/pokemon-home-pokedex/main/sprites/wailmer.png", 2)</f>
        <v>0</v>
      </c>
      <c r="D46" s="38">
        <f>IMAGE("https://raw.githubusercontent.com/stautonico/pokemon-home-pokedex/main/sprites/wailord.png", 2)</f>
        <v>0</v>
      </c>
      <c r="E46" s="38">
        <f>IMAGE("https://raw.githubusercontent.com/stautonico/pokemon-home-pokedex/main/sprites/numel.png", 2)</f>
        <v>0</v>
      </c>
      <c r="F46" s="38">
        <f>IMAGE("https://raw.githubusercontent.com/stautonico/pokemon-home-pokedex/main/sprites/camerupt.png", 2)</f>
        <v>0</v>
      </c>
      <c r="G46" s="38">
        <f>IMAGE("https://raw.githubusercontent.com/stautonico/pokemon-home-pokedex/main/sprites/torkoal.png", 2)</f>
        <v>0</v>
      </c>
      <c r="I46" s="38">
        <f>IMAGE("https://raw.githubusercontent.com/stautonico/pokemon-home-pokedex/main/sprites/feebas.png", 2)</f>
        <v>0</v>
      </c>
      <c r="J46" s="38">
        <f>IMAGE("https://raw.githubusercontent.com/stautonico/pokemon-home-pokedex/main/sprites/milotic.png", 2)</f>
        <v>0</v>
      </c>
      <c r="K46" s="38">
        <f>IMAGE("https://raw.githubusercontent.com/stautonico/pokemon-home-pokedex/main/sprites/castform.png", 2)</f>
        <v>0</v>
      </c>
      <c r="L46" s="38">
        <f>IMAGE("https://raw.githubusercontent.com/stautonico/pokemon-home-pokedex/main/sprites/kecleon.png", 2)</f>
        <v>0</v>
      </c>
      <c r="M46" s="38">
        <f>IMAGE("https://raw.githubusercontent.com/stautonico/pokemon-home-pokedex/main/sprites/shuppet.png", 2)</f>
        <v>0</v>
      </c>
      <c r="N46" s="38">
        <f>IMAGE("https://raw.githubusercontent.com/stautonico/pokemon-home-pokedex/main/sprites/banette.png", 2)</f>
        <v>0</v>
      </c>
    </row>
    <row r="47" spans="2:14" ht="72" customHeight="1">
      <c r="B47" s="38">
        <f>IMAGE("https://raw.githubusercontent.com/stautonico/pokemon-home-pokedex/main/sprites/spoink.png", 2)</f>
        <v>0</v>
      </c>
      <c r="C47" s="38">
        <f>IMAGE("https://raw.githubusercontent.com/stautonico/pokemon-home-pokedex/main/sprites/grumpig.png", 2)</f>
        <v>0</v>
      </c>
      <c r="D47" s="38">
        <f>IMAGE("https://raw.githubusercontent.com/stautonico/pokemon-home-pokedex/main/sprites/spinda.png", 2)</f>
        <v>0</v>
      </c>
      <c r="E47" s="38">
        <f>IMAGE("https://raw.githubusercontent.com/stautonico/pokemon-home-pokedex/main/sprites/trapinch.png", 2)</f>
        <v>0</v>
      </c>
      <c r="F47" s="38">
        <f>IMAGE("https://raw.githubusercontent.com/stautonico/pokemon-home-pokedex/main/sprites/vibrava.png", 2)</f>
        <v>0</v>
      </c>
      <c r="G47" s="38">
        <f>IMAGE("https://raw.githubusercontent.com/stautonico/pokemon-home-pokedex/main/sprites/flygon.png", 2)</f>
        <v>0</v>
      </c>
      <c r="I47" s="38">
        <f>IMAGE("https://raw.githubusercontent.com/stautonico/pokemon-home-pokedex/main/sprites/duskull.png", 2)</f>
        <v>0</v>
      </c>
      <c r="J47" s="38">
        <f>IMAGE("https://raw.githubusercontent.com/stautonico/pokemon-home-pokedex/main/sprites/dusclops.png", 2)</f>
        <v>0</v>
      </c>
      <c r="K47" s="38">
        <f>IMAGE("https://raw.githubusercontent.com/stautonico/pokemon-home-pokedex/main/sprites/tropius.png", 2)</f>
        <v>0</v>
      </c>
      <c r="L47" s="38">
        <f>IMAGE("https://raw.githubusercontent.com/stautonico/pokemon-home-pokedex/main/sprites/chimecho.png", 2)</f>
        <v>0</v>
      </c>
      <c r="M47" s="38">
        <f>IMAGE("https://raw.githubusercontent.com/stautonico/pokemon-home-pokedex/main/sprites/absol.png", 2)</f>
        <v>0</v>
      </c>
      <c r="N47" s="38">
        <f>IMAGE("https://raw.githubusercontent.com/stautonico/pokemon-home-pokedex/main/sprites/wynaut.png", 2)</f>
        <v>0</v>
      </c>
    </row>
    <row r="50" spans="2:14">
      <c r="B50" s="37" t="s">
        <v>1344</v>
      </c>
      <c r="I50" s="37" t="s">
        <v>1345</v>
      </c>
    </row>
    <row r="51" spans="2:14" ht="72" customHeight="1">
      <c r="B51" s="38">
        <f>IMAGE("https://raw.githubusercontent.com/stautonico/pokemon-home-pokedex/main/sprites/snorunt.png", 2)</f>
        <v>0</v>
      </c>
      <c r="C51" s="38">
        <f>IMAGE("https://raw.githubusercontent.com/stautonico/pokemon-home-pokedex/main/sprites/glalie.png", 2)</f>
        <v>0</v>
      </c>
      <c r="D51" s="38">
        <f>IMAGE("https://raw.githubusercontent.com/stautonico/pokemon-home-pokedex/main/sprites/spheal.png", 2)</f>
        <v>0</v>
      </c>
      <c r="E51" s="38">
        <f>IMAGE("https://raw.githubusercontent.com/stautonico/pokemon-home-pokedex/main/sprites/sealeo.png", 2)</f>
        <v>0</v>
      </c>
      <c r="F51" s="38">
        <f>IMAGE("https://raw.githubusercontent.com/stautonico/pokemon-home-pokedex/main/sprites/walrein.png", 2)</f>
        <v>0</v>
      </c>
      <c r="G51" s="38">
        <f>IMAGE("https://raw.githubusercontent.com/stautonico/pokemon-home-pokedex/main/sprites/clamperl.png", 2)</f>
        <v>0</v>
      </c>
      <c r="I51" s="38">
        <f>IMAGE("https://raw.githubusercontent.com/stautonico/pokemon-home-pokedex/main/sprites/monferno.png", 2)</f>
        <v>0</v>
      </c>
      <c r="J51" s="38">
        <f>IMAGE("https://raw.githubusercontent.com/stautonico/pokemon-home-pokedex/main/sprites/infernape.png", 2)</f>
        <v>0</v>
      </c>
      <c r="K51" s="38">
        <f>IMAGE("https://raw.githubusercontent.com/stautonico/pokemon-home-pokedex/main/sprites/piplup.png", 2)</f>
        <v>0</v>
      </c>
      <c r="L51" s="38">
        <f>IMAGE("https://raw.githubusercontent.com/stautonico/pokemon-home-pokedex/main/sprites/prinplup.png", 2)</f>
        <v>0</v>
      </c>
      <c r="M51" s="38">
        <f>IMAGE("https://raw.githubusercontent.com/stautonico/pokemon-home-pokedex/main/sprites/empoleon.png", 2)</f>
        <v>0</v>
      </c>
      <c r="N51" s="38">
        <f>IMAGE("https://raw.githubusercontent.com/stautonico/pokemon-home-pokedex/main/sprites/starly.png", 2)</f>
        <v>0</v>
      </c>
    </row>
    <row r="52" spans="2:14" ht="72" customHeight="1">
      <c r="B52" s="38">
        <f>IMAGE("https://raw.githubusercontent.com/stautonico/pokemon-home-pokedex/main/sprites/huntail.png", 2)</f>
        <v>0</v>
      </c>
      <c r="C52" s="38">
        <f>IMAGE("https://raw.githubusercontent.com/stautonico/pokemon-home-pokedex/main/sprites/gorebyss.png", 2)</f>
        <v>0</v>
      </c>
      <c r="D52" s="38">
        <f>IMAGE("https://raw.githubusercontent.com/stautonico/pokemon-home-pokedex/main/sprites/relicanth.png", 2)</f>
        <v>0</v>
      </c>
      <c r="E52" s="38">
        <f>IMAGE("https://raw.githubusercontent.com/stautonico/pokemon-home-pokedex/main/sprites/luvdisc.png", 2)</f>
        <v>0</v>
      </c>
      <c r="F52" s="38">
        <f>IMAGE("https://raw.githubusercontent.com/stautonico/pokemon-home-pokedex/main/sprites/bagon.png", 2)</f>
        <v>0</v>
      </c>
      <c r="G52" s="38">
        <f>IMAGE("https://raw.githubusercontent.com/stautonico/pokemon-home-pokedex/main/sprites/shelgon.png", 2)</f>
        <v>0</v>
      </c>
      <c r="I52" s="38">
        <f>IMAGE("https://raw.githubusercontent.com/stautonico/pokemon-home-pokedex/main/sprites/staravia.png", 2)</f>
        <v>0</v>
      </c>
      <c r="J52" s="38">
        <f>IMAGE("https://raw.githubusercontent.com/stautonico/pokemon-home-pokedex/main/sprites/staraptor.png", 2)</f>
        <v>0</v>
      </c>
      <c r="K52" s="38">
        <f>IMAGE("https://raw.githubusercontent.com/stautonico/pokemon-home-pokedex/main/sprites/bidoof.png", 2)</f>
        <v>0</v>
      </c>
      <c r="L52" s="38">
        <f>IMAGE("https://raw.githubusercontent.com/stautonico/pokemon-home-pokedex/main/sprites/bibarel.png", 2)</f>
        <v>0</v>
      </c>
      <c r="M52" s="38">
        <f>IMAGE("https://raw.githubusercontent.com/stautonico/pokemon-home-pokedex/main/sprites/kricketot.png", 2)</f>
        <v>0</v>
      </c>
      <c r="N52" s="38">
        <f>IMAGE("https://raw.githubusercontent.com/stautonico/pokemon-home-pokedex/main/sprites/kricketune.png", 2)</f>
        <v>0</v>
      </c>
    </row>
    <row r="53" spans="2:14" ht="72" customHeight="1">
      <c r="B53" s="38">
        <f>IMAGE("https://raw.githubusercontent.com/stautonico/pokemon-home-pokedex/main/sprites/salamence.png", 2)</f>
        <v>0</v>
      </c>
      <c r="C53" s="38">
        <f>IMAGE("https://raw.githubusercontent.com/stautonico/pokemon-home-pokedex/main/sprites/beldum.png", 2)</f>
        <v>0</v>
      </c>
      <c r="D53" s="38">
        <f>IMAGE("https://raw.githubusercontent.com/stautonico/pokemon-home-pokedex/main/sprites/metang.png", 2)</f>
        <v>0</v>
      </c>
      <c r="E53" s="38">
        <f>IMAGE("https://raw.githubusercontent.com/stautonico/pokemon-home-pokedex/main/sprites/metagross.png", 2)</f>
        <v>0</v>
      </c>
      <c r="F53" s="38">
        <f>IMAGE("https://raw.githubusercontent.com/stautonico/pokemon-home-pokedex/main/sprites/regirock.png", 2)</f>
        <v>0</v>
      </c>
      <c r="G53" s="38">
        <f>IMAGE("https://raw.githubusercontent.com/stautonico/pokemon-home-pokedex/main/sprites/regice.png", 2)</f>
        <v>0</v>
      </c>
      <c r="I53" s="38">
        <f>IMAGE("https://raw.githubusercontent.com/stautonico/pokemon-home-pokedex/main/sprites/shinx.png", 2)</f>
        <v>0</v>
      </c>
      <c r="J53" s="38">
        <f>IMAGE("https://raw.githubusercontent.com/stautonico/pokemon-home-pokedex/main/sprites/luxio.png", 2)</f>
        <v>0</v>
      </c>
      <c r="K53" s="38">
        <f>IMAGE("https://raw.githubusercontent.com/stautonico/pokemon-home-pokedex/main/sprites/luxray.png", 2)</f>
        <v>0</v>
      </c>
      <c r="L53" s="38">
        <f>IMAGE("https://raw.githubusercontent.com/stautonico/pokemon-home-pokedex/main/sprites/budew.png", 2)</f>
        <v>0</v>
      </c>
      <c r="M53" s="38">
        <f>IMAGE("https://raw.githubusercontent.com/stautonico/pokemon-home-pokedex/main/sprites/roserade.png", 2)</f>
        <v>0</v>
      </c>
      <c r="N53" s="38">
        <f>IMAGE("https://raw.githubusercontent.com/stautonico/pokemon-home-pokedex/main/sprites/cranidos.png", 2)</f>
        <v>0</v>
      </c>
    </row>
    <row r="54" spans="2:14" ht="72" customHeight="1">
      <c r="B54" s="38">
        <f>IMAGE("https://raw.githubusercontent.com/stautonico/pokemon-home-pokedex/main/sprites/registeel.png", 2)</f>
        <v>0</v>
      </c>
      <c r="C54" s="38">
        <f>IMAGE("https://raw.githubusercontent.com/stautonico/pokemon-home-pokedex/main/sprites/latias.png", 2)</f>
        <v>0</v>
      </c>
      <c r="D54" s="38">
        <f>IMAGE("https://raw.githubusercontent.com/stautonico/pokemon-home-pokedex/main/sprites/latios.png", 2)</f>
        <v>0</v>
      </c>
      <c r="E54" s="38">
        <f>IMAGE("https://raw.githubusercontent.com/stautonico/pokemon-home-pokedex/main/sprites/kyogre.png", 2)</f>
        <v>0</v>
      </c>
      <c r="F54" s="38">
        <f>IMAGE("https://raw.githubusercontent.com/stautonico/pokemon-home-pokedex/main/sprites/groudon.png", 2)</f>
        <v>0</v>
      </c>
      <c r="G54" s="38">
        <f>IMAGE("https://raw.githubusercontent.com/stautonico/pokemon-home-pokedex/main/sprites/rayquaza.png", 2)</f>
        <v>0</v>
      </c>
      <c r="I54" s="38">
        <f>IMAGE("https://raw.githubusercontent.com/stautonico/pokemon-home-pokedex/main/sprites/rampardos.png", 2)</f>
        <v>0</v>
      </c>
      <c r="J54" s="38">
        <f>IMAGE("https://raw.githubusercontent.com/stautonico/pokemon-home-pokedex/main/sprites/shieldon.png", 2)</f>
        <v>0</v>
      </c>
      <c r="K54" s="38">
        <f>IMAGE("https://raw.githubusercontent.com/stautonico/pokemon-home-pokedex/main/sprites/bastiodon.png", 2)</f>
        <v>0</v>
      </c>
      <c r="L54" s="38">
        <f>IMAGE("https://raw.githubusercontent.com/stautonico/pokemon-home-pokedex/main/sprites/burmy.png", 2)</f>
        <v>0</v>
      </c>
      <c r="M54" s="38">
        <f>IMAGE("https://raw.githubusercontent.com/stautonico/pokemon-home-pokedex/main/sprites/wormadam.png", 2)</f>
        <v>0</v>
      </c>
      <c r="N54" s="38">
        <f>IMAGE("https://raw.githubusercontent.com/stautonico/pokemon-home-pokedex/main/sprites/mothim.png", 2)</f>
        <v>0</v>
      </c>
    </row>
    <row r="55" spans="2:14" ht="72" customHeight="1">
      <c r="B55" s="38">
        <f>IMAGE("https://raw.githubusercontent.com/stautonico/pokemon-home-pokedex/main/sprites/jirachi.png", 2)</f>
        <v>0</v>
      </c>
      <c r="C55" s="38">
        <f>IMAGE("https://raw.githubusercontent.com/stautonico/pokemon-home-pokedex/main/sprites/deoxys.png", 2)</f>
        <v>0</v>
      </c>
      <c r="D55" s="38">
        <f>IMAGE("https://raw.githubusercontent.com/stautonico/pokemon-home-pokedex/main/sprites/turtwig.png", 2)</f>
        <v>0</v>
      </c>
      <c r="E55" s="38">
        <f>IMAGE("https://raw.githubusercontent.com/stautonico/pokemon-home-pokedex/main/sprites/grotle.png", 2)</f>
        <v>0</v>
      </c>
      <c r="F55" s="38">
        <f>IMAGE("https://raw.githubusercontent.com/stautonico/pokemon-home-pokedex/main/sprites/torterra.png", 2)</f>
        <v>0</v>
      </c>
      <c r="G55" s="38">
        <f>IMAGE("https://raw.githubusercontent.com/stautonico/pokemon-home-pokedex/main/sprites/chimchar.png", 2)</f>
        <v>0</v>
      </c>
      <c r="I55" s="38">
        <f>IMAGE("https://raw.githubusercontent.com/stautonico/pokemon-home-pokedex/main/sprites/combee.png", 2)</f>
        <v>0</v>
      </c>
      <c r="J55" s="38">
        <f>IMAGE("https://raw.githubusercontent.com/stautonico/pokemon-home-pokedex/main/sprites/vespiquen.png", 2)</f>
        <v>0</v>
      </c>
      <c r="K55" s="38">
        <f>IMAGE("https://raw.githubusercontent.com/stautonico/pokemon-home-pokedex/main/sprites/pachirisu.png", 2)</f>
        <v>0</v>
      </c>
      <c r="L55" s="38">
        <f>IMAGE("https://raw.githubusercontent.com/stautonico/pokemon-home-pokedex/main/sprites/buizel.png", 2)</f>
        <v>0</v>
      </c>
      <c r="M55" s="38">
        <f>IMAGE("https://raw.githubusercontent.com/stautonico/pokemon-home-pokedex/main/sprites/floatzel.png", 2)</f>
        <v>0</v>
      </c>
      <c r="N55" s="38">
        <f>IMAGE("https://raw.githubusercontent.com/stautonico/pokemon-home-pokedex/main/sprites/cherubi.png", 2)</f>
        <v>0</v>
      </c>
    </row>
    <row r="58" spans="2:14">
      <c r="B58" s="37" t="s">
        <v>1346</v>
      </c>
      <c r="I58" s="37" t="s">
        <v>1347</v>
      </c>
    </row>
    <row r="59" spans="2:14" ht="72" customHeight="1">
      <c r="B59" s="38">
        <f>IMAGE("https://raw.githubusercontent.com/stautonico/pokemon-home-pokedex/main/sprites/cherrim.png", 2)</f>
        <v>0</v>
      </c>
      <c r="C59" s="38">
        <f>IMAGE("https://raw.githubusercontent.com/stautonico/pokemon-home-pokedex/main/sprites/shellos.png", 2)</f>
        <v>0</v>
      </c>
      <c r="D59" s="38">
        <f>IMAGE("https://raw.githubusercontent.com/stautonico/pokemon-home-pokedex/main/sprites/gastrodon.png", 2)</f>
        <v>0</v>
      </c>
      <c r="E59" s="38">
        <f>IMAGE("https://raw.githubusercontent.com/stautonico/pokemon-home-pokedex/main/sprites/ambipom.png", 2)</f>
        <v>0</v>
      </c>
      <c r="F59" s="38">
        <f>IMAGE("https://raw.githubusercontent.com/stautonico/pokemon-home-pokedex/main/sprites/drifloon.png", 2)</f>
        <v>0</v>
      </c>
      <c r="G59" s="38">
        <f>IMAGE("https://raw.githubusercontent.com/stautonico/pokemon-home-pokedex/main/sprites/drifblim.png", 2)</f>
        <v>0</v>
      </c>
      <c r="I59" s="38">
        <f>IMAGE("https://raw.githubusercontent.com/stautonico/pokemon-home-pokedex/main/sprites/skorupi.png", 2)</f>
        <v>0</v>
      </c>
      <c r="J59" s="38">
        <f>IMAGE("https://raw.githubusercontent.com/stautonico/pokemon-home-pokedex/main/sprites/drapion.png", 2)</f>
        <v>0</v>
      </c>
      <c r="K59" s="38">
        <f>IMAGE("https://raw.githubusercontent.com/stautonico/pokemon-home-pokedex/main/sprites/croagunk.png", 2)</f>
        <v>0</v>
      </c>
      <c r="L59" s="38">
        <f>IMAGE("https://raw.githubusercontent.com/stautonico/pokemon-home-pokedex/main/sprites/toxicroak.png", 2)</f>
        <v>0</v>
      </c>
      <c r="M59" s="38">
        <f>IMAGE("https://raw.githubusercontent.com/stautonico/pokemon-home-pokedex/main/sprites/carnivine.png", 2)</f>
        <v>0</v>
      </c>
      <c r="N59" s="38">
        <f>IMAGE("https://raw.githubusercontent.com/stautonico/pokemon-home-pokedex/main/sprites/finneon.png", 2)</f>
        <v>0</v>
      </c>
    </row>
    <row r="60" spans="2:14" ht="72" customHeight="1">
      <c r="B60" s="38">
        <f>IMAGE("https://raw.githubusercontent.com/stautonico/pokemon-home-pokedex/main/sprites/buneary.png", 2)</f>
        <v>0</v>
      </c>
      <c r="C60" s="38">
        <f>IMAGE("https://raw.githubusercontent.com/stautonico/pokemon-home-pokedex/main/sprites/lopunny.png", 2)</f>
        <v>0</v>
      </c>
      <c r="D60" s="38">
        <f>IMAGE("https://raw.githubusercontent.com/stautonico/pokemon-home-pokedex/main/sprites/mismagius.png", 2)</f>
        <v>0</v>
      </c>
      <c r="E60" s="38">
        <f>IMAGE("https://raw.githubusercontent.com/stautonico/pokemon-home-pokedex/main/sprites/honchkrow.png", 2)</f>
        <v>0</v>
      </c>
      <c r="F60" s="38">
        <f>IMAGE("https://raw.githubusercontent.com/stautonico/pokemon-home-pokedex/main/sprites/glameow.png", 2)</f>
        <v>0</v>
      </c>
      <c r="G60" s="38">
        <f>IMAGE("https://raw.githubusercontent.com/stautonico/pokemon-home-pokedex/main/sprites/purugly.png", 2)</f>
        <v>0</v>
      </c>
      <c r="I60" s="38">
        <f>IMAGE("https://raw.githubusercontent.com/stautonico/pokemon-home-pokedex/main/sprites/lumineon.png", 2)</f>
        <v>0</v>
      </c>
      <c r="J60" s="38">
        <f>IMAGE("https://raw.githubusercontent.com/stautonico/pokemon-home-pokedex/main/sprites/mantyke.png", 2)</f>
        <v>0</v>
      </c>
      <c r="K60" s="38">
        <f>IMAGE("https://raw.githubusercontent.com/stautonico/pokemon-home-pokedex/main/sprites/snover.png", 2)</f>
        <v>0</v>
      </c>
      <c r="L60" s="38">
        <f>IMAGE("https://raw.githubusercontent.com/stautonico/pokemon-home-pokedex/main/sprites/abomasnow.png", 2)</f>
        <v>0</v>
      </c>
      <c r="M60" s="38">
        <f>IMAGE("https://raw.githubusercontent.com/stautonico/pokemon-home-pokedex/main/sprites/weavile.png", 2)</f>
        <v>0</v>
      </c>
      <c r="N60" s="38">
        <f>IMAGE("https://raw.githubusercontent.com/stautonico/pokemon-home-pokedex/main/sprites/magnezone.png", 2)</f>
        <v>0</v>
      </c>
    </row>
    <row r="61" spans="2:14" ht="72" customHeight="1">
      <c r="B61" s="38">
        <f>IMAGE("https://raw.githubusercontent.com/stautonico/pokemon-home-pokedex/main/sprites/chingling.png", 2)</f>
        <v>0</v>
      </c>
      <c r="C61" s="38">
        <f>IMAGE("https://raw.githubusercontent.com/stautonico/pokemon-home-pokedex/main/sprites/stunky.png", 2)</f>
        <v>0</v>
      </c>
      <c r="D61" s="38">
        <f>IMAGE("https://raw.githubusercontent.com/stautonico/pokemon-home-pokedex/main/sprites/skuntank.png", 2)</f>
        <v>0</v>
      </c>
      <c r="E61" s="38">
        <f>IMAGE("https://raw.githubusercontent.com/stautonico/pokemon-home-pokedex/main/sprites/bronzor.png", 2)</f>
        <v>0</v>
      </c>
      <c r="F61" s="38">
        <f>IMAGE("https://raw.githubusercontent.com/stautonico/pokemon-home-pokedex/main/sprites/bronzong.png", 2)</f>
        <v>0</v>
      </c>
      <c r="G61" s="38">
        <f>IMAGE("https://raw.githubusercontent.com/stautonico/pokemon-home-pokedex/main/sprites/bonsly.png", 2)</f>
        <v>0</v>
      </c>
      <c r="I61" s="38">
        <f>IMAGE("https://raw.githubusercontent.com/stautonico/pokemon-home-pokedex/main/sprites/lickilicky.png", 2)</f>
        <v>0</v>
      </c>
      <c r="J61" s="38">
        <f>IMAGE("https://raw.githubusercontent.com/stautonico/pokemon-home-pokedex/main/sprites/rhyperior.png", 2)</f>
        <v>0</v>
      </c>
      <c r="K61" s="38">
        <f>IMAGE("https://raw.githubusercontent.com/stautonico/pokemon-home-pokedex/main/sprites/tangrowth.png", 2)</f>
        <v>0</v>
      </c>
      <c r="L61" s="38">
        <f>IMAGE("https://raw.githubusercontent.com/stautonico/pokemon-home-pokedex/main/sprites/electivire.png", 2)</f>
        <v>0</v>
      </c>
      <c r="M61" s="38">
        <f>IMAGE("https://raw.githubusercontent.com/stautonico/pokemon-home-pokedex/main/sprites/magmortar.png", 2)</f>
        <v>0</v>
      </c>
      <c r="N61" s="38">
        <f>IMAGE("https://raw.githubusercontent.com/stautonico/pokemon-home-pokedex/main/sprites/togekiss.png", 2)</f>
        <v>0</v>
      </c>
    </row>
    <row r="62" spans="2:14" ht="72" customHeight="1">
      <c r="B62" s="38">
        <f>IMAGE("https://raw.githubusercontent.com/stautonico/pokemon-home-pokedex/main/sprites/mimejr.png", 2)</f>
        <v>0</v>
      </c>
      <c r="C62" s="38">
        <f>IMAGE("https://raw.githubusercontent.com/stautonico/pokemon-home-pokedex/main/sprites/happiny.png", 2)</f>
        <v>0</v>
      </c>
      <c r="D62" s="38">
        <f>IMAGE("https://raw.githubusercontent.com/stautonico/pokemon-home-pokedex/main/sprites/chatot.png", 2)</f>
        <v>0</v>
      </c>
      <c r="E62" s="38">
        <f>IMAGE("https://raw.githubusercontent.com/stautonico/pokemon-home-pokedex/main/sprites/spiritomb.png", 2)</f>
        <v>0</v>
      </c>
      <c r="F62" s="38">
        <f>IMAGE("https://raw.githubusercontent.com/stautonico/pokemon-home-pokedex/main/sprites/gible.png", 2)</f>
        <v>0</v>
      </c>
      <c r="G62" s="38">
        <f>IMAGE("https://raw.githubusercontent.com/stautonico/pokemon-home-pokedex/main/sprites/gabite.png", 2)</f>
        <v>0</v>
      </c>
      <c r="I62" s="38">
        <f>IMAGE("https://raw.githubusercontent.com/stautonico/pokemon-home-pokedex/main/sprites/yanmega.png", 2)</f>
        <v>0</v>
      </c>
      <c r="J62" s="38">
        <f>IMAGE("https://raw.githubusercontent.com/stautonico/pokemon-home-pokedex/main/sprites/leafeon.png", 2)</f>
        <v>0</v>
      </c>
      <c r="K62" s="38">
        <f>IMAGE("https://raw.githubusercontent.com/stautonico/pokemon-home-pokedex/main/sprites/glaceon.png", 2)</f>
        <v>0</v>
      </c>
      <c r="L62" s="38">
        <f>IMAGE("https://raw.githubusercontent.com/stautonico/pokemon-home-pokedex/main/sprites/gliscor.png", 2)</f>
        <v>0</v>
      </c>
      <c r="M62" s="38">
        <f>IMAGE("https://raw.githubusercontent.com/stautonico/pokemon-home-pokedex/main/sprites/mamoswine.png", 2)</f>
        <v>0</v>
      </c>
      <c r="N62" s="38" t="s">
        <v>1348</v>
      </c>
    </row>
    <row r="63" spans="2:14" ht="72" customHeight="1">
      <c r="B63" s="38">
        <f>IMAGE("https://raw.githubusercontent.com/stautonico/pokemon-home-pokedex/main/sprites/garchomp.png", 2)</f>
        <v>0</v>
      </c>
      <c r="C63" s="38">
        <f>IMAGE("https://raw.githubusercontent.com/stautonico/pokemon-home-pokedex/main/sprites/munchlax.png", 2)</f>
        <v>0</v>
      </c>
      <c r="D63" s="38">
        <f>IMAGE("https://raw.githubusercontent.com/stautonico/pokemon-home-pokedex/main/sprites/riolu.png", 2)</f>
        <v>0</v>
      </c>
      <c r="E63" s="38">
        <f>IMAGE("https://raw.githubusercontent.com/stautonico/pokemon-home-pokedex/main/sprites/lucario.png", 2)</f>
        <v>0</v>
      </c>
      <c r="F63" s="38">
        <f>IMAGE("https://raw.githubusercontent.com/stautonico/pokemon-home-pokedex/main/sprites/hippopotas.png", 2)</f>
        <v>0</v>
      </c>
      <c r="G63" s="38">
        <f>IMAGE("https://raw.githubusercontent.com/stautonico/pokemon-home-pokedex/main/sprites/hippowdon.png", 2)</f>
        <v>0</v>
      </c>
      <c r="I63" s="38">
        <f>IMAGE("https://raw.githubusercontent.com/stautonico/pokemon-home-pokedex/main/sprites/gallade.png", 2)</f>
        <v>0</v>
      </c>
      <c r="J63" s="38">
        <f>IMAGE("https://raw.githubusercontent.com/stautonico/pokemon-home-pokedex/main/sprites/probopass.png", 2)</f>
        <v>0</v>
      </c>
      <c r="K63" s="38">
        <f>IMAGE("https://raw.githubusercontent.com/stautonico/pokemon-home-pokedex/main/sprites/dusknoir.png", 2)</f>
        <v>0</v>
      </c>
      <c r="L63" s="38">
        <f>IMAGE("https://raw.githubusercontent.com/stautonico/pokemon-home-pokedex/main/sprites/froslass.png", 2)</f>
        <v>0</v>
      </c>
      <c r="M63" s="38">
        <f>IMAGE("https://raw.githubusercontent.com/stautonico/pokemon-home-pokedex/main/sprites/rotom.png", 2)</f>
        <v>0</v>
      </c>
      <c r="N63" s="38">
        <f>IMAGE("https://raw.githubusercontent.com/stautonico/pokemon-home-pokedex/main/sprites/uxie.png", 2)</f>
        <v>0</v>
      </c>
    </row>
    <row r="66" spans="2:14">
      <c r="B66" s="37" t="s">
        <v>1349</v>
      </c>
      <c r="I66" s="37" t="s">
        <v>1350</v>
      </c>
    </row>
    <row r="67" spans="2:14" ht="72" customHeight="1">
      <c r="B67" s="38">
        <f>IMAGE("https://raw.githubusercontent.com/stautonico/pokemon-home-pokedex/main/sprites/mesprit.png", 2)</f>
        <v>0</v>
      </c>
      <c r="C67" s="38">
        <f>IMAGE("https://raw.githubusercontent.com/stautonico/pokemon-home-pokedex/main/sprites/azelf.png", 2)</f>
        <v>0</v>
      </c>
      <c r="D67" s="38">
        <f>IMAGE("https://raw.githubusercontent.com/stautonico/pokemon-home-pokedex/main/sprites/dialga.png", 2)</f>
        <v>0</v>
      </c>
      <c r="E67" s="38">
        <f>IMAGE("https://raw.githubusercontent.com/stautonico/pokemon-home-pokedex/main/sprites/palkia.png", 2)</f>
        <v>0</v>
      </c>
      <c r="F67" s="38">
        <f>IMAGE("https://raw.githubusercontent.com/stautonico/pokemon-home-pokedex/main/sprites/heatran.png", 2)</f>
        <v>0</v>
      </c>
      <c r="G67" s="38">
        <f>IMAGE("https://raw.githubusercontent.com/stautonico/pokemon-home-pokedex/main/sprites/regigigas.png", 2)</f>
        <v>0</v>
      </c>
      <c r="I67" s="38">
        <f>IMAGE("https://raw.githubusercontent.com/stautonico/pokemon-home-pokedex/main/sprites/pansage.png", 2)</f>
        <v>0</v>
      </c>
      <c r="J67" s="38">
        <f>IMAGE("https://raw.githubusercontent.com/stautonico/pokemon-home-pokedex/main/sprites/simisage.png", 2)</f>
        <v>0</v>
      </c>
      <c r="K67" s="38">
        <f>IMAGE("https://raw.githubusercontent.com/stautonico/pokemon-home-pokedex/main/sprites/pansear.png", 2)</f>
        <v>0</v>
      </c>
      <c r="L67" s="38">
        <f>IMAGE("https://raw.githubusercontent.com/stautonico/pokemon-home-pokedex/main/sprites/simisear.png", 2)</f>
        <v>0</v>
      </c>
      <c r="M67" s="38">
        <f>IMAGE("https://raw.githubusercontent.com/stautonico/pokemon-home-pokedex/main/sprites/panpour.png", 2)</f>
        <v>0</v>
      </c>
      <c r="N67" s="38">
        <f>IMAGE("https://raw.githubusercontent.com/stautonico/pokemon-home-pokedex/main/sprites/simipour.png", 2)</f>
        <v>0</v>
      </c>
    </row>
    <row r="68" spans="2:14" ht="72" customHeight="1">
      <c r="B68" s="38">
        <f>IMAGE("https://raw.githubusercontent.com/stautonico/pokemon-home-pokedex/main/sprites/giratina.png", 2)</f>
        <v>0</v>
      </c>
      <c r="C68" s="38">
        <f>IMAGE("https://raw.githubusercontent.com/stautonico/pokemon-home-pokedex/main/sprites/cresselia.png", 2)</f>
        <v>0</v>
      </c>
      <c r="D68" s="38">
        <f>IMAGE("https://raw.githubusercontent.com/stautonico/pokemon-home-pokedex/main/sprites/phione.png", 2)</f>
        <v>0</v>
      </c>
      <c r="E68" s="38">
        <f>IMAGE("https://raw.githubusercontent.com/stautonico/pokemon-home-pokedex/main/sprites/manaphy.png", 2)</f>
        <v>0</v>
      </c>
      <c r="F68" s="38">
        <f>IMAGE("https://raw.githubusercontent.com/stautonico/pokemon-home-pokedex/main/sprites/darkrai.png", 2)</f>
        <v>0</v>
      </c>
      <c r="G68" s="38">
        <f>IMAGE("https://raw.githubusercontent.com/stautonico/pokemon-home-pokedex/main/sprites/shaymin.png", 2)</f>
        <v>0</v>
      </c>
      <c r="I68" s="38">
        <f>IMAGE("https://raw.githubusercontent.com/stautonico/pokemon-home-pokedex/main/sprites/munna.png", 2)</f>
        <v>0</v>
      </c>
      <c r="J68" s="38">
        <f>IMAGE("https://raw.githubusercontent.com/stautonico/pokemon-home-pokedex/main/sprites/musharna.png", 2)</f>
        <v>0</v>
      </c>
      <c r="K68" s="38">
        <f>IMAGE("https://raw.githubusercontent.com/stautonico/pokemon-home-pokedex/main/sprites/pidove.png", 2)</f>
        <v>0</v>
      </c>
      <c r="L68" s="38">
        <f>IMAGE("https://raw.githubusercontent.com/stautonico/pokemon-home-pokedex/main/sprites/tranquill.png", 2)</f>
        <v>0</v>
      </c>
      <c r="M68" s="38">
        <f>IMAGE("https://raw.githubusercontent.com/stautonico/pokemon-home-pokedex/main/sprites/unfezant.png", 2)</f>
        <v>0</v>
      </c>
      <c r="N68" s="38">
        <f>IMAGE("https://raw.githubusercontent.com/stautonico/pokemon-home-pokedex/main/sprites/blitzle.png", 2)</f>
        <v>0</v>
      </c>
    </row>
    <row r="69" spans="2:14" ht="72" customHeight="1">
      <c r="B69" s="38">
        <f>IMAGE("https://raw.githubusercontent.com/stautonico/pokemon-home-pokedex/main/sprites/arceus.png", 2)</f>
        <v>0</v>
      </c>
      <c r="C69" s="38">
        <f>IMAGE("https://raw.githubusercontent.com/stautonico/pokemon-home-pokedex/main/sprites/victini.png", 2)</f>
        <v>0</v>
      </c>
      <c r="D69" s="38">
        <f>IMAGE("https://raw.githubusercontent.com/stautonico/pokemon-home-pokedex/main/sprites/snivy.png", 2)</f>
        <v>0</v>
      </c>
      <c r="E69" s="38">
        <f>IMAGE("https://raw.githubusercontent.com/stautonico/pokemon-home-pokedex/main/sprites/servine.png", 2)</f>
        <v>0</v>
      </c>
      <c r="F69" s="38">
        <f>IMAGE("https://raw.githubusercontent.com/stautonico/pokemon-home-pokedex/main/sprites/serperior.png", 2)</f>
        <v>0</v>
      </c>
      <c r="G69" s="38">
        <f>IMAGE("https://raw.githubusercontent.com/stautonico/pokemon-home-pokedex/main/sprites/tepig.png", 2)</f>
        <v>0</v>
      </c>
      <c r="I69" s="38">
        <f>IMAGE("https://raw.githubusercontent.com/stautonico/pokemon-home-pokedex/main/sprites/zebstrika.png", 2)</f>
        <v>0</v>
      </c>
      <c r="J69" s="38">
        <f>IMAGE("https://raw.githubusercontent.com/stautonico/pokemon-home-pokedex/main/sprites/roggenrola.png", 2)</f>
        <v>0</v>
      </c>
      <c r="K69" s="38">
        <f>IMAGE("https://raw.githubusercontent.com/stautonico/pokemon-home-pokedex/main/sprites/boldore.png", 2)</f>
        <v>0</v>
      </c>
      <c r="L69" s="38">
        <f>IMAGE("https://raw.githubusercontent.com/stautonico/pokemon-home-pokedex/main/sprites/gigalith.png", 2)</f>
        <v>0</v>
      </c>
      <c r="M69" s="38">
        <f>IMAGE("https://raw.githubusercontent.com/stautonico/pokemon-home-pokedex/main/sprites/woobat.png", 2)</f>
        <v>0</v>
      </c>
      <c r="N69" s="38">
        <f>IMAGE("https://raw.githubusercontent.com/stautonico/pokemon-home-pokedex/main/sprites/swoobat.png", 2)</f>
        <v>0</v>
      </c>
    </row>
    <row r="70" spans="2:14" ht="72" customHeight="1">
      <c r="B70" s="38">
        <f>IMAGE("https://raw.githubusercontent.com/stautonico/pokemon-home-pokedex/main/sprites/pignite.png", 2)</f>
        <v>0</v>
      </c>
      <c r="C70" s="38">
        <f>IMAGE("https://raw.githubusercontent.com/stautonico/pokemon-home-pokedex/main/sprites/emboar.png", 2)</f>
        <v>0</v>
      </c>
      <c r="D70" s="38">
        <f>IMAGE("https://raw.githubusercontent.com/stautonico/pokemon-home-pokedex/main/sprites/oshawott.png", 2)</f>
        <v>0</v>
      </c>
      <c r="E70" s="38">
        <f>IMAGE("https://raw.githubusercontent.com/stautonico/pokemon-home-pokedex/main/sprites/dewott.png", 2)</f>
        <v>0</v>
      </c>
      <c r="F70" s="38">
        <f>IMAGE("https://raw.githubusercontent.com/stautonico/pokemon-home-pokedex/main/sprites/samurott.png", 2)</f>
        <v>0</v>
      </c>
      <c r="G70" s="38">
        <f>IMAGE("https://raw.githubusercontent.com/stautonico/pokemon-home-pokedex/main/sprites/patrat.png", 2)</f>
        <v>0</v>
      </c>
      <c r="I70" s="38">
        <f>IMAGE("https://raw.githubusercontent.com/stautonico/pokemon-home-pokedex/main/sprites/drilbur.png", 2)</f>
        <v>0</v>
      </c>
      <c r="J70" s="38">
        <f>IMAGE("https://raw.githubusercontent.com/stautonico/pokemon-home-pokedex/main/sprites/excadrill.png", 2)</f>
        <v>0</v>
      </c>
      <c r="K70" s="38">
        <f>IMAGE("https://raw.githubusercontent.com/stautonico/pokemon-home-pokedex/main/sprites/audino.png", 2)</f>
        <v>0</v>
      </c>
      <c r="L70" s="38">
        <f>IMAGE("https://raw.githubusercontent.com/stautonico/pokemon-home-pokedex/main/sprites/timburr.png", 2)</f>
        <v>0</v>
      </c>
      <c r="M70" s="38">
        <f>IMAGE("https://raw.githubusercontent.com/stautonico/pokemon-home-pokedex/main/sprites/gurdurr.png", 2)</f>
        <v>0</v>
      </c>
      <c r="N70" s="38">
        <f>IMAGE("https://raw.githubusercontent.com/stautonico/pokemon-home-pokedex/main/sprites/conkeldurr.png", 2)</f>
        <v>0</v>
      </c>
    </row>
    <row r="71" spans="2:14" ht="72" customHeight="1">
      <c r="B71" s="38">
        <f>IMAGE("https://raw.githubusercontent.com/stautonico/pokemon-home-pokedex/main/sprites/watchog.png", 2)</f>
        <v>0</v>
      </c>
      <c r="C71" s="38">
        <f>IMAGE("https://raw.githubusercontent.com/stautonico/pokemon-home-pokedex/main/sprites/lillipup.png", 2)</f>
        <v>0</v>
      </c>
      <c r="D71" s="38">
        <f>IMAGE("https://raw.githubusercontent.com/stautonico/pokemon-home-pokedex/main/sprites/herdier.png", 2)</f>
        <v>0</v>
      </c>
      <c r="E71" s="38">
        <f>IMAGE("https://raw.githubusercontent.com/stautonico/pokemon-home-pokedex/main/sprites/stoutland.png", 2)</f>
        <v>0</v>
      </c>
      <c r="F71" s="38">
        <f>IMAGE("https://raw.githubusercontent.com/stautonico/pokemon-home-pokedex/main/sprites/purrloin.png", 2)</f>
        <v>0</v>
      </c>
      <c r="G71" s="38">
        <f>IMAGE("https://raw.githubusercontent.com/stautonico/pokemon-home-pokedex/main/sprites/liepard.png", 2)</f>
        <v>0</v>
      </c>
      <c r="I71" s="38">
        <f>IMAGE("https://raw.githubusercontent.com/stautonico/pokemon-home-pokedex/main/sprites/tympole.png", 2)</f>
        <v>0</v>
      </c>
      <c r="J71" s="38">
        <f>IMAGE("https://raw.githubusercontent.com/stautonico/pokemon-home-pokedex/main/sprites/palpitoad.png", 2)</f>
        <v>0</v>
      </c>
      <c r="K71" s="38">
        <f>IMAGE("https://raw.githubusercontent.com/stautonico/pokemon-home-pokedex/main/sprites/seismitoad.png", 2)</f>
        <v>0</v>
      </c>
      <c r="L71" s="38">
        <f>IMAGE("https://raw.githubusercontent.com/stautonico/pokemon-home-pokedex/main/sprites/throh.png", 2)</f>
        <v>0</v>
      </c>
      <c r="M71" s="38">
        <f>IMAGE("https://raw.githubusercontent.com/stautonico/pokemon-home-pokedex/main/sprites/sawk.png", 2)</f>
        <v>0</v>
      </c>
      <c r="N71" s="38">
        <f>IMAGE("https://raw.githubusercontent.com/stautonico/pokemon-home-pokedex/main/sprites/sewaddle.png", 2)</f>
        <v>0</v>
      </c>
    </row>
    <row r="74" spans="2:14">
      <c r="B74" s="37" t="s">
        <v>1351</v>
      </c>
      <c r="I74" s="37" t="s">
        <v>1352</v>
      </c>
    </row>
    <row r="75" spans="2:14" ht="72" customHeight="1">
      <c r="B75" s="38">
        <f>IMAGE("https://raw.githubusercontent.com/stautonico/pokemon-home-pokedex/main/sprites/swadloon.png", 2)</f>
        <v>0</v>
      </c>
      <c r="C75" s="38">
        <f>IMAGE("https://raw.githubusercontent.com/stautonico/pokemon-home-pokedex/main/sprites/leavanny.png", 2)</f>
        <v>0</v>
      </c>
      <c r="D75" s="38">
        <f>IMAGE("https://raw.githubusercontent.com/stautonico/pokemon-home-pokedex/main/sprites/venipede.png", 2)</f>
        <v>0</v>
      </c>
      <c r="E75" s="38">
        <f>IMAGE("https://raw.githubusercontent.com/stautonico/pokemon-home-pokedex/main/sprites/whirlipede.png", 2)</f>
        <v>0</v>
      </c>
      <c r="F75" s="38">
        <f>IMAGE("https://raw.githubusercontent.com/stautonico/pokemon-home-pokedex/main/sprites/scolipede.png", 2)</f>
        <v>0</v>
      </c>
      <c r="G75" s="38">
        <f>IMAGE("https://raw.githubusercontent.com/stautonico/pokemon-home-pokedex/main/sprites/cottonee.png", 2)</f>
        <v>0</v>
      </c>
      <c r="I75" s="38">
        <f>IMAGE("https://raw.githubusercontent.com/stautonico/pokemon-home-pokedex/main/sprites/zoroark.png", 2)</f>
        <v>0</v>
      </c>
      <c r="J75" s="38">
        <f>IMAGE("https://raw.githubusercontent.com/stautonico/pokemon-home-pokedex/main/sprites/minccino.png", 2)</f>
        <v>0</v>
      </c>
      <c r="K75" s="38">
        <f>IMAGE("https://raw.githubusercontent.com/stautonico/pokemon-home-pokedex/main/sprites/cinccino.png", 2)</f>
        <v>0</v>
      </c>
      <c r="L75" s="38">
        <f>IMAGE("https://raw.githubusercontent.com/stautonico/pokemon-home-pokedex/main/sprites/gothita.png", 2)</f>
        <v>0</v>
      </c>
      <c r="M75" s="38">
        <f>IMAGE("https://raw.githubusercontent.com/stautonico/pokemon-home-pokedex/main/sprites/gothorita.png", 2)</f>
        <v>0</v>
      </c>
      <c r="N75" s="38">
        <f>IMAGE("https://raw.githubusercontent.com/stautonico/pokemon-home-pokedex/main/sprites/gothitelle.png", 2)</f>
        <v>0</v>
      </c>
    </row>
    <row r="76" spans="2:14" ht="72" customHeight="1">
      <c r="B76" s="38">
        <f>IMAGE("https://raw.githubusercontent.com/stautonico/pokemon-home-pokedex/main/sprites/whimsicott.png", 2)</f>
        <v>0</v>
      </c>
      <c r="C76" s="38">
        <f>IMAGE("https://raw.githubusercontent.com/stautonico/pokemon-home-pokedex/main/sprites/petilil.png", 2)</f>
        <v>0</v>
      </c>
      <c r="D76" s="38">
        <f>IMAGE("https://raw.githubusercontent.com/stautonico/pokemon-home-pokedex/main/sprites/lilligant.png", 2)</f>
        <v>0</v>
      </c>
      <c r="E76" s="38">
        <f>IMAGE("https://raw.githubusercontent.com/stautonico/pokemon-home-pokedex/main/sprites/basculin.png", 2)</f>
        <v>0</v>
      </c>
      <c r="F76" s="38">
        <f>IMAGE("https://raw.githubusercontent.com/stautonico/pokemon-home-pokedex/main/sprites/sandile.png", 2)</f>
        <v>0</v>
      </c>
      <c r="G76" s="38">
        <f>IMAGE("https://raw.githubusercontent.com/stautonico/pokemon-home-pokedex/main/sprites/krokorok.png", 2)</f>
        <v>0</v>
      </c>
      <c r="I76" s="38">
        <f>IMAGE("https://raw.githubusercontent.com/stautonico/pokemon-home-pokedex/main/sprites/solosis.png", 2)</f>
        <v>0</v>
      </c>
      <c r="J76" s="38">
        <f>IMAGE("https://raw.githubusercontent.com/stautonico/pokemon-home-pokedex/main/sprites/duosion.png", 2)</f>
        <v>0</v>
      </c>
      <c r="K76" s="38">
        <f>IMAGE("https://raw.githubusercontent.com/stautonico/pokemon-home-pokedex/main/sprites/reuniclus.png", 2)</f>
        <v>0</v>
      </c>
      <c r="L76" s="38">
        <f>IMAGE("https://raw.githubusercontent.com/stautonico/pokemon-home-pokedex/main/sprites/ducklett.png", 2)</f>
        <v>0</v>
      </c>
      <c r="M76" s="38">
        <f>IMAGE("https://raw.githubusercontent.com/stautonico/pokemon-home-pokedex/main/sprites/swanna.png", 2)</f>
        <v>0</v>
      </c>
      <c r="N76" s="38">
        <f>IMAGE("https://raw.githubusercontent.com/stautonico/pokemon-home-pokedex/main/sprites/vanillite.png", 2)</f>
        <v>0</v>
      </c>
    </row>
    <row r="77" spans="2:14" ht="72" customHeight="1">
      <c r="B77" s="38">
        <f>IMAGE("https://raw.githubusercontent.com/stautonico/pokemon-home-pokedex/main/sprites/krookodile.png", 2)</f>
        <v>0</v>
      </c>
      <c r="C77" s="38">
        <f>IMAGE("https://raw.githubusercontent.com/stautonico/pokemon-home-pokedex/main/sprites/darumaka.png", 2)</f>
        <v>0</v>
      </c>
      <c r="D77" s="38">
        <f>IMAGE("https://raw.githubusercontent.com/stautonico/pokemon-home-pokedex/main/sprites/darmanitan.png", 2)</f>
        <v>0</v>
      </c>
      <c r="E77" s="38">
        <f>IMAGE("https://raw.githubusercontent.com/stautonico/pokemon-home-pokedex/main/sprites/maractus.png", 2)</f>
        <v>0</v>
      </c>
      <c r="F77" s="38">
        <f>IMAGE("https://raw.githubusercontent.com/stautonico/pokemon-home-pokedex/main/sprites/dwebble.png", 2)</f>
        <v>0</v>
      </c>
      <c r="G77" s="38">
        <f>IMAGE("https://raw.githubusercontent.com/stautonico/pokemon-home-pokedex/main/sprites/crustle.png", 2)</f>
        <v>0</v>
      </c>
      <c r="I77" s="38">
        <f>IMAGE("https://raw.githubusercontent.com/stautonico/pokemon-home-pokedex/main/sprites/vanillish.png", 2)</f>
        <v>0</v>
      </c>
      <c r="J77" s="38">
        <f>IMAGE("https://raw.githubusercontent.com/stautonico/pokemon-home-pokedex/main/sprites/vanilluxe.png", 2)</f>
        <v>0</v>
      </c>
      <c r="K77" s="38">
        <f>IMAGE("https://raw.githubusercontent.com/stautonico/pokemon-home-pokedex/main/sprites/deerling.png", 2)</f>
        <v>0</v>
      </c>
      <c r="L77" s="38">
        <f>IMAGE("https://raw.githubusercontent.com/stautonico/pokemon-home-pokedex/main/sprites/sawsbuck.png", 2)</f>
        <v>0</v>
      </c>
      <c r="M77" s="38">
        <f>IMAGE("https://raw.githubusercontent.com/stautonico/pokemon-home-pokedex/main/sprites/emolga.png", 2)</f>
        <v>0</v>
      </c>
      <c r="N77" s="38">
        <f>IMAGE("https://raw.githubusercontent.com/stautonico/pokemon-home-pokedex/main/sprites/karrablast.png", 2)</f>
        <v>0</v>
      </c>
    </row>
    <row r="78" spans="2:14" ht="72" customHeight="1">
      <c r="B78" s="38">
        <f>IMAGE("https://raw.githubusercontent.com/stautonico/pokemon-home-pokedex/main/sprites/scraggy.png", 2)</f>
        <v>0</v>
      </c>
      <c r="C78" s="38">
        <f>IMAGE("https://raw.githubusercontent.com/stautonico/pokemon-home-pokedex/main/sprites/scrafty.png", 2)</f>
        <v>0</v>
      </c>
      <c r="D78" s="38">
        <f>IMAGE("https://raw.githubusercontent.com/stautonico/pokemon-home-pokedex/main/sprites/sigilyph.png", 2)</f>
        <v>0</v>
      </c>
      <c r="E78" s="38">
        <f>IMAGE("https://raw.githubusercontent.com/stautonico/pokemon-home-pokedex/main/sprites/yamask.png", 2)</f>
        <v>0</v>
      </c>
      <c r="F78" s="38">
        <f>IMAGE("https://raw.githubusercontent.com/stautonico/pokemon-home-pokedex/main/sprites/cofagrigus.png", 2)</f>
        <v>0</v>
      </c>
      <c r="G78" s="38">
        <f>IMAGE("https://raw.githubusercontent.com/stautonico/pokemon-home-pokedex/main/sprites/tirtouga.png", 2)</f>
        <v>0</v>
      </c>
      <c r="I78" s="38">
        <f>IMAGE("https://raw.githubusercontent.com/stautonico/pokemon-home-pokedex/main/sprites/escavalier.png", 2)</f>
        <v>0</v>
      </c>
      <c r="J78" s="38">
        <f>IMAGE("https://raw.githubusercontent.com/stautonico/pokemon-home-pokedex/main/sprites/foongus.png", 2)</f>
        <v>0</v>
      </c>
      <c r="K78" s="38">
        <f>IMAGE("https://raw.githubusercontent.com/stautonico/pokemon-home-pokedex/main/sprites/amoonguss.png", 2)</f>
        <v>0</v>
      </c>
      <c r="L78" s="38">
        <f>IMAGE("https://raw.githubusercontent.com/stautonico/pokemon-home-pokedex/main/sprites/frillish.png", 2)</f>
        <v>0</v>
      </c>
      <c r="M78" s="38">
        <f>IMAGE("https://raw.githubusercontent.com/stautonico/pokemon-home-pokedex/main/sprites/jellicent.png", 2)</f>
        <v>0</v>
      </c>
      <c r="N78" s="38">
        <f>IMAGE("https://raw.githubusercontent.com/stautonico/pokemon-home-pokedex/main/sprites/alomomola.png", 2)</f>
        <v>0</v>
      </c>
    </row>
    <row r="79" spans="2:14" ht="72" customHeight="1">
      <c r="B79" s="38">
        <f>IMAGE("https://raw.githubusercontent.com/stautonico/pokemon-home-pokedex/main/sprites/carracosta.png", 2)</f>
        <v>0</v>
      </c>
      <c r="C79" s="38">
        <f>IMAGE("https://raw.githubusercontent.com/stautonico/pokemon-home-pokedex/main/sprites/archen.png", 2)</f>
        <v>0</v>
      </c>
      <c r="D79" s="38">
        <f>IMAGE("https://raw.githubusercontent.com/stautonico/pokemon-home-pokedex/main/sprites/archeops.png", 2)</f>
        <v>0</v>
      </c>
      <c r="E79" s="38">
        <f>IMAGE("https://raw.githubusercontent.com/stautonico/pokemon-home-pokedex/main/sprites/trubbish.png", 2)</f>
        <v>0</v>
      </c>
      <c r="F79" s="38">
        <f>IMAGE("https://raw.githubusercontent.com/stautonico/pokemon-home-pokedex/main/sprites/garbodor.png", 2)</f>
        <v>0</v>
      </c>
      <c r="G79" s="38">
        <f>IMAGE("https://raw.githubusercontent.com/stautonico/pokemon-home-pokedex/main/sprites/zorua.png", 2)</f>
        <v>0</v>
      </c>
      <c r="I79" s="38">
        <f>IMAGE("https://raw.githubusercontent.com/stautonico/pokemon-home-pokedex/main/sprites/joltik.png", 2)</f>
        <v>0</v>
      </c>
      <c r="J79" s="38">
        <f>IMAGE("https://raw.githubusercontent.com/stautonico/pokemon-home-pokedex/main/sprites/galvantula.png", 2)</f>
        <v>0</v>
      </c>
      <c r="K79" s="38">
        <f>IMAGE("https://raw.githubusercontent.com/stautonico/pokemon-home-pokedex/main/sprites/ferroseed.png", 2)</f>
        <v>0</v>
      </c>
      <c r="L79" s="38">
        <f>IMAGE("https://raw.githubusercontent.com/stautonico/pokemon-home-pokedex/main/sprites/ferrothorn.png", 2)</f>
        <v>0</v>
      </c>
      <c r="M79" s="38">
        <f>IMAGE("https://raw.githubusercontent.com/stautonico/pokemon-home-pokedex/main/sprites/klink.png", 2)</f>
        <v>0</v>
      </c>
      <c r="N79" s="38">
        <f>IMAGE("https://raw.githubusercontent.com/stautonico/pokemon-home-pokedex/main/sprites/klang.png", 2)</f>
        <v>0</v>
      </c>
    </row>
    <row r="82" spans="2:14">
      <c r="B82" s="37" t="s">
        <v>1353</v>
      </c>
      <c r="I82" s="37" t="s">
        <v>1354</v>
      </c>
    </row>
    <row r="83" spans="2:14" ht="72" customHeight="1">
      <c r="B83" s="38">
        <f>IMAGE("https://raw.githubusercontent.com/stautonico/pokemon-home-pokedex/main/sprites/klinklang.png", 2)</f>
        <v>0</v>
      </c>
      <c r="C83" s="38">
        <f>IMAGE("https://raw.githubusercontent.com/stautonico/pokemon-home-pokedex/main/sprites/tynamo.png", 2)</f>
        <v>0</v>
      </c>
      <c r="D83" s="38">
        <f>IMAGE("https://raw.githubusercontent.com/stautonico/pokemon-home-pokedex/main/sprites/eelektrik.png", 2)</f>
        <v>0</v>
      </c>
      <c r="E83" s="38">
        <f>IMAGE("https://raw.githubusercontent.com/stautonico/pokemon-home-pokedex/main/sprites/eelektross.png", 2)</f>
        <v>0</v>
      </c>
      <c r="F83" s="38">
        <f>IMAGE("https://raw.githubusercontent.com/stautonico/pokemon-home-pokedex/main/sprites/elgyem.png", 2)</f>
        <v>0</v>
      </c>
      <c r="G83" s="38">
        <f>IMAGE("https://raw.githubusercontent.com/stautonico/pokemon-home-pokedex/main/sprites/beheeyem.png", 2)</f>
        <v>0</v>
      </c>
      <c r="I83" s="38">
        <f>IMAGE("https://raw.githubusercontent.com/stautonico/pokemon-home-pokedex/main/sprites/heatmor.png", 2)</f>
        <v>0</v>
      </c>
      <c r="J83" s="38">
        <f>IMAGE("https://raw.githubusercontent.com/stautonico/pokemon-home-pokedex/main/sprites/durant.png", 2)</f>
        <v>0</v>
      </c>
      <c r="K83" s="38">
        <f>IMAGE("https://raw.githubusercontent.com/stautonico/pokemon-home-pokedex/main/sprites/deino.png", 2)</f>
        <v>0</v>
      </c>
      <c r="L83" s="38">
        <f>IMAGE("https://raw.githubusercontent.com/stautonico/pokemon-home-pokedex/main/sprites/zweilous.png", 2)</f>
        <v>0</v>
      </c>
      <c r="M83" s="38">
        <f>IMAGE("https://raw.githubusercontent.com/stautonico/pokemon-home-pokedex/main/sprites/hydreigon.png", 2)</f>
        <v>0</v>
      </c>
      <c r="N83" s="38">
        <f>IMAGE("https://raw.githubusercontent.com/stautonico/pokemon-home-pokedex/main/sprites/larvesta.png", 2)</f>
        <v>0</v>
      </c>
    </row>
    <row r="84" spans="2:14" ht="72" customHeight="1">
      <c r="B84" s="38">
        <f>IMAGE("https://raw.githubusercontent.com/stautonico/pokemon-home-pokedex/main/sprites/litwick.png", 2)</f>
        <v>0</v>
      </c>
      <c r="C84" s="38">
        <f>IMAGE("https://raw.githubusercontent.com/stautonico/pokemon-home-pokedex/main/sprites/lampent.png", 2)</f>
        <v>0</v>
      </c>
      <c r="D84" s="38">
        <f>IMAGE("https://raw.githubusercontent.com/stautonico/pokemon-home-pokedex/main/sprites/chandelure.png", 2)</f>
        <v>0</v>
      </c>
      <c r="E84" s="38">
        <f>IMAGE("https://raw.githubusercontent.com/stautonico/pokemon-home-pokedex/main/sprites/axew.png", 2)</f>
        <v>0</v>
      </c>
      <c r="F84" s="38">
        <f>IMAGE("https://raw.githubusercontent.com/stautonico/pokemon-home-pokedex/main/sprites/fraxure.png", 2)</f>
        <v>0</v>
      </c>
      <c r="G84" s="38">
        <f>IMAGE("https://raw.githubusercontent.com/stautonico/pokemon-home-pokedex/main/sprites/haxorus.png", 2)</f>
        <v>0</v>
      </c>
      <c r="I84" s="38">
        <f>IMAGE("https://raw.githubusercontent.com/stautonico/pokemon-home-pokedex/main/sprites/volcarona.png", 2)</f>
        <v>0</v>
      </c>
      <c r="J84" s="38">
        <f>IMAGE("https://raw.githubusercontent.com/stautonico/pokemon-home-pokedex/main/sprites/cobalion.png", 2)</f>
        <v>0</v>
      </c>
      <c r="K84" s="38">
        <f>IMAGE("https://raw.githubusercontent.com/stautonico/pokemon-home-pokedex/main/sprites/terrakion.png", 2)</f>
        <v>0</v>
      </c>
      <c r="L84" s="38">
        <f>IMAGE("https://raw.githubusercontent.com/stautonico/pokemon-home-pokedex/main/sprites/virizion.png", 2)</f>
        <v>0</v>
      </c>
      <c r="M84" s="38">
        <f>IMAGE("https://raw.githubusercontent.com/stautonico/pokemon-home-pokedex/main/sprites/tornadus.png", 2)</f>
        <v>0</v>
      </c>
      <c r="N84" s="38">
        <f>IMAGE("https://raw.githubusercontent.com/stautonico/pokemon-home-pokedex/main/sprites/thundurus.png", 2)</f>
        <v>0</v>
      </c>
    </row>
    <row r="85" spans="2:14" ht="72" customHeight="1">
      <c r="B85" s="38">
        <f>IMAGE("https://raw.githubusercontent.com/stautonico/pokemon-home-pokedex/main/sprites/cubchoo.png", 2)</f>
        <v>0</v>
      </c>
      <c r="C85" s="38">
        <f>IMAGE("https://raw.githubusercontent.com/stautonico/pokemon-home-pokedex/main/sprites/beartic.png", 2)</f>
        <v>0</v>
      </c>
      <c r="D85" s="38">
        <f>IMAGE("https://raw.githubusercontent.com/stautonico/pokemon-home-pokedex/main/sprites/cryogonal.png", 2)</f>
        <v>0</v>
      </c>
      <c r="E85" s="38">
        <f>IMAGE("https://raw.githubusercontent.com/stautonico/pokemon-home-pokedex/main/sprites/shelmet.png", 2)</f>
        <v>0</v>
      </c>
      <c r="F85" s="38">
        <f>IMAGE("https://raw.githubusercontent.com/stautonico/pokemon-home-pokedex/main/sprites/accelgor.png", 2)</f>
        <v>0</v>
      </c>
      <c r="G85" s="38">
        <f>IMAGE("https://raw.githubusercontent.com/stautonico/pokemon-home-pokedex/main/sprites/stunfisk.png", 2)</f>
        <v>0</v>
      </c>
      <c r="I85" s="38">
        <f>IMAGE("https://raw.githubusercontent.com/stautonico/pokemon-home-pokedex/main/sprites/reshiram.png", 2)</f>
        <v>0</v>
      </c>
      <c r="J85" s="38">
        <f>IMAGE("https://raw.githubusercontent.com/stautonico/pokemon-home-pokedex/main/sprites/zekrom.png", 2)</f>
        <v>0</v>
      </c>
      <c r="K85" s="38">
        <f>IMAGE("https://raw.githubusercontent.com/stautonico/pokemon-home-pokedex/main/sprites/landorus.png", 2)</f>
        <v>0</v>
      </c>
      <c r="L85" s="38">
        <f>IMAGE("https://raw.githubusercontent.com/stautonico/pokemon-home-pokedex/main/sprites/kyurem.png", 2)</f>
        <v>0</v>
      </c>
      <c r="M85" s="38">
        <f>IMAGE("https://raw.githubusercontent.com/stautonico/pokemon-home-pokedex/main/sprites/keldeo.png", 2)</f>
        <v>0</v>
      </c>
      <c r="N85" s="38">
        <f>IMAGE("https://raw.githubusercontent.com/stautonico/pokemon-home-pokedex/main/sprites/meloetta.png", 2)</f>
        <v>0</v>
      </c>
    </row>
    <row r="86" spans="2:14" ht="72" customHeight="1">
      <c r="B86" s="38">
        <f>IMAGE("https://raw.githubusercontent.com/stautonico/pokemon-home-pokedex/main/sprites/mienfoo.png", 2)</f>
        <v>0</v>
      </c>
      <c r="C86" s="38">
        <f>IMAGE("https://raw.githubusercontent.com/stautonico/pokemon-home-pokedex/main/sprites/mienshao.png", 2)</f>
        <v>0</v>
      </c>
      <c r="D86" s="38">
        <f>IMAGE("https://raw.githubusercontent.com/stautonico/pokemon-home-pokedex/main/sprites/druddigon.png", 2)</f>
        <v>0</v>
      </c>
      <c r="E86" s="38">
        <f>IMAGE("https://raw.githubusercontent.com/stautonico/pokemon-home-pokedex/main/sprites/golett.png", 2)</f>
        <v>0</v>
      </c>
      <c r="F86" s="38">
        <f>IMAGE("https://raw.githubusercontent.com/stautonico/pokemon-home-pokedex/main/sprites/golurk.png", 2)</f>
        <v>0</v>
      </c>
      <c r="G86" s="38">
        <f>IMAGE("https://raw.githubusercontent.com/stautonico/pokemon-home-pokedex/main/sprites/pawniard.png", 2)</f>
        <v>0</v>
      </c>
      <c r="I86" s="38">
        <f>IMAGE("https://raw.githubusercontent.com/stautonico/pokemon-home-pokedex/main/sprites/genesect.png", 2)</f>
        <v>0</v>
      </c>
      <c r="J86" s="38">
        <f>IMAGE("https://raw.githubusercontent.com/stautonico/pokemon-home-pokedex/main/sprites/chespin.png", 2)</f>
        <v>0</v>
      </c>
      <c r="K86" s="38">
        <f>IMAGE("https://raw.githubusercontent.com/stautonico/pokemon-home-pokedex/main/sprites/quilladin.png", 2)</f>
        <v>0</v>
      </c>
      <c r="L86" s="38">
        <f>IMAGE("https://raw.githubusercontent.com/stautonico/pokemon-home-pokedex/main/sprites/chesnaught.png", 2)</f>
        <v>0</v>
      </c>
      <c r="M86" s="38">
        <f>IMAGE("https://raw.githubusercontent.com/stautonico/pokemon-home-pokedex/main/sprites/fennekin.png", 2)</f>
        <v>0</v>
      </c>
      <c r="N86" s="38">
        <f>IMAGE("https://raw.githubusercontent.com/stautonico/pokemon-home-pokedex/main/sprites/braixen.png", 2)</f>
        <v>0</v>
      </c>
    </row>
    <row r="87" spans="2:14" ht="72" customHeight="1">
      <c r="B87" s="38">
        <f>IMAGE("https://raw.githubusercontent.com/stautonico/pokemon-home-pokedex/main/sprites/bisharp.png", 2)</f>
        <v>0</v>
      </c>
      <c r="C87" s="38">
        <f>IMAGE("https://raw.githubusercontent.com/stautonico/pokemon-home-pokedex/main/sprites/bouffalant.png", 2)</f>
        <v>0</v>
      </c>
      <c r="D87" s="38">
        <f>IMAGE("https://raw.githubusercontent.com/stautonico/pokemon-home-pokedex/main/sprites/rufflet.png", 2)</f>
        <v>0</v>
      </c>
      <c r="E87" s="38">
        <f>IMAGE("https://raw.githubusercontent.com/stautonico/pokemon-home-pokedex/main/sprites/braviary.png", 2)</f>
        <v>0</v>
      </c>
      <c r="F87" s="38">
        <f>IMAGE("https://raw.githubusercontent.com/stautonico/pokemon-home-pokedex/main/sprites/vullaby.png", 2)</f>
        <v>0</v>
      </c>
      <c r="G87" s="38">
        <f>IMAGE("https://raw.githubusercontent.com/stautonico/pokemon-home-pokedex/main/sprites/mandibuzz.png", 2)</f>
        <v>0</v>
      </c>
      <c r="I87" s="38">
        <f>IMAGE("https://raw.githubusercontent.com/stautonico/pokemon-home-pokedex/main/sprites/delphox.png", 2)</f>
        <v>0</v>
      </c>
      <c r="J87" s="38">
        <f>IMAGE("https://raw.githubusercontent.com/stautonico/pokemon-home-pokedex/main/sprites/froakie.png", 2)</f>
        <v>0</v>
      </c>
      <c r="K87" s="38">
        <f>IMAGE("https://raw.githubusercontent.com/stautonico/pokemon-home-pokedex/main/sprites/frogadier.png", 2)</f>
        <v>0</v>
      </c>
      <c r="L87" s="38">
        <f>IMAGE("https://raw.githubusercontent.com/stautonico/pokemon-home-pokedex/main/sprites/greninja.png", 2)</f>
        <v>0</v>
      </c>
      <c r="M87" s="38">
        <f>IMAGE("https://raw.githubusercontent.com/stautonico/pokemon-home-pokedex/main/sprites/bunnelby.png", 2)</f>
        <v>0</v>
      </c>
      <c r="N87" s="38">
        <f>IMAGE("https://raw.githubusercontent.com/stautonico/pokemon-home-pokedex/main/sprites/diggersby.png", 2)</f>
        <v>0</v>
      </c>
    </row>
    <row r="90" spans="2:14">
      <c r="B90" s="37" t="s">
        <v>1355</v>
      </c>
      <c r="I90" s="37" t="s">
        <v>1356</v>
      </c>
    </row>
    <row r="91" spans="2:14" ht="72" customHeight="1">
      <c r="B91" s="38">
        <f>IMAGE("https://raw.githubusercontent.com/stautonico/pokemon-home-pokedex/main/sprites/fletchling.png", 2)</f>
        <v>0</v>
      </c>
      <c r="C91" s="38">
        <f>IMAGE("https://raw.githubusercontent.com/stautonico/pokemon-home-pokedex/main/sprites/fletchinder.png", 2)</f>
        <v>0</v>
      </c>
      <c r="D91" s="38">
        <f>IMAGE("https://raw.githubusercontent.com/stautonico/pokemon-home-pokedex/main/sprites/talonflame.png", 2)</f>
        <v>0</v>
      </c>
      <c r="E91" s="38">
        <f>IMAGE("https://raw.githubusercontent.com/stautonico/pokemon-home-pokedex/main/sprites/scatterbug.png", 2)</f>
        <v>0</v>
      </c>
      <c r="F91" s="38">
        <f>IMAGE("https://raw.githubusercontent.com/stautonico/pokemon-home-pokedex/main/sprites/spewpa.png", 2)</f>
        <v>0</v>
      </c>
      <c r="G91" s="38">
        <f>IMAGE("https://raw.githubusercontent.com/stautonico/pokemon-home-pokedex/main/sprites/vivillon.png", 2)</f>
        <v>0</v>
      </c>
      <c r="I91" s="38">
        <f>IMAGE("https://raw.githubusercontent.com/stautonico/pokemon-home-pokedex/main/sprites/dragalge.png", 2)</f>
        <v>0</v>
      </c>
      <c r="J91" s="38">
        <f>IMAGE("https://raw.githubusercontent.com/stautonico/pokemon-home-pokedex/main/sprites/clauncher.png", 2)</f>
        <v>0</v>
      </c>
      <c r="K91" s="38">
        <f>IMAGE("https://raw.githubusercontent.com/stautonico/pokemon-home-pokedex/main/sprites/clawitzer.png", 2)</f>
        <v>0</v>
      </c>
      <c r="L91" s="38">
        <f>IMAGE("https://raw.githubusercontent.com/stautonico/pokemon-home-pokedex/main/sprites/helioptile.png", 2)</f>
        <v>0</v>
      </c>
      <c r="M91" s="38">
        <f>IMAGE("https://raw.githubusercontent.com/stautonico/pokemon-home-pokedex/main/sprites/heliolisk.png", 2)</f>
        <v>0</v>
      </c>
      <c r="N91" s="38">
        <f>IMAGE("https://raw.githubusercontent.com/stautonico/pokemon-home-pokedex/main/sprites/tyrunt.png", 2)</f>
        <v>0</v>
      </c>
    </row>
    <row r="92" spans="2:14" ht="72" customHeight="1">
      <c r="B92" s="38">
        <f>IMAGE("https://raw.githubusercontent.com/stautonico/pokemon-home-pokedex/main/sprites/litleo.png", 2)</f>
        <v>0</v>
      </c>
      <c r="C92" s="38">
        <f>IMAGE("https://raw.githubusercontent.com/stautonico/pokemon-home-pokedex/main/sprites/pyroar.png", 2)</f>
        <v>0</v>
      </c>
      <c r="D92" s="38">
        <f>IMAGE("https://raw.githubusercontent.com/stautonico/pokemon-home-pokedex/main/sprites/flabebe.png", 2)</f>
        <v>0</v>
      </c>
      <c r="E92" s="38">
        <f>IMAGE("https://raw.githubusercontent.com/stautonico/pokemon-home-pokedex/main/sprites/floette.png", 2)</f>
        <v>0</v>
      </c>
      <c r="F92" s="38">
        <f>IMAGE("https://raw.githubusercontent.com/stautonico/pokemon-home-pokedex/main/sprites/florges.png", 2)</f>
        <v>0</v>
      </c>
      <c r="G92" s="38">
        <f>IMAGE("https://raw.githubusercontent.com/stautonico/pokemon-home-pokedex/main/sprites/skiddo.png", 2)</f>
        <v>0</v>
      </c>
      <c r="I92" s="38">
        <f>IMAGE("https://raw.githubusercontent.com/stautonico/pokemon-home-pokedex/main/sprites/tyrantrum.png", 2)</f>
        <v>0</v>
      </c>
      <c r="J92" s="38">
        <f>IMAGE("https://raw.githubusercontent.com/stautonico/pokemon-home-pokedex/main/sprites/amaura.png", 2)</f>
        <v>0</v>
      </c>
      <c r="K92" s="38">
        <f>IMAGE("https://raw.githubusercontent.com/stautonico/pokemon-home-pokedex/main/sprites/aurorus.png", 2)</f>
        <v>0</v>
      </c>
      <c r="L92" s="38">
        <f>IMAGE("https://raw.githubusercontent.com/stautonico/pokemon-home-pokedex/main/sprites/sylveon.png", 2)</f>
        <v>0</v>
      </c>
      <c r="M92" s="38">
        <f>IMAGE("https://raw.githubusercontent.com/stautonico/pokemon-home-pokedex/main/sprites/hawlucha.png", 2)</f>
        <v>0</v>
      </c>
      <c r="N92" s="38">
        <f>IMAGE("https://raw.githubusercontent.com/stautonico/pokemon-home-pokedex/main/sprites/dedenne.png", 2)</f>
        <v>0</v>
      </c>
    </row>
    <row r="93" spans="2:14" ht="72" customHeight="1">
      <c r="B93" s="38">
        <f>IMAGE("https://raw.githubusercontent.com/stautonico/pokemon-home-pokedex/main/sprites/gogoat.png", 2)</f>
        <v>0</v>
      </c>
      <c r="C93" s="38">
        <f>IMAGE("https://raw.githubusercontent.com/stautonico/pokemon-home-pokedex/main/sprites/pancham.png", 2)</f>
        <v>0</v>
      </c>
      <c r="D93" s="38">
        <f>IMAGE("https://raw.githubusercontent.com/stautonico/pokemon-home-pokedex/main/sprites/pangoro.png", 2)</f>
        <v>0</v>
      </c>
      <c r="E93" s="38">
        <f>IMAGE("https://raw.githubusercontent.com/stautonico/pokemon-home-pokedex/main/sprites/furfrou.png", 2)</f>
        <v>0</v>
      </c>
      <c r="F93" s="38">
        <f>IMAGE("https://raw.githubusercontent.com/stautonico/pokemon-home-pokedex/main/sprites/espurr.png", 2)</f>
        <v>0</v>
      </c>
      <c r="G93" s="38">
        <f>IMAGE("https://raw.githubusercontent.com/stautonico/pokemon-home-pokedex/main/sprites/meowstic.png", 2)</f>
        <v>0</v>
      </c>
      <c r="I93" s="38">
        <f>IMAGE("https://raw.githubusercontent.com/stautonico/pokemon-home-pokedex/main/sprites/carbink.png", 2)</f>
        <v>0</v>
      </c>
      <c r="J93" s="38">
        <f>IMAGE("https://raw.githubusercontent.com/stautonico/pokemon-home-pokedex/main/sprites/goomy.png", 2)</f>
        <v>0</v>
      </c>
      <c r="K93" s="38">
        <f>IMAGE("https://raw.githubusercontent.com/stautonico/pokemon-home-pokedex/main/sprites/sliggoo.png", 2)</f>
        <v>0</v>
      </c>
      <c r="L93" s="38">
        <f>IMAGE("https://raw.githubusercontent.com/stautonico/pokemon-home-pokedex/main/sprites/goodra.png", 2)</f>
        <v>0</v>
      </c>
      <c r="M93" s="38">
        <f>IMAGE("https://raw.githubusercontent.com/stautonico/pokemon-home-pokedex/main/sprites/klefki.png", 2)</f>
        <v>0</v>
      </c>
      <c r="N93" s="38">
        <f>IMAGE("https://raw.githubusercontent.com/stautonico/pokemon-home-pokedex/main/sprites/phantump.png", 2)</f>
        <v>0</v>
      </c>
    </row>
    <row r="94" spans="2:14" ht="72" customHeight="1">
      <c r="B94" s="38">
        <f>IMAGE("https://raw.githubusercontent.com/stautonico/pokemon-home-pokedex/main/sprites/honedge.png", 2)</f>
        <v>0</v>
      </c>
      <c r="C94" s="38">
        <f>IMAGE("https://raw.githubusercontent.com/stautonico/pokemon-home-pokedex/main/sprites/doublade.png", 2)</f>
        <v>0</v>
      </c>
      <c r="D94" s="38">
        <f>IMAGE("https://raw.githubusercontent.com/stautonico/pokemon-home-pokedex/main/sprites/aegislash.png", 2)</f>
        <v>0</v>
      </c>
      <c r="E94" s="38">
        <f>IMAGE("https://raw.githubusercontent.com/stautonico/pokemon-home-pokedex/main/sprites/spritzee.png", 2)</f>
        <v>0</v>
      </c>
      <c r="F94" s="38">
        <f>IMAGE("https://raw.githubusercontent.com/stautonico/pokemon-home-pokedex/main/sprites/aromatisse.png", 2)</f>
        <v>0</v>
      </c>
      <c r="G94" s="38">
        <f>IMAGE("https://raw.githubusercontent.com/stautonico/pokemon-home-pokedex/main/sprites/swirlix.png", 2)</f>
        <v>0</v>
      </c>
      <c r="I94" s="38">
        <f>IMAGE("https://raw.githubusercontent.com/stautonico/pokemon-home-pokedex/main/sprites/trevenant.png", 2)</f>
        <v>0</v>
      </c>
      <c r="J94" s="38">
        <f>IMAGE("https://raw.githubusercontent.com/stautonico/pokemon-home-pokedex/main/sprites/pumpkaboo.png", 2)</f>
        <v>0</v>
      </c>
      <c r="K94" s="38">
        <f>IMAGE("https://raw.githubusercontent.com/stautonico/pokemon-home-pokedex/main/sprites/gourgeist.png", 2)</f>
        <v>0</v>
      </c>
      <c r="L94" s="38">
        <f>IMAGE("https://raw.githubusercontent.com/stautonico/pokemon-home-pokedex/main/sprites/bergmite.png", 2)</f>
        <v>0</v>
      </c>
      <c r="M94" s="38">
        <f>IMAGE("https://raw.githubusercontent.com/stautonico/pokemon-home-pokedex/main/sprites/avalugg.png", 2)</f>
        <v>0</v>
      </c>
      <c r="N94" s="38">
        <f>IMAGE("https://raw.githubusercontent.com/stautonico/pokemon-home-pokedex/main/sprites/noibat.png", 2)</f>
        <v>0</v>
      </c>
    </row>
    <row r="95" spans="2:14" ht="72" customHeight="1">
      <c r="B95" s="38">
        <f>IMAGE("https://raw.githubusercontent.com/stautonico/pokemon-home-pokedex/main/sprites/slurpuff.png", 2)</f>
        <v>0</v>
      </c>
      <c r="C95" s="38">
        <f>IMAGE("https://raw.githubusercontent.com/stautonico/pokemon-home-pokedex/main/sprites/inkay.png", 2)</f>
        <v>0</v>
      </c>
      <c r="D95" s="38">
        <f>IMAGE("https://raw.githubusercontent.com/stautonico/pokemon-home-pokedex/main/sprites/malamar.png", 2)</f>
        <v>0</v>
      </c>
      <c r="E95" s="38">
        <f>IMAGE("https://raw.githubusercontent.com/stautonico/pokemon-home-pokedex/main/sprites/binacle.png", 2)</f>
        <v>0</v>
      </c>
      <c r="F95" s="38">
        <f>IMAGE("https://raw.githubusercontent.com/stautonico/pokemon-home-pokedex/main/sprites/barbaracle.png", 2)</f>
        <v>0</v>
      </c>
      <c r="G95" s="38">
        <f>IMAGE("https://raw.githubusercontent.com/stautonico/pokemon-home-pokedex/main/sprites/skrelp.png", 2)</f>
        <v>0</v>
      </c>
      <c r="I95" s="38">
        <f>IMAGE("https://raw.githubusercontent.com/stautonico/pokemon-home-pokedex/main/sprites/noivern.png", 2)</f>
        <v>0</v>
      </c>
      <c r="J95" s="38">
        <f>IMAGE("https://raw.githubusercontent.com/stautonico/pokemon-home-pokedex/main/sprites/xerneas.png", 2)</f>
        <v>0</v>
      </c>
      <c r="K95" s="38">
        <f>IMAGE("https://raw.githubusercontent.com/stautonico/pokemon-home-pokedex/main/sprites/yveltal.png", 2)</f>
        <v>0</v>
      </c>
      <c r="L95" s="38">
        <f>IMAGE("https://raw.githubusercontent.com/stautonico/pokemon-home-pokedex/main/sprites/zygarde.png", 2)</f>
        <v>0</v>
      </c>
      <c r="M95" s="38">
        <f>IMAGE("https://raw.githubusercontent.com/stautonico/pokemon-home-pokedex/main/sprites/diancie.png", 2)</f>
        <v>0</v>
      </c>
      <c r="N95" s="38">
        <f>IMAGE("https://raw.githubusercontent.com/stautonico/pokemon-home-pokedex/main/sprites/hoopa.png", 2)</f>
        <v>0</v>
      </c>
    </row>
    <row r="98" spans="2:14">
      <c r="B98" s="37" t="s">
        <v>1357</v>
      </c>
      <c r="I98" s="37" t="s">
        <v>1358</v>
      </c>
    </row>
    <row r="99" spans="2:14" ht="72" customHeight="1">
      <c r="B99" s="38">
        <f>IMAGE("https://raw.githubusercontent.com/stautonico/pokemon-home-pokedex/main/sprites/volcanion.png", 2)</f>
        <v>0</v>
      </c>
      <c r="C99" s="38">
        <f>IMAGE("https://raw.githubusercontent.com/stautonico/pokemon-home-pokedex/main/sprites/rowlet.png", 2)</f>
        <v>0</v>
      </c>
      <c r="D99" s="38">
        <f>IMAGE("https://raw.githubusercontent.com/stautonico/pokemon-home-pokedex/main/sprites/dartrix.png", 2)</f>
        <v>0</v>
      </c>
      <c r="E99" s="38">
        <f>IMAGE("https://raw.githubusercontent.com/stautonico/pokemon-home-pokedex/main/sprites/decidueye.png", 2)</f>
        <v>0</v>
      </c>
      <c r="F99" s="38">
        <f>IMAGE("https://raw.githubusercontent.com/stautonico/pokemon-home-pokedex/main/sprites/litten.png", 2)</f>
        <v>0</v>
      </c>
      <c r="G99" s="38">
        <f>IMAGE("https://raw.githubusercontent.com/stautonico/pokemon-home-pokedex/main/sprites/torracat.png", 2)</f>
        <v>0</v>
      </c>
      <c r="I99" s="38">
        <f>IMAGE("https://raw.githubusercontent.com/stautonico/pokemon-home-pokedex/main/sprites/dewpider.png", 2)</f>
        <v>0</v>
      </c>
      <c r="J99" s="38">
        <f>IMAGE("https://raw.githubusercontent.com/stautonico/pokemon-home-pokedex/main/sprites/araquanid.png", 2)</f>
        <v>0</v>
      </c>
      <c r="K99" s="38">
        <f>IMAGE("https://raw.githubusercontent.com/stautonico/pokemon-home-pokedex/main/sprites/fomantis.png", 2)</f>
        <v>0</v>
      </c>
      <c r="L99" s="38">
        <f>IMAGE("https://raw.githubusercontent.com/stautonico/pokemon-home-pokedex/main/sprites/lurantis.png", 2)</f>
        <v>0</v>
      </c>
      <c r="M99" s="38">
        <f>IMAGE("https://raw.githubusercontent.com/stautonico/pokemon-home-pokedex/main/sprites/morelull.png", 2)</f>
        <v>0</v>
      </c>
      <c r="N99" s="38">
        <f>IMAGE("https://raw.githubusercontent.com/stautonico/pokemon-home-pokedex/main/sprites/shiinotic.png", 2)</f>
        <v>0</v>
      </c>
    </row>
    <row r="100" spans="2:14" ht="72" customHeight="1">
      <c r="B100" s="38">
        <f>IMAGE("https://raw.githubusercontent.com/stautonico/pokemon-home-pokedex/main/sprites/incineroar.png", 2)</f>
        <v>0</v>
      </c>
      <c r="C100" s="38">
        <f>IMAGE("https://raw.githubusercontent.com/stautonico/pokemon-home-pokedex/main/sprites/popplio.png", 2)</f>
        <v>0</v>
      </c>
      <c r="D100" s="38">
        <f>IMAGE("https://raw.githubusercontent.com/stautonico/pokemon-home-pokedex/main/sprites/brionne.png", 2)</f>
        <v>0</v>
      </c>
      <c r="E100" s="38">
        <f>IMAGE("https://raw.githubusercontent.com/stautonico/pokemon-home-pokedex/main/sprites/primarina.png", 2)</f>
        <v>0</v>
      </c>
      <c r="F100" s="38">
        <f>IMAGE("https://raw.githubusercontent.com/stautonico/pokemon-home-pokedex/main/sprites/pikipek.png", 2)</f>
        <v>0</v>
      </c>
      <c r="G100" s="38">
        <f>IMAGE("https://raw.githubusercontent.com/stautonico/pokemon-home-pokedex/main/sprites/trumbeak.png", 2)</f>
        <v>0</v>
      </c>
      <c r="I100" s="38">
        <f>IMAGE("https://raw.githubusercontent.com/stautonico/pokemon-home-pokedex/main/sprites/salandit.png", 2)</f>
        <v>0</v>
      </c>
      <c r="J100" s="38">
        <f>IMAGE("https://raw.githubusercontent.com/stautonico/pokemon-home-pokedex/main/sprites/salazzle.png", 2)</f>
        <v>0</v>
      </c>
      <c r="K100" s="38">
        <f>IMAGE("https://raw.githubusercontent.com/stautonico/pokemon-home-pokedex/main/sprites/stufful.png", 2)</f>
        <v>0</v>
      </c>
      <c r="L100" s="38">
        <f>IMAGE("https://raw.githubusercontent.com/stautonico/pokemon-home-pokedex/main/sprites/bewear.png", 2)</f>
        <v>0</v>
      </c>
      <c r="M100" s="38">
        <f>IMAGE("https://raw.githubusercontent.com/stautonico/pokemon-home-pokedex/main/sprites/bounsweet.png", 2)</f>
        <v>0</v>
      </c>
      <c r="N100" s="38">
        <f>IMAGE("https://raw.githubusercontent.com/stautonico/pokemon-home-pokedex/main/sprites/steenee.png", 2)</f>
        <v>0</v>
      </c>
    </row>
    <row r="101" spans="2:14" ht="72" customHeight="1">
      <c r="B101" s="38">
        <f>IMAGE("https://raw.githubusercontent.com/stautonico/pokemon-home-pokedex/main/sprites/toucannon.png", 2)</f>
        <v>0</v>
      </c>
      <c r="C101" s="38">
        <f>IMAGE("https://raw.githubusercontent.com/stautonico/pokemon-home-pokedex/main/sprites/yungoos.png", 2)</f>
        <v>0</v>
      </c>
      <c r="D101" s="38">
        <f>IMAGE("https://raw.githubusercontent.com/stautonico/pokemon-home-pokedex/main/sprites/gumshoos.png", 2)</f>
        <v>0</v>
      </c>
      <c r="E101" s="38">
        <f>IMAGE("https://raw.githubusercontent.com/stautonico/pokemon-home-pokedex/main/sprites/grubbin.png", 2)</f>
        <v>0</v>
      </c>
      <c r="F101" s="38">
        <f>IMAGE("https://raw.githubusercontent.com/stautonico/pokemon-home-pokedex/main/sprites/charjabug.png", 2)</f>
        <v>0</v>
      </c>
      <c r="G101" s="38">
        <f>IMAGE("https://raw.githubusercontent.com/stautonico/pokemon-home-pokedex/main/sprites/vikavolt.png", 2)</f>
        <v>0</v>
      </c>
      <c r="I101" s="38">
        <f>IMAGE("https://raw.githubusercontent.com/stautonico/pokemon-home-pokedex/main/sprites/tsareena.png", 2)</f>
        <v>0</v>
      </c>
      <c r="J101" s="38">
        <f>IMAGE("https://raw.githubusercontent.com/stautonico/pokemon-home-pokedex/main/sprites/comfey.png", 2)</f>
        <v>0</v>
      </c>
      <c r="K101" s="38">
        <f>IMAGE("https://raw.githubusercontent.com/stautonico/pokemon-home-pokedex/main/sprites/oranguru.png", 2)</f>
        <v>0</v>
      </c>
      <c r="L101" s="38">
        <f>IMAGE("https://raw.githubusercontent.com/stautonico/pokemon-home-pokedex/main/sprites/passimian.png", 2)</f>
        <v>0</v>
      </c>
      <c r="M101" s="38">
        <f>IMAGE("https://raw.githubusercontent.com/stautonico/pokemon-home-pokedex/main/sprites/wimpod.png", 2)</f>
        <v>0</v>
      </c>
      <c r="N101" s="38">
        <f>IMAGE("https://raw.githubusercontent.com/stautonico/pokemon-home-pokedex/main/sprites/golisopod.png", 2)</f>
        <v>0</v>
      </c>
    </row>
    <row r="102" spans="2:14" ht="72" customHeight="1">
      <c r="B102" s="38">
        <f>IMAGE("https://raw.githubusercontent.com/stautonico/pokemon-home-pokedex/main/sprites/crabrawler.png", 2)</f>
        <v>0</v>
      </c>
      <c r="C102" s="38">
        <f>IMAGE("https://raw.githubusercontent.com/stautonico/pokemon-home-pokedex/main/sprites/crabominable.png", 2)</f>
        <v>0</v>
      </c>
      <c r="D102" s="38">
        <f>IMAGE("https://raw.githubusercontent.com/stautonico/pokemon-home-pokedex/main/sprites/oricorio.png", 2)</f>
        <v>0</v>
      </c>
      <c r="E102" s="38">
        <f>IMAGE("https://raw.githubusercontent.com/stautonico/pokemon-home-pokedex/main/sprites/cutiefly.png", 2)</f>
        <v>0</v>
      </c>
      <c r="F102" s="38">
        <f>IMAGE("https://raw.githubusercontent.com/stautonico/pokemon-home-pokedex/main/sprites/ribombee.png", 2)</f>
        <v>0</v>
      </c>
      <c r="G102" s="38">
        <f>IMAGE("https://raw.githubusercontent.com/stautonico/pokemon-home-pokedex/main/sprites/rockruff.png", 2)</f>
        <v>0</v>
      </c>
      <c r="I102" s="38">
        <f>IMAGE("https://raw.githubusercontent.com/stautonico/pokemon-home-pokedex/main/sprites/sandygast.png", 2)</f>
        <v>0</v>
      </c>
      <c r="J102" s="38">
        <f>IMAGE("https://raw.githubusercontent.com/stautonico/pokemon-home-pokedex/main/sprites/palossand.png", 2)</f>
        <v>0</v>
      </c>
      <c r="K102" s="38">
        <f>IMAGE("https://raw.githubusercontent.com/stautonico/pokemon-home-pokedex/main/sprites/pyukumuku.png", 2)</f>
        <v>0</v>
      </c>
      <c r="L102" s="38">
        <f>IMAGE("https://raw.githubusercontent.com/stautonico/pokemon-home-pokedex/main/sprites/typenull.png", 2)</f>
        <v>0</v>
      </c>
      <c r="M102" s="38">
        <f>IMAGE("https://raw.githubusercontent.com/stautonico/pokemon-home-pokedex/main/sprites/silvally.png", 2)</f>
        <v>0</v>
      </c>
      <c r="N102" s="38">
        <f>IMAGE("https://raw.githubusercontent.com/stautonico/pokemon-home-pokedex/main/sprites/minior-red.png", 2)</f>
        <v>0</v>
      </c>
    </row>
    <row r="103" spans="2:14" ht="72" customHeight="1">
      <c r="B103" s="38">
        <f>IMAGE("https://raw.githubusercontent.com/stautonico/pokemon-home-pokedex/main/sprites/lycanroc.png", 2)</f>
        <v>0</v>
      </c>
      <c r="C103" s="38">
        <f>IMAGE("https://raw.githubusercontent.com/stautonico/pokemon-home-pokedex/main/sprites/wishiwashi.png", 2)</f>
        <v>0</v>
      </c>
      <c r="D103" s="38">
        <f>IMAGE("https://raw.githubusercontent.com/stautonico/pokemon-home-pokedex/main/sprites/mareanie.png", 2)</f>
        <v>0</v>
      </c>
      <c r="E103" s="38">
        <f>IMAGE("https://raw.githubusercontent.com/stautonico/pokemon-home-pokedex/main/sprites/toxapex.png", 2)</f>
        <v>0</v>
      </c>
      <c r="F103" s="38">
        <f>IMAGE("https://raw.githubusercontent.com/stautonico/pokemon-home-pokedex/main/sprites/mudbray.png", 2)</f>
        <v>0</v>
      </c>
      <c r="G103" s="38">
        <f>IMAGE("https://raw.githubusercontent.com/stautonico/pokemon-home-pokedex/main/sprites/mudsdale.png", 2)</f>
        <v>0</v>
      </c>
      <c r="I103" s="38">
        <f>IMAGE("https://raw.githubusercontent.com/stautonico/pokemon-home-pokedex/main/sprites/komala.png", 2)</f>
        <v>0</v>
      </c>
      <c r="J103" s="38">
        <f>IMAGE("https://raw.githubusercontent.com/stautonico/pokemon-home-pokedex/main/sprites/turtonator.png", 2)</f>
        <v>0</v>
      </c>
      <c r="K103" s="38">
        <f>IMAGE("https://raw.githubusercontent.com/stautonico/pokemon-home-pokedex/main/sprites/togedemaru.png", 2)</f>
        <v>0</v>
      </c>
      <c r="L103" s="38">
        <f>IMAGE("https://raw.githubusercontent.com/stautonico/pokemon-home-pokedex/main/sprites/mimikyu.png", 2)</f>
        <v>0</v>
      </c>
      <c r="M103" s="38">
        <f>IMAGE("https://raw.githubusercontent.com/stautonico/pokemon-home-pokedex/main/sprites/bruxish.png", 2)</f>
        <v>0</v>
      </c>
      <c r="N103" s="38">
        <f>IMAGE("https://raw.githubusercontent.com/stautonico/pokemon-home-pokedex/main/sprites/drampa.png", 2)</f>
        <v>0</v>
      </c>
    </row>
    <row r="106" spans="2:14">
      <c r="B106" s="37" t="s">
        <v>1359</v>
      </c>
      <c r="I106" s="37" t="s">
        <v>1360</v>
      </c>
    </row>
    <row r="107" spans="2:14" ht="72" customHeight="1">
      <c r="B107" s="38">
        <f>IMAGE("https://raw.githubusercontent.com/stautonico/pokemon-home-pokedex/main/sprites/dhelmise.png", 2)</f>
        <v>0</v>
      </c>
      <c r="C107" s="38">
        <f>IMAGE("https://raw.githubusercontent.com/stautonico/pokemon-home-pokedex/main/sprites/jangmo-o.png", 2)</f>
        <v>0</v>
      </c>
      <c r="D107" s="38">
        <f>IMAGE("https://raw.githubusercontent.com/stautonico/pokemon-home-pokedex/main/sprites/hakamo-o.png", 2)</f>
        <v>0</v>
      </c>
      <c r="E107" s="38">
        <f>IMAGE("https://raw.githubusercontent.com/stautonico/pokemon-home-pokedex/main/sprites/kommo-o.png", 2)</f>
        <v>0</v>
      </c>
      <c r="F107" s="38">
        <f>IMAGE("https://raw.githubusercontent.com/stautonico/pokemon-home-pokedex/main/sprites/tapu-koko.png", 2)</f>
        <v>0</v>
      </c>
      <c r="G107" s="38">
        <f>IMAGE("https://raw.githubusercontent.com/stautonico/pokemon-home-pokedex/main/sprites/tapu-lele.png", 2)</f>
        <v>0</v>
      </c>
      <c r="I107" s="38">
        <f>IMAGE("https://raw.githubusercontent.com/stautonico/pokemon-home-pokedex/main/sprites/thwackey.png", 2)</f>
        <v>0</v>
      </c>
      <c r="J107" s="38">
        <f>IMAGE("https://raw.githubusercontent.com/stautonico/pokemon-home-pokedex/main/sprites/rillaboom.png", 2)</f>
        <v>0</v>
      </c>
      <c r="K107" s="38">
        <f>IMAGE("https://raw.githubusercontent.com/stautonico/pokemon-home-pokedex/main/sprites/scorbunny.png", 2)</f>
        <v>0</v>
      </c>
      <c r="L107" s="38">
        <f>IMAGE("https://raw.githubusercontent.com/stautonico/pokemon-home-pokedex/main/sprites/raboot.png", 2)</f>
        <v>0</v>
      </c>
      <c r="M107" s="38">
        <f>IMAGE("https://raw.githubusercontent.com/stautonico/pokemon-home-pokedex/main/sprites/cinderace.png", 2)</f>
        <v>0</v>
      </c>
      <c r="N107" s="38">
        <f>IMAGE("https://raw.githubusercontent.com/stautonico/pokemon-home-pokedex/main/sprites/sobble.png", 2)</f>
        <v>0</v>
      </c>
    </row>
    <row r="108" spans="2:14" ht="72" customHeight="1">
      <c r="B108" s="38">
        <f>IMAGE("https://raw.githubusercontent.com/stautonico/pokemon-home-pokedex/main/sprites/tapu-bulu.png", 2)</f>
        <v>0</v>
      </c>
      <c r="C108" s="38">
        <f>IMAGE("https://raw.githubusercontent.com/stautonico/pokemon-home-pokedex/main/sprites/tapu-fini.png", 2)</f>
        <v>0</v>
      </c>
      <c r="D108" s="38">
        <f>IMAGE("https://raw.githubusercontent.com/stautonico/pokemon-home-pokedex/main/sprites/cosmog.png", 2)</f>
        <v>0</v>
      </c>
      <c r="E108" s="38">
        <f>IMAGE("https://raw.githubusercontent.com/stautonico/pokemon-home-pokedex/main/sprites/cosmoem.png", 2)</f>
        <v>0</v>
      </c>
      <c r="F108" s="38">
        <f>IMAGE("https://raw.githubusercontent.com/stautonico/pokemon-home-pokedex/main/sprites/solgaleo.png", 2)</f>
        <v>0</v>
      </c>
      <c r="G108" s="38">
        <f>IMAGE("https://raw.githubusercontent.com/stautonico/pokemon-home-pokedex/main/sprites/lunala.png", 2)</f>
        <v>0</v>
      </c>
      <c r="I108" s="38">
        <f>IMAGE("https://raw.githubusercontent.com/stautonico/pokemon-home-pokedex/main/sprites/drizzile.png", 2)</f>
        <v>0</v>
      </c>
      <c r="J108" s="38">
        <f>IMAGE("https://raw.githubusercontent.com/stautonico/pokemon-home-pokedex/main/sprites/inteleon.png", 2)</f>
        <v>0</v>
      </c>
      <c r="K108" s="38">
        <f>IMAGE("https://raw.githubusercontent.com/stautonico/pokemon-home-pokedex/main/sprites/skwovet.png", 2)</f>
        <v>0</v>
      </c>
      <c r="L108" s="38">
        <f>IMAGE("https://raw.githubusercontent.com/stautonico/pokemon-home-pokedex/main/sprites/greedent.png", 2)</f>
        <v>0</v>
      </c>
      <c r="M108" s="38">
        <f>IMAGE("https://raw.githubusercontent.com/stautonico/pokemon-home-pokedex/main/sprites/rookidee.png", 2)</f>
        <v>0</v>
      </c>
      <c r="N108" s="38">
        <f>IMAGE("https://raw.githubusercontent.com/stautonico/pokemon-home-pokedex/main/sprites/corvisquire.png", 2)</f>
        <v>0</v>
      </c>
    </row>
    <row r="109" spans="2:14" ht="72" customHeight="1">
      <c r="B109" s="38">
        <f>IMAGE("https://raw.githubusercontent.com/stautonico/pokemon-home-pokedex/main/sprites/nihilego.png", 2)</f>
        <v>0</v>
      </c>
      <c r="C109" s="38">
        <f>IMAGE("https://raw.githubusercontent.com/stautonico/pokemon-home-pokedex/main/sprites/buzzwole.png", 2)</f>
        <v>0</v>
      </c>
      <c r="D109" s="38">
        <f>IMAGE("https://raw.githubusercontent.com/stautonico/pokemon-home-pokedex/main/sprites/pheromosa.png", 2)</f>
        <v>0</v>
      </c>
      <c r="E109" s="38">
        <f>IMAGE("https://raw.githubusercontent.com/stautonico/pokemon-home-pokedex/main/sprites/xurkitree.png", 2)</f>
        <v>0</v>
      </c>
      <c r="F109" s="38">
        <f>IMAGE("https://raw.githubusercontent.com/stautonico/pokemon-home-pokedex/main/sprites/celesteela.png", 2)</f>
        <v>0</v>
      </c>
      <c r="G109" s="38">
        <f>IMAGE("https://raw.githubusercontent.com/stautonico/pokemon-home-pokedex/main/sprites/kartana.png", 2)</f>
        <v>0</v>
      </c>
      <c r="I109" s="38">
        <f>IMAGE("https://raw.githubusercontent.com/stautonico/pokemon-home-pokedex/main/sprites/corviknight.png", 2)</f>
        <v>0</v>
      </c>
      <c r="J109" s="38">
        <f>IMAGE("https://raw.githubusercontent.com/stautonico/pokemon-home-pokedex/main/sprites/blipbug.png", 2)</f>
        <v>0</v>
      </c>
      <c r="K109" s="38">
        <f>IMAGE("https://raw.githubusercontent.com/stautonico/pokemon-home-pokedex/main/sprites/dottler.png", 2)</f>
        <v>0</v>
      </c>
      <c r="L109" s="38">
        <f>IMAGE("https://raw.githubusercontent.com/stautonico/pokemon-home-pokedex/main/sprites/orbeetle.png", 2)</f>
        <v>0</v>
      </c>
      <c r="M109" s="38">
        <f>IMAGE("https://raw.githubusercontent.com/stautonico/pokemon-home-pokedex/main/sprites/nickit.png", 2)</f>
        <v>0</v>
      </c>
      <c r="N109" s="38">
        <f>IMAGE("https://raw.githubusercontent.com/stautonico/pokemon-home-pokedex/main/sprites/thievul.png", 2)</f>
        <v>0</v>
      </c>
    </row>
    <row r="110" spans="2:14" ht="72" customHeight="1">
      <c r="B110" s="38">
        <f>IMAGE("https://raw.githubusercontent.com/stautonico/pokemon-home-pokedex/main/sprites/guzzlord.png", 2)</f>
        <v>0</v>
      </c>
      <c r="C110" s="38">
        <f>IMAGE("https://raw.githubusercontent.com/stautonico/pokemon-home-pokedex/main/sprites/necrozma.png", 2)</f>
        <v>0</v>
      </c>
      <c r="D110" s="38">
        <f>IMAGE("https://raw.githubusercontent.com/stautonico/pokemon-home-pokedex/main/sprites/magearna.png", 2)</f>
        <v>0</v>
      </c>
      <c r="E110" s="38">
        <f>IMAGE("https://raw.githubusercontent.com/stautonico/pokemon-home-pokedex/main/sprites/marshadow.png", 2)</f>
        <v>0</v>
      </c>
      <c r="F110" s="38">
        <f>IMAGE("https://raw.githubusercontent.com/stautonico/pokemon-home-pokedex/main/sprites/poipole.png", 2)</f>
        <v>0</v>
      </c>
      <c r="G110" s="38">
        <f>IMAGE("https://raw.githubusercontent.com/stautonico/pokemon-home-pokedex/main/sprites/naganadel.png", 2)</f>
        <v>0</v>
      </c>
      <c r="I110" s="38">
        <f>IMAGE("https://raw.githubusercontent.com/stautonico/pokemon-home-pokedex/main/sprites/gossifleur.png", 2)</f>
        <v>0</v>
      </c>
      <c r="J110" s="38">
        <f>IMAGE("https://raw.githubusercontent.com/stautonico/pokemon-home-pokedex/main/sprites/eldegoss.png", 2)</f>
        <v>0</v>
      </c>
      <c r="K110" s="38">
        <f>IMAGE("https://raw.githubusercontent.com/stautonico/pokemon-home-pokedex/main/sprites/wooloo.png", 2)</f>
        <v>0</v>
      </c>
      <c r="L110" s="38">
        <f>IMAGE("https://raw.githubusercontent.com/stautonico/pokemon-home-pokedex/main/sprites/dubwool.png", 2)</f>
        <v>0</v>
      </c>
      <c r="M110" s="38">
        <f>IMAGE("https://raw.githubusercontent.com/stautonico/pokemon-home-pokedex/main/sprites/chewtle.png", 2)</f>
        <v>0</v>
      </c>
      <c r="N110" s="38">
        <f>IMAGE("https://raw.githubusercontent.com/stautonico/pokemon-home-pokedex/main/sprites/drednaw.png", 2)</f>
        <v>0</v>
      </c>
    </row>
    <row r="111" spans="2:14" ht="72" customHeight="1">
      <c r="B111" s="38">
        <f>IMAGE("https://raw.githubusercontent.com/stautonico/pokemon-home-pokedex/main/sprites/stakataka.png", 2)</f>
        <v>0</v>
      </c>
      <c r="C111" s="38">
        <f>IMAGE("https://raw.githubusercontent.com/stautonico/pokemon-home-pokedex/main/sprites/blacephalon.png", 2)</f>
        <v>0</v>
      </c>
      <c r="D111" s="38">
        <f>IMAGE("https://raw.githubusercontent.com/stautonico/pokemon-home-pokedex/main/sprites/zeraora.png", 2)</f>
        <v>0</v>
      </c>
      <c r="E111" s="38">
        <f>IMAGE("https://raw.githubusercontent.com/stautonico/pokemon-home-pokedex/main/sprites/meltan.png", 2)</f>
        <v>0</v>
      </c>
      <c r="F111" s="38">
        <f>IMAGE("https://raw.githubusercontent.com/stautonico/pokemon-home-pokedex/main/sprites/melmetal.png", 2)</f>
        <v>0</v>
      </c>
      <c r="G111" s="38">
        <f>IMAGE("https://raw.githubusercontent.com/stautonico/pokemon-home-pokedex/main/sprites/grookey.png", 2)</f>
        <v>0</v>
      </c>
      <c r="I111" s="38">
        <f>IMAGE("https://raw.githubusercontent.com/stautonico/pokemon-home-pokedex/main/sprites/yamper.png", 2)</f>
        <v>0</v>
      </c>
      <c r="J111" s="38">
        <f>IMAGE("https://raw.githubusercontent.com/stautonico/pokemon-home-pokedex/main/sprites/boltund.png", 2)</f>
        <v>0</v>
      </c>
      <c r="K111" s="38">
        <f>IMAGE("https://raw.githubusercontent.com/stautonico/pokemon-home-pokedex/main/sprites/rolycoly.png", 2)</f>
        <v>0</v>
      </c>
      <c r="L111" s="38">
        <f>IMAGE("https://raw.githubusercontent.com/stautonico/pokemon-home-pokedex/main/sprites/carkol.png", 2)</f>
        <v>0</v>
      </c>
      <c r="M111" s="38">
        <f>IMAGE("https://raw.githubusercontent.com/stautonico/pokemon-home-pokedex/main/sprites/coalossal.png", 2)</f>
        <v>0</v>
      </c>
      <c r="N111" s="38">
        <f>IMAGE("https://raw.githubusercontent.com/stautonico/pokemon-home-pokedex/main/sprites/applin.png", 2)</f>
        <v>0</v>
      </c>
    </row>
    <row r="114" spans="2:14">
      <c r="B114" s="37" t="s">
        <v>1361</v>
      </c>
      <c r="I114" s="37" t="s">
        <v>1362</v>
      </c>
    </row>
    <row r="115" spans="2:14" ht="72" customHeight="1">
      <c r="B115" s="38">
        <f>IMAGE("https://raw.githubusercontent.com/stautonico/pokemon-home-pokedex/main/sprites/flapple.png", 2)</f>
        <v>0</v>
      </c>
      <c r="C115" s="38">
        <f>IMAGE("https://raw.githubusercontent.com/stautonico/pokemon-home-pokedex/main/sprites/appletun.png", 2)</f>
        <v>0</v>
      </c>
      <c r="D115" s="38">
        <f>IMAGE("https://raw.githubusercontent.com/stautonico/pokemon-home-pokedex/main/sprites/silicobra.png", 2)</f>
        <v>0</v>
      </c>
      <c r="E115" s="38">
        <f>IMAGE("https://raw.githubusercontent.com/stautonico/pokemon-home-pokedex/main/sprites/sandaconda.png", 2)</f>
        <v>0</v>
      </c>
      <c r="F115" s="38">
        <f>IMAGE("https://raw.githubusercontent.com/stautonico/pokemon-home-pokedex/main/sprites/cramorant.png", 2)</f>
        <v>0</v>
      </c>
      <c r="G115" s="38">
        <f>IMAGE("https://raw.githubusercontent.com/stautonico/pokemon-home-pokedex/main/sprites/arrokuda.png", 2)</f>
        <v>0</v>
      </c>
      <c r="I115" s="38">
        <f>IMAGE("https://raw.githubusercontent.com/stautonico/pokemon-home-pokedex/main/sprites/pincurchin.png", 2)</f>
        <v>0</v>
      </c>
      <c r="J115" s="38">
        <f>IMAGE("https://raw.githubusercontent.com/stautonico/pokemon-home-pokedex/main/sprites/snom.png", 2)</f>
        <v>0</v>
      </c>
      <c r="K115" s="38">
        <f>IMAGE("https://raw.githubusercontent.com/stautonico/pokemon-home-pokedex/main/sprites/frosmoth.png", 2)</f>
        <v>0</v>
      </c>
      <c r="L115" s="38">
        <f>IMAGE("https://raw.githubusercontent.com/stautonico/pokemon-home-pokedex/main/sprites/stonjourner.png", 2)</f>
        <v>0</v>
      </c>
      <c r="M115" s="38">
        <f>IMAGE("https://raw.githubusercontent.com/stautonico/pokemon-home-pokedex/main/sprites/eiscue.png", 2)</f>
        <v>0</v>
      </c>
      <c r="N115" s="38">
        <f>IMAGE("https://raw.githubusercontent.com/stautonico/pokemon-home-pokedex/main/sprites/indeedee.png", 2)</f>
        <v>0</v>
      </c>
    </row>
    <row r="116" spans="2:14" ht="72" customHeight="1">
      <c r="B116" s="38">
        <f>IMAGE("https://raw.githubusercontent.com/stautonico/pokemon-home-pokedex/main/sprites/barraskewda.png", 2)</f>
        <v>0</v>
      </c>
      <c r="C116" s="38">
        <f>IMAGE("https://raw.githubusercontent.com/stautonico/pokemon-home-pokedex/main/sprites/toxel.png", 2)</f>
        <v>0</v>
      </c>
      <c r="D116" s="38">
        <f>IMAGE("https://raw.githubusercontent.com/stautonico/pokemon-home-pokedex/main/sprites/toxtricity.png", 2)</f>
        <v>0</v>
      </c>
      <c r="E116" s="38">
        <f>IMAGE("https://raw.githubusercontent.com/stautonico/pokemon-home-pokedex/main/sprites/sizzlipede.png", 2)</f>
        <v>0</v>
      </c>
      <c r="F116" s="38">
        <f>IMAGE("https://raw.githubusercontent.com/stautonico/pokemon-home-pokedex/main/sprites/centiskorch.png", 2)</f>
        <v>0</v>
      </c>
      <c r="G116" s="38">
        <f>IMAGE("https://raw.githubusercontent.com/stautonico/pokemon-home-pokedex/main/sprites/clobbopus.png", 2)</f>
        <v>0</v>
      </c>
      <c r="I116" s="38">
        <f>IMAGE("https://raw.githubusercontent.com/stautonico/pokemon-home-pokedex/main/sprites/morpeko.png", 2)</f>
        <v>0</v>
      </c>
      <c r="J116" s="38">
        <f>IMAGE("https://raw.githubusercontent.com/stautonico/pokemon-home-pokedex/main/sprites/cufant.png", 2)</f>
        <v>0</v>
      </c>
      <c r="K116" s="38">
        <f>IMAGE("https://raw.githubusercontent.com/stautonico/pokemon-home-pokedex/main/sprites/copperajah.png", 2)</f>
        <v>0</v>
      </c>
      <c r="L116" s="38">
        <f>IMAGE("https://raw.githubusercontent.com/stautonico/pokemon-home-pokedex/main/sprites/dracozolt.png", 2)</f>
        <v>0</v>
      </c>
      <c r="M116" s="38">
        <f>IMAGE("https://raw.githubusercontent.com/stautonico/pokemon-home-pokedex/main/sprites/arctozolt.png", 2)</f>
        <v>0</v>
      </c>
      <c r="N116" s="38">
        <f>IMAGE("https://raw.githubusercontent.com/stautonico/pokemon-home-pokedex/main/sprites/dracovish.png", 2)</f>
        <v>0</v>
      </c>
    </row>
    <row r="117" spans="2:14" ht="72" customHeight="1">
      <c r="B117" s="38">
        <f>IMAGE("https://raw.githubusercontent.com/stautonico/pokemon-home-pokedex/main/sprites/grapploct.png", 2)</f>
        <v>0</v>
      </c>
      <c r="C117" s="38">
        <f>IMAGE("https://raw.githubusercontent.com/stautonico/pokemon-home-pokedex/main/sprites/sinistea.png", 2)</f>
        <v>0</v>
      </c>
      <c r="D117" s="38">
        <f>IMAGE("https://raw.githubusercontent.com/stautonico/pokemon-home-pokedex/main/sprites/polteageist.png", 2)</f>
        <v>0</v>
      </c>
      <c r="E117" s="38">
        <f>IMAGE("https://raw.githubusercontent.com/stautonico/pokemon-home-pokedex/main/sprites/hatenna.png", 2)</f>
        <v>0</v>
      </c>
      <c r="F117" s="38">
        <f>IMAGE("https://raw.githubusercontent.com/stautonico/pokemon-home-pokedex/main/sprites/hattrem.png", 2)</f>
        <v>0</v>
      </c>
      <c r="G117" s="38">
        <f>IMAGE("https://raw.githubusercontent.com/stautonico/pokemon-home-pokedex/main/sprites/hatterene.png", 2)</f>
        <v>0</v>
      </c>
      <c r="I117" s="38">
        <f>IMAGE("https://raw.githubusercontent.com/stautonico/pokemon-home-pokedex/main/sprites/arctovish.png", 2)</f>
        <v>0</v>
      </c>
      <c r="J117" s="38">
        <f>IMAGE("https://raw.githubusercontent.com/stautonico/pokemon-home-pokedex/main/sprites/duraludon.png", 2)</f>
        <v>0</v>
      </c>
      <c r="K117" s="38">
        <f>IMAGE("https://raw.githubusercontent.com/stautonico/pokemon-home-pokedex/main/sprites/dreepy.png", 2)</f>
        <v>0</v>
      </c>
      <c r="L117" s="38">
        <f>IMAGE("https://raw.githubusercontent.com/stautonico/pokemon-home-pokedex/main/sprites/drakloak.png", 2)</f>
        <v>0</v>
      </c>
      <c r="M117" s="38">
        <f>IMAGE("https://raw.githubusercontent.com/stautonico/pokemon-home-pokedex/main/sprites/dragapult.png", 2)</f>
        <v>0</v>
      </c>
      <c r="N117" s="38">
        <f>IMAGE("https://raw.githubusercontent.com/stautonico/pokemon-home-pokedex/main/sprites/zacian.png", 2)</f>
        <v>0</v>
      </c>
    </row>
    <row r="118" spans="2:14" ht="72" customHeight="1">
      <c r="B118" s="38">
        <f>IMAGE("https://raw.githubusercontent.com/stautonico/pokemon-home-pokedex/main/sprites/impidimp.png", 2)</f>
        <v>0</v>
      </c>
      <c r="C118" s="38">
        <f>IMAGE("https://raw.githubusercontent.com/stautonico/pokemon-home-pokedex/main/sprites/morgrem.png", 2)</f>
        <v>0</v>
      </c>
      <c r="D118" s="38">
        <f>IMAGE("https://raw.githubusercontent.com/stautonico/pokemon-home-pokedex/main/sprites/grimmsnarl.png", 2)</f>
        <v>0</v>
      </c>
      <c r="E118" s="38">
        <f>IMAGE("https://raw.githubusercontent.com/stautonico/pokemon-home-pokedex/main/sprites/obstagoon.png", 2)</f>
        <v>0</v>
      </c>
      <c r="F118" s="38">
        <f>IMAGE("https://raw.githubusercontent.com/stautonico/pokemon-home-pokedex/main/sprites/perrserker.png", 2)</f>
        <v>0</v>
      </c>
      <c r="G118" s="38">
        <f>IMAGE("https://raw.githubusercontent.com/stautonico/pokemon-home-pokedex/main/sprites/cursola.png", 2)</f>
        <v>0</v>
      </c>
      <c r="I118" s="38">
        <f>IMAGE("https://raw.githubusercontent.com/stautonico/pokemon-home-pokedex/main/sprites/zamazenta.png", 2)</f>
        <v>0</v>
      </c>
      <c r="J118" s="38">
        <f>IMAGE("https://raw.githubusercontent.com/stautonico/pokemon-home-pokedex/main/sprites/eternatus.png", 2)</f>
        <v>0</v>
      </c>
      <c r="K118" s="38">
        <f>IMAGE("https://raw.githubusercontent.com/stautonico/pokemon-home-pokedex/main/sprites/kubfu.png", 2)</f>
        <v>0</v>
      </c>
      <c r="L118" s="38">
        <f>IMAGE("https://raw.githubusercontent.com/stautonico/pokemon-home-pokedex/main/sprites/urshifu.png", 2)</f>
        <v>0</v>
      </c>
      <c r="M118" s="38">
        <f>IMAGE("https://raw.githubusercontent.com/stautonico/pokemon-home-pokedex/main/sprites/zarude.png", 2)</f>
        <v>0</v>
      </c>
      <c r="N118" s="38">
        <f>IMAGE("https://raw.githubusercontent.com/stautonico/pokemon-home-pokedex/main/sprites/regieleki.png", 2)</f>
        <v>0</v>
      </c>
    </row>
    <row r="119" spans="2:14" ht="72" customHeight="1">
      <c r="B119" s="38">
        <f>IMAGE("https://raw.githubusercontent.com/stautonico/pokemon-home-pokedex/main/sprites/sirfetchd.png", 2)</f>
        <v>0</v>
      </c>
      <c r="C119" s="38">
        <f>IMAGE("https://raw.githubusercontent.com/stautonico/pokemon-home-pokedex/main/sprites/mrrime.png", 2)</f>
        <v>0</v>
      </c>
      <c r="D119" s="38">
        <f>IMAGE("https://raw.githubusercontent.com/stautonico/pokemon-home-pokedex/main/sprites/runerigus.png", 2)</f>
        <v>0</v>
      </c>
      <c r="E119" s="38">
        <f>IMAGE("https://raw.githubusercontent.com/stautonico/pokemon-home-pokedex/main/sprites/milcery.png", 2)</f>
        <v>0</v>
      </c>
      <c r="F119" s="38">
        <f>IMAGE("https://raw.githubusercontent.com/stautonico/pokemon-home-pokedex/main/sprites/alcremie.png", 2)</f>
        <v>0</v>
      </c>
      <c r="G119" s="38">
        <f>IMAGE("https://raw.githubusercontent.com/stautonico/pokemon-home-pokedex/main/sprites/falinks.png", 2)</f>
        <v>0</v>
      </c>
      <c r="I119" s="38">
        <f>IMAGE("https://raw.githubusercontent.com/stautonico/pokemon-home-pokedex/main/sprites/regidrago.png", 2)</f>
        <v>0</v>
      </c>
      <c r="J119" s="38">
        <f>IMAGE("https://raw.githubusercontent.com/stautonico/pokemon-home-pokedex/main/sprites/glastrier.png", 2)</f>
        <v>0</v>
      </c>
      <c r="K119" s="38">
        <f>IMAGE("https://raw.githubusercontent.com/stautonico/pokemon-home-pokedex/main/sprites/spectrier.png", 2)</f>
        <v>0</v>
      </c>
      <c r="L119" s="38">
        <f>IMAGE("https://raw.githubusercontent.com/stautonico/pokemon-home-pokedex/main/sprites/calyrex.png", 2)</f>
        <v>0</v>
      </c>
      <c r="M119" s="38">
        <f>IMAGE("https://raw.githubusercontent.com/stautonico/pokemon-home-pokedex/main/sprites/wyrdeer.png", 2)</f>
        <v>0</v>
      </c>
      <c r="N119" s="38">
        <f>IMAGE("https://raw.githubusercontent.com/stautonico/pokemon-home-pokedex/main/sprites/kleavor.png", 2)</f>
        <v>0</v>
      </c>
    </row>
    <row r="122" spans="2:14">
      <c r="B122" s="37" t="s">
        <v>1363</v>
      </c>
      <c r="I122" s="37" t="s">
        <v>1364</v>
      </c>
    </row>
    <row r="123" spans="2:14" ht="72" customHeight="1">
      <c r="B123" s="38">
        <f>IMAGE("https://raw.githubusercontent.com/stautonico/pokemon-home-pokedex/main/sprites/ursaluna.png", 2)</f>
        <v>0</v>
      </c>
      <c r="C123" s="38">
        <f>IMAGE("https://raw.githubusercontent.com/stautonico/pokemon-home-pokedex/main/sprites/basculegion.png", 2)</f>
        <v>0</v>
      </c>
      <c r="D123" s="38">
        <f>IMAGE("https://raw.githubusercontent.com/stautonico/pokemon-home-pokedex/main/sprites/sneasler.png", 2)</f>
        <v>0</v>
      </c>
      <c r="E123" s="38">
        <f>IMAGE("https://raw.githubusercontent.com/stautonico/pokemon-home-pokedex/main/sprites/overqwil.png", 2)</f>
        <v>0</v>
      </c>
      <c r="F123" s="38">
        <f>IMAGE("https://raw.githubusercontent.com/stautonico/pokemon-home-pokedex/main/sprites/enamorus.png", 2)</f>
        <v>0</v>
      </c>
      <c r="G123" s="38"/>
      <c r="I123" s="38">
        <f>IMAGE("https://raw.githubusercontent.com/stautonico/pokemon-home-pokedex/main/sprites/venusaur-f.png", 2)</f>
        <v>0</v>
      </c>
      <c r="J123" s="38">
        <f>IMAGE("https://raw.githubusercontent.com/stautonico/pokemon-home-pokedex/main/sprites/butterfree-f.png", 2)</f>
        <v>0</v>
      </c>
      <c r="K123" s="38">
        <f>IMAGE("https://raw.githubusercontent.com/stautonico/pokemon-home-pokedex/main/sprites/rattata-f.png", 2)</f>
        <v>0</v>
      </c>
      <c r="L123" s="38">
        <f>IMAGE("https://raw.githubusercontent.com/stautonico/pokemon-home-pokedex/main/sprites/raticate-f.png", 2)</f>
        <v>0</v>
      </c>
      <c r="M123" s="38">
        <f>IMAGE("https://raw.githubusercontent.com/stautonico/pokemon-home-pokedex/main/sprites/pikachu-f.png", 2)</f>
        <v>0</v>
      </c>
      <c r="N123" s="38">
        <f>IMAGE("https://raw.githubusercontent.com/stautonico/pokemon-home-pokedex/main/sprites/raichu-f.png", 2)</f>
        <v>0</v>
      </c>
    </row>
    <row r="124" spans="2:14" ht="72" customHeight="1">
      <c r="B124" s="38"/>
      <c r="C124" s="38"/>
      <c r="D124" s="38"/>
      <c r="E124" s="38"/>
      <c r="F124" s="38"/>
      <c r="G124" s="38"/>
      <c r="I124" s="38">
        <f>IMAGE("https://raw.githubusercontent.com/stautonico/pokemon-home-pokedex/main/sprites/zubat-f.png", 2)</f>
        <v>0</v>
      </c>
      <c r="J124" s="38">
        <f>IMAGE("https://raw.githubusercontent.com/stautonico/pokemon-home-pokedex/main/sprites/golbat-f.png", 2)</f>
        <v>0</v>
      </c>
      <c r="K124" s="38">
        <f>IMAGE("https://raw.githubusercontent.com/stautonico/pokemon-home-pokedex/main/sprites/gloom-f.png", 2)</f>
        <v>0</v>
      </c>
      <c r="L124" s="38">
        <f>IMAGE("https://raw.githubusercontent.com/stautonico/pokemon-home-pokedex/main/sprites/vileplume-f.png", 2)</f>
        <v>0</v>
      </c>
      <c r="M124" s="38">
        <f>IMAGE("https://raw.githubusercontent.com/stautonico/pokemon-home-pokedex/main/sprites/kadabra-f.png", 2)</f>
        <v>0</v>
      </c>
      <c r="N124" s="38">
        <f>IMAGE("https://raw.githubusercontent.com/stautonico/pokemon-home-pokedex/main/sprites/alakazam-f.png", 2)</f>
        <v>0</v>
      </c>
    </row>
    <row r="125" spans="2:14" ht="72" customHeight="1">
      <c r="B125" s="38"/>
      <c r="C125" s="38"/>
      <c r="D125" s="38"/>
      <c r="E125" s="38"/>
      <c r="F125" s="38"/>
      <c r="G125" s="38"/>
      <c r="I125" s="38">
        <f>IMAGE("https://raw.githubusercontent.com/stautonico/pokemon-home-pokedex/main/sprites/doduo-f.png", 2)</f>
        <v>0</v>
      </c>
      <c r="J125" s="38">
        <f>IMAGE("https://raw.githubusercontent.com/stautonico/pokemon-home-pokedex/main/sprites/dodrio-f.png", 2)</f>
        <v>0</v>
      </c>
      <c r="K125" s="38">
        <f>IMAGE("https://raw.githubusercontent.com/stautonico/pokemon-home-pokedex/main/sprites/hypno-f.png", 2)</f>
        <v>0</v>
      </c>
      <c r="L125" s="38">
        <f>IMAGE("https://raw.githubusercontent.com/stautonico/pokemon-home-pokedex/main/sprites/rhyhorn-f.png", 2)</f>
        <v>0</v>
      </c>
      <c r="M125" s="38">
        <f>IMAGE("https://raw.githubusercontent.com/stautonico/pokemon-home-pokedex/main/sprites/rhydon-f.png", 2)</f>
        <v>0</v>
      </c>
      <c r="N125" s="38">
        <f>IMAGE("https://raw.githubusercontent.com/stautonico/pokemon-home-pokedex/main/sprites/goldeen-f.png", 2)</f>
        <v>0</v>
      </c>
    </row>
    <row r="126" spans="2:14" ht="72" customHeight="1">
      <c r="B126" s="38"/>
      <c r="C126" s="38"/>
      <c r="D126" s="38"/>
      <c r="E126" s="38"/>
      <c r="F126" s="38"/>
      <c r="G126" s="38"/>
      <c r="I126" s="38">
        <f>IMAGE("https://raw.githubusercontent.com/stautonico/pokemon-home-pokedex/main/sprites/seaking-f.png", 2)</f>
        <v>0</v>
      </c>
      <c r="J126" s="38">
        <f>IMAGE("https://raw.githubusercontent.com/stautonico/pokemon-home-pokedex/main/sprites/scyther-f.png", 2)</f>
        <v>0</v>
      </c>
      <c r="K126" s="38">
        <f>IMAGE("https://raw.githubusercontent.com/stautonico/pokemon-home-pokedex/main/sprites/magikarp-f.png", 2)</f>
        <v>0</v>
      </c>
      <c r="L126" s="38">
        <f>IMAGE("https://raw.githubusercontent.com/stautonico/pokemon-home-pokedex/main/sprites/gyarados-f.png", 2)</f>
        <v>0</v>
      </c>
      <c r="M126" s="38">
        <f>IMAGE("https://raw.githubusercontent.com/stautonico/pokemon-home-pokedex/main/sprites/eevee-f.png", 2)</f>
        <v>0</v>
      </c>
      <c r="N126" s="38">
        <f>IMAGE("https://raw.githubusercontent.com/stautonico/pokemon-home-pokedex/main/sprites/meganium-f.png", 2)</f>
        <v>0</v>
      </c>
    </row>
    <row r="127" spans="2:14" ht="72" customHeight="1">
      <c r="B127" s="38"/>
      <c r="C127" s="38"/>
      <c r="D127" s="38"/>
      <c r="E127" s="38"/>
      <c r="F127" s="38"/>
      <c r="G127" s="38"/>
      <c r="I127" s="38">
        <f>IMAGE("https://raw.githubusercontent.com/stautonico/pokemon-home-pokedex/main/sprites/ledyba-f.png", 2)</f>
        <v>0</v>
      </c>
      <c r="J127" s="38">
        <f>IMAGE("https://raw.githubusercontent.com/stautonico/pokemon-home-pokedex/main/sprites/ledian-f.png", 2)</f>
        <v>0</v>
      </c>
      <c r="K127" s="38">
        <f>IMAGE("https://raw.githubusercontent.com/stautonico/pokemon-home-pokedex/main/sprites/xatu-f.png", 2)</f>
        <v>0</v>
      </c>
      <c r="L127" s="38">
        <f>IMAGE("https://raw.githubusercontent.com/stautonico/pokemon-home-pokedex/main/sprites/sudowoodo-f.png", 2)</f>
        <v>0</v>
      </c>
      <c r="M127" s="38">
        <f>IMAGE("https://raw.githubusercontent.com/stautonico/pokemon-home-pokedex/main/sprites/politoed-f.png", 2)</f>
        <v>0</v>
      </c>
      <c r="N127" s="38">
        <f>IMAGE("https://raw.githubusercontent.com/stautonico/pokemon-home-pokedex/main/sprites/aipom-f.png", 2)</f>
        <v>0</v>
      </c>
    </row>
    <row r="130" spans="2:14">
      <c r="B130" s="37" t="s">
        <v>1365</v>
      </c>
      <c r="I130" s="37" t="s">
        <v>1366</v>
      </c>
    </row>
    <row r="131" spans="2:14" ht="72" customHeight="1">
      <c r="B131" s="38">
        <f>IMAGE("https://raw.githubusercontent.com/stautonico/pokemon-home-pokedex/main/sprites/wooper-f.png", 2)</f>
        <v>0</v>
      </c>
      <c r="C131" s="38">
        <f>IMAGE("https://raw.githubusercontent.com/stautonico/pokemon-home-pokedex/main/sprites/quagsire-f.png", 2)</f>
        <v>0</v>
      </c>
      <c r="D131" s="38">
        <f>IMAGE("https://raw.githubusercontent.com/stautonico/pokemon-home-pokedex/main/sprites/murkrow-f.png", 2)</f>
        <v>0</v>
      </c>
      <c r="E131" s="38">
        <f>IMAGE("https://raw.githubusercontent.com/stautonico/pokemon-home-pokedex/main/sprites/wobbuffet-f.png", 2)</f>
        <v>0</v>
      </c>
      <c r="F131" s="38">
        <f>IMAGE("https://raw.githubusercontent.com/stautonico/pokemon-home-pokedex/main/sprites/girafarig-f.png", 2)</f>
        <v>0</v>
      </c>
      <c r="G131" s="38">
        <f>IMAGE("https://raw.githubusercontent.com/stautonico/pokemon-home-pokedex/main/sprites/gligar-f.png", 2)</f>
        <v>0</v>
      </c>
      <c r="I131" s="38">
        <f>IMAGE("https://raw.githubusercontent.com/stautonico/pokemon-home-pokedex/main/sprites/camerupt-f.png", 2)</f>
        <v>0</v>
      </c>
      <c r="J131" s="38">
        <f>IMAGE("https://raw.githubusercontent.com/stautonico/pokemon-home-pokedex/main/sprites/cacturne-f.png", 2)</f>
        <v>0</v>
      </c>
      <c r="K131" s="38">
        <f>IMAGE("https://raw.githubusercontent.com/stautonico/pokemon-home-pokedex/main/sprites/milotic-f.png", 2)</f>
        <v>0</v>
      </c>
      <c r="L131" s="38">
        <f>IMAGE("https://raw.githubusercontent.com/stautonico/pokemon-home-pokedex/main/sprites/relicanth-f.png", 2)</f>
        <v>0</v>
      </c>
      <c r="M131" s="38">
        <f>IMAGE("https://raw.githubusercontent.com/stautonico/pokemon-home-pokedex/main/sprites/starly-f.png", 2)</f>
        <v>0</v>
      </c>
      <c r="N131" s="38">
        <f>IMAGE("https://raw.githubusercontent.com/stautonico/pokemon-home-pokedex/main/sprites/staravia-f.png", 2)</f>
        <v>0</v>
      </c>
    </row>
    <row r="132" spans="2:14" ht="72" customHeight="1">
      <c r="B132" s="38">
        <f>IMAGE("https://raw.githubusercontent.com/stautonico/pokemon-home-pokedex/main/sprites/steelix-f.png", 2)</f>
        <v>0</v>
      </c>
      <c r="C132" s="38">
        <f>IMAGE("https://raw.githubusercontent.com/stautonico/pokemon-home-pokedex/main/sprites/scizor-f.png", 2)</f>
        <v>0</v>
      </c>
      <c r="D132" s="38">
        <f>IMAGE("https://raw.githubusercontent.com/stautonico/pokemon-home-pokedex/main/sprites/heracross-f.png", 2)</f>
        <v>0</v>
      </c>
      <c r="E132" s="38">
        <f>IMAGE("https://raw.githubusercontent.com/stautonico/pokemon-home-pokedex/main/sprites/sneasel-f.png", 2)</f>
        <v>0</v>
      </c>
      <c r="F132" s="38" t="s">
        <v>978</v>
      </c>
      <c r="G132" s="38">
        <f>IMAGE("https://raw.githubusercontent.com/stautonico/pokemon-home-pokedex/main/sprites/ursaring-f.png", 2)</f>
        <v>0</v>
      </c>
      <c r="I132" s="38">
        <f>IMAGE("https://raw.githubusercontent.com/stautonico/pokemon-home-pokedex/main/sprites/staraptor-f.png", 2)</f>
        <v>0</v>
      </c>
      <c r="J132" s="38">
        <f>IMAGE("https://raw.githubusercontent.com/stautonico/pokemon-home-pokedex/main/sprites/bidoof-f.png", 2)</f>
        <v>0</v>
      </c>
      <c r="K132" s="38">
        <f>IMAGE("https://raw.githubusercontent.com/stautonico/pokemon-home-pokedex/main/sprites/bibarel-f.png", 2)</f>
        <v>0</v>
      </c>
      <c r="L132" s="38">
        <f>IMAGE("https://raw.githubusercontent.com/stautonico/pokemon-home-pokedex/main/sprites/kricketot-f.png", 2)</f>
        <v>0</v>
      </c>
      <c r="M132" s="38">
        <f>IMAGE("https://raw.githubusercontent.com/stautonico/pokemon-home-pokedex/main/sprites/kricketune-f.png", 2)</f>
        <v>0</v>
      </c>
      <c r="N132" s="38">
        <f>IMAGE("https://raw.githubusercontent.com/stautonico/pokemon-home-pokedex/main/sprites/shinx-f.png", 2)</f>
        <v>0</v>
      </c>
    </row>
    <row r="133" spans="2:14" ht="72" customHeight="1">
      <c r="B133" s="38">
        <f>IMAGE("https://raw.githubusercontent.com/stautonico/pokemon-home-pokedex/main/sprites/piloswine-f.png", 2)</f>
        <v>0</v>
      </c>
      <c r="C133" s="38">
        <f>IMAGE("https://raw.githubusercontent.com/stautonico/pokemon-home-pokedex/main/sprites/octillery-f.png", 2)</f>
        <v>0</v>
      </c>
      <c r="D133" s="38">
        <f>IMAGE("https://raw.githubusercontent.com/stautonico/pokemon-home-pokedex/main/sprites/houndoom-f.png", 2)</f>
        <v>0</v>
      </c>
      <c r="E133" s="38">
        <f>IMAGE("https://raw.githubusercontent.com/stautonico/pokemon-home-pokedex/main/sprites/donphan-f.png", 2)</f>
        <v>0</v>
      </c>
      <c r="F133" s="38">
        <f>IMAGE("https://raw.githubusercontent.com/stautonico/pokemon-home-pokedex/main/sprites/torchic-f.png", 2)</f>
        <v>0</v>
      </c>
      <c r="G133" s="38">
        <f>IMAGE("https://raw.githubusercontent.com/stautonico/pokemon-home-pokedex/main/sprites/combusken-f.png", 2)</f>
        <v>0</v>
      </c>
      <c r="I133" s="38">
        <f>IMAGE("https://raw.githubusercontent.com/stautonico/pokemon-home-pokedex/main/sprites/luxio-f.png", 2)</f>
        <v>0</v>
      </c>
      <c r="J133" s="38">
        <f>IMAGE("https://raw.githubusercontent.com/stautonico/pokemon-home-pokedex/main/sprites/luxray-f.png", 2)</f>
        <v>0</v>
      </c>
      <c r="K133" s="38">
        <f>IMAGE("https://raw.githubusercontent.com/stautonico/pokemon-home-pokedex/main/sprites/roserade-f.png", 2)</f>
        <v>0</v>
      </c>
      <c r="L133" s="38">
        <f>IMAGE("https://raw.githubusercontent.com/stautonico/pokemon-home-pokedex/main/sprites/combee-f.png", 2)</f>
        <v>0</v>
      </c>
      <c r="M133" s="38">
        <f>IMAGE("https://raw.githubusercontent.com/stautonico/pokemon-home-pokedex/main/sprites/pachirisu-f.png", 2)</f>
        <v>0</v>
      </c>
      <c r="N133" s="38">
        <f>IMAGE("https://raw.githubusercontent.com/stautonico/pokemon-home-pokedex/main/sprites/buizel-f.png", 2)</f>
        <v>0</v>
      </c>
    </row>
    <row r="134" spans="2:14" ht="72" customHeight="1">
      <c r="B134" s="38">
        <f>IMAGE("https://raw.githubusercontent.com/stautonico/pokemon-home-pokedex/main/sprites/blaziken-f.png", 2)</f>
        <v>0</v>
      </c>
      <c r="C134" s="38">
        <f>IMAGE("https://raw.githubusercontent.com/stautonico/pokemon-home-pokedex/main/sprites/beautifly-f.png", 2)</f>
        <v>0</v>
      </c>
      <c r="D134" s="38">
        <f>IMAGE("https://raw.githubusercontent.com/stautonico/pokemon-home-pokedex/main/sprites/dustox-f.png", 2)</f>
        <v>0</v>
      </c>
      <c r="E134" s="38">
        <f>IMAGE("https://raw.githubusercontent.com/stautonico/pokemon-home-pokedex/main/sprites/ludicolo-f.png", 2)</f>
        <v>0</v>
      </c>
      <c r="F134" s="38">
        <f>IMAGE("https://raw.githubusercontent.com/stautonico/pokemon-home-pokedex/main/sprites/nuzleaf-f.png", 2)</f>
        <v>0</v>
      </c>
      <c r="G134" s="38">
        <f>IMAGE("https://raw.githubusercontent.com/stautonico/pokemon-home-pokedex/main/sprites/shiftry-f.png", 2)</f>
        <v>0</v>
      </c>
      <c r="I134" s="38">
        <f>IMAGE("https://raw.githubusercontent.com/stautonico/pokemon-home-pokedex/main/sprites/floatzel-f.png", 2)</f>
        <v>0</v>
      </c>
      <c r="J134" s="38">
        <f>IMAGE("https://raw.githubusercontent.com/stautonico/pokemon-home-pokedex/main/sprites/ambipom-f.png", 2)</f>
        <v>0</v>
      </c>
      <c r="K134" s="38">
        <f>IMAGE("https://raw.githubusercontent.com/stautonico/pokemon-home-pokedex/main/sprites/gible-f.png", 2)</f>
        <v>0</v>
      </c>
      <c r="L134" s="38">
        <f>IMAGE("https://raw.githubusercontent.com/stautonico/pokemon-home-pokedex/main/sprites/gabite-f.png", 2)</f>
        <v>0</v>
      </c>
      <c r="M134" s="38">
        <f>IMAGE("https://raw.githubusercontent.com/stautonico/pokemon-home-pokedex/main/sprites/garchomp-f.png", 2)</f>
        <v>0</v>
      </c>
      <c r="N134" s="38">
        <f>IMAGE("https://raw.githubusercontent.com/stautonico/pokemon-home-pokedex/main/sprites/hippopotas-f.png", 2)</f>
        <v>0</v>
      </c>
    </row>
    <row r="135" spans="2:14" ht="72" customHeight="1">
      <c r="B135" s="38">
        <f>IMAGE("https://raw.githubusercontent.com/stautonico/pokemon-home-pokedex/main/sprites/meditite-f.png", 2)</f>
        <v>0</v>
      </c>
      <c r="C135" s="38">
        <f>IMAGE("https://raw.githubusercontent.com/stautonico/pokemon-home-pokedex/main/sprites/medicham-f.png", 2)</f>
        <v>0</v>
      </c>
      <c r="D135" s="38">
        <f>IMAGE("https://raw.githubusercontent.com/stautonico/pokemon-home-pokedex/main/sprites/roselia-f.png", 2)</f>
        <v>0</v>
      </c>
      <c r="E135" s="38">
        <f>IMAGE("https://raw.githubusercontent.com/stautonico/pokemon-home-pokedex/main/sprites/gulpin-f.png", 2)</f>
        <v>0</v>
      </c>
      <c r="F135" s="38">
        <f>IMAGE("https://raw.githubusercontent.com/stautonico/pokemon-home-pokedex/main/sprites/swalot-f.png", 2)</f>
        <v>0</v>
      </c>
      <c r="G135" s="38">
        <f>IMAGE("https://raw.githubusercontent.com/stautonico/pokemon-home-pokedex/main/sprites/numel-f.png", 2)</f>
        <v>0</v>
      </c>
      <c r="I135" s="38">
        <f>IMAGE("https://raw.githubusercontent.com/stautonico/pokemon-home-pokedex/main/sprites/hippowdon-f.png", 2)</f>
        <v>0</v>
      </c>
      <c r="J135" s="38">
        <f>IMAGE("https://raw.githubusercontent.com/stautonico/pokemon-home-pokedex/main/sprites/croagunk-f.png", 2)</f>
        <v>0</v>
      </c>
      <c r="K135" s="38">
        <f>IMAGE("https://raw.githubusercontent.com/stautonico/pokemon-home-pokedex/main/sprites/toxicroak-f.png", 2)</f>
        <v>0</v>
      </c>
      <c r="L135" s="38">
        <f>IMAGE("https://raw.githubusercontent.com/stautonico/pokemon-home-pokedex/main/sprites/finneon-f.png", 2)</f>
        <v>0</v>
      </c>
      <c r="M135" s="38">
        <f>IMAGE("https://raw.githubusercontent.com/stautonico/pokemon-home-pokedex/main/sprites/lumineon-f.png", 2)</f>
        <v>0</v>
      </c>
      <c r="N135" s="38">
        <f>IMAGE("https://raw.githubusercontent.com/stautonico/pokemon-home-pokedex/main/sprites/snover-f.png", 2)</f>
        <v>0</v>
      </c>
    </row>
    <row r="138" spans="2:14">
      <c r="B138" s="37" t="s">
        <v>1367</v>
      </c>
      <c r="I138" s="37" t="s">
        <v>1368</v>
      </c>
    </row>
    <row r="139" spans="2:14" ht="72" customHeight="1">
      <c r="B139" s="38">
        <f>IMAGE("https://raw.githubusercontent.com/stautonico/pokemon-home-pokedex/main/sprites/abomasnow-f.png", 2)</f>
        <v>0</v>
      </c>
      <c r="C139" s="38">
        <f>IMAGE("https://raw.githubusercontent.com/stautonico/pokemon-home-pokedex/main/sprites/weavile-f.png", 2)</f>
        <v>0</v>
      </c>
      <c r="D139" s="38">
        <f>IMAGE("https://raw.githubusercontent.com/stautonico/pokemon-home-pokedex/main/sprites/rhyperior-f.png", 2)</f>
        <v>0</v>
      </c>
      <c r="E139" s="38">
        <f>IMAGE("https://raw.githubusercontent.com/stautonico/pokemon-home-pokedex/main/sprites/tangrowth-f.png", 2)</f>
        <v>0</v>
      </c>
      <c r="F139" s="38">
        <f>IMAGE("https://raw.githubusercontent.com/stautonico/pokemon-home-pokedex/main/sprites/mamoswine-f.png", 2)</f>
        <v>0</v>
      </c>
      <c r="G139" s="38">
        <f>IMAGE("https://raw.githubusercontent.com/stautonico/pokemon-home-pokedex/main/sprites/unfezant-f.png", 2)</f>
        <v>0</v>
      </c>
      <c r="I139" s="38">
        <f>IMAGE("https://raw.githubusercontent.com/stautonico/pokemon-home-pokedex/main/sprites/pikachu-f.png", 2)</f>
        <v>0</v>
      </c>
      <c r="J139" s="38" t="s">
        <v>1041</v>
      </c>
      <c r="K139" s="38" t="s">
        <v>1043</v>
      </c>
      <c r="L139" s="38" t="s">
        <v>1045</v>
      </c>
      <c r="M139" s="38" t="s">
        <v>1047</v>
      </c>
      <c r="N139" s="38" t="s">
        <v>1049</v>
      </c>
    </row>
    <row r="140" spans="2:14" ht="72" customHeight="1">
      <c r="B140" s="38">
        <f>IMAGE("https://raw.githubusercontent.com/stautonico/pokemon-home-pokedex/main/sprites/frillish-f.png", 2)</f>
        <v>0</v>
      </c>
      <c r="C140" s="38">
        <f>IMAGE("https://raw.githubusercontent.com/stautonico/pokemon-home-pokedex/main/sprites/jellicent-f.png", 2)</f>
        <v>0</v>
      </c>
      <c r="D140" s="38">
        <f>IMAGE("https://raw.githubusercontent.com/stautonico/pokemon-home-pokedex/main/sprites/pyroar-f.png", 2)</f>
        <v>0</v>
      </c>
      <c r="E140" s="38">
        <f>IMAGE("https://raw.githubusercontent.com/stautonico/pokemon-home-pokedex/main/sprites/meowstic-f.png", 2)</f>
        <v>0</v>
      </c>
      <c r="F140" s="38">
        <f>IMAGE("https://raw.githubusercontent.com/stautonico/pokemon-home-pokedex/main/sprites/indeedee-f.png", 2)</f>
        <v>0</v>
      </c>
      <c r="G140" s="38">
        <f>IMAGE("https://raw.githubusercontent.com/stautonico/pokemon-home-pokedex/main/sprites/basculegion-f.png", 2)</f>
        <v>0</v>
      </c>
      <c r="I140" s="38" t="s">
        <v>1051</v>
      </c>
      <c r="J140" s="38" t="s">
        <v>1053</v>
      </c>
      <c r="K140" s="38" t="s">
        <v>1055</v>
      </c>
      <c r="L140" s="38"/>
      <c r="M140" s="38"/>
      <c r="N140" s="38"/>
    </row>
    <row r="141" spans="2:14" ht="72" customHeight="1">
      <c r="B141" s="38"/>
      <c r="C141" s="38"/>
      <c r="D141" s="38"/>
      <c r="E141" s="38"/>
      <c r="F141" s="38"/>
      <c r="G141" s="38"/>
      <c r="I141" s="38"/>
      <c r="J141" s="38"/>
      <c r="K141" s="38"/>
      <c r="L141" s="38"/>
      <c r="M141" s="38"/>
      <c r="N141" s="38"/>
    </row>
    <row r="142" spans="2:14" ht="72" customHeight="1">
      <c r="B142" s="38"/>
      <c r="C142" s="38"/>
      <c r="D142" s="38"/>
      <c r="E142" s="38"/>
      <c r="F142" s="38"/>
      <c r="G142" s="38"/>
      <c r="I142" s="38"/>
      <c r="J142" s="38"/>
      <c r="K142" s="38"/>
      <c r="L142" s="38"/>
      <c r="M142" s="38"/>
      <c r="N142" s="38"/>
    </row>
    <row r="143" spans="2:14" ht="72" customHeight="1">
      <c r="B143" s="38"/>
      <c r="C143" s="38"/>
      <c r="D143" s="38"/>
      <c r="E143" s="38"/>
      <c r="F143" s="38"/>
      <c r="G143" s="38"/>
      <c r="I143" s="38"/>
      <c r="J143" s="38"/>
      <c r="K143" s="38"/>
      <c r="L143" s="38"/>
      <c r="M143" s="38"/>
      <c r="N143" s="38"/>
    </row>
    <row r="146" spans="2:14">
      <c r="B146" s="37" t="s">
        <v>1369</v>
      </c>
      <c r="I146" s="37" t="s">
        <v>1370</v>
      </c>
    </row>
    <row r="147" spans="2:14" ht="72" customHeight="1">
      <c r="B147" s="38">
        <f>IMAGE("https://raw.githubusercontent.com/stautonico/pokemon-home-pokedex/main/sprites/unown.png", 2)</f>
        <v>0</v>
      </c>
      <c r="C147" s="38">
        <f>IMAGE("https://raw.githubusercontent.com/stautonico/pokemon-home-pokedex/main/sprites/unown-b.png", 2)</f>
        <v>0</v>
      </c>
      <c r="D147" s="38">
        <f>IMAGE("https://raw.githubusercontent.com/stautonico/pokemon-home-pokedex/main/sprites/unown-c.png", 2)</f>
        <v>0</v>
      </c>
      <c r="E147" s="38">
        <f>IMAGE("https://raw.githubusercontent.com/stautonico/pokemon-home-pokedex/main/sprites/unown-d.png", 2)</f>
        <v>0</v>
      </c>
      <c r="F147" s="38">
        <f>IMAGE("https://raw.githubusercontent.com/stautonico/pokemon-home-pokedex/main/sprites/unown-e.png", 2)</f>
        <v>0</v>
      </c>
      <c r="G147" s="38">
        <f>IMAGE("https://raw.githubusercontent.com/stautonico/pokemon-home-pokedex/main/sprites/unown-f.png", 2)</f>
        <v>0</v>
      </c>
      <c r="I147" s="38">
        <f>IMAGE("https://raw.githubusercontent.com/stautonico/pokemon-home-pokedex/main/sprites/deoxys.png", 2)</f>
        <v>0</v>
      </c>
      <c r="J147" s="38">
        <f>IMAGE("https://raw.githubusercontent.com/stautonico/pokemon-home-pokedex/main/sprites/deoxys-attack.png", 2)</f>
        <v>0</v>
      </c>
      <c r="K147" s="38">
        <f>IMAGE("https://raw.githubusercontent.com/stautonico/pokemon-home-pokedex/main/sprites/deoxys-defense.png", 2)</f>
        <v>0</v>
      </c>
      <c r="L147" s="38">
        <f>IMAGE("https://raw.githubusercontent.com/stautonico/pokemon-home-pokedex/main/sprites/deoxys-speed.png", 2)</f>
        <v>0</v>
      </c>
      <c r="M147" s="38"/>
      <c r="N147" s="38"/>
    </row>
    <row r="148" spans="2:14" ht="72" customHeight="1">
      <c r="B148" s="38">
        <f>IMAGE("https://raw.githubusercontent.com/stautonico/pokemon-home-pokedex/main/sprites/unown-g.png", 2)</f>
        <v>0</v>
      </c>
      <c r="C148" s="38">
        <f>IMAGE("https://raw.githubusercontent.com/stautonico/pokemon-home-pokedex/main/sprites/unown-h.png", 2)</f>
        <v>0</v>
      </c>
      <c r="D148" s="38">
        <f>IMAGE("https://raw.githubusercontent.com/stautonico/pokemon-home-pokedex/main/sprites/unown-i.png", 2)</f>
        <v>0</v>
      </c>
      <c r="E148" s="38">
        <f>IMAGE("https://raw.githubusercontent.com/stautonico/pokemon-home-pokedex/main/sprites/unown-j.png", 2)</f>
        <v>0</v>
      </c>
      <c r="F148" s="38">
        <f>IMAGE("https://raw.githubusercontent.com/stautonico/pokemon-home-pokedex/main/sprites/unown-k.png", 2)</f>
        <v>0</v>
      </c>
      <c r="G148" s="38">
        <f>IMAGE("https://raw.githubusercontent.com/stautonico/pokemon-home-pokedex/main/sprites/unown-l.png", 2)</f>
        <v>0</v>
      </c>
      <c r="I148" s="38">
        <f>IMAGE("https://raw.githubusercontent.com/stautonico/pokemon-home-pokedex/main/sprites/burmy.png", 2)</f>
        <v>0</v>
      </c>
      <c r="J148" s="38">
        <f>IMAGE("https://raw.githubusercontent.com/stautonico/pokemon-home-pokedex/main/sprites/burmy-sandy.png", 2)</f>
        <v>0</v>
      </c>
      <c r="K148" s="38">
        <f>IMAGE("https://raw.githubusercontent.com/stautonico/pokemon-home-pokedex/main/sprites/burmy-trash.png", 2)</f>
        <v>0</v>
      </c>
      <c r="L148" s="38">
        <f>IMAGE("https://raw.githubusercontent.com/stautonico/pokemon-home-pokedex/main/sprites/shellos.png", 2)</f>
        <v>0</v>
      </c>
      <c r="M148" s="38">
        <f>IMAGE("https://raw.githubusercontent.com/stautonico/pokemon-home-pokedex/main/sprites/gastrodon.png", 2)</f>
        <v>0</v>
      </c>
      <c r="N148" s="38"/>
    </row>
    <row r="149" spans="2:14" ht="72" customHeight="1">
      <c r="B149" s="38">
        <f>IMAGE("https://raw.githubusercontent.com/stautonico/pokemon-home-pokedex/main/sprites/unown-m.png", 2)</f>
        <v>0</v>
      </c>
      <c r="C149" s="38">
        <f>IMAGE("https://raw.githubusercontent.com/stautonico/pokemon-home-pokedex/main/sprites/unown-n.png", 2)</f>
        <v>0</v>
      </c>
      <c r="D149" s="38">
        <f>IMAGE("https://raw.githubusercontent.com/stautonico/pokemon-home-pokedex/main/sprites/unown-o.png", 2)</f>
        <v>0</v>
      </c>
      <c r="E149" s="38">
        <f>IMAGE("https://raw.githubusercontent.com/stautonico/pokemon-home-pokedex/main/sprites/unown-p.png", 2)</f>
        <v>0</v>
      </c>
      <c r="F149" s="38">
        <f>IMAGE("https://raw.githubusercontent.com/stautonico/pokemon-home-pokedex/main/sprites/unown-q.png", 2)</f>
        <v>0</v>
      </c>
      <c r="G149" s="38">
        <f>IMAGE("https://raw.githubusercontent.com/stautonico/pokemon-home-pokedex/main/sprites/unown-r.png", 2)</f>
        <v>0</v>
      </c>
      <c r="I149" s="38">
        <f>IMAGE("https://raw.githubusercontent.com/stautonico/pokemon-home-pokedex/main/sprites/wormadam.png", 2)</f>
        <v>0</v>
      </c>
      <c r="J149" s="38">
        <f>IMAGE("https://raw.githubusercontent.com/stautonico/pokemon-home-pokedex/main/sprites/wormadam-sandy.png", 2)</f>
        <v>0</v>
      </c>
      <c r="K149" s="38">
        <f>IMAGE("https://raw.githubusercontent.com/stautonico/pokemon-home-pokedex/main/sprites/wormadam-trash.png", 2)</f>
        <v>0</v>
      </c>
      <c r="L149" s="38">
        <f>IMAGE("https://raw.githubusercontent.com/stautonico/pokemon-home-pokedex/main/sprites/shellos-east.png", 2)</f>
        <v>0</v>
      </c>
      <c r="M149" s="38">
        <f>IMAGE("https://raw.githubusercontent.com/stautonico/pokemon-home-pokedex/main/sprites/gastrodon-east.png", 2)</f>
        <v>0</v>
      </c>
      <c r="N149" s="38"/>
    </row>
    <row r="150" spans="2:14" ht="72" customHeight="1">
      <c r="B150" s="38">
        <f>IMAGE("https://raw.githubusercontent.com/stautonico/pokemon-home-pokedex/main/sprites/unown-s.png", 2)</f>
        <v>0</v>
      </c>
      <c r="C150" s="38">
        <f>IMAGE("https://raw.githubusercontent.com/stautonico/pokemon-home-pokedex/main/sprites/unown-t.png", 2)</f>
        <v>0</v>
      </c>
      <c r="D150" s="38">
        <f>IMAGE("https://raw.githubusercontent.com/stautonico/pokemon-home-pokedex/main/sprites/unown-u.png", 2)</f>
        <v>0</v>
      </c>
      <c r="E150" s="38">
        <f>IMAGE("https://raw.githubusercontent.com/stautonico/pokemon-home-pokedex/main/sprites/unown-v.png", 2)</f>
        <v>0</v>
      </c>
      <c r="F150" s="38">
        <f>IMAGE("https://raw.githubusercontent.com/stautonico/pokemon-home-pokedex/main/sprites/unown-w.png", 2)</f>
        <v>0</v>
      </c>
      <c r="G150" s="38">
        <f>IMAGE("https://raw.githubusercontent.com/stautonico/pokemon-home-pokedex/main/sprites/unown-x.png", 2)</f>
        <v>0</v>
      </c>
      <c r="I150" s="38">
        <f>IMAGE("https://raw.githubusercontent.com/stautonico/pokemon-home-pokedex/main/sprites/rotom.png", 2)</f>
        <v>0</v>
      </c>
      <c r="J150" s="38">
        <f>IMAGE("https://raw.githubusercontent.com/stautonico/pokemon-home-pokedex/main/sprites/rotom-heat.png", 2)</f>
        <v>0</v>
      </c>
      <c r="K150" s="38">
        <f>IMAGE("https://raw.githubusercontent.com/stautonico/pokemon-home-pokedex/main/sprites/rotom-wash.png", 2)</f>
        <v>0</v>
      </c>
      <c r="L150" s="38">
        <f>IMAGE("https://raw.githubusercontent.com/stautonico/pokemon-home-pokedex/main/sprites/rotom-frost.png", 2)</f>
        <v>0</v>
      </c>
      <c r="M150" s="38">
        <f>IMAGE("https://raw.githubusercontent.com/stautonico/pokemon-home-pokedex/main/sprites/rotom-fan.png", 2)</f>
        <v>0</v>
      </c>
      <c r="N150" s="38">
        <f>IMAGE("https://raw.githubusercontent.com/stautonico/pokemon-home-pokedex/main/sprites/rotom-mow.png", 2)</f>
        <v>0</v>
      </c>
    </row>
    <row r="151" spans="2:14" ht="72" customHeight="1">
      <c r="B151" s="38">
        <f>IMAGE("https://raw.githubusercontent.com/stautonico/pokemon-home-pokedex/main/sprites/unown-y.png", 2)</f>
        <v>0</v>
      </c>
      <c r="C151" s="38">
        <f>IMAGE("https://raw.githubusercontent.com/stautonico/pokemon-home-pokedex/main/sprites/unown-z.png", 2)</f>
        <v>0</v>
      </c>
      <c r="D151" s="38">
        <f>IMAGE("https://raw.githubusercontent.com/stautonico/pokemon-home-pokedex/main/sprites/unown-exclamation.png", 2)</f>
        <v>0</v>
      </c>
      <c r="E151" s="38">
        <f>IMAGE("https://raw.githubusercontent.com/stautonico/pokemon-home-pokedex/main/sprites/unown-question.png", 2)</f>
        <v>0</v>
      </c>
      <c r="F151" s="38"/>
      <c r="G151" s="38"/>
      <c r="I151" s="38">
        <f>IMAGE("https://raw.githubusercontent.com/stautonico/pokemon-home-pokedex/main/sprites/shaymin.png", 2)</f>
        <v>0</v>
      </c>
      <c r="J151" s="38">
        <f>IMAGE("https://raw.githubusercontent.com/stautonico/pokemon-home-pokedex/main/sprites/shaymin-sky.png", 2)</f>
        <v>0</v>
      </c>
      <c r="K151" s="38"/>
      <c r="L151" s="38"/>
      <c r="M151" s="38"/>
      <c r="N151" s="38"/>
    </row>
    <row r="154" spans="2:14">
      <c r="B154" s="37" t="s">
        <v>1371</v>
      </c>
      <c r="I154" s="37" t="s">
        <v>1372</v>
      </c>
    </row>
    <row r="155" spans="2:14" ht="72" customHeight="1">
      <c r="B155" s="38">
        <f>IMAGE("https://raw.githubusercontent.com/stautonico/pokemon-home-pokedex/main/sprites/deerling.png", 2)</f>
        <v>0</v>
      </c>
      <c r="C155" s="38">
        <f>IMAGE("https://raw.githubusercontent.com/stautonico/pokemon-home-pokedex/main/sprites/deerling-summer.png", 2)</f>
        <v>0</v>
      </c>
      <c r="D155" s="38">
        <f>IMAGE("https://raw.githubusercontent.com/stautonico/pokemon-home-pokedex/main/sprites/deerling-autumn.png", 2)</f>
        <v>0</v>
      </c>
      <c r="E155" s="38">
        <f>IMAGE("https://raw.githubusercontent.com/stautonico/pokemon-home-pokedex/main/sprites/deerling-winter.png", 2)</f>
        <v>0</v>
      </c>
      <c r="F155" s="38"/>
      <c r="G155" s="38"/>
      <c r="I155" s="38">
        <f>IMAGE("https://raw.githubusercontent.com/stautonico/pokemon-home-pokedex/main/sprites/pumpkaboo.png", 2)</f>
        <v>0</v>
      </c>
      <c r="J155" s="38">
        <f>IMAGE("https://raw.githubusercontent.com/stautonico/pokemon-home-pokedex/main/sprites/pumpkaboo-small.png", 2)</f>
        <v>0</v>
      </c>
      <c r="K155" s="38">
        <f>IMAGE("https://raw.githubusercontent.com/stautonico/pokemon-home-pokedex/main/sprites/pumpkaboo-large.png", 2)</f>
        <v>0</v>
      </c>
      <c r="L155" s="38">
        <f>IMAGE("https://raw.githubusercontent.com/stautonico/pokemon-home-pokedex/main/sprites/pumpkaboo-super.png", 2)</f>
        <v>0</v>
      </c>
      <c r="M155" s="38"/>
      <c r="N155" s="38"/>
    </row>
    <row r="156" spans="2:14" ht="72" customHeight="1">
      <c r="B156" s="38">
        <f>IMAGE("https://raw.githubusercontent.com/stautonico/pokemon-home-pokedex/main/sprites/sawsbuck.png", 2)</f>
        <v>0</v>
      </c>
      <c r="C156" s="38">
        <f>IMAGE("https://raw.githubusercontent.com/stautonico/pokemon-home-pokedex/main/sprites/sawsbuck-summer.png", 2)</f>
        <v>0</v>
      </c>
      <c r="D156" s="38">
        <f>IMAGE("https://raw.githubusercontent.com/stautonico/pokemon-home-pokedex/main/sprites/sawsbuck-autumn.png", 2)</f>
        <v>0</v>
      </c>
      <c r="E156" s="38">
        <f>IMAGE("https://raw.githubusercontent.com/stautonico/pokemon-home-pokedex/main/sprites/sawsbuck-winter.png", 2)</f>
        <v>0</v>
      </c>
      <c r="F156" s="38"/>
      <c r="G156" s="38"/>
      <c r="I156" s="38">
        <f>IMAGE("https://raw.githubusercontent.com/stautonico/pokemon-home-pokedex/main/sprites/gourgeist.png", 2)</f>
        <v>0</v>
      </c>
      <c r="J156" s="38">
        <f>IMAGE("https://raw.githubusercontent.com/stautonico/pokemon-home-pokedex/main/sprites/gourgeist-small.png", 2)</f>
        <v>0</v>
      </c>
      <c r="K156" s="38">
        <f>IMAGE("https://raw.githubusercontent.com/stautonico/pokemon-home-pokedex/main/sprites/gourgeist-large.png", 2)</f>
        <v>0</v>
      </c>
      <c r="L156" s="38">
        <f>IMAGE("https://raw.githubusercontent.com/stautonico/pokemon-home-pokedex/main/sprites/gourgeist-super.png", 2)</f>
        <v>0</v>
      </c>
      <c r="M156" s="38"/>
      <c r="N156" s="38"/>
    </row>
    <row r="157" spans="2:14" ht="72" customHeight="1">
      <c r="B157" s="38">
        <f>IMAGE("https://raw.githubusercontent.com/stautonico/pokemon-home-pokedex/main/sprites/basculin.png", 2)</f>
        <v>0</v>
      </c>
      <c r="C157" s="38">
        <f>IMAGE("https://raw.githubusercontent.com/stautonico/pokemon-home-pokedex/main/sprites/basculin-blue-striped.png", 2)</f>
        <v>0</v>
      </c>
      <c r="D157" s="38"/>
      <c r="E157" s="38"/>
      <c r="F157" s="38"/>
      <c r="G157" s="38"/>
      <c r="I157" s="38">
        <f>IMAGE("https://raw.githubusercontent.com/stautonico/pokemon-home-pokedex/main/sprites/furfrou.png", 2)</f>
        <v>0</v>
      </c>
      <c r="J157" s="38">
        <f>IMAGE("https://raw.githubusercontent.com/stautonico/pokemon-home-pokedex/main/sprites/furfrou-heart.png", 2)</f>
        <v>0</v>
      </c>
      <c r="K157" s="38">
        <f>IMAGE("https://raw.githubusercontent.com/stautonico/pokemon-home-pokedex/main/sprites/furfrou-star.png", 2)</f>
        <v>0</v>
      </c>
      <c r="L157" s="38">
        <f>IMAGE("https://raw.githubusercontent.com/stautonico/pokemon-home-pokedex/main/sprites/furfrou-diamond.png", 2)</f>
        <v>0</v>
      </c>
      <c r="M157" s="38">
        <f>IMAGE("https://raw.githubusercontent.com/stautonico/pokemon-home-pokedex/main/sprites/furfrou-debutante.png", 2)</f>
        <v>0</v>
      </c>
      <c r="N157" s="38"/>
    </row>
    <row r="158" spans="2:14" ht="72" customHeight="1">
      <c r="B158" s="38">
        <f>IMAGE("https://raw.githubusercontent.com/stautonico/pokemon-home-pokedex/main/sprites/tornadus.png", 2)</f>
        <v>0</v>
      </c>
      <c r="C158" s="38">
        <f>IMAGE("https://raw.githubusercontent.com/stautonico/pokemon-home-pokedex/main/sprites/tornadus-therian.png", 2)</f>
        <v>0</v>
      </c>
      <c r="D158" s="38">
        <f>IMAGE("https://raw.githubusercontent.com/stautonico/pokemon-home-pokedex/main/sprites/thundurus.png", 2)</f>
        <v>0</v>
      </c>
      <c r="E158" s="38">
        <f>IMAGE("https://raw.githubusercontent.com/stautonico/pokemon-home-pokedex/main/sprites/thundurus-therian.png", 2)</f>
        <v>0</v>
      </c>
      <c r="F158" s="38">
        <f>IMAGE("https://raw.githubusercontent.com/stautonico/pokemon-home-pokedex/main/sprites/landorus.png", 2)</f>
        <v>0</v>
      </c>
      <c r="G158" s="38">
        <f>IMAGE("https://raw.githubusercontent.com/stautonico/pokemon-home-pokedex/main/sprites/landorus-therian.png", 2)</f>
        <v>0</v>
      </c>
      <c r="I158" s="38">
        <f>IMAGE("https://raw.githubusercontent.com/stautonico/pokemon-home-pokedex/main/sprites/furfrou-matron.png", 2)</f>
        <v>0</v>
      </c>
      <c r="J158" s="38">
        <f>IMAGE("https://raw.githubusercontent.com/stautonico/pokemon-home-pokedex/main/sprites/furfrou-dandy.png", 2)</f>
        <v>0</v>
      </c>
      <c r="K158" s="38">
        <f>IMAGE("https://raw.githubusercontent.com/stautonico/pokemon-home-pokedex/main/sprites/furfrou-la-reine.png", 2)</f>
        <v>0</v>
      </c>
      <c r="L158" s="38">
        <f>IMAGE("https://raw.githubusercontent.com/stautonico/pokemon-home-pokedex/main/sprites/furfrou-kabuki.png", 2)</f>
        <v>0</v>
      </c>
      <c r="M158" s="38">
        <f>IMAGE("https://raw.githubusercontent.com/stautonico/pokemon-home-pokedex/main/sprites/furfrou-pharaoh.png", 2)</f>
        <v>0</v>
      </c>
      <c r="N158" s="38"/>
    </row>
    <row r="159" spans="2:14" ht="72" customHeight="1">
      <c r="B159" s="38">
        <f>IMAGE("https://raw.githubusercontent.com/stautonico/pokemon-home-pokedex/main/sprites/keldeo.png", 2)</f>
        <v>0</v>
      </c>
      <c r="C159" s="38">
        <f>IMAGE("https://raw.githubusercontent.com/stautonico/pokemon-home-pokedex/main/sprites/keldeo-resolute.png", 2)</f>
        <v>0</v>
      </c>
      <c r="D159" s="38"/>
      <c r="E159" s="38"/>
      <c r="F159" s="38"/>
      <c r="G159" s="38"/>
      <c r="I159" s="38"/>
      <c r="J159" s="38"/>
      <c r="K159" s="38"/>
      <c r="L159" s="38"/>
      <c r="M159" s="38"/>
      <c r="N159" s="38"/>
    </row>
    <row r="162" spans="2:14">
      <c r="B162" s="37" t="s">
        <v>1373</v>
      </c>
      <c r="I162" s="37" t="s">
        <v>1374</v>
      </c>
    </row>
    <row r="163" spans="2:14" ht="72" customHeight="1">
      <c r="B163" s="38">
        <f>IMAGE("https://raw.githubusercontent.com/stautonico/pokemon-home-pokedex/main/sprites/flabebe.png", 2)</f>
        <v>0</v>
      </c>
      <c r="C163" s="38">
        <f>IMAGE("https://raw.githubusercontent.com/stautonico/pokemon-home-pokedex/main/sprites/flabebe-yellow.png", 2)</f>
        <v>0</v>
      </c>
      <c r="D163" s="38">
        <f>IMAGE("https://raw.githubusercontent.com/stautonico/pokemon-home-pokedex/main/sprites/flabebe-orange.png", 2)</f>
        <v>0</v>
      </c>
      <c r="E163" s="38">
        <f>IMAGE("https://raw.githubusercontent.com/stautonico/pokemon-home-pokedex/main/sprites/flabebe-blue.png", 2)</f>
        <v>0</v>
      </c>
      <c r="F163" s="38">
        <f>IMAGE("https://raw.githubusercontent.com/stautonico/pokemon-home-pokedex/main/sprites/flabebe-white.png", 2)</f>
        <v>0</v>
      </c>
      <c r="G163" s="38"/>
      <c r="I163" s="38">
        <f>IMAGE("https://raw.githubusercontent.com/stautonico/pokemon-home-pokedex/main/sprites/vivillon.png", 2)</f>
        <v>0</v>
      </c>
      <c r="J163" s="38">
        <f>IMAGE("https://raw.githubusercontent.com/stautonico/pokemon-home-pokedex/main/sprites/vivillon-polar.png", 2)</f>
        <v>0</v>
      </c>
      <c r="K163" s="38">
        <f>IMAGE("https://raw.githubusercontent.com/stautonico/pokemon-home-pokedex/main/sprites/vivillon-tundra.png", 2)</f>
        <v>0</v>
      </c>
      <c r="L163" s="38">
        <f>IMAGE("https://raw.githubusercontent.com/stautonico/pokemon-home-pokedex/main/sprites/vivillon-continental.png", 2)</f>
        <v>0</v>
      </c>
      <c r="M163" s="38">
        <f>IMAGE("https://raw.githubusercontent.com/stautonico/pokemon-home-pokedex/main/sprites/vivillon-garden.png", 2)</f>
        <v>0</v>
      </c>
      <c r="N163" s="38">
        <f>IMAGE("https://raw.githubusercontent.com/stautonico/pokemon-home-pokedex/main/sprites/vivillon-elegant.png", 2)</f>
        <v>0</v>
      </c>
    </row>
    <row r="164" spans="2:14" ht="72" customHeight="1">
      <c r="B164" s="38">
        <f>IMAGE("https://raw.githubusercontent.com/stautonico/pokemon-home-pokedex/main/sprites/floette.png", 2)</f>
        <v>0</v>
      </c>
      <c r="C164" s="38">
        <f>IMAGE("https://raw.githubusercontent.com/stautonico/pokemon-home-pokedex/main/sprites/floette-yellow.png", 2)</f>
        <v>0</v>
      </c>
      <c r="D164" s="38">
        <f>IMAGE("https://raw.githubusercontent.com/stautonico/pokemon-home-pokedex/main/sprites/floette-orange.png", 2)</f>
        <v>0</v>
      </c>
      <c r="E164" s="38">
        <f>IMAGE("https://raw.githubusercontent.com/stautonico/pokemon-home-pokedex/main/sprites/floette-blue.png", 2)</f>
        <v>0</v>
      </c>
      <c r="F164" s="38">
        <f>IMAGE("https://raw.githubusercontent.com/stautonico/pokemon-home-pokedex/main/sprites/floette-white.png", 2)</f>
        <v>0</v>
      </c>
      <c r="G164" s="38"/>
      <c r="I164" s="38">
        <f>IMAGE("https://raw.githubusercontent.com/stautonico/pokemon-home-pokedex/main/sprites/vivillon-meadow.png", 2)</f>
        <v>0</v>
      </c>
      <c r="J164" s="38">
        <f>IMAGE("https://raw.githubusercontent.com/stautonico/pokemon-home-pokedex/main/sprites/vivillon-modern.png", 2)</f>
        <v>0</v>
      </c>
      <c r="K164" s="38">
        <f>IMAGE("https://raw.githubusercontent.com/stautonico/pokemon-home-pokedex/main/sprites/vivillon-marine.png", 2)</f>
        <v>0</v>
      </c>
      <c r="L164" s="38">
        <f>IMAGE("https://raw.githubusercontent.com/stautonico/pokemon-home-pokedex/main/sprites/vivillon-archipelago.png", 2)</f>
        <v>0</v>
      </c>
      <c r="M164" s="38">
        <f>IMAGE("https://raw.githubusercontent.com/stautonico/pokemon-home-pokedex/main/sprites/vivillon-high-plains.png", 2)</f>
        <v>0</v>
      </c>
      <c r="N164" s="38">
        <f>IMAGE("https://raw.githubusercontent.com/stautonico/pokemon-home-pokedex/main/sprites/vivillon-sandstorm.png", 2)</f>
        <v>0</v>
      </c>
    </row>
    <row r="165" spans="2:14" ht="72" customHeight="1">
      <c r="B165" s="38">
        <f>IMAGE("https://raw.githubusercontent.com/stautonico/pokemon-home-pokedex/main/sprites/florges.png", 2)</f>
        <v>0</v>
      </c>
      <c r="C165" s="38">
        <f>IMAGE("https://raw.githubusercontent.com/stautonico/pokemon-home-pokedex/main/sprites/florges-yellow.png", 2)</f>
        <v>0</v>
      </c>
      <c r="D165" s="38">
        <f>IMAGE("https://raw.githubusercontent.com/stautonico/pokemon-home-pokedex/main/sprites/florges-orange.png", 2)</f>
        <v>0</v>
      </c>
      <c r="E165" s="38">
        <f>IMAGE("https://raw.githubusercontent.com/stautonico/pokemon-home-pokedex/main/sprites/florges-blue.png", 2)</f>
        <v>0</v>
      </c>
      <c r="F165" s="38">
        <f>IMAGE("https://raw.githubusercontent.com/stautonico/pokemon-home-pokedex/main/sprites/florges-white.png", 2)</f>
        <v>0</v>
      </c>
      <c r="G165" s="38"/>
      <c r="I165" s="38">
        <f>IMAGE("https://raw.githubusercontent.com/stautonico/pokemon-home-pokedex/main/sprites/vivillon-river.png", 2)</f>
        <v>0</v>
      </c>
      <c r="J165" s="38">
        <f>IMAGE("https://raw.githubusercontent.com/stautonico/pokemon-home-pokedex/main/sprites/vivillon-monsoon.png", 2)</f>
        <v>0</v>
      </c>
      <c r="K165" s="38">
        <f>IMAGE("https://raw.githubusercontent.com/stautonico/pokemon-home-pokedex/main/sprites/vivillon-savanna.png", 2)</f>
        <v>0</v>
      </c>
      <c r="L165" s="38">
        <f>IMAGE("https://raw.githubusercontent.com/stautonico/pokemon-home-pokedex/main/sprites/vivillon-sun.png", 2)</f>
        <v>0</v>
      </c>
      <c r="M165" s="38">
        <f>IMAGE("https://raw.githubusercontent.com/stautonico/pokemon-home-pokedex/main/sprites/vivillon-ocean.png", 2)</f>
        <v>0</v>
      </c>
      <c r="N165" s="38">
        <f>IMAGE("https://raw.githubusercontent.com/stautonico/pokemon-home-pokedex/main/sprites/vivillon-jungle.png", 2)</f>
        <v>0</v>
      </c>
    </row>
    <row r="166" spans="2:14" ht="72" customHeight="1">
      <c r="B166" s="38">
        <f>IMAGE("https://raw.githubusercontent.com/stautonico/pokemon-home-pokedex/main/sprites/hoopa.png", 2)</f>
        <v>0</v>
      </c>
      <c r="C166" s="38">
        <f>IMAGE("https://raw.githubusercontent.com/stautonico/pokemon-home-pokedex/main/sprites/hoopa-unbound.png", 2)</f>
        <v>0</v>
      </c>
      <c r="D166" s="38"/>
      <c r="E166" s="38"/>
      <c r="F166" s="38"/>
      <c r="G166" s="38"/>
      <c r="I166" s="38">
        <f>IMAGE("https://raw.githubusercontent.com/stautonico/pokemon-home-pokedex/main/sprites/vivillon-fancy.png", 2)</f>
        <v>0</v>
      </c>
      <c r="J166" s="38">
        <f>IMAGE("https://raw.githubusercontent.com/stautonico/pokemon-home-pokedex/main/sprites/vivillon-pokeball.png", 2)</f>
        <v>0</v>
      </c>
      <c r="K166" s="38"/>
      <c r="L166" s="38"/>
      <c r="M166" s="38"/>
      <c r="N166" s="38"/>
    </row>
    <row r="167" spans="2:14" ht="72" customHeight="1">
      <c r="B167" s="38">
        <f>IMAGE("https://raw.githubusercontent.com/stautonico/pokemon-home-pokedex/main/sprites/greninja.png", 2)</f>
        <v>0</v>
      </c>
      <c r="C167" s="38">
        <f>IMAGE("https://raw.githubusercontent.com/stautonico/pokemon-home-pokedex/main/sprites/greninja-battle-bond.png", 2)</f>
        <v>0</v>
      </c>
      <c r="D167" s="38">
        <f>IMAGE("https://raw.githubusercontent.com/stautonico/pokemon-home-pokedex/main/sprites/zygarde.png", 2)</f>
        <v>0</v>
      </c>
      <c r="E167" s="38">
        <f>IMAGE("https://raw.githubusercontent.com/stautonico/pokemon-home-pokedex/main/sprites/zygarde-10.png", 2)</f>
        <v>0</v>
      </c>
      <c r="F167" s="38">
        <f>IMAGE("https://raw.githubusercontent.com/stautonico/pokemon-home-pokedex/main/sprites/zygarde-power-construct.png", 2)</f>
        <v>0</v>
      </c>
      <c r="G167" s="38">
        <f>IMAGE("https://raw.githubusercontent.com/stautonico/pokemon-home-pokedex/main/sprites/zygarde-10-power-construct.png", 2)</f>
        <v>0</v>
      </c>
      <c r="I167" s="38"/>
      <c r="J167" s="38"/>
      <c r="K167" s="38"/>
      <c r="L167" s="38"/>
      <c r="M167" s="38"/>
      <c r="N167" s="38"/>
    </row>
    <row r="170" spans="2:14">
      <c r="B170" s="37" t="s">
        <v>1375</v>
      </c>
      <c r="I170" s="37" t="s">
        <v>1376</v>
      </c>
    </row>
    <row r="171" spans="2:14" ht="72" customHeight="1">
      <c r="B171" s="38">
        <f>IMAGE("https://raw.githubusercontent.com/stautonico/pokemon-home-pokedex/main/sprites/oricorio.png", 2)</f>
        <v>0</v>
      </c>
      <c r="C171" s="38">
        <f>IMAGE("https://raw.githubusercontent.com/stautonico/pokemon-home-pokedex/main/sprites/oricorio-pom-pom.png", 2)</f>
        <v>0</v>
      </c>
      <c r="D171" s="38">
        <f>IMAGE("https://raw.githubusercontent.com/stautonico/pokemon-home-pokedex/main/sprites/oricorio-pau.png", 2)</f>
        <v>0</v>
      </c>
      <c r="E171" s="38">
        <f>IMAGE("https://raw.githubusercontent.com/stautonico/pokemon-home-pokedex/main/sprites/oricorio-sensu.png", 2)</f>
        <v>0</v>
      </c>
      <c r="F171" s="38"/>
      <c r="G171" s="38"/>
      <c r="I171" s="38">
        <f>IMAGE("https://raw.githubusercontent.com/stautonico/pokemon-home-pokedex/main/sprites/toxtricity.png", 2)</f>
        <v>0</v>
      </c>
      <c r="J171" s="38">
        <f>IMAGE("https://raw.githubusercontent.com/stautonico/pokemon-home-pokedex/main/sprites/toxtricity-low-key.png", 2)</f>
        <v>0</v>
      </c>
      <c r="K171" s="38"/>
      <c r="L171" s="38"/>
      <c r="M171" s="38"/>
      <c r="N171" s="38"/>
    </row>
    <row r="172" spans="2:14" ht="72" customHeight="1">
      <c r="B172" s="38">
        <f>IMAGE("https://raw.githubusercontent.com/stautonico/pokemon-home-pokedex/main/sprites/rockruff.png", 2)</f>
        <v>0</v>
      </c>
      <c r="C172" s="38">
        <f>IMAGE("https://raw.githubusercontent.com/stautonico/pokemon-home-pokedex/main/sprites/rockruff-own-tempo.png", 2)</f>
        <v>0</v>
      </c>
      <c r="D172" s="38">
        <f>IMAGE("https://raw.githubusercontent.com/stautonico/pokemon-home-pokedex/main/sprites/lycanroc.png", 2)</f>
        <v>0</v>
      </c>
      <c r="E172" s="38">
        <f>IMAGE("https://raw.githubusercontent.com/stautonico/pokemon-home-pokedex/main/sprites/lycanroc-midnight.png", 2)</f>
        <v>0</v>
      </c>
      <c r="F172" s="38">
        <f>IMAGE("https://raw.githubusercontent.com/stautonico/pokemon-home-pokedex/main/sprites/lycanroc-dusk.png", 2)</f>
        <v>0</v>
      </c>
      <c r="G172" s="38"/>
      <c r="I172" s="38">
        <f>IMAGE("https://raw.githubusercontent.com/stautonico/pokemon-home-pokedex/main/sprites/sinistea.png", 2)</f>
        <v>0</v>
      </c>
      <c r="J172" s="38">
        <f>IMAGE("https://raw.githubusercontent.com/stautonico/pokemon-home-pokedex/main/sprites/sinistea-antique.png", 2)</f>
        <v>0</v>
      </c>
      <c r="K172" s="38">
        <f>IMAGE("https://raw.githubusercontent.com/stautonico/pokemon-home-pokedex/main/sprites/polteageist.png", 2)</f>
        <v>0</v>
      </c>
      <c r="L172" s="38">
        <f>IMAGE("https://raw.githubusercontent.com/stautonico/pokemon-home-pokedex/main/sprites/polteageist-antique.png", 2)</f>
        <v>0</v>
      </c>
      <c r="M172" s="38"/>
      <c r="N172" s="38"/>
    </row>
    <row r="173" spans="2:14" ht="72" customHeight="1">
      <c r="B173" s="38">
        <f>IMAGE("https://raw.githubusercontent.com/stautonico/pokemon-home-pokedex/main/sprites/minior-red.png", 2)</f>
        <v>0</v>
      </c>
      <c r="C173" s="38">
        <f>IMAGE("https://raw.githubusercontent.com/stautonico/pokemon-home-pokedex/main/sprites/minior-orange.png", 2)</f>
        <v>0</v>
      </c>
      <c r="D173" s="38">
        <f>IMAGE("https://raw.githubusercontent.com/stautonico/pokemon-home-pokedex/main/sprites/minior-yellow.png", 2)</f>
        <v>0</v>
      </c>
      <c r="E173" s="38">
        <f>IMAGE("https://raw.githubusercontent.com/stautonico/pokemon-home-pokedex/main/sprites/minior-green.png", 2)</f>
        <v>0</v>
      </c>
      <c r="F173" s="38">
        <f>IMAGE("https://raw.githubusercontent.com/stautonico/pokemon-home-pokedex/main/sprites/minior-blue.png", 2)</f>
        <v>0</v>
      </c>
      <c r="G173" s="38">
        <f>IMAGE("https://raw.githubusercontent.com/stautonico/pokemon-home-pokedex/main/sprites/minior-indigo.png", 2)</f>
        <v>0</v>
      </c>
      <c r="I173" s="38">
        <f>IMAGE("https://raw.githubusercontent.com/stautonico/pokemon-home-pokedex/main/sprites/urshifu.png", 2)</f>
        <v>0</v>
      </c>
      <c r="J173" s="38">
        <f>IMAGE("https://raw.githubusercontent.com/stautonico/pokemon-home-pokedex/main/sprites/urshifu-rapid-strike.png", 2)</f>
        <v>0</v>
      </c>
      <c r="K173" s="38"/>
      <c r="L173" s="38"/>
      <c r="M173" s="38"/>
      <c r="N173" s="38"/>
    </row>
    <row r="174" spans="2:14" ht="72" customHeight="1">
      <c r="B174" s="38">
        <f>IMAGE("https://raw.githubusercontent.com/stautonico/pokemon-home-pokedex/main/sprites/minior-violet.png", 2)</f>
        <v>0</v>
      </c>
      <c r="C174" s="38">
        <f>IMAGE("https://raw.githubusercontent.com/stautonico/pokemon-home-pokedex/main/sprites/magearna.png", 2)</f>
        <v>0</v>
      </c>
      <c r="D174" s="38">
        <f>IMAGE("https://raw.githubusercontent.com/stautonico/pokemon-home-pokedex/main/sprites/magearna-original.png", 2)</f>
        <v>0</v>
      </c>
      <c r="E174" s="38"/>
      <c r="F174" s="38"/>
      <c r="G174" s="38"/>
      <c r="I174" s="38">
        <f>IMAGE("https://raw.githubusercontent.com/stautonico/pokemon-home-pokedex/main/sprites/zarude.png", 2)</f>
        <v>0</v>
      </c>
      <c r="J174" s="38">
        <f>IMAGE("https://raw.githubusercontent.com/stautonico/pokemon-home-pokedex/main/sprites/zarude-dada.png", 2)</f>
        <v>0</v>
      </c>
      <c r="K174" s="38"/>
      <c r="L174" s="38"/>
      <c r="M174" s="38"/>
      <c r="N174" s="38"/>
    </row>
    <row r="175" spans="2:14" ht="72" customHeight="1">
      <c r="B175" s="38"/>
      <c r="C175" s="38"/>
      <c r="D175" s="38"/>
      <c r="E175" s="38"/>
      <c r="F175" s="38"/>
      <c r="G175" s="38"/>
      <c r="I175" s="38">
        <f>IMAGE("https://raw.githubusercontent.com/stautonico/pokemon-home-pokedex/main/sprites/enamorus.png", 2)</f>
        <v>0</v>
      </c>
      <c r="J175" s="38">
        <f>IMAGE("https://raw.githubusercontent.com/stautonico/pokemon-home-pokedex/main/sprites/enamorus-therian.png", 2)</f>
        <v>0</v>
      </c>
      <c r="K175" s="38"/>
      <c r="L175" s="38"/>
      <c r="M175" s="38"/>
      <c r="N175" s="38"/>
    </row>
    <row r="178" spans="2:14">
      <c r="B178" s="37" t="s">
        <v>1377</v>
      </c>
      <c r="I178" s="37" t="s">
        <v>1378</v>
      </c>
    </row>
    <row r="179" spans="2:14" ht="72" customHeight="1">
      <c r="B179" s="38">
        <f>IMAGE("https://raw.githubusercontent.com/stautonico/pokemon-home-pokedex/main/sprites/alcremie.png", 2)</f>
        <v>0</v>
      </c>
      <c r="C179" s="38">
        <f>IMAGE("https://raw.githubusercontent.com/stautonico/pokemon-home-pokedex/main/sprites/alcremie-vanilla-cream-berry.png", 2)</f>
        <v>0</v>
      </c>
      <c r="D179" s="38">
        <f>IMAGE("https://raw.githubusercontent.com/stautonico/pokemon-home-pokedex/main/sprites/alcremie-vanilla-cream-love.png", 2)</f>
        <v>0</v>
      </c>
      <c r="E179" s="38">
        <f>IMAGE("https://raw.githubusercontent.com/stautonico/pokemon-home-pokedex/main/sprites/alcremie-vanilla-cream-star.png", 2)</f>
        <v>0</v>
      </c>
      <c r="F179" s="38">
        <f>IMAGE("https://raw.githubusercontent.com/stautonico/pokemon-home-pokedex/main/sprites/alcremie-vanilla-cream-clover.png", 2)</f>
        <v>0</v>
      </c>
      <c r="G179" s="38">
        <f>IMAGE("https://raw.githubusercontent.com/stautonico/pokemon-home-pokedex/main/sprites/alcremie-vanilla-cream-flower.png", 2)</f>
        <v>0</v>
      </c>
      <c r="I179" s="38">
        <f>IMAGE("https://raw.githubusercontent.com/stautonico/pokemon-home-pokedex/main/sprites/alcremie-lemon-cream-strawberry.png", 2)</f>
        <v>0</v>
      </c>
      <c r="J179" s="38">
        <f>IMAGE("https://raw.githubusercontent.com/stautonico/pokemon-home-pokedex/main/sprites/alcremie-lemon-cream-berry.png", 2)</f>
        <v>0</v>
      </c>
      <c r="K179" s="38">
        <f>IMAGE("https://raw.githubusercontent.com/stautonico/pokemon-home-pokedex/main/sprites/alcremie-lemon-cream-love.png", 2)</f>
        <v>0</v>
      </c>
      <c r="L179" s="38">
        <f>IMAGE("https://raw.githubusercontent.com/stautonico/pokemon-home-pokedex/main/sprites/alcremie-lemon-cream-star.png", 2)</f>
        <v>0</v>
      </c>
      <c r="M179" s="38">
        <f>IMAGE("https://raw.githubusercontent.com/stautonico/pokemon-home-pokedex/main/sprites/alcremie-lemon-cream-clover.png", 2)</f>
        <v>0</v>
      </c>
      <c r="N179" s="38">
        <f>IMAGE("https://raw.githubusercontent.com/stautonico/pokemon-home-pokedex/main/sprites/alcremie-lemon-cream-flower.png", 2)</f>
        <v>0</v>
      </c>
    </row>
    <row r="180" spans="2:14" ht="72" customHeight="1">
      <c r="B180" s="38">
        <f>IMAGE("https://raw.githubusercontent.com/stautonico/pokemon-home-pokedex/main/sprites/alcremie-vanilla-cream-ribbon.png", 2)</f>
        <v>0</v>
      </c>
      <c r="C180" s="38">
        <f>IMAGE("https://raw.githubusercontent.com/stautonico/pokemon-home-pokedex/main/sprites/alcremie-ruby-cream-strawberry.png", 2)</f>
        <v>0</v>
      </c>
      <c r="D180" s="38">
        <f>IMAGE("https://raw.githubusercontent.com/stautonico/pokemon-home-pokedex/main/sprites/alcremie-ruby-cream-berry.png", 2)</f>
        <v>0</v>
      </c>
      <c r="E180" s="38">
        <f>IMAGE("https://raw.githubusercontent.com/stautonico/pokemon-home-pokedex/main/sprites/alcremie-ruby-cream-love.png", 2)</f>
        <v>0</v>
      </c>
      <c r="F180" s="38">
        <f>IMAGE("https://raw.githubusercontent.com/stautonico/pokemon-home-pokedex/main/sprites/alcremie-ruby-cream-star.png", 2)</f>
        <v>0</v>
      </c>
      <c r="G180" s="38">
        <f>IMAGE("https://raw.githubusercontent.com/stautonico/pokemon-home-pokedex/main/sprites/alcremie-ruby-cream-clover.png", 2)</f>
        <v>0</v>
      </c>
      <c r="I180" s="38">
        <f>IMAGE("https://raw.githubusercontent.com/stautonico/pokemon-home-pokedex/main/sprites/alcremie-lemon-cream-ribbon.png", 2)</f>
        <v>0</v>
      </c>
      <c r="J180" s="38">
        <f>IMAGE("https://raw.githubusercontent.com/stautonico/pokemon-home-pokedex/main/sprites/alcremie-salted-cream-strawberry.png", 2)</f>
        <v>0</v>
      </c>
      <c r="K180" s="38">
        <f>IMAGE("https://raw.githubusercontent.com/stautonico/pokemon-home-pokedex/main/sprites/alcremie-salted-cream-berry.png", 2)</f>
        <v>0</v>
      </c>
      <c r="L180" s="38">
        <f>IMAGE("https://raw.githubusercontent.com/stautonico/pokemon-home-pokedex/main/sprites/alcremie-salted-cream-love.png", 2)</f>
        <v>0</v>
      </c>
      <c r="M180" s="38">
        <f>IMAGE("https://raw.githubusercontent.com/stautonico/pokemon-home-pokedex/main/sprites/alcremie-salted-cream-star.png", 2)</f>
        <v>0</v>
      </c>
      <c r="N180" s="38">
        <f>IMAGE("https://raw.githubusercontent.com/stautonico/pokemon-home-pokedex/main/sprites/alcremie-salted-cream-clover.png", 2)</f>
        <v>0</v>
      </c>
    </row>
    <row r="181" spans="2:14" ht="72" customHeight="1">
      <c r="B181" s="38">
        <f>IMAGE("https://raw.githubusercontent.com/stautonico/pokemon-home-pokedex/main/sprites/alcremie-ruby-cream-flower.png", 2)</f>
        <v>0</v>
      </c>
      <c r="C181" s="38">
        <f>IMAGE("https://raw.githubusercontent.com/stautonico/pokemon-home-pokedex/main/sprites/alcremie-ruby-cream-ribbon.png", 2)</f>
        <v>0</v>
      </c>
      <c r="D181" s="38">
        <f>IMAGE("https://raw.githubusercontent.com/stautonico/pokemon-home-pokedex/main/sprites/alcremie-matcha-cream-strawberry.png", 2)</f>
        <v>0</v>
      </c>
      <c r="E181" s="38">
        <f>IMAGE("https://raw.githubusercontent.com/stautonico/pokemon-home-pokedex/main/sprites/alcremie-matcha-cream-berry.png", 2)</f>
        <v>0</v>
      </c>
      <c r="F181" s="38">
        <f>IMAGE("https://raw.githubusercontent.com/stautonico/pokemon-home-pokedex/main/sprites/alcremie-matcha-cream-love.png", 2)</f>
        <v>0</v>
      </c>
      <c r="G181" s="38">
        <f>IMAGE("https://raw.githubusercontent.com/stautonico/pokemon-home-pokedex/main/sprites/alcremie-matcha-cream-star.png", 2)</f>
        <v>0</v>
      </c>
      <c r="I181" s="38">
        <f>IMAGE("https://raw.githubusercontent.com/stautonico/pokemon-home-pokedex/main/sprites/alcremie-salted-cream-flower.png", 2)</f>
        <v>0</v>
      </c>
      <c r="J181" s="38">
        <f>IMAGE("https://raw.githubusercontent.com/stautonico/pokemon-home-pokedex/main/sprites/alcremie-salted-cream-ribbon.png", 2)</f>
        <v>0</v>
      </c>
      <c r="K181" s="38">
        <f>IMAGE("https://raw.githubusercontent.com/stautonico/pokemon-home-pokedex/main/sprites/alcremie-ruby-swirl-strawberry.png", 2)</f>
        <v>0</v>
      </c>
      <c r="L181" s="38">
        <f>IMAGE("https://raw.githubusercontent.com/stautonico/pokemon-home-pokedex/main/sprites/alcremie-ruby-swirl-berry.png", 2)</f>
        <v>0</v>
      </c>
      <c r="M181" s="38">
        <f>IMAGE("https://raw.githubusercontent.com/stautonico/pokemon-home-pokedex/main/sprites/alcremie-ruby-swirl-love.png", 2)</f>
        <v>0</v>
      </c>
      <c r="N181" s="38">
        <f>IMAGE("https://raw.githubusercontent.com/stautonico/pokemon-home-pokedex/main/sprites/alcremie-ruby-swirl-star.png", 2)</f>
        <v>0</v>
      </c>
    </row>
    <row r="182" spans="2:14" ht="72" customHeight="1">
      <c r="B182" s="38">
        <f>IMAGE("https://raw.githubusercontent.com/stautonico/pokemon-home-pokedex/main/sprites/alcremie-matcha-cream-clover.png", 2)</f>
        <v>0</v>
      </c>
      <c r="C182" s="38">
        <f>IMAGE("https://raw.githubusercontent.com/stautonico/pokemon-home-pokedex/main/sprites/alcremie-matcha-cream-flower.png", 2)</f>
        <v>0</v>
      </c>
      <c r="D182" s="38">
        <f>IMAGE("https://raw.githubusercontent.com/stautonico/pokemon-home-pokedex/main/sprites/alcremie-matcha-cream-ribbon.png", 2)</f>
        <v>0</v>
      </c>
      <c r="E182" s="38">
        <f>IMAGE("https://raw.githubusercontent.com/stautonico/pokemon-home-pokedex/main/sprites/alcremie-mint-cream-strawberry.png", 2)</f>
        <v>0</v>
      </c>
      <c r="F182" s="38">
        <f>IMAGE("https://raw.githubusercontent.com/stautonico/pokemon-home-pokedex/main/sprites/alcremie-mint-cream-berry.png", 2)</f>
        <v>0</v>
      </c>
      <c r="G182" s="38">
        <f>IMAGE("https://raw.githubusercontent.com/stautonico/pokemon-home-pokedex/main/sprites/alcremie-mint-cream-love.png", 2)</f>
        <v>0</v>
      </c>
      <c r="I182" s="38">
        <f>IMAGE("https://raw.githubusercontent.com/stautonico/pokemon-home-pokedex/main/sprites/alcremie-ruby-swirl-clover.png", 2)</f>
        <v>0</v>
      </c>
      <c r="J182" s="38">
        <f>IMAGE("https://raw.githubusercontent.com/stautonico/pokemon-home-pokedex/main/sprites/alcremie-ruby-swirl-flower.png", 2)</f>
        <v>0</v>
      </c>
      <c r="K182" s="38">
        <f>IMAGE("https://raw.githubusercontent.com/stautonico/pokemon-home-pokedex/main/sprites/alcremie-ruby-swirl-ribbon.png", 2)</f>
        <v>0</v>
      </c>
      <c r="L182" s="38">
        <f>IMAGE("https://raw.githubusercontent.com/stautonico/pokemon-home-pokedex/main/sprites/alcremie-caramel-swirl-strawberry.png", 2)</f>
        <v>0</v>
      </c>
      <c r="M182" s="38">
        <f>IMAGE("https://raw.githubusercontent.com/stautonico/pokemon-home-pokedex/main/sprites/alcremie-caramel-swirl-berry.png", 2)</f>
        <v>0</v>
      </c>
      <c r="N182" s="38">
        <f>IMAGE("https://raw.githubusercontent.com/stautonico/pokemon-home-pokedex/main/sprites/alcremie-caramel-swirl-love.png", 2)</f>
        <v>0</v>
      </c>
    </row>
    <row r="183" spans="2:14" ht="72" customHeight="1">
      <c r="B183" s="38">
        <f>IMAGE("https://raw.githubusercontent.com/stautonico/pokemon-home-pokedex/main/sprites/alcremie-mint-cream-star.png", 2)</f>
        <v>0</v>
      </c>
      <c r="C183" s="38">
        <f>IMAGE("https://raw.githubusercontent.com/stautonico/pokemon-home-pokedex/main/sprites/alcremie-mint-cream-clover.png", 2)</f>
        <v>0</v>
      </c>
      <c r="D183" s="38">
        <f>IMAGE("https://raw.githubusercontent.com/stautonico/pokemon-home-pokedex/main/sprites/alcremie-mint-cream-flower.png", 2)</f>
        <v>0</v>
      </c>
      <c r="E183" s="38">
        <f>IMAGE("https://raw.githubusercontent.com/stautonico/pokemon-home-pokedex/main/sprites/alcremie-mint-cream-ribbon.png", 2)</f>
        <v>0</v>
      </c>
      <c r="F183" s="38"/>
      <c r="G183" s="38"/>
      <c r="I183" s="38">
        <f>IMAGE("https://raw.githubusercontent.com/stautonico/pokemon-home-pokedex/main/sprites/alcremie-caramel-swirl-star.png", 2)</f>
        <v>0</v>
      </c>
      <c r="J183" s="38">
        <f>IMAGE("https://raw.githubusercontent.com/stautonico/pokemon-home-pokedex/main/sprites/alcremie-caramel-swirl-clover.png", 2)</f>
        <v>0</v>
      </c>
      <c r="K183" s="38">
        <f>IMAGE("https://raw.githubusercontent.com/stautonico/pokemon-home-pokedex/main/sprites/alcremie-caramel-swirl-flower.png", 2)</f>
        <v>0</v>
      </c>
      <c r="L183" s="38">
        <f>IMAGE("https://raw.githubusercontent.com/stautonico/pokemon-home-pokedex/main/sprites/alcremie-caramel-swirl-ribbon.png", 2)</f>
        <v>0</v>
      </c>
      <c r="M183" s="38"/>
      <c r="N183" s="38"/>
    </row>
    <row r="186" spans="2:14">
      <c r="B186" s="37" t="s">
        <v>1379</v>
      </c>
      <c r="I186" s="37" t="s">
        <v>1380</v>
      </c>
    </row>
    <row r="187" spans="2:14" ht="72" customHeight="1">
      <c r="B187" s="38">
        <f>IMAGE("https://raw.githubusercontent.com/stautonico/pokemon-home-pokedex/main/sprites/alcremie-rainbow-swirl-strawberry.png", 2)</f>
        <v>0</v>
      </c>
      <c r="C187" s="38">
        <f>IMAGE("https://raw.githubusercontent.com/stautonico/pokemon-home-pokedex/main/sprites/alcremie-rainbow-swirl-berry.png", 2)</f>
        <v>0</v>
      </c>
      <c r="D187" s="38">
        <f>IMAGE("https://raw.githubusercontent.com/stautonico/pokemon-home-pokedex/main/sprites/alcremie-rainbow-swirl-love.png", 2)</f>
        <v>0</v>
      </c>
      <c r="E187" s="38">
        <f>IMAGE("https://raw.githubusercontent.com/stautonico/pokemon-home-pokedex/main/sprites/alcremie-rainbow-swirl-star.png", 2)</f>
        <v>0</v>
      </c>
      <c r="F187" s="38">
        <f>IMAGE("https://raw.githubusercontent.com/stautonico/pokemon-home-pokedex/main/sprites/alcremie-rainbow-swirl-clover.png", 2)</f>
        <v>0</v>
      </c>
      <c r="G187" s="38">
        <f>IMAGE("https://raw.githubusercontent.com/stautonico/pokemon-home-pokedex/main/sprites/alcremie-rainbow-swirl-flower.png", 2)</f>
        <v>0</v>
      </c>
      <c r="I187" s="38">
        <f>IMAGE("https://raw.githubusercontent.com/stautonico/pokemon-home-pokedex/main/sprites/venusaur-gigantamax.png", 2)</f>
        <v>0</v>
      </c>
      <c r="J187" s="38">
        <f>IMAGE("https://raw.githubusercontent.com/stautonico/pokemon-home-pokedex/main/sprites/venusaur-f-gigantamax.png", 2)</f>
        <v>0</v>
      </c>
      <c r="K187" s="38">
        <f>IMAGE("https://raw.githubusercontent.com/stautonico/pokemon-home-pokedex/main/sprites/charizard-gigantamax.png", 2)</f>
        <v>0</v>
      </c>
      <c r="L187" s="38">
        <f>IMAGE("https://raw.githubusercontent.com/stautonico/pokemon-home-pokedex/main/sprites/blastoise-gigantamax.png", 2)</f>
        <v>0</v>
      </c>
      <c r="M187" s="38">
        <f>IMAGE("https://raw.githubusercontent.com/stautonico/pokemon-home-pokedex/main/sprites/butterfree-gigantamax.png", 2)</f>
        <v>0</v>
      </c>
      <c r="N187" s="38">
        <f>IMAGE("https://raw.githubusercontent.com/stautonico/pokemon-home-pokedex/main/sprites/butterfree-f-gigantamax.png", 2)</f>
        <v>0</v>
      </c>
    </row>
    <row r="188" spans="2:14" ht="72" customHeight="1">
      <c r="B188" s="38">
        <f>IMAGE("https://raw.githubusercontent.com/stautonico/pokemon-home-pokedex/main/sprites/alcremie-rainbow-swirl-ribbon.png", 2)</f>
        <v>0</v>
      </c>
      <c r="C188" s="38"/>
      <c r="D188" s="38"/>
      <c r="E188" s="38"/>
      <c r="F188" s="38"/>
      <c r="G188" s="38"/>
      <c r="I188" s="38">
        <f>IMAGE("https://raw.githubusercontent.com/stautonico/pokemon-home-pokedex/main/sprites/pikachu-gigantamax.png", 2)</f>
        <v>0</v>
      </c>
      <c r="J188" s="38">
        <f>IMAGE("https://raw.githubusercontent.com/stautonico/pokemon-home-pokedex/main/sprites/pikachu-f-gigantamax.png", 2)</f>
        <v>0</v>
      </c>
      <c r="K188" s="38">
        <f>IMAGE("https://raw.githubusercontent.com/stautonico/pokemon-home-pokedex/main/sprites/meowth-gigantamax.png", 2)</f>
        <v>0</v>
      </c>
      <c r="L188" s="38">
        <f>IMAGE("https://raw.githubusercontent.com/stautonico/pokemon-home-pokedex/main/sprites/machamp-gigantamax.png", 2)</f>
        <v>0</v>
      </c>
      <c r="M188" s="38">
        <f>IMAGE("https://raw.githubusercontent.com/stautonico/pokemon-home-pokedex/main/sprites/gengar-gigantamax.png", 2)</f>
        <v>0</v>
      </c>
      <c r="N188" s="38">
        <f>IMAGE("https://raw.githubusercontent.com/stautonico/pokemon-home-pokedex/main/sprites/kingler-gigantamax.png", 2)</f>
        <v>0</v>
      </c>
    </row>
    <row r="189" spans="2:14" ht="72" customHeight="1">
      <c r="B189" s="38"/>
      <c r="C189" s="38"/>
      <c r="D189" s="38"/>
      <c r="E189" s="38"/>
      <c r="F189" s="38"/>
      <c r="G189" s="38"/>
      <c r="I189" s="38">
        <f>IMAGE("https://raw.githubusercontent.com/stautonico/pokemon-home-pokedex/main/sprites/lapras-gigantamax.png", 2)</f>
        <v>0</v>
      </c>
      <c r="J189" s="38">
        <f>IMAGE("https://raw.githubusercontent.com/stautonico/pokemon-home-pokedex/main/sprites/eevee-gigantamax.png", 2)</f>
        <v>0</v>
      </c>
      <c r="K189" s="38">
        <f>IMAGE("https://raw.githubusercontent.com/stautonico/pokemon-home-pokedex/main/sprites/eevee-f-gigantamax.png", 2)</f>
        <v>0</v>
      </c>
      <c r="L189" s="38">
        <f>IMAGE("https://raw.githubusercontent.com/stautonico/pokemon-home-pokedex/main/sprites/snorlax-gigantamax.png", 2)</f>
        <v>0</v>
      </c>
      <c r="M189" s="38">
        <f>IMAGE("https://raw.githubusercontent.com/stautonico/pokemon-home-pokedex/main/sprites/garbodor-gigantamax.png", 2)</f>
        <v>0</v>
      </c>
      <c r="N189" s="38">
        <f>IMAGE("https://raw.githubusercontent.com/stautonico/pokemon-home-pokedex/main/sprites/melmetal-gigantamax.png", 2)</f>
        <v>0</v>
      </c>
    </row>
    <row r="190" spans="2:14" ht="72" customHeight="1">
      <c r="B190" s="38"/>
      <c r="C190" s="38"/>
      <c r="D190" s="38"/>
      <c r="E190" s="38"/>
      <c r="F190" s="38"/>
      <c r="G190" s="38"/>
      <c r="I190" s="38">
        <f>IMAGE("https://raw.githubusercontent.com/stautonico/pokemon-home-pokedex/main/sprites/rillaboom-gigantamax.png", 2)</f>
        <v>0</v>
      </c>
      <c r="J190" s="38">
        <f>IMAGE("https://raw.githubusercontent.com/stautonico/pokemon-home-pokedex/main/sprites/cinderace-gigantamax.png", 2)</f>
        <v>0</v>
      </c>
      <c r="K190" s="38">
        <f>IMAGE("https://raw.githubusercontent.com/stautonico/pokemon-home-pokedex/main/sprites/inteleon-gigantamax.png", 2)</f>
        <v>0</v>
      </c>
      <c r="L190" s="38">
        <f>IMAGE("https://raw.githubusercontent.com/stautonico/pokemon-home-pokedex/main/sprites/corviknight-gigantamax.png", 2)</f>
        <v>0</v>
      </c>
      <c r="M190" s="38">
        <f>IMAGE("https://raw.githubusercontent.com/stautonico/pokemon-home-pokedex/main/sprites/orbeetle-gigantamax.png", 2)</f>
        <v>0</v>
      </c>
      <c r="N190" s="38">
        <f>IMAGE("https://raw.githubusercontent.com/stautonico/pokemon-home-pokedex/main/sprites/drednaw-gigantamax.png", 2)</f>
        <v>0</v>
      </c>
    </row>
    <row r="191" spans="2:14" ht="72" customHeight="1">
      <c r="B191" s="38"/>
      <c r="C191" s="38"/>
      <c r="D191" s="38"/>
      <c r="E191" s="38"/>
      <c r="F191" s="38"/>
      <c r="G191" s="38"/>
      <c r="I191" s="38">
        <f>IMAGE("https://raw.githubusercontent.com/stautonico/pokemon-home-pokedex/main/sprites/coalossal-gigantamax.png", 2)</f>
        <v>0</v>
      </c>
      <c r="J191" s="38">
        <f>IMAGE("https://raw.githubusercontent.com/stautonico/pokemon-home-pokedex/main/sprites/flapple-gigantamax.png", 2)</f>
        <v>0</v>
      </c>
      <c r="K191" s="38">
        <f>IMAGE("https://raw.githubusercontent.com/stautonico/pokemon-home-pokedex/main/sprites/appletun-gigantamax.png", 2)</f>
        <v>0</v>
      </c>
      <c r="L191" s="38">
        <f>IMAGE("https://raw.githubusercontent.com/stautonico/pokemon-home-pokedex/main/sprites/sandaconda-gigantamax.png", 2)</f>
        <v>0</v>
      </c>
      <c r="M191" s="38">
        <f>IMAGE("https://raw.githubusercontent.com/stautonico/pokemon-home-pokedex/main/sprites/toxtricity-gigantamax.png", 2)</f>
        <v>0</v>
      </c>
      <c r="N191" s="38">
        <f>IMAGE("https://raw.githubusercontent.com/stautonico/pokemon-home-pokedex/main/sprites/toxtricity-low-key-gigantamax.png", 2)</f>
        <v>0</v>
      </c>
    </row>
    <row r="194" spans="2:14">
      <c r="B194" s="37" t="s">
        <v>1381</v>
      </c>
      <c r="I194" s="37" t="s">
        <v>1382</v>
      </c>
    </row>
    <row r="195" spans="2:14" ht="72" customHeight="1">
      <c r="B195" s="38">
        <f>IMAGE("https://raw.githubusercontent.com/stautonico/pokemon-home-pokedex/main/sprites/centiskorch-gigantamax.png", 2)</f>
        <v>0</v>
      </c>
      <c r="C195" s="38">
        <f>IMAGE("https://raw.githubusercontent.com/stautonico/pokemon-home-pokedex/main/sprites/hatterene-gigantamax.png", 2)</f>
        <v>0</v>
      </c>
      <c r="D195" s="38">
        <f>IMAGE("https://raw.githubusercontent.com/stautonico/pokemon-home-pokedex/main/sprites/grimmsnarl-gigantamax.png", 2)</f>
        <v>0</v>
      </c>
      <c r="E195" s="38">
        <f>IMAGE("https://raw.githubusercontent.com/stautonico/pokemon-home-pokedex/main/sprites/alcremie-gigantamax.png", 2)</f>
        <v>0</v>
      </c>
      <c r="F195" s="38">
        <f>IMAGE("https://raw.githubusercontent.com/stautonico/pokemon-home-pokedex/main/sprites/copperajah-gigantamax.png", 2)</f>
        <v>0</v>
      </c>
      <c r="G195" s="38">
        <f>IMAGE("https://raw.githubusercontent.com/stautonico/pokemon-home-pokedex/main/sprites/duraludon-gigantamax.png", 2)</f>
        <v>0</v>
      </c>
      <c r="I195" s="38"/>
      <c r="J195" s="38"/>
      <c r="K195" s="38"/>
      <c r="L195" s="38"/>
      <c r="M195" s="38"/>
      <c r="N195" s="38"/>
    </row>
    <row r="196" spans="2:14" ht="72" customHeight="1">
      <c r="B196" s="38">
        <f>IMAGE("https://raw.githubusercontent.com/stautonico/pokemon-home-pokedex/main/sprites/urshifu-single-strike-gigantamax.png", 2)</f>
        <v>0</v>
      </c>
      <c r="C196" s="38">
        <f>IMAGE("https://raw.githubusercontent.com/stautonico/pokemon-home-pokedex/main/sprites/urshifu-rapid-strike-gigantamax.png", 2)</f>
        <v>0</v>
      </c>
      <c r="D196" s="38"/>
      <c r="E196" s="38"/>
      <c r="F196" s="38"/>
      <c r="G196" s="38"/>
      <c r="I196" s="38"/>
      <c r="J196" s="38"/>
      <c r="K196" s="38"/>
      <c r="L196" s="38"/>
      <c r="M196" s="38"/>
      <c r="N196" s="38"/>
    </row>
    <row r="197" spans="2:14" ht="72" customHeight="1">
      <c r="B197" s="38"/>
      <c r="C197" s="38"/>
      <c r="D197" s="38"/>
      <c r="E197" s="38"/>
      <c r="F197" s="38"/>
      <c r="G197" s="38"/>
      <c r="I197" s="38"/>
      <c r="J197" s="38"/>
      <c r="K197" s="38"/>
      <c r="L197" s="38"/>
      <c r="M197" s="38"/>
      <c r="N197" s="38"/>
    </row>
    <row r="198" spans="2:14" ht="72" customHeight="1">
      <c r="B198" s="38"/>
      <c r="C198" s="38"/>
      <c r="D198" s="38"/>
      <c r="E198" s="38"/>
      <c r="F198" s="38"/>
      <c r="G198" s="38"/>
      <c r="I198" s="38"/>
      <c r="J198" s="38"/>
      <c r="K198" s="38"/>
      <c r="L198" s="38"/>
      <c r="M198" s="38"/>
      <c r="N198" s="38"/>
    </row>
    <row r="199" spans="2:14" ht="72" customHeight="1">
      <c r="B199" s="38"/>
      <c r="C199" s="38"/>
      <c r="D199" s="38"/>
      <c r="E199" s="38"/>
      <c r="F199" s="38"/>
      <c r="G199" s="38"/>
      <c r="I199" s="38"/>
      <c r="J199" s="38"/>
      <c r="K199" s="38"/>
      <c r="L199" s="38"/>
      <c r="M199" s="38"/>
      <c r="N199" s="38"/>
    </row>
    <row r="202" spans="2:14">
      <c r="B202" s="37" t="s">
        <v>1383</v>
      </c>
      <c r="I202" s="37" t="s">
        <v>1384</v>
      </c>
    </row>
    <row r="203" spans="2:14" ht="72" customHeight="1">
      <c r="B203" s="38">
        <f>IMAGE("https://raw.githubusercontent.com/stautonico/pokemon-home-pokedex/main/sprites/rattata-alola.png", 2)</f>
        <v>0</v>
      </c>
      <c r="C203" s="38">
        <f>IMAGE("https://raw.githubusercontent.com/stautonico/pokemon-home-pokedex/main/sprites/raticate-alola.png", 2)</f>
        <v>0</v>
      </c>
      <c r="D203" s="38">
        <f>IMAGE("https://raw.githubusercontent.com/stautonico/pokemon-home-pokedex/main/sprites/raichu-alola.png", 2)</f>
        <v>0</v>
      </c>
      <c r="E203" s="38">
        <f>IMAGE("https://raw.githubusercontent.com/stautonico/pokemon-home-pokedex/main/sprites/sandshrew-alola.png", 2)</f>
        <v>0</v>
      </c>
      <c r="F203" s="38">
        <f>IMAGE("https://raw.githubusercontent.com/stautonico/pokemon-home-pokedex/main/sprites/sandslash-alola.png", 2)</f>
        <v>0</v>
      </c>
      <c r="G203" s="38">
        <f>IMAGE("https://raw.githubusercontent.com/stautonico/pokemon-home-pokedex/main/sprites/vulpix-alola.png", 2)</f>
        <v>0</v>
      </c>
      <c r="I203" s="38">
        <f>IMAGE("https://raw.githubusercontent.com/stautonico/pokemon-home-pokedex/main/sprites/meowth-galar.png", 2)</f>
        <v>0</v>
      </c>
      <c r="J203" s="38">
        <f>IMAGE("https://raw.githubusercontent.com/stautonico/pokemon-home-pokedex/main/sprites/ponyta-galar.png", 2)</f>
        <v>0</v>
      </c>
      <c r="K203" s="38">
        <f>IMAGE("https://raw.githubusercontent.com/stautonico/pokemon-home-pokedex/main/sprites/rapidash-galar.png", 2)</f>
        <v>0</v>
      </c>
      <c r="L203" s="38">
        <f>IMAGE("https://raw.githubusercontent.com/stautonico/pokemon-home-pokedex/main/sprites/slowpoke-galar.png", 2)</f>
        <v>0</v>
      </c>
      <c r="M203" s="38">
        <f>IMAGE("https://raw.githubusercontent.com/stautonico/pokemon-home-pokedex/main/sprites/slowbro-galar.png", 2)</f>
        <v>0</v>
      </c>
      <c r="N203" s="38">
        <f>IMAGE("https://raw.githubusercontent.com/stautonico/pokemon-home-pokedex/main/sprites/farfetchd-galar.png", 2)</f>
        <v>0</v>
      </c>
    </row>
    <row r="204" spans="2:14" ht="72" customHeight="1">
      <c r="B204" s="38">
        <f>IMAGE("https://raw.githubusercontent.com/stautonico/pokemon-home-pokedex/main/sprites/ninetales-alola.png", 2)</f>
        <v>0</v>
      </c>
      <c r="C204" s="38">
        <f>IMAGE("https://raw.githubusercontent.com/stautonico/pokemon-home-pokedex/main/sprites/diglett-alola.png", 2)</f>
        <v>0</v>
      </c>
      <c r="D204" s="38">
        <f>IMAGE("https://raw.githubusercontent.com/stautonico/pokemon-home-pokedex/main/sprites/dugtrio-alola.png", 2)</f>
        <v>0</v>
      </c>
      <c r="E204" s="38">
        <f>IMAGE("https://raw.githubusercontent.com/stautonico/pokemon-home-pokedex/main/sprites/meowth-alola.png", 2)</f>
        <v>0</v>
      </c>
      <c r="F204" s="38">
        <f>IMAGE("https://raw.githubusercontent.com/stautonico/pokemon-home-pokedex/main/sprites/persian-alola.png", 2)</f>
        <v>0</v>
      </c>
      <c r="G204" s="38">
        <f>IMAGE("https://raw.githubusercontent.com/stautonico/pokemon-home-pokedex/main/sprites/geodude-alola.png", 2)</f>
        <v>0</v>
      </c>
      <c r="I204" s="38">
        <f>IMAGE("https://raw.githubusercontent.com/stautonico/pokemon-home-pokedex/main/sprites/weezing-galar.png", 2)</f>
        <v>0</v>
      </c>
      <c r="J204" s="38">
        <f>IMAGE("https://raw.githubusercontent.com/stautonico/pokemon-home-pokedex/main/sprites/mrmime-galar.png", 2)</f>
        <v>0</v>
      </c>
      <c r="K204" s="38">
        <f>IMAGE("https://raw.githubusercontent.com/stautonico/pokemon-home-pokedex/main/sprites/articuno-galar.png", 2)</f>
        <v>0</v>
      </c>
      <c r="L204" s="38">
        <f>IMAGE("https://raw.githubusercontent.com/stautonico/pokemon-home-pokedex/main/sprites/zapdos-galar.png", 2)</f>
        <v>0</v>
      </c>
      <c r="M204" s="38">
        <f>IMAGE("https://raw.githubusercontent.com/stautonico/pokemon-home-pokedex/main/sprites/moltres-galar.png", 2)</f>
        <v>0</v>
      </c>
      <c r="N204" s="38">
        <f>IMAGE("https://raw.githubusercontent.com/stautonico/pokemon-home-pokedex/main/sprites/slowking-galar.png", 2)</f>
        <v>0</v>
      </c>
    </row>
    <row r="205" spans="2:14" ht="72" customHeight="1">
      <c r="B205" s="38">
        <f>IMAGE("https://raw.githubusercontent.com/stautonico/pokemon-home-pokedex/main/sprites/graveler-alola.png", 2)</f>
        <v>0</v>
      </c>
      <c r="C205" s="38">
        <f>IMAGE("https://raw.githubusercontent.com/stautonico/pokemon-home-pokedex/main/sprites/golem-alola.png", 2)</f>
        <v>0</v>
      </c>
      <c r="D205" s="38">
        <f>IMAGE("https://raw.githubusercontent.com/stautonico/pokemon-home-pokedex/main/sprites/grimer-alola.png", 2)</f>
        <v>0</v>
      </c>
      <c r="E205" s="38">
        <f>IMAGE("https://raw.githubusercontent.com/stautonico/pokemon-home-pokedex/main/sprites/muk-alola.png", 2)</f>
        <v>0</v>
      </c>
      <c r="F205" s="38">
        <f>IMAGE("https://raw.githubusercontent.com/stautonico/pokemon-home-pokedex/main/sprites/exeggutor-alola.png", 2)</f>
        <v>0</v>
      </c>
      <c r="G205" s="38">
        <f>IMAGE("https://raw.githubusercontent.com/stautonico/pokemon-home-pokedex/main/sprites/marowak-alola.png", 2)</f>
        <v>0</v>
      </c>
      <c r="I205" s="38">
        <f>IMAGE("https://raw.githubusercontent.com/stautonico/pokemon-home-pokedex/main/sprites/corsola-galar.png", 2)</f>
        <v>0</v>
      </c>
      <c r="J205" s="38">
        <f>IMAGE("https://raw.githubusercontent.com/stautonico/pokemon-home-pokedex/main/sprites/zigzagoon-galar.png", 2)</f>
        <v>0</v>
      </c>
      <c r="K205" s="38">
        <f>IMAGE("https://raw.githubusercontent.com/stautonico/pokemon-home-pokedex/main/sprites/linoone-galar.png", 2)</f>
        <v>0</v>
      </c>
      <c r="L205" s="38">
        <f>IMAGE("https://raw.githubusercontent.com/stautonico/pokemon-home-pokedex/main/sprites/darumaka-galar.png", 2)</f>
        <v>0</v>
      </c>
      <c r="M205" s="38">
        <f>IMAGE("https://raw.githubusercontent.com/stautonico/pokemon-home-pokedex/main/sprites/darmanitan-galar.png", 2)</f>
        <v>0</v>
      </c>
      <c r="N205" s="38">
        <f>IMAGE("https://raw.githubusercontent.com/stautonico/pokemon-home-pokedex/main/sprites/yamask-galar.png", 2)</f>
        <v>0</v>
      </c>
    </row>
    <row r="206" spans="2:14" ht="72" customHeight="1">
      <c r="B206" s="38"/>
      <c r="C206" s="38"/>
      <c r="D206" s="38"/>
      <c r="E206" s="38"/>
      <c r="F206" s="38"/>
      <c r="G206" s="38"/>
      <c r="I206" s="38">
        <f>IMAGE("https://raw.githubusercontent.com/stautonico/pokemon-home-pokedex/main/sprites/stunfisk-galar.png", 2)</f>
        <v>0</v>
      </c>
      <c r="J206" s="38"/>
      <c r="K206" s="38"/>
      <c r="L206" s="38"/>
      <c r="M206" s="38"/>
      <c r="N206" s="38"/>
    </row>
    <row r="207" spans="2:14" ht="72" customHeight="1">
      <c r="B207" s="38"/>
      <c r="C207" s="38"/>
      <c r="D207" s="38"/>
      <c r="E207" s="38"/>
      <c r="F207" s="38"/>
      <c r="G207" s="38"/>
      <c r="I207" s="38"/>
      <c r="J207" s="38"/>
      <c r="K207" s="38"/>
      <c r="L207" s="38"/>
      <c r="M207" s="38"/>
      <c r="N207" s="38"/>
    </row>
    <row r="210" spans="2:7">
      <c r="B210" s="37" t="s">
        <v>1385</v>
      </c>
    </row>
    <row r="211" spans="2:7" ht="72" customHeight="1">
      <c r="B211" s="38">
        <f>IMAGE("https://raw.githubusercontent.com/stautonico/pokemon-home-pokedex/main/sprites/growlithe-hisui.png", 2)</f>
        <v>0</v>
      </c>
      <c r="C211" s="38">
        <f>IMAGE("https://raw.githubusercontent.com/stautonico/pokemon-home-pokedex/main/sprites/arcanine-hisui.png", 2)</f>
        <v>0</v>
      </c>
      <c r="D211" s="38">
        <f>IMAGE("https://raw.githubusercontent.com/stautonico/pokemon-home-pokedex/main/sprites/voltorb-hisui.png", 2)</f>
        <v>0</v>
      </c>
      <c r="E211" s="38">
        <f>IMAGE("https://raw.githubusercontent.com/stautonico/pokemon-home-pokedex/main/sprites/electrode-hisui.png", 2)</f>
        <v>0</v>
      </c>
      <c r="F211" s="38">
        <f>IMAGE("https://raw.githubusercontent.com/stautonico/pokemon-home-pokedex/main/sprites/typhlosion-hisui.png", 2)</f>
        <v>0</v>
      </c>
      <c r="G211" s="38">
        <f>IMAGE("https://raw.githubusercontent.com/stautonico/pokemon-home-pokedex/main/sprites/qwilfish-hisui.png", 2)</f>
        <v>0</v>
      </c>
    </row>
    <row r="212" spans="2:7" ht="72" customHeight="1">
      <c r="B212" s="38">
        <f>IMAGE("https://raw.githubusercontent.com/stautonico/pokemon-home-pokedex/main/sprites/sneasel-hisui.png", 2)</f>
        <v>0</v>
      </c>
      <c r="C212" s="38">
        <f>IMAGE("https://raw.githubusercontent.com/stautonico/pokemon-home-pokedex/main/sprites/samurott-hisui.png", 2)</f>
        <v>0</v>
      </c>
      <c r="D212" s="38">
        <f>IMAGE("https://raw.githubusercontent.com/stautonico/pokemon-home-pokedex/main/sprites/lilligant-hisui.png", 2)</f>
        <v>0</v>
      </c>
      <c r="E212" s="38">
        <f>IMAGE("https://raw.githubusercontent.com/stautonico/pokemon-home-pokedex/main/sprites/basculin-white-striped.png", 2)</f>
        <v>0</v>
      </c>
      <c r="F212" s="38">
        <f>IMAGE("https://raw.githubusercontent.com/stautonico/pokemon-home-pokedex/main/sprites/zorua-hisui.png", 2)</f>
        <v>0</v>
      </c>
      <c r="G212" s="38">
        <f>IMAGE("https://raw.githubusercontent.com/stautonico/pokemon-home-pokedex/main/sprites/zoroark-hisui.png", 2)</f>
        <v>0</v>
      </c>
    </row>
    <row r="213" spans="2:7" ht="72" customHeight="1">
      <c r="B213" s="38">
        <f>IMAGE("https://raw.githubusercontent.com/stautonico/pokemon-home-pokedex/main/sprites/braviary-hisui.png", 2)</f>
        <v>0</v>
      </c>
      <c r="C213" s="38">
        <f>IMAGE("https://raw.githubusercontent.com/stautonico/pokemon-home-pokedex/main/sprites/sliggoo-hisui.png", 2)</f>
        <v>0</v>
      </c>
      <c r="D213" s="38">
        <f>IMAGE("https://raw.githubusercontent.com/stautonico/pokemon-home-pokedex/main/sprites/goodra-hisui.png", 2)</f>
        <v>0</v>
      </c>
      <c r="E213" s="38">
        <f>IMAGE("https://raw.githubusercontent.com/stautonico/pokemon-home-pokedex/main/sprites/avalugg-hisui.png", 2)</f>
        <v>0</v>
      </c>
      <c r="F213" s="38">
        <f>IMAGE("https://raw.githubusercontent.com/stautonico/pokemon-home-pokedex/main/sprites/decidueye-hisui.png", 2)</f>
        <v>0</v>
      </c>
      <c r="G213" s="38"/>
    </row>
    <row r="214" spans="2:7" ht="72" customHeight="1">
      <c r="B214" s="38"/>
      <c r="C214" s="38"/>
      <c r="D214" s="38"/>
      <c r="E214" s="38"/>
      <c r="F214" s="38"/>
      <c r="G214" s="38"/>
    </row>
    <row r="215" spans="2:7" ht="72" customHeight="1">
      <c r="B215" s="38"/>
      <c r="C215" s="38"/>
      <c r="D215" s="38"/>
      <c r="E215" s="38"/>
      <c r="F215" s="38"/>
      <c r="G215" s="38"/>
    </row>
  </sheetData>
  <mergeCells count="53">
    <mergeCell ref="B2:G2"/>
    <mergeCell ref="I2:N2"/>
    <mergeCell ref="B10:G10"/>
    <mergeCell ref="I10:N10"/>
    <mergeCell ref="B18:G18"/>
    <mergeCell ref="I18:N18"/>
    <mergeCell ref="B26:G26"/>
    <mergeCell ref="I26:N26"/>
    <mergeCell ref="B34:G34"/>
    <mergeCell ref="I34:N34"/>
    <mergeCell ref="B42:G42"/>
    <mergeCell ref="I42:N42"/>
    <mergeCell ref="B50:G50"/>
    <mergeCell ref="I50:N50"/>
    <mergeCell ref="B58:G58"/>
    <mergeCell ref="I58:N58"/>
    <mergeCell ref="B66:G66"/>
    <mergeCell ref="I66:N66"/>
    <mergeCell ref="B74:G74"/>
    <mergeCell ref="I74:N74"/>
    <mergeCell ref="B82:G82"/>
    <mergeCell ref="I82:N82"/>
    <mergeCell ref="B90:G90"/>
    <mergeCell ref="I90:N90"/>
    <mergeCell ref="B98:G98"/>
    <mergeCell ref="I98:N98"/>
    <mergeCell ref="B106:G106"/>
    <mergeCell ref="I106:N106"/>
    <mergeCell ref="B114:G114"/>
    <mergeCell ref="I114:N114"/>
    <mergeCell ref="B122:G122"/>
    <mergeCell ref="I122:N122"/>
    <mergeCell ref="B130:G130"/>
    <mergeCell ref="I130:N130"/>
    <mergeCell ref="B138:G138"/>
    <mergeCell ref="I138:N138"/>
    <mergeCell ref="B146:G146"/>
    <mergeCell ref="I146:N146"/>
    <mergeCell ref="B154:G154"/>
    <mergeCell ref="I154:N154"/>
    <mergeCell ref="B162:G162"/>
    <mergeCell ref="I162:N162"/>
    <mergeCell ref="B170:G170"/>
    <mergeCell ref="I170:N170"/>
    <mergeCell ref="B178:G178"/>
    <mergeCell ref="I178:N178"/>
    <mergeCell ref="B186:G186"/>
    <mergeCell ref="I186:N186"/>
    <mergeCell ref="B194:G194"/>
    <mergeCell ref="I194:N194"/>
    <mergeCell ref="B202:G202"/>
    <mergeCell ref="I202:N202"/>
    <mergeCell ref="B210:G210"/>
  </mergeCells>
  <conditionalFormatting sqref="B100">
    <cfRule type="expression" dxfId="3" priority="1478">
      <formula>COUNTIF(INDIRECT("Checklist!$A728"), "TRUE") = 1</formula>
    </cfRule>
    <cfRule type="expression" dxfId="4" priority="1479">
      <formula>COUNTIF(INDIRECT("Checklist!$A728"), "FALSE") = 1</formula>
    </cfRule>
  </conditionalFormatting>
  <conditionalFormatting sqref="B101">
    <cfRule type="expression" dxfId="3" priority="1490">
      <formula>COUNTIF(INDIRECT("Checklist!$A734"), "TRUE") = 1</formula>
    </cfRule>
    <cfRule type="expression" dxfId="4" priority="1491">
      <formula>COUNTIF(INDIRECT("Checklist!$A734"), "FALSE") = 1</formula>
    </cfRule>
  </conditionalFormatting>
  <conditionalFormatting sqref="B102">
    <cfRule type="expression" dxfId="3" priority="1502">
      <formula>COUNTIF(INDIRECT("Checklist!$A740"), "TRUE") = 1</formula>
    </cfRule>
    <cfRule type="expression" dxfId="4" priority="1503">
      <formula>COUNTIF(INDIRECT("Checklist!$A740"), "FALSE") = 1</formula>
    </cfRule>
  </conditionalFormatting>
  <conditionalFormatting sqref="B103">
    <cfRule type="expression" dxfId="3" priority="1514">
      <formula>COUNTIF(INDIRECT("Checklist!$A746"), "TRUE") = 1</formula>
    </cfRule>
    <cfRule type="expression" dxfId="4" priority="1515">
      <formula>COUNTIF(INDIRECT("Checklist!$A746"), "FALSE") = 1</formula>
    </cfRule>
  </conditionalFormatting>
  <conditionalFormatting sqref="B106:G106">
    <cfRule type="notContainsBlanks" dxfId="7" priority="1587">
      <formula>LEN(TRIM(B106))&gt;0</formula>
    </cfRule>
  </conditionalFormatting>
  <conditionalFormatting sqref="B107">
    <cfRule type="expression" dxfId="3" priority="1588">
      <formula>COUNTIF(INDIRECT("Checklist!$A782"), "TRUE") = 1</formula>
    </cfRule>
    <cfRule type="expression" dxfId="4" priority="1589">
      <formula>COUNTIF(INDIRECT("Checklist!$A782"), "FALSE") = 1</formula>
    </cfRule>
  </conditionalFormatting>
  <conditionalFormatting sqref="B108">
    <cfRule type="expression" dxfId="3" priority="1600">
      <formula>COUNTIF(INDIRECT("Checklist!$A788"), "TRUE") = 1</formula>
    </cfRule>
    <cfRule type="expression" dxfId="4" priority="1601">
      <formula>COUNTIF(INDIRECT("Checklist!$A788"), "FALSE") = 1</formula>
    </cfRule>
  </conditionalFormatting>
  <conditionalFormatting sqref="B109">
    <cfRule type="expression" dxfId="3" priority="1612">
      <formula>COUNTIF(INDIRECT("Checklist!$A794"), "TRUE") = 1</formula>
    </cfRule>
    <cfRule type="expression" dxfId="4" priority="1613">
      <formula>COUNTIF(INDIRECT("Checklist!$A794"), "FALSE") = 1</formula>
    </cfRule>
  </conditionalFormatting>
  <conditionalFormatting sqref="B10:G10">
    <cfRule type="notContainsBlanks" dxfId="7" priority="123">
      <formula>LEN(TRIM(B10))&gt;0</formula>
    </cfRule>
  </conditionalFormatting>
  <conditionalFormatting sqref="B11">
    <cfRule type="expression" dxfId="3" priority="124">
      <formula>COUNTIF(INDIRECT("Checklist!$A62"), "TRUE") = 1</formula>
    </cfRule>
    <cfRule type="expression" dxfId="4" priority="125">
      <formula>COUNTIF(INDIRECT("Checklist!$A62"), "FALSE") = 1</formula>
    </cfRule>
  </conditionalFormatting>
  <conditionalFormatting sqref="B110">
    <cfRule type="expression" dxfId="3" priority="1624">
      <formula>COUNTIF(INDIRECT("Checklist!$A800"), "TRUE") = 1</formula>
    </cfRule>
    <cfRule type="expression" dxfId="4" priority="1625">
      <formula>COUNTIF(INDIRECT("Checklist!$A800"), "FALSE") = 1</formula>
    </cfRule>
  </conditionalFormatting>
  <conditionalFormatting sqref="B111">
    <cfRule type="expression" dxfId="3" priority="1636">
      <formula>COUNTIF(INDIRECT("Checklist!$A806"), "TRUE") = 1</formula>
    </cfRule>
    <cfRule type="expression" dxfId="4" priority="1637">
      <formula>COUNTIF(INDIRECT("Checklist!$A806"), "FALSE") = 1</formula>
    </cfRule>
  </conditionalFormatting>
  <conditionalFormatting sqref="B114:G114">
    <cfRule type="notContainsBlanks" dxfId="7" priority="1709">
      <formula>LEN(TRIM(B114))&gt;0</formula>
    </cfRule>
  </conditionalFormatting>
  <conditionalFormatting sqref="B115">
    <cfRule type="expression" dxfId="3" priority="1710">
      <formula>COUNTIF(INDIRECT("Checklist!$A1227"), "TRUE") = 1</formula>
    </cfRule>
    <cfRule type="expression" dxfId="4" priority="1711">
      <formula>COUNTIF(INDIRECT("Checklist!$A1227"), "FALSE") = 1</formula>
    </cfRule>
  </conditionalFormatting>
  <conditionalFormatting sqref="B116">
    <cfRule type="expression" dxfId="3" priority="1722">
      <formula>COUNTIF(INDIRECT("Checklist!$A848"), "TRUE") = 1</formula>
    </cfRule>
    <cfRule type="expression" dxfId="4" priority="1723">
      <formula>COUNTIF(INDIRECT("Checklist!$A848"), "FALSE") = 1</formula>
    </cfRule>
  </conditionalFormatting>
  <conditionalFormatting sqref="B117">
    <cfRule type="expression" dxfId="3" priority="1734">
      <formula>COUNTIF(INDIRECT("Checklist!$A854"), "TRUE") = 1</formula>
    </cfRule>
    <cfRule type="expression" dxfId="4" priority="1735">
      <formula>COUNTIF(INDIRECT("Checklist!$A854"), "FALSE") = 1</formula>
    </cfRule>
  </conditionalFormatting>
  <conditionalFormatting sqref="B118">
    <cfRule type="expression" dxfId="3" priority="1746">
      <formula>COUNTIF(INDIRECT("Checklist!$A860"), "TRUE") = 1</formula>
    </cfRule>
    <cfRule type="expression" dxfId="4" priority="1747">
      <formula>COUNTIF(INDIRECT("Checklist!$A860"), "FALSE") = 1</formula>
    </cfRule>
  </conditionalFormatting>
  <conditionalFormatting sqref="B119">
    <cfRule type="expression" dxfId="3" priority="1758">
      <formula>COUNTIF(INDIRECT("Checklist!$A866"), "TRUE") = 1</formula>
    </cfRule>
    <cfRule type="expression" dxfId="4" priority="1759">
      <formula>COUNTIF(INDIRECT("Checklist!$A866"), "FALSE") = 1</formula>
    </cfRule>
  </conditionalFormatting>
  <conditionalFormatting sqref="B12">
    <cfRule type="expression" dxfId="3" priority="136">
      <formula>COUNTIF(INDIRECT("Checklist!$A68"), "TRUE") = 1</formula>
    </cfRule>
    <cfRule type="expression" dxfId="4" priority="137">
      <formula>COUNTIF(INDIRECT("Checklist!$A68"), "FALSE") = 1</formula>
    </cfRule>
  </conditionalFormatting>
  <conditionalFormatting sqref="B122:G122">
    <cfRule type="notContainsBlanks" dxfId="7" priority="1831">
      <formula>LEN(TRIM(B122))&gt;0</formula>
    </cfRule>
  </conditionalFormatting>
  <conditionalFormatting sqref="B123">
    <cfRule type="expression" dxfId="3" priority="1832">
      <formula>COUNTIF(INDIRECT("Checklist!$A902"), "TRUE") = 1</formula>
    </cfRule>
    <cfRule type="expression" dxfId="4" priority="1833">
      <formula>COUNTIF(INDIRECT("Checklist!$A902"), "FALSE") = 1</formula>
    </cfRule>
  </conditionalFormatting>
  <conditionalFormatting sqref="B124">
    <cfRule type="expression" dxfId="3" priority="1844">
      <formula>COUNTIF(INDIRECT("Checklist!$None"), "TRUE") = 1</formula>
    </cfRule>
    <cfRule type="expression" dxfId="4" priority="1845">
      <formula>COUNTIF(INDIRECT("Checklist!$None"), "FALSE") = 1</formula>
    </cfRule>
  </conditionalFormatting>
  <conditionalFormatting sqref="B125">
    <cfRule type="expression" dxfId="3" priority="1856">
      <formula>COUNTIF(INDIRECT("Checklist!$None"), "TRUE") = 1</formula>
    </cfRule>
    <cfRule type="expression" dxfId="4" priority="1857">
      <formula>COUNTIF(INDIRECT("Checklist!$None"), "FALSE") = 1</formula>
    </cfRule>
  </conditionalFormatting>
  <conditionalFormatting sqref="B126">
    <cfRule type="expression" dxfId="3" priority="1868">
      <formula>COUNTIF(INDIRECT("Checklist!$None"), "TRUE") = 1</formula>
    </cfRule>
    <cfRule type="expression" dxfId="4" priority="1869">
      <formula>COUNTIF(INDIRECT("Checklist!$None"), "FALSE") = 1</formula>
    </cfRule>
  </conditionalFormatting>
  <conditionalFormatting sqref="B127">
    <cfRule type="expression" dxfId="3" priority="1880">
      <formula>COUNTIF(INDIRECT("Checklist!$None"), "TRUE") = 1</formula>
    </cfRule>
    <cfRule type="expression" dxfId="4" priority="1881">
      <formula>COUNTIF(INDIRECT("Checklist!$None"), "FALSE") = 1</formula>
    </cfRule>
  </conditionalFormatting>
  <conditionalFormatting sqref="B13">
    <cfRule type="expression" dxfId="3" priority="148">
      <formula>COUNTIF(INDIRECT("Checklist!$A74"), "TRUE") = 1</formula>
    </cfRule>
    <cfRule type="expression" dxfId="4" priority="149">
      <formula>COUNTIF(INDIRECT("Checklist!$A74"), "FALSE") = 1</formula>
    </cfRule>
  </conditionalFormatting>
  <conditionalFormatting sqref="B130:G130">
    <cfRule type="notContainsBlanks" dxfId="7" priority="1953">
      <formula>LEN(TRIM(B130))&gt;0</formula>
    </cfRule>
  </conditionalFormatting>
  <conditionalFormatting sqref="B131">
    <cfRule type="expression" dxfId="3" priority="1954">
      <formula>COUNTIF(INDIRECT("Checklist!$A937"), "TRUE") = 1</formula>
    </cfRule>
    <cfRule type="expression" dxfId="4" priority="1955">
      <formula>COUNTIF(INDIRECT("Checklist!$A937"), "FALSE") = 1</formula>
    </cfRule>
  </conditionalFormatting>
  <conditionalFormatting sqref="B132">
    <cfRule type="expression" dxfId="3" priority="1966">
      <formula>COUNTIF(INDIRECT("Checklist!$A943"), "TRUE") = 1</formula>
    </cfRule>
    <cfRule type="expression" dxfId="4" priority="1967">
      <formula>COUNTIF(INDIRECT("Checklist!$A943"), "FALSE") = 1</formula>
    </cfRule>
  </conditionalFormatting>
  <conditionalFormatting sqref="B133">
    <cfRule type="expression" dxfId="3" priority="1978">
      <formula>COUNTIF(INDIRECT("Checklist!$A949"), "TRUE") = 1</formula>
    </cfRule>
    <cfRule type="expression" dxfId="4" priority="1979">
      <formula>COUNTIF(INDIRECT("Checklist!$A949"), "FALSE") = 1</formula>
    </cfRule>
  </conditionalFormatting>
  <conditionalFormatting sqref="B134">
    <cfRule type="expression" dxfId="3" priority="1990">
      <formula>COUNTIF(INDIRECT("Checklist!$A955"), "TRUE") = 1</formula>
    </cfRule>
    <cfRule type="expression" dxfId="4" priority="1991">
      <formula>COUNTIF(INDIRECT("Checklist!$A955"), "FALSE") = 1</formula>
    </cfRule>
  </conditionalFormatting>
  <conditionalFormatting sqref="B135">
    <cfRule type="expression" dxfId="3" priority="2002">
      <formula>COUNTIF(INDIRECT("Checklist!$A961"), "TRUE") = 1</formula>
    </cfRule>
    <cfRule type="expression" dxfId="4" priority="2003">
      <formula>COUNTIF(INDIRECT("Checklist!$A961"), "FALSE") = 1</formula>
    </cfRule>
  </conditionalFormatting>
  <conditionalFormatting sqref="B138:G138">
    <cfRule type="notContainsBlanks" dxfId="7" priority="2075">
      <formula>LEN(TRIM(B138))&gt;0</formula>
    </cfRule>
  </conditionalFormatting>
  <conditionalFormatting sqref="B139">
    <cfRule type="expression" dxfId="3" priority="2076">
      <formula>COUNTIF(INDIRECT("Checklist!$A997"), "TRUE") = 1</formula>
    </cfRule>
    <cfRule type="expression" dxfId="4" priority="2077">
      <formula>COUNTIF(INDIRECT("Checklist!$A997"), "FALSE") = 1</formula>
    </cfRule>
  </conditionalFormatting>
  <conditionalFormatting sqref="B14">
    <cfRule type="expression" dxfId="3" priority="160">
      <formula>COUNTIF(INDIRECT("Checklist!$A80"), "TRUE") = 1</formula>
    </cfRule>
    <cfRule type="expression" dxfId="4" priority="161">
      <formula>COUNTIF(INDIRECT("Checklist!$A80"), "FALSE") = 1</formula>
    </cfRule>
  </conditionalFormatting>
  <conditionalFormatting sqref="B140">
    <cfRule type="expression" dxfId="3" priority="2088">
      <formula>COUNTIF(INDIRECT("Checklist!$A1003"), "TRUE") = 1</formula>
    </cfRule>
    <cfRule type="expression" dxfId="4" priority="2089">
      <formula>COUNTIF(INDIRECT("Checklist!$A1003"), "FALSE") = 1</formula>
    </cfRule>
  </conditionalFormatting>
  <conditionalFormatting sqref="B141">
    <cfRule type="expression" dxfId="3" priority="2100">
      <formula>COUNTIF(INDIRECT("Checklist!$None"), "TRUE") = 1</formula>
    </cfRule>
    <cfRule type="expression" dxfId="4" priority="2101">
      <formula>COUNTIF(INDIRECT("Checklist!$None"), "FALSE") = 1</formula>
    </cfRule>
  </conditionalFormatting>
  <conditionalFormatting sqref="B142">
    <cfRule type="expression" dxfId="3" priority="2112">
      <formula>COUNTIF(INDIRECT("Checklist!$None"), "TRUE") = 1</formula>
    </cfRule>
    <cfRule type="expression" dxfId="4" priority="2113">
      <formula>COUNTIF(INDIRECT("Checklist!$None"), "FALSE") = 1</formula>
    </cfRule>
  </conditionalFormatting>
  <conditionalFormatting sqref="B143">
    <cfRule type="expression" dxfId="3" priority="2124">
      <formula>COUNTIF(INDIRECT("Checklist!$None"), "TRUE") = 1</formula>
    </cfRule>
    <cfRule type="expression" dxfId="4" priority="2125">
      <formula>COUNTIF(INDIRECT("Checklist!$None"), "FALSE") = 1</formula>
    </cfRule>
  </conditionalFormatting>
  <conditionalFormatting sqref="B146:G146">
    <cfRule type="notContainsBlanks" dxfId="7" priority="2197">
      <formula>LEN(TRIM(B146))&gt;0</formula>
    </cfRule>
  </conditionalFormatting>
  <conditionalFormatting sqref="B147">
    <cfRule type="expression" dxfId="3" priority="2198">
      <formula>COUNTIF(INDIRECT("Checklist!$A202"), "TRUE") = 1</formula>
    </cfRule>
    <cfRule type="expression" dxfId="4" priority="2199">
      <formula>COUNTIF(INDIRECT("Checklist!$A202"), "FALSE") = 1</formula>
    </cfRule>
  </conditionalFormatting>
  <conditionalFormatting sqref="B148">
    <cfRule type="expression" dxfId="3" priority="2210">
      <formula>COUNTIF(INDIRECT("Checklist!$A1022"), "TRUE") = 1</formula>
    </cfRule>
    <cfRule type="expression" dxfId="4" priority="2211">
      <formula>COUNTIF(INDIRECT("Checklist!$A1022"), "FALSE") = 1</formula>
    </cfRule>
  </conditionalFormatting>
  <conditionalFormatting sqref="B149">
    <cfRule type="expression" dxfId="3" priority="2222">
      <formula>COUNTIF(INDIRECT("Checklist!$A1028"), "TRUE") = 1</formula>
    </cfRule>
    <cfRule type="expression" dxfId="4" priority="2223">
      <formula>COUNTIF(INDIRECT("Checklist!$A1028"), "FALSE") = 1</formula>
    </cfRule>
  </conditionalFormatting>
  <conditionalFormatting sqref="B15">
    <cfRule type="expression" dxfId="3" priority="172">
      <formula>COUNTIF(INDIRECT("Checklist!$A86"), "TRUE") = 1</formula>
    </cfRule>
    <cfRule type="expression" dxfId="4" priority="173">
      <formula>COUNTIF(INDIRECT("Checklist!$A86"), "FALSE") = 1</formula>
    </cfRule>
  </conditionalFormatting>
  <conditionalFormatting sqref="B150">
    <cfRule type="expression" dxfId="3" priority="2234">
      <formula>COUNTIF(INDIRECT("Checklist!$A1034"), "TRUE") = 1</formula>
    </cfRule>
    <cfRule type="expression" dxfId="4" priority="2235">
      <formula>COUNTIF(INDIRECT("Checklist!$A1034"), "FALSE") = 1</formula>
    </cfRule>
  </conditionalFormatting>
  <conditionalFormatting sqref="B151">
    <cfRule type="expression" dxfId="3" priority="2246">
      <formula>COUNTIF(INDIRECT("Checklist!$A1040"), "TRUE") = 1</formula>
    </cfRule>
    <cfRule type="expression" dxfId="4" priority="2247">
      <formula>COUNTIF(INDIRECT("Checklist!$A1040"), "FALSE") = 1</formula>
    </cfRule>
  </conditionalFormatting>
  <conditionalFormatting sqref="B154:G154">
    <cfRule type="notContainsBlanks" dxfId="7" priority="2319">
      <formula>LEN(TRIM(B154))&gt;0</formula>
    </cfRule>
  </conditionalFormatting>
  <conditionalFormatting sqref="B155">
    <cfRule type="expression" dxfId="3" priority="2320">
      <formula>COUNTIF(INDIRECT("Checklist!$A586"), "TRUE") = 1</formula>
    </cfRule>
    <cfRule type="expression" dxfId="4" priority="2321">
      <formula>COUNTIF(INDIRECT("Checklist!$A586"), "FALSE") = 1</formula>
    </cfRule>
  </conditionalFormatting>
  <conditionalFormatting sqref="B156">
    <cfRule type="expression" dxfId="3" priority="2332">
      <formula>COUNTIF(INDIRECT("Checklist!$A587"), "TRUE") = 1</formula>
    </cfRule>
    <cfRule type="expression" dxfId="4" priority="2333">
      <formula>COUNTIF(INDIRECT("Checklist!$A587"), "FALSE") = 1</formula>
    </cfRule>
  </conditionalFormatting>
  <conditionalFormatting sqref="B157">
    <cfRule type="expression" dxfId="3" priority="2344">
      <formula>COUNTIF(INDIRECT("Checklist!$A551"), "TRUE") = 1</formula>
    </cfRule>
    <cfRule type="expression" dxfId="4" priority="2345">
      <formula>COUNTIF(INDIRECT("Checklist!$A551"), "FALSE") = 1</formula>
    </cfRule>
  </conditionalFormatting>
  <conditionalFormatting sqref="B158">
    <cfRule type="expression" dxfId="3" priority="2356">
      <formula>COUNTIF(INDIRECT("Checklist!$A642"), "TRUE") = 1</formula>
    </cfRule>
    <cfRule type="expression" dxfId="4" priority="2357">
      <formula>COUNTIF(INDIRECT("Checklist!$A642"), "FALSE") = 1</formula>
    </cfRule>
  </conditionalFormatting>
  <conditionalFormatting sqref="B159">
    <cfRule type="expression" dxfId="3" priority="2368">
      <formula>COUNTIF(INDIRECT("Checklist!$A648"), "TRUE") = 1</formula>
    </cfRule>
    <cfRule type="expression" dxfId="4" priority="2369">
      <formula>COUNTIF(INDIRECT("Checklist!$A648"), "FALSE") = 1</formula>
    </cfRule>
  </conditionalFormatting>
  <conditionalFormatting sqref="B162:G162">
    <cfRule type="notContainsBlanks" dxfId="7" priority="2441">
      <formula>LEN(TRIM(B162))&gt;0</formula>
    </cfRule>
  </conditionalFormatting>
  <conditionalFormatting sqref="B163">
    <cfRule type="expression" dxfId="3" priority="2442">
      <formula>COUNTIF(INDIRECT("Checklist!$A670"), "TRUE") = 1</formula>
    </cfRule>
    <cfRule type="expression" dxfId="4" priority="2443">
      <formula>COUNTIF(INDIRECT("Checklist!$A670"), "FALSE") = 1</formula>
    </cfRule>
  </conditionalFormatting>
  <conditionalFormatting sqref="B164">
    <cfRule type="expression" dxfId="3" priority="2454">
      <formula>COUNTIF(INDIRECT("Checklist!$A671"), "TRUE") = 1</formula>
    </cfRule>
    <cfRule type="expression" dxfId="4" priority="2455">
      <formula>COUNTIF(INDIRECT("Checklist!$A671"), "FALSE") = 1</formula>
    </cfRule>
  </conditionalFormatting>
  <conditionalFormatting sqref="B165">
    <cfRule type="expression" dxfId="3" priority="2466">
      <formula>COUNTIF(INDIRECT("Checklist!$A672"), "TRUE") = 1</formula>
    </cfRule>
    <cfRule type="expression" dxfId="4" priority="2467">
      <formula>COUNTIF(INDIRECT("Checklist!$A672"), "FALSE") = 1</formula>
    </cfRule>
  </conditionalFormatting>
  <conditionalFormatting sqref="B166">
    <cfRule type="expression" dxfId="3" priority="2478">
      <formula>COUNTIF(INDIRECT("Checklist!$A721"), "TRUE") = 1</formula>
    </cfRule>
    <cfRule type="expression" dxfId="4" priority="2479">
      <formula>COUNTIF(INDIRECT("Checklist!$A721"), "FALSE") = 1</formula>
    </cfRule>
  </conditionalFormatting>
  <conditionalFormatting sqref="B167">
    <cfRule type="expression" dxfId="3" priority="2490">
      <formula>COUNTIF(INDIRECT("Checklist!$A659"), "TRUE") = 1</formula>
    </cfRule>
    <cfRule type="expression" dxfId="4" priority="2491">
      <formula>COUNTIF(INDIRECT("Checklist!$A659"), "FALSE") = 1</formula>
    </cfRule>
  </conditionalFormatting>
  <conditionalFormatting sqref="B170:G170">
    <cfRule type="notContainsBlanks" dxfId="7" priority="2563">
      <formula>LEN(TRIM(B170))&gt;0</formula>
    </cfRule>
  </conditionalFormatting>
  <conditionalFormatting sqref="B171">
    <cfRule type="expression" dxfId="3" priority="2564">
      <formula>COUNTIF(INDIRECT("Checklist!$A742"), "TRUE") = 1</formula>
    </cfRule>
    <cfRule type="expression" dxfId="4" priority="2565">
      <formula>COUNTIF(INDIRECT("Checklist!$A742"), "FALSE") = 1</formula>
    </cfRule>
  </conditionalFormatting>
  <conditionalFormatting sqref="B172">
    <cfRule type="expression" dxfId="3" priority="2576">
      <formula>COUNTIF(INDIRECT("Checklist!$A745"), "TRUE") = 1</formula>
    </cfRule>
    <cfRule type="expression" dxfId="4" priority="2577">
      <formula>COUNTIF(INDIRECT("Checklist!$A745"), "FALSE") = 1</formula>
    </cfRule>
  </conditionalFormatting>
  <conditionalFormatting sqref="B173">
    <cfRule type="expression" dxfId="3" priority="2588">
      <formula>COUNTIF(INDIRECT("Checklist!$A775"), "TRUE") = 1</formula>
    </cfRule>
    <cfRule type="expression" dxfId="4" priority="2589">
      <formula>COUNTIF(INDIRECT("Checklist!$A775"), "FALSE") = 1</formula>
    </cfRule>
  </conditionalFormatting>
  <conditionalFormatting sqref="B174">
    <cfRule type="expression" dxfId="3" priority="2600">
      <formula>COUNTIF(INDIRECT("Checklist!$A1132"), "TRUE") = 1</formula>
    </cfRule>
    <cfRule type="expression" dxfId="4" priority="2601">
      <formula>COUNTIF(INDIRECT("Checklist!$A1132"), "FALSE") = 1</formula>
    </cfRule>
  </conditionalFormatting>
  <conditionalFormatting sqref="B175">
    <cfRule type="expression" dxfId="3" priority="2612">
      <formula>COUNTIF(INDIRECT("Checklist!$None"), "TRUE") = 1</formula>
    </cfRule>
    <cfRule type="expression" dxfId="4" priority="2613">
      <formula>COUNTIF(INDIRECT("Checklist!$None"), "FALSE") = 1</formula>
    </cfRule>
  </conditionalFormatting>
  <conditionalFormatting sqref="B178:G178">
    <cfRule type="notContainsBlanks" dxfId="7" priority="2685">
      <formula>LEN(TRIM(B178))&gt;0</formula>
    </cfRule>
  </conditionalFormatting>
  <conditionalFormatting sqref="B179">
    <cfRule type="expression" dxfId="3" priority="2686">
      <formula>COUNTIF(INDIRECT("Checklist!$A1235"), "TRUE") = 1</formula>
    </cfRule>
    <cfRule type="expression" dxfId="4" priority="2687">
      <formula>COUNTIF(INDIRECT("Checklist!$A1235"), "FALSE") = 1</formula>
    </cfRule>
  </conditionalFormatting>
  <conditionalFormatting sqref="B180">
    <cfRule type="expression" dxfId="3" priority="2698">
      <formula>COUNTIF(INDIRECT("Checklist!$A1145"), "TRUE") = 1</formula>
    </cfRule>
    <cfRule type="expression" dxfId="4" priority="2699">
      <formula>COUNTIF(INDIRECT("Checklist!$A1145"), "FALSE") = 1</formula>
    </cfRule>
  </conditionalFormatting>
  <conditionalFormatting sqref="B181">
    <cfRule type="expression" dxfId="3" priority="2710">
      <formula>COUNTIF(INDIRECT("Checklist!$A1151"), "TRUE") = 1</formula>
    </cfRule>
    <cfRule type="expression" dxfId="4" priority="2711">
      <formula>COUNTIF(INDIRECT("Checklist!$A1151"), "FALSE") = 1</formula>
    </cfRule>
  </conditionalFormatting>
  <conditionalFormatting sqref="B182">
    <cfRule type="expression" dxfId="3" priority="2722">
      <formula>COUNTIF(INDIRECT("Checklist!$A1157"), "TRUE") = 1</formula>
    </cfRule>
    <cfRule type="expression" dxfId="4" priority="2723">
      <formula>COUNTIF(INDIRECT("Checklist!$A1157"), "FALSE") = 1</formula>
    </cfRule>
  </conditionalFormatting>
  <conditionalFormatting sqref="B183">
    <cfRule type="expression" dxfId="3" priority="2734">
      <formula>COUNTIF(INDIRECT("Checklist!$A1163"), "TRUE") = 1</formula>
    </cfRule>
    <cfRule type="expression" dxfId="4" priority="2735">
      <formula>COUNTIF(INDIRECT("Checklist!$A1163"), "FALSE") = 1</formula>
    </cfRule>
  </conditionalFormatting>
  <conditionalFormatting sqref="B186:G186">
    <cfRule type="notContainsBlanks" dxfId="7" priority="2807">
      <formula>LEN(TRIM(B186))&gt;0</formula>
    </cfRule>
  </conditionalFormatting>
  <conditionalFormatting sqref="B187">
    <cfRule type="expression" dxfId="3" priority="2808">
      <formula>COUNTIF(INDIRECT("Checklist!$A1195"), "TRUE") = 1</formula>
    </cfRule>
    <cfRule type="expression" dxfId="4" priority="2809">
      <formula>COUNTIF(INDIRECT("Checklist!$A1195"), "FALSE") = 1</formula>
    </cfRule>
  </conditionalFormatting>
  <conditionalFormatting sqref="B188">
    <cfRule type="expression" dxfId="3" priority="2820">
      <formula>COUNTIF(INDIRECT("Checklist!$A1201"), "TRUE") = 1</formula>
    </cfRule>
    <cfRule type="expression" dxfId="4" priority="2821">
      <formula>COUNTIF(INDIRECT("Checklist!$A1201"), "FALSE") = 1</formula>
    </cfRule>
  </conditionalFormatting>
  <conditionalFormatting sqref="B189">
    <cfRule type="expression" dxfId="3" priority="2832">
      <formula>COUNTIF(INDIRECT("Checklist!$None"), "TRUE") = 1</formula>
    </cfRule>
    <cfRule type="expression" dxfId="4" priority="2833">
      <formula>COUNTIF(INDIRECT("Checklist!$None"), "FALSE") = 1</formula>
    </cfRule>
  </conditionalFormatting>
  <conditionalFormatting sqref="B18:G18">
    <cfRule type="notContainsBlanks" dxfId="7" priority="245">
      <formula>LEN(TRIM(B18))&gt;0</formula>
    </cfRule>
  </conditionalFormatting>
  <conditionalFormatting sqref="B19">
    <cfRule type="expression" dxfId="3" priority="246">
      <formula>COUNTIF(INDIRECT("Checklist!$A122"), "TRUE") = 1</formula>
    </cfRule>
    <cfRule type="expression" dxfId="4" priority="247">
      <formula>COUNTIF(INDIRECT("Checklist!$A122"), "FALSE") = 1</formula>
    </cfRule>
  </conditionalFormatting>
  <conditionalFormatting sqref="B190">
    <cfRule type="expression" dxfId="3" priority="2844">
      <formula>COUNTIF(INDIRECT("Checklist!$None"), "TRUE") = 1</formula>
    </cfRule>
    <cfRule type="expression" dxfId="4" priority="2845">
      <formula>COUNTIF(INDIRECT("Checklist!$None"), "FALSE") = 1</formula>
    </cfRule>
  </conditionalFormatting>
  <conditionalFormatting sqref="B191">
    <cfRule type="expression" dxfId="3" priority="2856">
      <formula>COUNTIF(INDIRECT("Checklist!$None"), "TRUE") = 1</formula>
    </cfRule>
    <cfRule type="expression" dxfId="4" priority="2857">
      <formula>COUNTIF(INDIRECT("Checklist!$None"), "FALSE") = 1</formula>
    </cfRule>
  </conditionalFormatting>
  <conditionalFormatting sqref="B194:G194">
    <cfRule type="notContainsBlanks" dxfId="7" priority="2929">
      <formula>LEN(TRIM(B194))&gt;0</formula>
    </cfRule>
  </conditionalFormatting>
  <conditionalFormatting sqref="B195">
    <cfRule type="expression" dxfId="3" priority="2930">
      <formula>COUNTIF(INDIRECT("Checklist!$None"), "TRUE") = 1</formula>
    </cfRule>
    <cfRule type="expression" dxfId="4" priority="2931">
      <formula>COUNTIF(INDIRECT("Checklist!$None"), "FALSE") = 1</formula>
    </cfRule>
  </conditionalFormatting>
  <conditionalFormatting sqref="B196">
    <cfRule type="expression" dxfId="3" priority="2942">
      <formula>COUNTIF(INDIRECT("Checklist!$None"), "TRUE") = 1</formula>
    </cfRule>
    <cfRule type="expression" dxfId="4" priority="2943">
      <formula>COUNTIF(INDIRECT("Checklist!$None"), "FALSE") = 1</formula>
    </cfRule>
  </conditionalFormatting>
  <conditionalFormatting sqref="B197">
    <cfRule type="expression" dxfId="3" priority="2954">
      <formula>COUNTIF(INDIRECT("Checklist!$None"), "TRUE") = 1</formula>
    </cfRule>
    <cfRule type="expression" dxfId="4" priority="2955">
      <formula>COUNTIF(INDIRECT("Checklist!$None"), "FALSE") = 1</formula>
    </cfRule>
  </conditionalFormatting>
  <conditionalFormatting sqref="B198">
    <cfRule type="expression" dxfId="3" priority="2966">
      <formula>COUNTIF(INDIRECT("Checklist!$None"), "TRUE") = 1</formula>
    </cfRule>
    <cfRule type="expression" dxfId="4" priority="2967">
      <formula>COUNTIF(INDIRECT("Checklist!$None"), "FALSE") = 1</formula>
    </cfRule>
  </conditionalFormatting>
  <conditionalFormatting sqref="B199">
    <cfRule type="expression" dxfId="3" priority="2978">
      <formula>COUNTIF(INDIRECT("Checklist!$None"), "TRUE") = 1</formula>
    </cfRule>
    <cfRule type="expression" dxfId="4" priority="2979">
      <formula>COUNTIF(INDIRECT("Checklist!$None"), "FALSE") = 1</formula>
    </cfRule>
  </conditionalFormatting>
  <conditionalFormatting sqref="B20">
    <cfRule type="expression" dxfId="3" priority="258">
      <formula>COUNTIF(INDIRECT("Checklist!$A128"), "TRUE") = 1</formula>
    </cfRule>
    <cfRule type="expression" dxfId="4" priority="259">
      <formula>COUNTIF(INDIRECT("Checklist!$A128"), "FALSE") = 1</formula>
    </cfRule>
  </conditionalFormatting>
  <conditionalFormatting sqref="B202:G202">
    <cfRule type="notContainsBlanks" dxfId="7" priority="3051">
      <formula>LEN(TRIM(B202))&gt;0</formula>
    </cfRule>
  </conditionalFormatting>
  <conditionalFormatting sqref="B203">
    <cfRule type="expression" dxfId="3" priority="3052">
      <formula>COUNTIF(INDIRECT("Checklist!$A1240"), "TRUE") = 1</formula>
    </cfRule>
    <cfRule type="expression" dxfId="4" priority="3053">
      <formula>COUNTIF(INDIRECT("Checklist!$A1240"), "FALSE") = 1</formula>
    </cfRule>
  </conditionalFormatting>
  <conditionalFormatting sqref="B204">
    <cfRule type="expression" dxfId="3" priority="3064">
      <formula>COUNTIF(INDIRECT("Checklist!$A1246"), "TRUE") = 1</formula>
    </cfRule>
    <cfRule type="expression" dxfId="4" priority="3065">
      <formula>COUNTIF(INDIRECT("Checklist!$A1246"), "FALSE") = 1</formula>
    </cfRule>
  </conditionalFormatting>
  <conditionalFormatting sqref="B205">
    <cfRule type="expression" dxfId="3" priority="3076">
      <formula>COUNTIF(INDIRECT("Checklist!$A1252"), "TRUE") = 1</formula>
    </cfRule>
    <cfRule type="expression" dxfId="4" priority="3077">
      <formula>COUNTIF(INDIRECT("Checklist!$A1252"), "FALSE") = 1</formula>
    </cfRule>
  </conditionalFormatting>
  <conditionalFormatting sqref="B206">
    <cfRule type="expression" dxfId="3" priority="3088">
      <formula>COUNTIF(INDIRECT("Checklist!$None"), "TRUE") = 1</formula>
    </cfRule>
    <cfRule type="expression" dxfId="4" priority="3089">
      <formula>COUNTIF(INDIRECT("Checklist!$None"), "FALSE") = 1</formula>
    </cfRule>
  </conditionalFormatting>
  <conditionalFormatting sqref="B207">
    <cfRule type="expression" dxfId="3" priority="3100">
      <formula>COUNTIF(INDIRECT("Checklist!$None"), "TRUE") = 1</formula>
    </cfRule>
    <cfRule type="expression" dxfId="4" priority="3101">
      <formula>COUNTIF(INDIRECT("Checklist!$None"), "FALSE") = 1</formula>
    </cfRule>
  </conditionalFormatting>
  <conditionalFormatting sqref="B21">
    <cfRule type="expression" dxfId="3" priority="270">
      <formula>COUNTIF(INDIRECT("Checklist!$A1215"), "TRUE") = 1</formula>
    </cfRule>
    <cfRule type="expression" dxfId="4" priority="271">
      <formula>COUNTIF(INDIRECT("Checklist!$A1215"), "FALSE") = 1</formula>
    </cfRule>
  </conditionalFormatting>
  <conditionalFormatting sqref="B210:G210">
    <cfRule type="notContainsBlanks" dxfId="7" priority="3173">
      <formula>LEN(TRIM(B210))&gt;0</formula>
    </cfRule>
  </conditionalFormatting>
  <conditionalFormatting sqref="B211">
    <cfRule type="expression" dxfId="3" priority="3174">
      <formula>COUNTIF(INDIRECT("Checklist!$A1277"), "TRUE") = 1</formula>
    </cfRule>
    <cfRule type="expression" dxfId="4" priority="3175">
      <formula>COUNTIF(INDIRECT("Checklist!$A1277"), "FALSE") = 1</formula>
    </cfRule>
  </conditionalFormatting>
  <conditionalFormatting sqref="B212">
    <cfRule type="expression" dxfId="3" priority="3186">
      <formula>COUNTIF(INDIRECT("Checklist!$A1283"), "TRUE") = 1</formula>
    </cfRule>
    <cfRule type="expression" dxfId="4" priority="3187">
      <formula>COUNTIF(INDIRECT("Checklist!$A1283"), "FALSE") = 1</formula>
    </cfRule>
  </conditionalFormatting>
  <conditionalFormatting sqref="B213">
    <cfRule type="expression" dxfId="3" priority="3198">
      <formula>COUNTIF(INDIRECT("Checklist!$A1289"), "TRUE") = 1</formula>
    </cfRule>
    <cfRule type="expression" dxfId="4" priority="3199">
      <formula>COUNTIF(INDIRECT("Checklist!$A1289"), "FALSE") = 1</formula>
    </cfRule>
  </conditionalFormatting>
  <conditionalFormatting sqref="B214">
    <cfRule type="expression" dxfId="3" priority="3210">
      <formula>COUNTIF(INDIRECT("Checklist!$None"), "TRUE") = 1</formula>
    </cfRule>
    <cfRule type="expression" dxfId="4" priority="3211">
      <formula>COUNTIF(INDIRECT("Checklist!$None"), "FALSE") = 1</formula>
    </cfRule>
  </conditionalFormatting>
  <conditionalFormatting sqref="B215">
    <cfRule type="expression" dxfId="3" priority="3222">
      <formula>COUNTIF(INDIRECT("Checklist!$None"), "TRUE") = 1</formula>
    </cfRule>
    <cfRule type="expression" dxfId="4" priority="3223">
      <formula>COUNTIF(INDIRECT("Checklist!$None"), "FALSE") = 1</formula>
    </cfRule>
  </conditionalFormatting>
  <conditionalFormatting sqref="B22">
    <cfRule type="expression" dxfId="3" priority="282">
      <formula>COUNTIF(INDIRECT("Checklist!$A140"), "TRUE") = 1</formula>
    </cfRule>
    <cfRule type="expression" dxfId="4" priority="283">
      <formula>COUNTIF(INDIRECT("Checklist!$A140"), "FALSE") = 1</formula>
    </cfRule>
  </conditionalFormatting>
  <conditionalFormatting sqref="B23">
    <cfRule type="expression" dxfId="3" priority="294">
      <formula>COUNTIF(INDIRECT("Checklist!$A146"), "TRUE") = 1</formula>
    </cfRule>
    <cfRule type="expression" dxfId="4" priority="295">
      <formula>COUNTIF(INDIRECT("Checklist!$A146"), "FALSE") = 1</formula>
    </cfRule>
  </conditionalFormatting>
  <conditionalFormatting sqref="B26:G26">
    <cfRule type="notContainsBlanks" dxfId="7" priority="367">
      <formula>LEN(TRIM(B26))&gt;0</formula>
    </cfRule>
  </conditionalFormatting>
  <conditionalFormatting sqref="B27">
    <cfRule type="expression" dxfId="3" priority="368">
      <formula>COUNTIF(INDIRECT("Checklist!$A182"), "TRUE") = 1</formula>
    </cfRule>
    <cfRule type="expression" dxfId="4" priority="369">
      <formula>COUNTIF(INDIRECT("Checklist!$A182"), "FALSE") = 1</formula>
    </cfRule>
  </conditionalFormatting>
  <conditionalFormatting sqref="B28">
    <cfRule type="expression" dxfId="3" priority="380">
      <formula>COUNTIF(INDIRECT("Checklist!$A188"), "TRUE") = 1</formula>
    </cfRule>
    <cfRule type="expression" dxfId="4" priority="381">
      <formula>COUNTIF(INDIRECT("Checklist!$A188"), "FALSE") = 1</formula>
    </cfRule>
  </conditionalFormatting>
  <conditionalFormatting sqref="B29">
    <cfRule type="expression" dxfId="3" priority="392">
      <formula>COUNTIF(INDIRECT("Checklist!$A194"), "TRUE") = 1</formula>
    </cfRule>
    <cfRule type="expression" dxfId="4" priority="393">
      <formula>COUNTIF(INDIRECT("Checklist!$A194"), "FALSE") = 1</formula>
    </cfRule>
  </conditionalFormatting>
  <conditionalFormatting sqref="B2:G2">
    <cfRule type="notContainsBlanks" dxfId="7" priority="1">
      <formula>LEN(TRIM(B2))&gt;0</formula>
    </cfRule>
  </conditionalFormatting>
  <conditionalFormatting sqref="B3">
    <cfRule type="expression" dxfId="3" priority="2">
      <formula>COUNTIF(INDIRECT("Checklist!$A2"), "TRUE") = 1</formula>
    </cfRule>
    <cfRule type="expression" dxfId="4" priority="3">
      <formula>COUNTIF(INDIRECT("Checklist!$A2"), "FALSE") = 1</formula>
    </cfRule>
  </conditionalFormatting>
  <conditionalFormatting sqref="B30">
    <cfRule type="expression" dxfId="3" priority="404">
      <formula>COUNTIF(INDIRECT("Checklist!$A200"), "TRUE") = 1</formula>
    </cfRule>
    <cfRule type="expression" dxfId="4" priority="405">
      <formula>COUNTIF(INDIRECT("Checklist!$A200"), "FALSE") = 1</formula>
    </cfRule>
  </conditionalFormatting>
  <conditionalFormatting sqref="B31">
    <cfRule type="expression" dxfId="3" priority="416">
      <formula>COUNTIF(INDIRECT("Checklist!$A206"), "TRUE") = 1</formula>
    </cfRule>
    <cfRule type="expression" dxfId="4" priority="417">
      <formula>COUNTIF(INDIRECT("Checklist!$A206"), "FALSE") = 1</formula>
    </cfRule>
  </conditionalFormatting>
  <conditionalFormatting sqref="B34:G34">
    <cfRule type="notContainsBlanks" dxfId="7" priority="489">
      <formula>LEN(TRIM(B34))&gt;0</formula>
    </cfRule>
  </conditionalFormatting>
  <conditionalFormatting sqref="B35">
    <cfRule type="expression" dxfId="3" priority="490">
      <formula>COUNTIF(INDIRECT("Checklist!$A242"), "TRUE") = 1</formula>
    </cfRule>
    <cfRule type="expression" dxfId="4" priority="491">
      <formula>COUNTIF(INDIRECT("Checklist!$A242"), "FALSE") = 1</formula>
    </cfRule>
  </conditionalFormatting>
  <conditionalFormatting sqref="B36">
    <cfRule type="expression" dxfId="3" priority="502">
      <formula>COUNTIF(INDIRECT("Checklist!$A248"), "TRUE") = 1</formula>
    </cfRule>
    <cfRule type="expression" dxfId="4" priority="503">
      <formula>COUNTIF(INDIRECT("Checklist!$A248"), "FALSE") = 1</formula>
    </cfRule>
  </conditionalFormatting>
  <conditionalFormatting sqref="B37">
    <cfRule type="expression" dxfId="3" priority="514">
      <formula>COUNTIF(INDIRECT("Checklist!$A254"), "TRUE") = 1</formula>
    </cfRule>
    <cfRule type="expression" dxfId="4" priority="515">
      <formula>COUNTIF(INDIRECT("Checklist!$A254"), "FALSE") = 1</formula>
    </cfRule>
  </conditionalFormatting>
  <conditionalFormatting sqref="B38">
    <cfRule type="expression" dxfId="3" priority="526">
      <formula>COUNTIF(INDIRECT("Checklist!$A260"), "TRUE") = 1</formula>
    </cfRule>
    <cfRule type="expression" dxfId="4" priority="527">
      <formula>COUNTIF(INDIRECT("Checklist!$A260"), "FALSE") = 1</formula>
    </cfRule>
  </conditionalFormatting>
  <conditionalFormatting sqref="B39">
    <cfRule type="expression" dxfId="3" priority="538">
      <formula>COUNTIF(INDIRECT("Checklist!$A266"), "TRUE") = 1</formula>
    </cfRule>
    <cfRule type="expression" dxfId="4" priority="539">
      <formula>COUNTIF(INDIRECT("Checklist!$A266"), "FALSE") = 1</formula>
    </cfRule>
  </conditionalFormatting>
  <conditionalFormatting sqref="B4">
    <cfRule type="expression" dxfId="3" priority="14">
      <formula>COUNTIF(INDIRECT("Checklist!$A8"), "TRUE") = 1</formula>
    </cfRule>
    <cfRule type="expression" dxfId="4" priority="15">
      <formula>COUNTIF(INDIRECT("Checklist!$A8"), "FALSE") = 1</formula>
    </cfRule>
  </conditionalFormatting>
  <conditionalFormatting sqref="B42:G42">
    <cfRule type="notContainsBlanks" dxfId="7" priority="611">
      <formula>LEN(TRIM(B42))&gt;0</formula>
    </cfRule>
  </conditionalFormatting>
  <conditionalFormatting sqref="B43">
    <cfRule type="expression" dxfId="3" priority="612">
      <formula>COUNTIF(INDIRECT("Checklist!$A302"), "TRUE") = 1</formula>
    </cfRule>
    <cfRule type="expression" dxfId="4" priority="613">
      <formula>COUNTIF(INDIRECT("Checklist!$A302"), "FALSE") = 1</formula>
    </cfRule>
  </conditionalFormatting>
  <conditionalFormatting sqref="B44">
    <cfRule type="expression" dxfId="3" priority="624">
      <formula>COUNTIF(INDIRECT("Checklist!$A308"), "TRUE") = 1</formula>
    </cfRule>
    <cfRule type="expression" dxfId="4" priority="625">
      <formula>COUNTIF(INDIRECT("Checklist!$A308"), "FALSE") = 1</formula>
    </cfRule>
  </conditionalFormatting>
  <conditionalFormatting sqref="B45">
    <cfRule type="expression" dxfId="3" priority="636">
      <formula>COUNTIF(INDIRECT("Checklist!$A314"), "TRUE") = 1</formula>
    </cfRule>
    <cfRule type="expression" dxfId="4" priority="637">
      <formula>COUNTIF(INDIRECT("Checklist!$A314"), "FALSE") = 1</formula>
    </cfRule>
  </conditionalFormatting>
  <conditionalFormatting sqref="B46">
    <cfRule type="expression" dxfId="3" priority="648">
      <formula>COUNTIF(INDIRECT("Checklist!$A320"), "TRUE") = 1</formula>
    </cfRule>
    <cfRule type="expression" dxfId="4" priority="649">
      <formula>COUNTIF(INDIRECT("Checklist!$A320"), "FALSE") = 1</formula>
    </cfRule>
  </conditionalFormatting>
  <conditionalFormatting sqref="B47">
    <cfRule type="expression" dxfId="3" priority="660">
      <formula>COUNTIF(INDIRECT("Checklist!$A326"), "TRUE") = 1</formula>
    </cfRule>
    <cfRule type="expression" dxfId="4" priority="661">
      <formula>COUNTIF(INDIRECT("Checklist!$A326"), "FALSE") = 1</formula>
    </cfRule>
  </conditionalFormatting>
  <conditionalFormatting sqref="B5">
    <cfRule type="expression" dxfId="3" priority="26">
      <formula>COUNTIF(INDIRECT("Checklist!$A14"), "TRUE") = 1</formula>
    </cfRule>
    <cfRule type="expression" dxfId="4" priority="27">
      <formula>COUNTIF(INDIRECT("Checklist!$A14"), "FALSE") = 1</formula>
    </cfRule>
  </conditionalFormatting>
  <conditionalFormatting sqref="B50:G50">
    <cfRule type="notContainsBlanks" dxfId="7" priority="733">
      <formula>LEN(TRIM(B50))&gt;0</formula>
    </cfRule>
  </conditionalFormatting>
  <conditionalFormatting sqref="B51">
    <cfRule type="expression" dxfId="3" priority="734">
      <formula>COUNTIF(INDIRECT("Checklist!$A362"), "TRUE") = 1</formula>
    </cfRule>
    <cfRule type="expression" dxfId="4" priority="735">
      <formula>COUNTIF(INDIRECT("Checklist!$A362"), "FALSE") = 1</formula>
    </cfRule>
  </conditionalFormatting>
  <conditionalFormatting sqref="B52">
    <cfRule type="expression" dxfId="3" priority="746">
      <formula>COUNTIF(INDIRECT("Checklist!$A368"), "TRUE") = 1</formula>
    </cfRule>
    <cfRule type="expression" dxfId="4" priority="747">
      <formula>COUNTIF(INDIRECT("Checklist!$A368"), "FALSE") = 1</formula>
    </cfRule>
  </conditionalFormatting>
  <conditionalFormatting sqref="B53">
    <cfRule type="expression" dxfId="3" priority="758">
      <formula>COUNTIF(INDIRECT("Checklist!$A374"), "TRUE") = 1</formula>
    </cfRule>
    <cfRule type="expression" dxfId="4" priority="759">
      <formula>COUNTIF(INDIRECT("Checklist!$A374"), "FALSE") = 1</formula>
    </cfRule>
  </conditionalFormatting>
  <conditionalFormatting sqref="B54">
    <cfRule type="expression" dxfId="3" priority="770">
      <formula>COUNTIF(INDIRECT("Checklist!$A380"), "TRUE") = 1</formula>
    </cfRule>
    <cfRule type="expression" dxfId="4" priority="771">
      <formula>COUNTIF(INDIRECT("Checklist!$A380"), "FALSE") = 1</formula>
    </cfRule>
  </conditionalFormatting>
  <conditionalFormatting sqref="B55">
    <cfRule type="expression" dxfId="3" priority="782">
      <formula>COUNTIF(INDIRECT("Checklist!$A386"), "TRUE") = 1</formula>
    </cfRule>
    <cfRule type="expression" dxfId="4" priority="783">
      <formula>COUNTIF(INDIRECT("Checklist!$A386"), "FALSE") = 1</formula>
    </cfRule>
  </conditionalFormatting>
  <conditionalFormatting sqref="B58:G58">
    <cfRule type="notContainsBlanks" dxfId="7" priority="855">
      <formula>LEN(TRIM(B58))&gt;0</formula>
    </cfRule>
  </conditionalFormatting>
  <conditionalFormatting sqref="B59">
    <cfRule type="expression" dxfId="3" priority="856">
      <formula>COUNTIF(INDIRECT("Checklist!$A422"), "TRUE") = 1</formula>
    </cfRule>
    <cfRule type="expression" dxfId="4" priority="857">
      <formula>COUNTIF(INDIRECT("Checklist!$A422"), "FALSE") = 1</formula>
    </cfRule>
  </conditionalFormatting>
  <conditionalFormatting sqref="B6">
    <cfRule type="expression" dxfId="3" priority="38">
      <formula>COUNTIF(INDIRECT("Checklist!$A20"), "TRUE") = 1</formula>
    </cfRule>
    <cfRule type="expression" dxfId="4" priority="39">
      <formula>COUNTIF(INDIRECT("Checklist!$A20"), "FALSE") = 1</formula>
    </cfRule>
  </conditionalFormatting>
  <conditionalFormatting sqref="B60">
    <cfRule type="expression" dxfId="3" priority="868">
      <formula>COUNTIF(INDIRECT("Checklist!$A428"), "TRUE") = 1</formula>
    </cfRule>
    <cfRule type="expression" dxfId="4" priority="869">
      <formula>COUNTIF(INDIRECT("Checklist!$A428"), "FALSE") = 1</formula>
    </cfRule>
  </conditionalFormatting>
  <conditionalFormatting sqref="B61">
    <cfRule type="expression" dxfId="3" priority="880">
      <formula>COUNTIF(INDIRECT("Checklist!$A434"), "TRUE") = 1</formula>
    </cfRule>
    <cfRule type="expression" dxfId="4" priority="881">
      <formula>COUNTIF(INDIRECT("Checklist!$A434"), "FALSE") = 1</formula>
    </cfRule>
  </conditionalFormatting>
  <conditionalFormatting sqref="B62">
    <cfRule type="expression" dxfId="3" priority="892">
      <formula>COUNTIF(INDIRECT("Checklist!$A440"), "TRUE") = 1</formula>
    </cfRule>
    <cfRule type="expression" dxfId="4" priority="893">
      <formula>COUNTIF(INDIRECT("Checklist!$A440"), "FALSE") = 1</formula>
    </cfRule>
  </conditionalFormatting>
  <conditionalFormatting sqref="B63">
    <cfRule type="expression" dxfId="3" priority="904">
      <formula>COUNTIF(INDIRECT("Checklist!$A446"), "TRUE") = 1</formula>
    </cfRule>
    <cfRule type="expression" dxfId="4" priority="905">
      <formula>COUNTIF(INDIRECT("Checklist!$A446"), "FALSE") = 1</formula>
    </cfRule>
  </conditionalFormatting>
  <conditionalFormatting sqref="B66:G66">
    <cfRule type="notContainsBlanks" dxfId="7" priority="977">
      <formula>LEN(TRIM(B66))&gt;0</formula>
    </cfRule>
  </conditionalFormatting>
  <conditionalFormatting sqref="B67">
    <cfRule type="expression" dxfId="3" priority="978">
      <formula>COUNTIF(INDIRECT("Checklist!$A482"), "TRUE") = 1</formula>
    </cfRule>
    <cfRule type="expression" dxfId="4" priority="979">
      <formula>COUNTIF(INDIRECT("Checklist!$A482"), "FALSE") = 1</formula>
    </cfRule>
  </conditionalFormatting>
  <conditionalFormatting sqref="B68">
    <cfRule type="expression" dxfId="3" priority="990">
      <formula>COUNTIF(INDIRECT("Checklist!$A488"), "TRUE") = 1</formula>
    </cfRule>
    <cfRule type="expression" dxfId="4" priority="991">
      <formula>COUNTIF(INDIRECT("Checklist!$A488"), "FALSE") = 1</formula>
    </cfRule>
  </conditionalFormatting>
  <conditionalFormatting sqref="B69">
    <cfRule type="expression" dxfId="3" priority="1002">
      <formula>COUNTIF(INDIRECT("Checklist!$A494"), "TRUE") = 1</formula>
    </cfRule>
    <cfRule type="expression" dxfId="4" priority="1003">
      <formula>COUNTIF(INDIRECT("Checklist!$A494"), "FALSE") = 1</formula>
    </cfRule>
  </conditionalFormatting>
  <conditionalFormatting sqref="B7">
    <cfRule type="expression" dxfId="3" priority="50">
      <formula>COUNTIF(INDIRECT("Checklist!$A1208"), "TRUE") = 1</formula>
    </cfRule>
    <cfRule type="expression" dxfId="4" priority="51">
      <formula>COUNTIF(INDIRECT("Checklist!$A1208"), "FALSE") = 1</formula>
    </cfRule>
  </conditionalFormatting>
  <conditionalFormatting sqref="B70">
    <cfRule type="expression" dxfId="3" priority="1014">
      <formula>COUNTIF(INDIRECT("Checklist!$A500"), "TRUE") = 1</formula>
    </cfRule>
    <cfRule type="expression" dxfId="4" priority="1015">
      <formula>COUNTIF(INDIRECT("Checklist!$A500"), "FALSE") = 1</formula>
    </cfRule>
  </conditionalFormatting>
  <conditionalFormatting sqref="B71">
    <cfRule type="expression" dxfId="3" priority="1026">
      <formula>COUNTIF(INDIRECT("Checklist!$A506"), "TRUE") = 1</formula>
    </cfRule>
    <cfRule type="expression" dxfId="4" priority="1027">
      <formula>COUNTIF(INDIRECT("Checklist!$A506"), "FALSE") = 1</formula>
    </cfRule>
  </conditionalFormatting>
  <conditionalFormatting sqref="B74:G74">
    <cfRule type="notContainsBlanks" dxfId="7" priority="1099">
      <formula>LEN(TRIM(B74))&gt;0</formula>
    </cfRule>
  </conditionalFormatting>
  <conditionalFormatting sqref="B75">
    <cfRule type="expression" dxfId="3" priority="1100">
      <formula>COUNTIF(INDIRECT("Checklist!$A542"), "TRUE") = 1</formula>
    </cfRule>
    <cfRule type="expression" dxfId="4" priority="1101">
      <formula>COUNTIF(INDIRECT("Checklist!$A542"), "FALSE") = 1</formula>
    </cfRule>
  </conditionalFormatting>
  <conditionalFormatting sqref="B76">
    <cfRule type="expression" dxfId="3" priority="1112">
      <formula>COUNTIF(INDIRECT("Checklist!$A548"), "TRUE") = 1</formula>
    </cfRule>
    <cfRule type="expression" dxfId="4" priority="1113">
      <formula>COUNTIF(INDIRECT("Checklist!$A548"), "FALSE") = 1</formula>
    </cfRule>
  </conditionalFormatting>
  <conditionalFormatting sqref="B77">
    <cfRule type="expression" dxfId="3" priority="1124">
      <formula>COUNTIF(INDIRECT("Checklist!$A554"), "TRUE") = 1</formula>
    </cfRule>
    <cfRule type="expression" dxfId="4" priority="1125">
      <formula>COUNTIF(INDIRECT("Checklist!$A554"), "FALSE") = 1</formula>
    </cfRule>
  </conditionalFormatting>
  <conditionalFormatting sqref="B78">
    <cfRule type="expression" dxfId="3" priority="1136">
      <formula>COUNTIF(INDIRECT("Checklist!$A560"), "TRUE") = 1</formula>
    </cfRule>
    <cfRule type="expression" dxfId="4" priority="1137">
      <formula>COUNTIF(INDIRECT("Checklist!$A560"), "FALSE") = 1</formula>
    </cfRule>
  </conditionalFormatting>
  <conditionalFormatting sqref="B79">
    <cfRule type="expression" dxfId="3" priority="1148">
      <formula>COUNTIF(INDIRECT("Checklist!$A566"), "TRUE") = 1</formula>
    </cfRule>
    <cfRule type="expression" dxfId="4" priority="1149">
      <formula>COUNTIF(INDIRECT("Checklist!$A566"), "FALSE") = 1</formula>
    </cfRule>
  </conditionalFormatting>
  <conditionalFormatting sqref="B82:G82">
    <cfRule type="notContainsBlanks" dxfId="7" priority="1221">
      <formula>LEN(TRIM(B82))&gt;0</formula>
    </cfRule>
  </conditionalFormatting>
  <conditionalFormatting sqref="B83">
    <cfRule type="expression" dxfId="3" priority="1222">
      <formula>COUNTIF(INDIRECT("Checklist!$A602"), "TRUE") = 1</formula>
    </cfRule>
    <cfRule type="expression" dxfId="4" priority="1223">
      <formula>COUNTIF(INDIRECT("Checklist!$A602"), "FALSE") = 1</formula>
    </cfRule>
  </conditionalFormatting>
  <conditionalFormatting sqref="B84">
    <cfRule type="expression" dxfId="3" priority="1234">
      <formula>COUNTIF(INDIRECT("Checklist!$A608"), "TRUE") = 1</formula>
    </cfRule>
    <cfRule type="expression" dxfId="4" priority="1235">
      <formula>COUNTIF(INDIRECT("Checklist!$A608"), "FALSE") = 1</formula>
    </cfRule>
  </conditionalFormatting>
  <conditionalFormatting sqref="B85">
    <cfRule type="expression" dxfId="3" priority="1246">
      <formula>COUNTIF(INDIRECT("Checklist!$A614"), "TRUE") = 1</formula>
    </cfRule>
    <cfRule type="expression" dxfId="4" priority="1247">
      <formula>COUNTIF(INDIRECT("Checklist!$A614"), "FALSE") = 1</formula>
    </cfRule>
  </conditionalFormatting>
  <conditionalFormatting sqref="B86">
    <cfRule type="expression" dxfId="3" priority="1258">
      <formula>COUNTIF(INDIRECT("Checklist!$A620"), "TRUE") = 1</formula>
    </cfRule>
    <cfRule type="expression" dxfId="4" priority="1259">
      <formula>COUNTIF(INDIRECT("Checklist!$A620"), "FALSE") = 1</formula>
    </cfRule>
  </conditionalFormatting>
  <conditionalFormatting sqref="B87">
    <cfRule type="expression" dxfId="3" priority="1270">
      <formula>COUNTIF(INDIRECT("Checklist!$A626"), "TRUE") = 1</formula>
    </cfRule>
    <cfRule type="expression" dxfId="4" priority="1271">
      <formula>COUNTIF(INDIRECT("Checklist!$A626"), "FALSE") = 1</formula>
    </cfRule>
  </conditionalFormatting>
  <conditionalFormatting sqref="B90:G90">
    <cfRule type="notContainsBlanks" dxfId="7" priority="1343">
      <formula>LEN(TRIM(B90))&gt;0</formula>
    </cfRule>
  </conditionalFormatting>
  <conditionalFormatting sqref="B91">
    <cfRule type="expression" dxfId="3" priority="1344">
      <formula>COUNTIF(INDIRECT("Checklist!$A662"), "TRUE") = 1</formula>
    </cfRule>
    <cfRule type="expression" dxfId="4" priority="1345">
      <formula>COUNTIF(INDIRECT("Checklist!$A662"), "FALSE") = 1</formula>
    </cfRule>
  </conditionalFormatting>
  <conditionalFormatting sqref="B92">
    <cfRule type="expression" dxfId="3" priority="1356">
      <formula>COUNTIF(INDIRECT("Checklist!$A668"), "TRUE") = 1</formula>
    </cfRule>
    <cfRule type="expression" dxfId="4" priority="1357">
      <formula>COUNTIF(INDIRECT("Checklist!$A668"), "FALSE") = 1</formula>
    </cfRule>
  </conditionalFormatting>
  <conditionalFormatting sqref="B93">
    <cfRule type="expression" dxfId="3" priority="1368">
      <formula>COUNTIF(INDIRECT("Checklist!$A674"), "TRUE") = 1</formula>
    </cfRule>
    <cfRule type="expression" dxfId="4" priority="1369">
      <formula>COUNTIF(INDIRECT("Checklist!$A674"), "FALSE") = 1</formula>
    </cfRule>
  </conditionalFormatting>
  <conditionalFormatting sqref="B94">
    <cfRule type="expression" dxfId="3" priority="1380">
      <formula>COUNTIF(INDIRECT("Checklist!$A680"), "TRUE") = 1</formula>
    </cfRule>
    <cfRule type="expression" dxfId="4" priority="1381">
      <formula>COUNTIF(INDIRECT("Checklist!$A680"), "FALSE") = 1</formula>
    </cfRule>
  </conditionalFormatting>
  <conditionalFormatting sqref="B95">
    <cfRule type="expression" dxfId="3" priority="1392">
      <formula>COUNTIF(INDIRECT("Checklist!$A686"), "TRUE") = 1</formula>
    </cfRule>
    <cfRule type="expression" dxfId="4" priority="1393">
      <formula>COUNTIF(INDIRECT("Checklist!$A686"), "FALSE") = 1</formula>
    </cfRule>
  </conditionalFormatting>
  <conditionalFormatting sqref="B98:G98">
    <cfRule type="notContainsBlanks" dxfId="7" priority="1465">
      <formula>LEN(TRIM(B98))&gt;0</formula>
    </cfRule>
  </conditionalFormatting>
  <conditionalFormatting sqref="B99">
    <cfRule type="expression" dxfId="3" priority="1466">
      <formula>COUNTIF(INDIRECT("Checklist!$A722"), "TRUE") = 1</formula>
    </cfRule>
    <cfRule type="expression" dxfId="4" priority="1467">
      <formula>COUNTIF(INDIRECT("Checklist!$A722"), "FALSE") = 1</formula>
    </cfRule>
  </conditionalFormatting>
  <conditionalFormatting sqref="C100">
    <cfRule type="expression" dxfId="3" priority="1480">
      <formula>COUNTIF(INDIRECT("Checklist!$A729"), "TRUE") = 1</formula>
    </cfRule>
    <cfRule type="expression" dxfId="4" priority="1481">
      <formula>COUNTIF(INDIRECT("Checklist!$A729"), "FALSE") = 1</formula>
    </cfRule>
  </conditionalFormatting>
  <conditionalFormatting sqref="C101">
    <cfRule type="expression" dxfId="3" priority="1492">
      <formula>COUNTIF(INDIRECT("Checklist!$A735"), "TRUE") = 1</formula>
    </cfRule>
    <cfRule type="expression" dxfId="4" priority="1493">
      <formula>COUNTIF(INDIRECT("Checklist!$A735"), "FALSE") = 1</formula>
    </cfRule>
  </conditionalFormatting>
  <conditionalFormatting sqref="C102">
    <cfRule type="expression" dxfId="3" priority="1504">
      <formula>COUNTIF(INDIRECT("Checklist!$A741"), "TRUE") = 1</formula>
    </cfRule>
    <cfRule type="expression" dxfId="4" priority="1505">
      <formula>COUNTIF(INDIRECT("Checklist!$A741"), "FALSE") = 1</formula>
    </cfRule>
  </conditionalFormatting>
  <conditionalFormatting sqref="C103">
    <cfRule type="expression" dxfId="3" priority="1516">
      <formula>COUNTIF(INDIRECT("Checklist!$A747"), "TRUE") = 1</formula>
    </cfRule>
    <cfRule type="expression" dxfId="4" priority="1517">
      <formula>COUNTIF(INDIRECT("Checklist!$A747"), "FALSE") = 1</formula>
    </cfRule>
  </conditionalFormatting>
  <conditionalFormatting sqref="C107">
    <cfRule type="expression" dxfId="3" priority="1590">
      <formula>COUNTIF(INDIRECT("Checklist!$A783"), "TRUE") = 1</formula>
    </cfRule>
    <cfRule type="expression" dxfId="4" priority="1591">
      <formula>COUNTIF(INDIRECT("Checklist!$A783"), "FALSE") = 1</formula>
    </cfRule>
  </conditionalFormatting>
  <conditionalFormatting sqref="C108">
    <cfRule type="expression" dxfId="3" priority="1602">
      <formula>COUNTIF(INDIRECT("Checklist!$A789"), "TRUE") = 1</formula>
    </cfRule>
    <cfRule type="expression" dxfId="4" priority="1603">
      <formula>COUNTIF(INDIRECT("Checklist!$A789"), "FALSE") = 1</formula>
    </cfRule>
  </conditionalFormatting>
  <conditionalFormatting sqref="C109">
    <cfRule type="expression" dxfId="3" priority="1614">
      <formula>COUNTIF(INDIRECT("Checklist!$A795"), "TRUE") = 1</formula>
    </cfRule>
    <cfRule type="expression" dxfId="4" priority="1615">
      <formula>COUNTIF(INDIRECT("Checklist!$A795"), "FALSE") = 1</formula>
    </cfRule>
  </conditionalFormatting>
  <conditionalFormatting sqref="C11">
    <cfRule type="expression" dxfId="3" priority="126">
      <formula>COUNTIF(INDIRECT("Checklist!$A63"), "TRUE") = 1</formula>
    </cfRule>
    <cfRule type="expression" dxfId="4" priority="127">
      <formula>COUNTIF(INDIRECT("Checklist!$A63"), "FALSE") = 1</formula>
    </cfRule>
  </conditionalFormatting>
  <conditionalFormatting sqref="C110">
    <cfRule type="expression" dxfId="3" priority="1626">
      <formula>COUNTIF(INDIRECT("Checklist!$A801"), "TRUE") = 1</formula>
    </cfRule>
    <cfRule type="expression" dxfId="4" priority="1627">
      <formula>COUNTIF(INDIRECT("Checklist!$A801"), "FALSE") = 1</formula>
    </cfRule>
  </conditionalFormatting>
  <conditionalFormatting sqref="C111">
    <cfRule type="expression" dxfId="3" priority="1638">
      <formula>COUNTIF(INDIRECT("Checklist!$A807"), "TRUE") = 1</formula>
    </cfRule>
    <cfRule type="expression" dxfId="4" priority="1639">
      <formula>COUNTIF(INDIRECT("Checklist!$A807"), "FALSE") = 1</formula>
    </cfRule>
  </conditionalFormatting>
  <conditionalFormatting sqref="C115">
    <cfRule type="expression" dxfId="3" priority="1712">
      <formula>COUNTIF(INDIRECT("Checklist!$A1228"), "TRUE") = 1</formula>
    </cfRule>
    <cfRule type="expression" dxfId="4" priority="1713">
      <formula>COUNTIF(INDIRECT("Checklist!$A1228"), "FALSE") = 1</formula>
    </cfRule>
  </conditionalFormatting>
  <conditionalFormatting sqref="C116">
    <cfRule type="expression" dxfId="3" priority="1724">
      <formula>COUNTIF(INDIRECT("Checklist!$A849"), "TRUE") = 1</formula>
    </cfRule>
    <cfRule type="expression" dxfId="4" priority="1725">
      <formula>COUNTIF(INDIRECT("Checklist!$A849"), "FALSE") = 1</formula>
    </cfRule>
  </conditionalFormatting>
  <conditionalFormatting sqref="C117">
    <cfRule type="expression" dxfId="3" priority="1736">
      <formula>COUNTIF(INDIRECT("Checklist!$A855"), "TRUE") = 1</formula>
    </cfRule>
    <cfRule type="expression" dxfId="4" priority="1737">
      <formula>COUNTIF(INDIRECT("Checklist!$A855"), "FALSE") = 1</formula>
    </cfRule>
  </conditionalFormatting>
  <conditionalFormatting sqref="C118">
    <cfRule type="expression" dxfId="3" priority="1748">
      <formula>COUNTIF(INDIRECT("Checklist!$A861"), "TRUE") = 1</formula>
    </cfRule>
    <cfRule type="expression" dxfId="4" priority="1749">
      <formula>COUNTIF(INDIRECT("Checklist!$A861"), "FALSE") = 1</formula>
    </cfRule>
  </conditionalFormatting>
  <conditionalFormatting sqref="C119">
    <cfRule type="expression" dxfId="3" priority="1760">
      <formula>COUNTIF(INDIRECT("Checklist!$A867"), "TRUE") = 1</formula>
    </cfRule>
    <cfRule type="expression" dxfId="4" priority="1761">
      <formula>COUNTIF(INDIRECT("Checklist!$A867"), "FALSE") = 1</formula>
    </cfRule>
  </conditionalFormatting>
  <conditionalFormatting sqref="C12">
    <cfRule type="expression" dxfId="3" priority="138">
      <formula>COUNTIF(INDIRECT("Checklist!$A1211"), "TRUE") = 1</formula>
    </cfRule>
    <cfRule type="expression" dxfId="4" priority="139">
      <formula>COUNTIF(INDIRECT("Checklist!$A1211"), "FALSE") = 1</formula>
    </cfRule>
  </conditionalFormatting>
  <conditionalFormatting sqref="C123">
    <cfRule type="expression" dxfId="3" priority="1834">
      <formula>COUNTIF(INDIRECT("Checklist!$A903"), "TRUE") = 1</formula>
    </cfRule>
    <cfRule type="expression" dxfId="4" priority="1835">
      <formula>COUNTIF(INDIRECT("Checklist!$A903"), "FALSE") = 1</formula>
    </cfRule>
  </conditionalFormatting>
  <conditionalFormatting sqref="C124">
    <cfRule type="expression" dxfId="3" priority="1846">
      <formula>COUNTIF(INDIRECT("Checklist!$None"), "TRUE") = 1</formula>
    </cfRule>
    <cfRule type="expression" dxfId="4" priority="1847">
      <formula>COUNTIF(INDIRECT("Checklist!$None"), "FALSE") = 1</formula>
    </cfRule>
  </conditionalFormatting>
  <conditionalFormatting sqref="C125">
    <cfRule type="expression" dxfId="3" priority="1858">
      <formula>COUNTIF(INDIRECT("Checklist!$None"), "TRUE") = 1</formula>
    </cfRule>
    <cfRule type="expression" dxfId="4" priority="1859">
      <formula>COUNTIF(INDIRECT("Checklist!$None"), "FALSE") = 1</formula>
    </cfRule>
  </conditionalFormatting>
  <conditionalFormatting sqref="C126">
    <cfRule type="expression" dxfId="3" priority="1870">
      <formula>COUNTIF(INDIRECT("Checklist!$None"), "TRUE") = 1</formula>
    </cfRule>
    <cfRule type="expression" dxfId="4" priority="1871">
      <formula>COUNTIF(INDIRECT("Checklist!$None"), "FALSE") = 1</formula>
    </cfRule>
  </conditionalFormatting>
  <conditionalFormatting sqref="C127">
    <cfRule type="expression" dxfId="3" priority="1882">
      <formula>COUNTIF(INDIRECT("Checklist!$None"), "TRUE") = 1</formula>
    </cfRule>
    <cfRule type="expression" dxfId="4" priority="1883">
      <formula>COUNTIF(INDIRECT("Checklist!$None"), "FALSE") = 1</formula>
    </cfRule>
  </conditionalFormatting>
  <conditionalFormatting sqref="C13">
    <cfRule type="expression" dxfId="3" priority="150">
      <formula>COUNTIF(INDIRECT("Checklist!$A75"), "TRUE") = 1</formula>
    </cfRule>
    <cfRule type="expression" dxfId="4" priority="151">
      <formula>COUNTIF(INDIRECT("Checklist!$A75"), "FALSE") = 1</formula>
    </cfRule>
  </conditionalFormatting>
  <conditionalFormatting sqref="C131">
    <cfRule type="expression" dxfId="3" priority="1956">
      <formula>COUNTIF(INDIRECT("Checklist!$A938"), "TRUE") = 1</formula>
    </cfRule>
    <cfRule type="expression" dxfId="4" priority="1957">
      <formula>COUNTIF(INDIRECT("Checklist!$A938"), "FALSE") = 1</formula>
    </cfRule>
  </conditionalFormatting>
  <conditionalFormatting sqref="C132">
    <cfRule type="expression" dxfId="3" priority="1968">
      <formula>COUNTIF(INDIRECT("Checklist!$A944"), "TRUE") = 1</formula>
    </cfRule>
    <cfRule type="expression" dxfId="4" priority="1969">
      <formula>COUNTIF(INDIRECT("Checklist!$A944"), "FALSE") = 1</formula>
    </cfRule>
  </conditionalFormatting>
  <conditionalFormatting sqref="C133">
    <cfRule type="expression" dxfId="3" priority="1980">
      <formula>COUNTIF(INDIRECT("Checklist!$A950"), "TRUE") = 1</formula>
    </cfRule>
    <cfRule type="expression" dxfId="4" priority="1981">
      <formula>COUNTIF(INDIRECT("Checklist!$A950"), "FALSE") = 1</formula>
    </cfRule>
  </conditionalFormatting>
  <conditionalFormatting sqref="C134">
    <cfRule type="expression" dxfId="3" priority="1992">
      <formula>COUNTIF(INDIRECT("Checklist!$A956"), "TRUE") = 1</formula>
    </cfRule>
    <cfRule type="expression" dxfId="4" priority="1993">
      <formula>COUNTIF(INDIRECT("Checklist!$A956"), "FALSE") = 1</formula>
    </cfRule>
  </conditionalFormatting>
  <conditionalFormatting sqref="C135">
    <cfRule type="expression" dxfId="3" priority="2004">
      <formula>COUNTIF(INDIRECT("Checklist!$A962"), "TRUE") = 1</formula>
    </cfRule>
    <cfRule type="expression" dxfId="4" priority="2005">
      <formula>COUNTIF(INDIRECT("Checklist!$A962"), "FALSE") = 1</formula>
    </cfRule>
  </conditionalFormatting>
  <conditionalFormatting sqref="C139">
    <cfRule type="expression" dxfId="3" priority="2078">
      <formula>COUNTIF(INDIRECT("Checklist!$A998"), "TRUE") = 1</formula>
    </cfRule>
    <cfRule type="expression" dxfId="4" priority="2079">
      <formula>COUNTIF(INDIRECT("Checklist!$A998"), "FALSE") = 1</formula>
    </cfRule>
  </conditionalFormatting>
  <conditionalFormatting sqref="C14">
    <cfRule type="expression" dxfId="3" priority="162">
      <formula>COUNTIF(INDIRECT("Checklist!$A81"), "TRUE") = 1</formula>
    </cfRule>
    <cfRule type="expression" dxfId="4" priority="163">
      <formula>COUNTIF(INDIRECT("Checklist!$A81"), "FALSE") = 1</formula>
    </cfRule>
  </conditionalFormatting>
  <conditionalFormatting sqref="C140">
    <cfRule type="expression" dxfId="3" priority="2090">
      <formula>COUNTIF(INDIRECT("Checklist!$A1004"), "TRUE") = 1</formula>
    </cfRule>
    <cfRule type="expression" dxfId="4" priority="2091">
      <formula>COUNTIF(INDIRECT("Checklist!$A1004"), "FALSE") = 1</formula>
    </cfRule>
  </conditionalFormatting>
  <conditionalFormatting sqref="C141">
    <cfRule type="expression" dxfId="3" priority="2102">
      <formula>COUNTIF(INDIRECT("Checklist!$None"), "TRUE") = 1</formula>
    </cfRule>
    <cfRule type="expression" dxfId="4" priority="2103">
      <formula>COUNTIF(INDIRECT("Checklist!$None"), "FALSE") = 1</formula>
    </cfRule>
  </conditionalFormatting>
  <conditionalFormatting sqref="C142">
    <cfRule type="expression" dxfId="3" priority="2114">
      <formula>COUNTIF(INDIRECT("Checklist!$None"), "TRUE") = 1</formula>
    </cfRule>
    <cfRule type="expression" dxfId="4" priority="2115">
      <formula>COUNTIF(INDIRECT("Checklist!$None"), "FALSE") = 1</formula>
    </cfRule>
  </conditionalFormatting>
  <conditionalFormatting sqref="C143">
    <cfRule type="expression" dxfId="3" priority="2126">
      <formula>COUNTIF(INDIRECT("Checklist!$None"), "TRUE") = 1</formula>
    </cfRule>
    <cfRule type="expression" dxfId="4" priority="2127">
      <formula>COUNTIF(INDIRECT("Checklist!$None"), "FALSE") = 1</formula>
    </cfRule>
  </conditionalFormatting>
  <conditionalFormatting sqref="C147">
    <cfRule type="expression" dxfId="3" priority="2200">
      <formula>COUNTIF(INDIRECT("Checklist!$A1017"), "TRUE") = 1</formula>
    </cfRule>
    <cfRule type="expression" dxfId="4" priority="2201">
      <formula>COUNTIF(INDIRECT("Checklist!$A1017"), "FALSE") = 1</formula>
    </cfRule>
  </conditionalFormatting>
  <conditionalFormatting sqref="C148">
    <cfRule type="expression" dxfId="3" priority="2212">
      <formula>COUNTIF(INDIRECT("Checklist!$A1023"), "TRUE") = 1</formula>
    </cfRule>
    <cfRule type="expression" dxfId="4" priority="2213">
      <formula>COUNTIF(INDIRECT("Checklist!$A1023"), "FALSE") = 1</formula>
    </cfRule>
  </conditionalFormatting>
  <conditionalFormatting sqref="C149">
    <cfRule type="expression" dxfId="3" priority="2224">
      <formula>COUNTIF(INDIRECT("Checklist!$A1029"), "TRUE") = 1</formula>
    </cfRule>
    <cfRule type="expression" dxfId="4" priority="2225">
      <formula>COUNTIF(INDIRECT("Checklist!$A1029"), "FALSE") = 1</formula>
    </cfRule>
  </conditionalFormatting>
  <conditionalFormatting sqref="C15">
    <cfRule type="expression" dxfId="3" priority="174">
      <formula>COUNTIF(INDIRECT("Checklist!$A87"), "TRUE") = 1</formula>
    </cfRule>
    <cfRule type="expression" dxfId="4" priority="175">
      <formula>COUNTIF(INDIRECT("Checklist!$A87"), "FALSE") = 1</formula>
    </cfRule>
  </conditionalFormatting>
  <conditionalFormatting sqref="C150">
    <cfRule type="expression" dxfId="3" priority="2236">
      <formula>COUNTIF(INDIRECT("Checklist!$A1035"), "TRUE") = 1</formula>
    </cfRule>
    <cfRule type="expression" dxfId="4" priority="2237">
      <formula>COUNTIF(INDIRECT("Checklist!$A1035"), "FALSE") = 1</formula>
    </cfRule>
  </conditionalFormatting>
  <conditionalFormatting sqref="C151">
    <cfRule type="expression" dxfId="3" priority="2248">
      <formula>COUNTIF(INDIRECT("Checklist!$A1041"), "TRUE") = 1</formula>
    </cfRule>
    <cfRule type="expression" dxfId="4" priority="2249">
      <formula>COUNTIF(INDIRECT("Checklist!$A1041"), "FALSE") = 1</formula>
    </cfRule>
  </conditionalFormatting>
  <conditionalFormatting sqref="C155">
    <cfRule type="expression" dxfId="3" priority="2322">
      <formula>COUNTIF(INDIRECT("Checklist!$A1059"), "TRUE") = 1</formula>
    </cfRule>
    <cfRule type="expression" dxfId="4" priority="2323">
      <formula>COUNTIF(INDIRECT("Checklist!$A1059"), "FALSE") = 1</formula>
    </cfRule>
  </conditionalFormatting>
  <conditionalFormatting sqref="C156">
    <cfRule type="expression" dxfId="3" priority="2334">
      <formula>COUNTIF(INDIRECT("Checklist!$A1062"), "TRUE") = 1</formula>
    </cfRule>
    <cfRule type="expression" dxfId="4" priority="2335">
      <formula>COUNTIF(INDIRECT("Checklist!$A1062"), "FALSE") = 1</formula>
    </cfRule>
  </conditionalFormatting>
  <conditionalFormatting sqref="C157">
    <cfRule type="expression" dxfId="3" priority="2346">
      <formula>COUNTIF(INDIRECT("Checklist!$A1065"), "TRUE") = 1</formula>
    </cfRule>
    <cfRule type="expression" dxfId="4" priority="2347">
      <formula>COUNTIF(INDIRECT("Checklist!$A1065"), "FALSE") = 1</formula>
    </cfRule>
  </conditionalFormatting>
  <conditionalFormatting sqref="C158">
    <cfRule type="expression" dxfId="3" priority="2358">
      <formula>COUNTIF(INDIRECT("Checklist!$A1066"), "TRUE") = 1</formula>
    </cfRule>
    <cfRule type="expression" dxfId="4" priority="2359">
      <formula>COUNTIF(INDIRECT("Checklist!$A1066"), "FALSE") = 1</formula>
    </cfRule>
  </conditionalFormatting>
  <conditionalFormatting sqref="C159">
    <cfRule type="expression" dxfId="3" priority="2370">
      <formula>COUNTIF(INDIRECT("Checklist!$A1069"), "TRUE") = 1</formula>
    </cfRule>
    <cfRule type="expression" dxfId="4" priority="2371">
      <formula>COUNTIF(INDIRECT("Checklist!$A1069"), "FALSE") = 1</formula>
    </cfRule>
  </conditionalFormatting>
  <conditionalFormatting sqref="C163">
    <cfRule type="expression" dxfId="3" priority="2444">
      <formula>COUNTIF(INDIRECT("Checklist!$A1085"), "TRUE") = 1</formula>
    </cfRule>
    <cfRule type="expression" dxfId="4" priority="2445">
      <formula>COUNTIF(INDIRECT("Checklist!$A1085"), "FALSE") = 1</formula>
    </cfRule>
  </conditionalFormatting>
  <conditionalFormatting sqref="C164">
    <cfRule type="expression" dxfId="3" priority="2456">
      <formula>COUNTIF(INDIRECT("Checklist!$A1089"), "TRUE") = 1</formula>
    </cfRule>
    <cfRule type="expression" dxfId="4" priority="2457">
      <formula>COUNTIF(INDIRECT("Checklist!$A1089"), "FALSE") = 1</formula>
    </cfRule>
  </conditionalFormatting>
  <conditionalFormatting sqref="C165">
    <cfRule type="expression" dxfId="3" priority="2468">
      <formula>COUNTIF(INDIRECT("Checklist!$A1093"), "TRUE") = 1</formula>
    </cfRule>
    <cfRule type="expression" dxfId="4" priority="2469">
      <formula>COUNTIF(INDIRECT("Checklist!$A1093"), "FALSE") = 1</formula>
    </cfRule>
  </conditionalFormatting>
  <conditionalFormatting sqref="C166">
    <cfRule type="expression" dxfId="3" priority="2480">
      <formula>COUNTIF(INDIRECT("Checklist!$A1097"), "TRUE") = 1</formula>
    </cfRule>
    <cfRule type="expression" dxfId="4" priority="2481">
      <formula>COUNTIF(INDIRECT("Checklist!$A1097"), "FALSE") = 1</formula>
    </cfRule>
  </conditionalFormatting>
  <conditionalFormatting sqref="C167">
    <cfRule type="expression" dxfId="3" priority="2492">
      <formula>COUNTIF(INDIRECT("Checklist!$A1098"), "TRUE") = 1</formula>
    </cfRule>
    <cfRule type="expression" dxfId="4" priority="2493">
      <formula>COUNTIF(INDIRECT("Checklist!$A1098"), "FALSE") = 1</formula>
    </cfRule>
  </conditionalFormatting>
  <conditionalFormatting sqref="C171">
    <cfRule type="expression" dxfId="3" priority="2566">
      <formula>COUNTIF(INDIRECT("Checklist!$A1121"), "TRUE") = 1</formula>
    </cfRule>
    <cfRule type="expression" dxfId="4" priority="2567">
      <formula>COUNTIF(INDIRECT("Checklist!$A1121"), "FALSE") = 1</formula>
    </cfRule>
  </conditionalFormatting>
  <conditionalFormatting sqref="C172">
    <cfRule type="expression" dxfId="3" priority="2578">
      <formula>COUNTIF(INDIRECT("Checklist!$A1124"), "TRUE") = 1</formula>
    </cfRule>
    <cfRule type="expression" dxfId="4" priority="2579">
      <formula>COUNTIF(INDIRECT("Checklist!$A1124"), "FALSE") = 1</formula>
    </cfRule>
  </conditionalFormatting>
  <conditionalFormatting sqref="C173">
    <cfRule type="expression" dxfId="3" priority="2590">
      <formula>COUNTIF(INDIRECT("Checklist!$A1127"), "TRUE") = 1</formula>
    </cfRule>
    <cfRule type="expression" dxfId="4" priority="2591">
      <formula>COUNTIF(INDIRECT("Checklist!$A1127"), "FALSE") = 1</formula>
    </cfRule>
  </conditionalFormatting>
  <conditionalFormatting sqref="C174">
    <cfRule type="expression" dxfId="3" priority="2602">
      <formula>COUNTIF(INDIRECT("Checklist!$A802"), "TRUE") = 1</formula>
    </cfRule>
    <cfRule type="expression" dxfId="4" priority="2603">
      <formula>COUNTIF(INDIRECT("Checklist!$A802"), "FALSE") = 1</formula>
    </cfRule>
  </conditionalFormatting>
  <conditionalFormatting sqref="C175">
    <cfRule type="expression" dxfId="3" priority="2614">
      <formula>COUNTIF(INDIRECT("Checklist!$None"), "TRUE") = 1</formula>
    </cfRule>
    <cfRule type="expression" dxfId="4" priority="2615">
      <formula>COUNTIF(INDIRECT("Checklist!$None"), "FALSE") = 1</formula>
    </cfRule>
  </conditionalFormatting>
  <conditionalFormatting sqref="C179">
    <cfRule type="expression" dxfId="3" priority="2688">
      <formula>COUNTIF(INDIRECT("Checklist!$A1140"), "TRUE") = 1</formula>
    </cfRule>
    <cfRule type="expression" dxfId="4" priority="2689">
      <formula>COUNTIF(INDIRECT("Checklist!$A1140"), "FALSE") = 1</formula>
    </cfRule>
  </conditionalFormatting>
  <conditionalFormatting sqref="C180">
    <cfRule type="expression" dxfId="3" priority="2700">
      <formula>COUNTIF(INDIRECT("Checklist!$A1146"), "TRUE") = 1</formula>
    </cfRule>
    <cfRule type="expression" dxfId="4" priority="2701">
      <formula>COUNTIF(INDIRECT("Checklist!$A1146"), "FALSE") = 1</formula>
    </cfRule>
  </conditionalFormatting>
  <conditionalFormatting sqref="C181">
    <cfRule type="expression" dxfId="3" priority="2712">
      <formula>COUNTIF(INDIRECT("Checklist!$A1152"), "TRUE") = 1</formula>
    </cfRule>
    <cfRule type="expression" dxfId="4" priority="2713">
      <formula>COUNTIF(INDIRECT("Checklist!$A1152"), "FALSE") = 1</formula>
    </cfRule>
  </conditionalFormatting>
  <conditionalFormatting sqref="C182">
    <cfRule type="expression" dxfId="3" priority="2724">
      <formula>COUNTIF(INDIRECT("Checklist!$A1158"), "TRUE") = 1</formula>
    </cfRule>
    <cfRule type="expression" dxfId="4" priority="2725">
      <formula>COUNTIF(INDIRECT("Checklist!$A1158"), "FALSE") = 1</formula>
    </cfRule>
  </conditionalFormatting>
  <conditionalFormatting sqref="C183">
    <cfRule type="expression" dxfId="3" priority="2736">
      <formula>COUNTIF(INDIRECT("Checklist!$A1164"), "TRUE") = 1</formula>
    </cfRule>
    <cfRule type="expression" dxfId="4" priority="2737">
      <formula>COUNTIF(INDIRECT("Checklist!$A1164"), "FALSE") = 1</formula>
    </cfRule>
  </conditionalFormatting>
  <conditionalFormatting sqref="C187">
    <cfRule type="expression" dxfId="3" priority="2810">
      <formula>COUNTIF(INDIRECT("Checklist!$A1196"), "TRUE") = 1</formula>
    </cfRule>
    <cfRule type="expression" dxfId="4" priority="2811">
      <formula>COUNTIF(INDIRECT("Checklist!$A1196"), "FALSE") = 1</formula>
    </cfRule>
  </conditionalFormatting>
  <conditionalFormatting sqref="C188">
    <cfRule type="expression" dxfId="3" priority="2822">
      <formula>COUNTIF(INDIRECT("Checklist!$None"), "TRUE") = 1</formula>
    </cfRule>
    <cfRule type="expression" dxfId="4" priority="2823">
      <formula>COUNTIF(INDIRECT("Checklist!$None"), "FALSE") = 1</formula>
    </cfRule>
  </conditionalFormatting>
  <conditionalFormatting sqref="C189">
    <cfRule type="expression" dxfId="3" priority="2834">
      <formula>COUNTIF(INDIRECT("Checklist!$None"), "TRUE") = 1</formula>
    </cfRule>
    <cfRule type="expression" dxfId="4" priority="2835">
      <formula>COUNTIF(INDIRECT("Checklist!$None"), "FALSE") = 1</formula>
    </cfRule>
  </conditionalFormatting>
  <conditionalFormatting sqref="C19">
    <cfRule type="expression" dxfId="3" priority="248">
      <formula>COUNTIF(INDIRECT("Checklist!$A123"), "TRUE") = 1</formula>
    </cfRule>
    <cfRule type="expression" dxfId="4" priority="249">
      <formula>COUNTIF(INDIRECT("Checklist!$A123"), "FALSE") = 1</formula>
    </cfRule>
  </conditionalFormatting>
  <conditionalFormatting sqref="C190">
    <cfRule type="expression" dxfId="3" priority="2846">
      <formula>COUNTIF(INDIRECT("Checklist!$None"), "TRUE") = 1</formula>
    </cfRule>
    <cfRule type="expression" dxfId="4" priority="2847">
      <formula>COUNTIF(INDIRECT("Checklist!$None"), "FALSE") = 1</formula>
    </cfRule>
  </conditionalFormatting>
  <conditionalFormatting sqref="C191">
    <cfRule type="expression" dxfId="3" priority="2858">
      <formula>COUNTIF(INDIRECT("Checklist!$None"), "TRUE") = 1</formula>
    </cfRule>
    <cfRule type="expression" dxfId="4" priority="2859">
      <formula>COUNTIF(INDIRECT("Checklist!$None"), "FALSE") = 1</formula>
    </cfRule>
  </conditionalFormatting>
  <conditionalFormatting sqref="C195">
    <cfRule type="expression" dxfId="3" priority="2932">
      <formula>COUNTIF(INDIRECT("Checklist!$None"), "TRUE") = 1</formula>
    </cfRule>
    <cfRule type="expression" dxfId="4" priority="2933">
      <formula>COUNTIF(INDIRECT("Checklist!$None"), "FALSE") = 1</formula>
    </cfRule>
  </conditionalFormatting>
  <conditionalFormatting sqref="C196">
    <cfRule type="expression" dxfId="3" priority="2944">
      <formula>COUNTIF(INDIRECT("Checklist!$None"), "TRUE") = 1</formula>
    </cfRule>
    <cfRule type="expression" dxfId="4" priority="2945">
      <formula>COUNTIF(INDIRECT("Checklist!$None"), "FALSE") = 1</formula>
    </cfRule>
  </conditionalFormatting>
  <conditionalFormatting sqref="C197">
    <cfRule type="expression" dxfId="3" priority="2956">
      <formula>COUNTIF(INDIRECT("Checklist!$None"), "TRUE") = 1</formula>
    </cfRule>
    <cfRule type="expression" dxfId="4" priority="2957">
      <formula>COUNTIF(INDIRECT("Checklist!$None"), "FALSE") = 1</formula>
    </cfRule>
  </conditionalFormatting>
  <conditionalFormatting sqref="C198">
    <cfRule type="expression" dxfId="3" priority="2968">
      <formula>COUNTIF(INDIRECT("Checklist!$None"), "TRUE") = 1</formula>
    </cfRule>
    <cfRule type="expression" dxfId="4" priority="2969">
      <formula>COUNTIF(INDIRECT("Checklist!$None"), "FALSE") = 1</formula>
    </cfRule>
  </conditionalFormatting>
  <conditionalFormatting sqref="C199">
    <cfRule type="expression" dxfId="3" priority="2980">
      <formula>COUNTIF(INDIRECT("Checklist!$None"), "TRUE") = 1</formula>
    </cfRule>
    <cfRule type="expression" dxfId="4" priority="2981">
      <formula>COUNTIF(INDIRECT("Checklist!$None"), "FALSE") = 1</formula>
    </cfRule>
  </conditionalFormatting>
  <conditionalFormatting sqref="C20">
    <cfRule type="expression" dxfId="3" priority="260">
      <formula>COUNTIF(INDIRECT("Checklist!$A129"), "TRUE") = 1</formula>
    </cfRule>
    <cfRule type="expression" dxfId="4" priority="261">
      <formula>COUNTIF(INDIRECT("Checklist!$A129"), "FALSE") = 1</formula>
    </cfRule>
  </conditionalFormatting>
  <conditionalFormatting sqref="C203">
    <cfRule type="expression" dxfId="3" priority="3054">
      <formula>COUNTIF(INDIRECT("Checklist!$A1241"), "TRUE") = 1</formula>
    </cfRule>
    <cfRule type="expression" dxfId="4" priority="3055">
      <formula>COUNTIF(INDIRECT("Checklist!$A1241"), "FALSE") = 1</formula>
    </cfRule>
  </conditionalFormatting>
  <conditionalFormatting sqref="C204">
    <cfRule type="expression" dxfId="3" priority="3066">
      <formula>COUNTIF(INDIRECT("Checklist!$A1247"), "TRUE") = 1</formula>
    </cfRule>
    <cfRule type="expression" dxfId="4" priority="3067">
      <formula>COUNTIF(INDIRECT("Checklist!$A1247"), "FALSE") = 1</formula>
    </cfRule>
  </conditionalFormatting>
  <conditionalFormatting sqref="C205">
    <cfRule type="expression" dxfId="3" priority="3078">
      <formula>COUNTIF(INDIRECT("Checklist!$A1253"), "TRUE") = 1</formula>
    </cfRule>
    <cfRule type="expression" dxfId="4" priority="3079">
      <formula>COUNTIF(INDIRECT("Checklist!$A1253"), "FALSE") = 1</formula>
    </cfRule>
  </conditionalFormatting>
  <conditionalFormatting sqref="C206">
    <cfRule type="expression" dxfId="3" priority="3090">
      <formula>COUNTIF(INDIRECT("Checklist!$None"), "TRUE") = 1</formula>
    </cfRule>
    <cfRule type="expression" dxfId="4" priority="3091">
      <formula>COUNTIF(INDIRECT("Checklist!$None"), "FALSE") = 1</formula>
    </cfRule>
  </conditionalFormatting>
  <conditionalFormatting sqref="C207">
    <cfRule type="expression" dxfId="3" priority="3102">
      <formula>COUNTIF(INDIRECT("Checklist!$None"), "TRUE") = 1</formula>
    </cfRule>
    <cfRule type="expression" dxfId="4" priority="3103">
      <formula>COUNTIF(INDIRECT("Checklist!$None"), "FALSE") = 1</formula>
    </cfRule>
  </conditionalFormatting>
  <conditionalFormatting sqref="C21">
    <cfRule type="expression" dxfId="3" priority="272">
      <formula>COUNTIF(INDIRECT("Checklist!$A135"), "TRUE") = 1</formula>
    </cfRule>
    <cfRule type="expression" dxfId="4" priority="273">
      <formula>COUNTIF(INDIRECT("Checklist!$A135"), "FALSE") = 1</formula>
    </cfRule>
  </conditionalFormatting>
  <conditionalFormatting sqref="C211">
    <cfRule type="expression" dxfId="3" priority="3176">
      <formula>COUNTIF(INDIRECT("Checklist!$A1278"), "TRUE") = 1</formula>
    </cfRule>
    <cfRule type="expression" dxfId="4" priority="3177">
      <formula>COUNTIF(INDIRECT("Checklist!$A1278"), "FALSE") = 1</formula>
    </cfRule>
  </conditionalFormatting>
  <conditionalFormatting sqref="C212">
    <cfRule type="expression" dxfId="3" priority="3188">
      <formula>COUNTIF(INDIRECT("Checklist!$A1284"), "TRUE") = 1</formula>
    </cfRule>
    <cfRule type="expression" dxfId="4" priority="3189">
      <formula>COUNTIF(INDIRECT("Checklist!$A1284"), "FALSE") = 1</formula>
    </cfRule>
  </conditionalFormatting>
  <conditionalFormatting sqref="C213">
    <cfRule type="expression" dxfId="3" priority="3200">
      <formula>COUNTIF(INDIRECT("Checklist!$A1290"), "TRUE") = 1</formula>
    </cfRule>
    <cfRule type="expression" dxfId="4" priority="3201">
      <formula>COUNTIF(INDIRECT("Checklist!$A1290"), "FALSE") = 1</formula>
    </cfRule>
  </conditionalFormatting>
  <conditionalFormatting sqref="C214">
    <cfRule type="expression" dxfId="3" priority="3212">
      <formula>COUNTIF(INDIRECT("Checklist!$None"), "TRUE") = 1</formula>
    </cfRule>
    <cfRule type="expression" dxfId="4" priority="3213">
      <formula>COUNTIF(INDIRECT("Checklist!$None"), "FALSE") = 1</formula>
    </cfRule>
  </conditionalFormatting>
  <conditionalFormatting sqref="C215">
    <cfRule type="expression" dxfId="3" priority="3224">
      <formula>COUNTIF(INDIRECT("Checklist!$None"), "TRUE") = 1</formula>
    </cfRule>
    <cfRule type="expression" dxfId="4" priority="3225">
      <formula>COUNTIF(INDIRECT("Checklist!$None"), "FALSE") = 1</formula>
    </cfRule>
  </conditionalFormatting>
  <conditionalFormatting sqref="C22">
    <cfRule type="expression" dxfId="3" priority="284">
      <formula>COUNTIF(INDIRECT("Checklist!$A141"), "TRUE") = 1</formula>
    </cfRule>
    <cfRule type="expression" dxfId="4" priority="285">
      <formula>COUNTIF(INDIRECT("Checklist!$A141"), "FALSE") = 1</formula>
    </cfRule>
  </conditionalFormatting>
  <conditionalFormatting sqref="C23">
    <cfRule type="expression" dxfId="3" priority="296">
      <formula>COUNTIF(INDIRECT("Checklist!$A147"), "TRUE") = 1</formula>
    </cfRule>
    <cfRule type="expression" dxfId="4" priority="297">
      <formula>COUNTIF(INDIRECT("Checklist!$A147"), "FALSE") = 1</formula>
    </cfRule>
  </conditionalFormatting>
  <conditionalFormatting sqref="C27">
    <cfRule type="expression" dxfId="3" priority="370">
      <formula>COUNTIF(INDIRECT("Checklist!$A183"), "TRUE") = 1</formula>
    </cfRule>
    <cfRule type="expression" dxfId="4" priority="371">
      <formula>COUNTIF(INDIRECT("Checklist!$A183"), "FALSE") = 1</formula>
    </cfRule>
  </conditionalFormatting>
  <conditionalFormatting sqref="C28">
    <cfRule type="expression" dxfId="3" priority="382">
      <formula>COUNTIF(INDIRECT("Checklist!$A189"), "TRUE") = 1</formula>
    </cfRule>
    <cfRule type="expression" dxfId="4" priority="383">
      <formula>COUNTIF(INDIRECT("Checklist!$A189"), "FALSE") = 1</formula>
    </cfRule>
  </conditionalFormatting>
  <conditionalFormatting sqref="C29">
    <cfRule type="expression" dxfId="3" priority="394">
      <formula>COUNTIF(INDIRECT("Checklist!$A195"), "TRUE") = 1</formula>
    </cfRule>
    <cfRule type="expression" dxfId="4" priority="395">
      <formula>COUNTIF(INDIRECT("Checklist!$A195"), "FALSE") = 1</formula>
    </cfRule>
  </conditionalFormatting>
  <conditionalFormatting sqref="C3">
    <cfRule type="expression" dxfId="3" priority="4">
      <formula>COUNTIF(INDIRECT("Checklist!$A3"), "TRUE") = 1</formula>
    </cfRule>
    <cfRule type="expression" dxfId="4" priority="5">
      <formula>COUNTIF(INDIRECT("Checklist!$A3"), "FALSE") = 1</formula>
    </cfRule>
  </conditionalFormatting>
  <conditionalFormatting sqref="C30">
    <cfRule type="expression" dxfId="3" priority="406">
      <formula>COUNTIF(INDIRECT("Checklist!$A201"), "TRUE") = 1</formula>
    </cfRule>
    <cfRule type="expression" dxfId="4" priority="407">
      <formula>COUNTIF(INDIRECT("Checklist!$A201"), "FALSE") = 1</formula>
    </cfRule>
  </conditionalFormatting>
  <conditionalFormatting sqref="C31">
    <cfRule type="expression" dxfId="3" priority="418">
      <formula>COUNTIF(INDIRECT("Checklist!$A207"), "TRUE") = 1</formula>
    </cfRule>
    <cfRule type="expression" dxfId="4" priority="419">
      <formula>COUNTIF(INDIRECT("Checklist!$A207"), "FALSE") = 1</formula>
    </cfRule>
  </conditionalFormatting>
  <conditionalFormatting sqref="C35">
    <cfRule type="expression" dxfId="3" priority="492">
      <formula>COUNTIF(INDIRECT("Checklist!$A243"), "TRUE") = 1</formula>
    </cfRule>
    <cfRule type="expression" dxfId="4" priority="493">
      <formula>COUNTIF(INDIRECT("Checklist!$A243"), "FALSE") = 1</formula>
    </cfRule>
  </conditionalFormatting>
  <conditionalFormatting sqref="C36">
    <cfRule type="expression" dxfId="3" priority="504">
      <formula>COUNTIF(INDIRECT("Checklist!$A249"), "TRUE") = 1</formula>
    </cfRule>
    <cfRule type="expression" dxfId="4" priority="505">
      <formula>COUNTIF(INDIRECT("Checklist!$A249"), "FALSE") = 1</formula>
    </cfRule>
  </conditionalFormatting>
  <conditionalFormatting sqref="C37">
    <cfRule type="expression" dxfId="3" priority="516">
      <formula>COUNTIF(INDIRECT("Checklist!$A255"), "TRUE") = 1</formula>
    </cfRule>
    <cfRule type="expression" dxfId="4" priority="517">
      <formula>COUNTIF(INDIRECT("Checklist!$A255"), "FALSE") = 1</formula>
    </cfRule>
  </conditionalFormatting>
  <conditionalFormatting sqref="C38">
    <cfRule type="expression" dxfId="3" priority="528">
      <formula>COUNTIF(INDIRECT("Checklist!$A261"), "TRUE") = 1</formula>
    </cfRule>
    <cfRule type="expression" dxfId="4" priority="529">
      <formula>COUNTIF(INDIRECT("Checklist!$A261"), "FALSE") = 1</formula>
    </cfRule>
  </conditionalFormatting>
  <conditionalFormatting sqref="C39">
    <cfRule type="expression" dxfId="3" priority="540">
      <formula>COUNTIF(INDIRECT("Checklist!$A267"), "TRUE") = 1</formula>
    </cfRule>
    <cfRule type="expression" dxfId="4" priority="541">
      <formula>COUNTIF(INDIRECT("Checklist!$A267"), "FALSE") = 1</formula>
    </cfRule>
  </conditionalFormatting>
  <conditionalFormatting sqref="C4">
    <cfRule type="expression" dxfId="3" priority="16">
      <formula>COUNTIF(INDIRECT("Checklist!$A9"), "TRUE") = 1</formula>
    </cfRule>
    <cfRule type="expression" dxfId="4" priority="17">
      <formula>COUNTIF(INDIRECT("Checklist!$A9"), "FALSE") = 1</formula>
    </cfRule>
  </conditionalFormatting>
  <conditionalFormatting sqref="C43">
    <cfRule type="expression" dxfId="3" priority="614">
      <formula>COUNTIF(INDIRECT("Checklist!$A303"), "TRUE") = 1</formula>
    </cfRule>
    <cfRule type="expression" dxfId="4" priority="615">
      <formula>COUNTIF(INDIRECT("Checklist!$A303"), "FALSE") = 1</formula>
    </cfRule>
  </conditionalFormatting>
  <conditionalFormatting sqref="C44">
    <cfRule type="expression" dxfId="3" priority="626">
      <formula>COUNTIF(INDIRECT("Checklist!$A309"), "TRUE") = 1</formula>
    </cfRule>
    <cfRule type="expression" dxfId="4" priority="627">
      <formula>COUNTIF(INDIRECT("Checklist!$A309"), "FALSE") = 1</formula>
    </cfRule>
  </conditionalFormatting>
  <conditionalFormatting sqref="C45">
    <cfRule type="expression" dxfId="3" priority="638">
      <formula>COUNTIF(INDIRECT("Checklist!$A315"), "TRUE") = 1</formula>
    </cfRule>
    <cfRule type="expression" dxfId="4" priority="639">
      <formula>COUNTIF(INDIRECT("Checklist!$A315"), "FALSE") = 1</formula>
    </cfRule>
  </conditionalFormatting>
  <conditionalFormatting sqref="C46">
    <cfRule type="expression" dxfId="3" priority="650">
      <formula>COUNTIF(INDIRECT("Checklist!$A321"), "TRUE") = 1</formula>
    </cfRule>
    <cfRule type="expression" dxfId="4" priority="651">
      <formula>COUNTIF(INDIRECT("Checklist!$A321"), "FALSE") = 1</formula>
    </cfRule>
  </conditionalFormatting>
  <conditionalFormatting sqref="C47">
    <cfRule type="expression" dxfId="3" priority="662">
      <formula>COUNTIF(INDIRECT("Checklist!$A327"), "TRUE") = 1</formula>
    </cfRule>
    <cfRule type="expression" dxfId="4" priority="663">
      <formula>COUNTIF(INDIRECT("Checklist!$A327"), "FALSE") = 1</formula>
    </cfRule>
  </conditionalFormatting>
  <conditionalFormatting sqref="C5">
    <cfRule type="expression" dxfId="3" priority="28">
      <formula>COUNTIF(INDIRECT("Checklist!$A15"), "TRUE") = 1</formula>
    </cfRule>
    <cfRule type="expression" dxfId="4" priority="29">
      <formula>COUNTIF(INDIRECT("Checklist!$A15"), "FALSE") = 1</formula>
    </cfRule>
  </conditionalFormatting>
  <conditionalFormatting sqref="C51">
    <cfRule type="expression" dxfId="3" priority="736">
      <formula>COUNTIF(INDIRECT("Checklist!$A363"), "TRUE") = 1</formula>
    </cfRule>
    <cfRule type="expression" dxfId="4" priority="737">
      <formula>COUNTIF(INDIRECT("Checklist!$A363"), "FALSE") = 1</formula>
    </cfRule>
  </conditionalFormatting>
  <conditionalFormatting sqref="C52">
    <cfRule type="expression" dxfId="3" priority="748">
      <formula>COUNTIF(INDIRECT("Checklist!$A369"), "TRUE") = 1</formula>
    </cfRule>
    <cfRule type="expression" dxfId="4" priority="749">
      <formula>COUNTIF(INDIRECT("Checklist!$A369"), "FALSE") = 1</formula>
    </cfRule>
  </conditionalFormatting>
  <conditionalFormatting sqref="C53">
    <cfRule type="expression" dxfId="3" priority="760">
      <formula>COUNTIF(INDIRECT("Checklist!$A375"), "TRUE") = 1</formula>
    </cfRule>
    <cfRule type="expression" dxfId="4" priority="761">
      <formula>COUNTIF(INDIRECT("Checklist!$A375"), "FALSE") = 1</formula>
    </cfRule>
  </conditionalFormatting>
  <conditionalFormatting sqref="C54">
    <cfRule type="expression" dxfId="3" priority="772">
      <formula>COUNTIF(INDIRECT("Checklist!$A381"), "TRUE") = 1</formula>
    </cfRule>
    <cfRule type="expression" dxfId="4" priority="773">
      <formula>COUNTIF(INDIRECT("Checklist!$A381"), "FALSE") = 1</formula>
    </cfRule>
  </conditionalFormatting>
  <conditionalFormatting sqref="C55">
    <cfRule type="expression" dxfId="3" priority="784">
      <formula>COUNTIF(INDIRECT("Checklist!$A387"), "TRUE") = 1</formula>
    </cfRule>
    <cfRule type="expression" dxfId="4" priority="785">
      <formula>COUNTIF(INDIRECT("Checklist!$A387"), "FALSE") = 1</formula>
    </cfRule>
  </conditionalFormatting>
  <conditionalFormatting sqref="C59">
    <cfRule type="expression" dxfId="3" priority="858">
      <formula>COUNTIF(INDIRECT("Checklist!$A423"), "TRUE") = 1</formula>
    </cfRule>
    <cfRule type="expression" dxfId="4" priority="859">
      <formula>COUNTIF(INDIRECT("Checklist!$A423"), "FALSE") = 1</formula>
    </cfRule>
  </conditionalFormatting>
  <conditionalFormatting sqref="C6">
    <cfRule type="expression" dxfId="3" priority="40">
      <formula>COUNTIF(INDIRECT("Checklist!$A21"), "TRUE") = 1</formula>
    </cfRule>
    <cfRule type="expression" dxfId="4" priority="41">
      <formula>COUNTIF(INDIRECT("Checklist!$A21"), "FALSE") = 1</formula>
    </cfRule>
  </conditionalFormatting>
  <conditionalFormatting sqref="C60">
    <cfRule type="expression" dxfId="3" priority="870">
      <formula>COUNTIF(INDIRECT("Checklist!$A429"), "TRUE") = 1</formula>
    </cfRule>
    <cfRule type="expression" dxfId="4" priority="871">
      <formula>COUNTIF(INDIRECT("Checklist!$A429"), "FALSE") = 1</formula>
    </cfRule>
  </conditionalFormatting>
  <conditionalFormatting sqref="C61">
    <cfRule type="expression" dxfId="3" priority="882">
      <formula>COUNTIF(INDIRECT("Checklist!$A435"), "TRUE") = 1</formula>
    </cfRule>
    <cfRule type="expression" dxfId="4" priority="883">
      <formula>COUNTIF(INDIRECT("Checklist!$A435"), "FALSE") = 1</formula>
    </cfRule>
  </conditionalFormatting>
  <conditionalFormatting sqref="C62">
    <cfRule type="expression" dxfId="3" priority="894">
      <formula>COUNTIF(INDIRECT("Checklist!$A441"), "TRUE") = 1</formula>
    </cfRule>
    <cfRule type="expression" dxfId="4" priority="895">
      <formula>COUNTIF(INDIRECT("Checklist!$A441"), "FALSE") = 1</formula>
    </cfRule>
  </conditionalFormatting>
  <conditionalFormatting sqref="C63">
    <cfRule type="expression" dxfId="3" priority="906">
      <formula>COUNTIF(INDIRECT("Checklist!$A447"), "TRUE") = 1</formula>
    </cfRule>
    <cfRule type="expression" dxfId="4" priority="907">
      <formula>COUNTIF(INDIRECT("Checklist!$A447"), "FALSE") = 1</formula>
    </cfRule>
  </conditionalFormatting>
  <conditionalFormatting sqref="C67">
    <cfRule type="expression" dxfId="3" priority="980">
      <formula>COUNTIF(INDIRECT("Checklist!$A483"), "TRUE") = 1</formula>
    </cfRule>
    <cfRule type="expression" dxfId="4" priority="981">
      <formula>COUNTIF(INDIRECT("Checklist!$A483"), "FALSE") = 1</formula>
    </cfRule>
  </conditionalFormatting>
  <conditionalFormatting sqref="C68">
    <cfRule type="expression" dxfId="3" priority="992">
      <formula>COUNTIF(INDIRECT("Checklist!$A489"), "TRUE") = 1</formula>
    </cfRule>
    <cfRule type="expression" dxfId="4" priority="993">
      <formula>COUNTIF(INDIRECT("Checklist!$A489"), "FALSE") = 1</formula>
    </cfRule>
  </conditionalFormatting>
  <conditionalFormatting sqref="C69">
    <cfRule type="expression" dxfId="3" priority="1004">
      <formula>COUNTIF(INDIRECT("Checklist!$A495"), "TRUE") = 1</formula>
    </cfRule>
    <cfRule type="expression" dxfId="4" priority="1005">
      <formula>COUNTIF(INDIRECT("Checklist!$A495"), "FALSE") = 1</formula>
    </cfRule>
  </conditionalFormatting>
  <conditionalFormatting sqref="C7">
    <cfRule type="expression" dxfId="3" priority="52">
      <formula>COUNTIF(INDIRECT("Checklist!$A27"), "TRUE") = 1</formula>
    </cfRule>
    <cfRule type="expression" dxfId="4" priority="53">
      <formula>COUNTIF(INDIRECT("Checklist!$A27"), "FALSE") = 1</formula>
    </cfRule>
  </conditionalFormatting>
  <conditionalFormatting sqref="C70">
    <cfRule type="expression" dxfId="3" priority="1016">
      <formula>COUNTIF(INDIRECT("Checklist!$A501"), "TRUE") = 1</formula>
    </cfRule>
    <cfRule type="expression" dxfId="4" priority="1017">
      <formula>COUNTIF(INDIRECT("Checklist!$A501"), "FALSE") = 1</formula>
    </cfRule>
  </conditionalFormatting>
  <conditionalFormatting sqref="C71">
    <cfRule type="expression" dxfId="3" priority="1028">
      <formula>COUNTIF(INDIRECT("Checklist!$A507"), "TRUE") = 1</formula>
    </cfRule>
    <cfRule type="expression" dxfId="4" priority="1029">
      <formula>COUNTIF(INDIRECT("Checklist!$A507"), "FALSE") = 1</formula>
    </cfRule>
  </conditionalFormatting>
  <conditionalFormatting sqref="C75">
    <cfRule type="expression" dxfId="3" priority="1102">
      <formula>COUNTIF(INDIRECT("Checklist!$A543"), "TRUE") = 1</formula>
    </cfRule>
    <cfRule type="expression" dxfId="4" priority="1103">
      <formula>COUNTIF(INDIRECT("Checklist!$A543"), "FALSE") = 1</formula>
    </cfRule>
  </conditionalFormatting>
  <conditionalFormatting sqref="C76">
    <cfRule type="expression" dxfId="3" priority="1114">
      <formula>COUNTIF(INDIRECT("Checklist!$A549"), "TRUE") = 1</formula>
    </cfRule>
    <cfRule type="expression" dxfId="4" priority="1115">
      <formula>COUNTIF(INDIRECT("Checklist!$A549"), "FALSE") = 1</formula>
    </cfRule>
  </conditionalFormatting>
  <conditionalFormatting sqref="C77">
    <cfRule type="expression" dxfId="3" priority="1126">
      <formula>COUNTIF(INDIRECT("Checklist!$A555"), "TRUE") = 1</formula>
    </cfRule>
    <cfRule type="expression" dxfId="4" priority="1127">
      <formula>COUNTIF(INDIRECT("Checklist!$A555"), "FALSE") = 1</formula>
    </cfRule>
  </conditionalFormatting>
  <conditionalFormatting sqref="C78">
    <cfRule type="expression" dxfId="3" priority="1138">
      <formula>COUNTIF(INDIRECT("Checklist!$A561"), "TRUE") = 1</formula>
    </cfRule>
    <cfRule type="expression" dxfId="4" priority="1139">
      <formula>COUNTIF(INDIRECT("Checklist!$A561"), "FALSE") = 1</formula>
    </cfRule>
  </conditionalFormatting>
  <conditionalFormatting sqref="C79">
    <cfRule type="expression" dxfId="3" priority="1150">
      <formula>COUNTIF(INDIRECT("Checklist!$A567"), "TRUE") = 1</formula>
    </cfRule>
    <cfRule type="expression" dxfId="4" priority="1151">
      <formula>COUNTIF(INDIRECT("Checklist!$A567"), "FALSE") = 1</formula>
    </cfRule>
  </conditionalFormatting>
  <conditionalFormatting sqref="C83">
    <cfRule type="expression" dxfId="3" priority="1224">
      <formula>COUNTIF(INDIRECT("Checklist!$A603"), "TRUE") = 1</formula>
    </cfRule>
    <cfRule type="expression" dxfId="4" priority="1225">
      <formula>COUNTIF(INDIRECT("Checklist!$A603"), "FALSE") = 1</formula>
    </cfRule>
  </conditionalFormatting>
  <conditionalFormatting sqref="C84">
    <cfRule type="expression" dxfId="3" priority="1236">
      <formula>COUNTIF(INDIRECT("Checklist!$A609"), "TRUE") = 1</formula>
    </cfRule>
    <cfRule type="expression" dxfId="4" priority="1237">
      <formula>COUNTIF(INDIRECT("Checklist!$A609"), "FALSE") = 1</formula>
    </cfRule>
  </conditionalFormatting>
  <conditionalFormatting sqref="C85">
    <cfRule type="expression" dxfId="3" priority="1248">
      <formula>COUNTIF(INDIRECT("Checklist!$A615"), "TRUE") = 1</formula>
    </cfRule>
    <cfRule type="expression" dxfId="4" priority="1249">
      <formula>COUNTIF(INDIRECT("Checklist!$A615"), "FALSE") = 1</formula>
    </cfRule>
  </conditionalFormatting>
  <conditionalFormatting sqref="C86">
    <cfRule type="expression" dxfId="3" priority="1260">
      <formula>COUNTIF(INDIRECT("Checklist!$A621"), "TRUE") = 1</formula>
    </cfRule>
    <cfRule type="expression" dxfId="4" priority="1261">
      <formula>COUNTIF(INDIRECT("Checklist!$A621"), "FALSE") = 1</formula>
    </cfRule>
  </conditionalFormatting>
  <conditionalFormatting sqref="C87">
    <cfRule type="expression" dxfId="3" priority="1272">
      <formula>COUNTIF(INDIRECT("Checklist!$A627"), "TRUE") = 1</formula>
    </cfRule>
    <cfRule type="expression" dxfId="4" priority="1273">
      <formula>COUNTIF(INDIRECT("Checklist!$A627"), "FALSE") = 1</formula>
    </cfRule>
  </conditionalFormatting>
  <conditionalFormatting sqref="C91">
    <cfRule type="expression" dxfId="3" priority="1346">
      <formula>COUNTIF(INDIRECT("Checklist!$A663"), "TRUE") = 1</formula>
    </cfRule>
    <cfRule type="expression" dxfId="4" priority="1347">
      <formula>COUNTIF(INDIRECT("Checklist!$A663"), "FALSE") = 1</formula>
    </cfRule>
  </conditionalFormatting>
  <conditionalFormatting sqref="C92">
    <cfRule type="expression" dxfId="3" priority="1358">
      <formula>COUNTIF(INDIRECT("Checklist!$A669"), "TRUE") = 1</formula>
    </cfRule>
    <cfRule type="expression" dxfId="4" priority="1359">
      <formula>COUNTIF(INDIRECT("Checklist!$A669"), "FALSE") = 1</formula>
    </cfRule>
  </conditionalFormatting>
  <conditionalFormatting sqref="C93">
    <cfRule type="expression" dxfId="3" priority="1370">
      <formula>COUNTIF(INDIRECT("Checklist!$A675"), "TRUE") = 1</formula>
    </cfRule>
    <cfRule type="expression" dxfId="4" priority="1371">
      <formula>COUNTIF(INDIRECT("Checklist!$A675"), "FALSE") = 1</formula>
    </cfRule>
  </conditionalFormatting>
  <conditionalFormatting sqref="C94">
    <cfRule type="expression" dxfId="3" priority="1382">
      <formula>COUNTIF(INDIRECT("Checklist!$A681"), "TRUE") = 1</formula>
    </cfRule>
    <cfRule type="expression" dxfId="4" priority="1383">
      <formula>COUNTIF(INDIRECT("Checklist!$A681"), "FALSE") = 1</formula>
    </cfRule>
  </conditionalFormatting>
  <conditionalFormatting sqref="C95">
    <cfRule type="expression" dxfId="3" priority="1394">
      <formula>COUNTIF(INDIRECT("Checklist!$A687"), "TRUE") = 1</formula>
    </cfRule>
    <cfRule type="expression" dxfId="4" priority="1395">
      <formula>COUNTIF(INDIRECT("Checklist!$A687"), "FALSE") = 1</formula>
    </cfRule>
  </conditionalFormatting>
  <conditionalFormatting sqref="C99">
    <cfRule type="expression" dxfId="3" priority="1468">
      <formula>COUNTIF(INDIRECT("Checklist!$A723"), "TRUE") = 1</formula>
    </cfRule>
    <cfRule type="expression" dxfId="4" priority="1469">
      <formula>COUNTIF(INDIRECT("Checklist!$A723"), "FALSE") = 1</formula>
    </cfRule>
  </conditionalFormatting>
  <conditionalFormatting sqref="D100">
    <cfRule type="expression" dxfId="3" priority="1482">
      <formula>COUNTIF(INDIRECT("Checklist!$A730"), "TRUE") = 1</formula>
    </cfRule>
    <cfRule type="expression" dxfId="4" priority="1483">
      <formula>COUNTIF(INDIRECT("Checklist!$A730"), "FALSE") = 1</formula>
    </cfRule>
  </conditionalFormatting>
  <conditionalFormatting sqref="D101">
    <cfRule type="expression" dxfId="3" priority="1494">
      <formula>COUNTIF(INDIRECT("Checklist!$A736"), "TRUE") = 1</formula>
    </cfRule>
    <cfRule type="expression" dxfId="4" priority="1495">
      <formula>COUNTIF(INDIRECT("Checklist!$A736"), "FALSE") = 1</formula>
    </cfRule>
  </conditionalFormatting>
  <conditionalFormatting sqref="D102">
    <cfRule type="expression" dxfId="3" priority="1506">
      <formula>COUNTIF(INDIRECT("Checklist!$A742"), "TRUE") = 1</formula>
    </cfRule>
    <cfRule type="expression" dxfId="4" priority="1507">
      <formula>COUNTIF(INDIRECT("Checklist!$A742"), "FALSE") = 1</formula>
    </cfRule>
  </conditionalFormatting>
  <conditionalFormatting sqref="D103">
    <cfRule type="expression" dxfId="3" priority="1518">
      <formula>COUNTIF(INDIRECT("Checklist!$A748"), "TRUE") = 1</formula>
    </cfRule>
    <cfRule type="expression" dxfId="4" priority="1519">
      <formula>COUNTIF(INDIRECT("Checklist!$A748"), "FALSE") = 1</formula>
    </cfRule>
  </conditionalFormatting>
  <conditionalFormatting sqref="D107">
    <cfRule type="expression" dxfId="3" priority="1592">
      <formula>COUNTIF(INDIRECT("Checklist!$A784"), "TRUE") = 1</formula>
    </cfRule>
    <cfRule type="expression" dxfId="4" priority="1593">
      <formula>COUNTIF(INDIRECT("Checklist!$A784"), "FALSE") = 1</formula>
    </cfRule>
  </conditionalFormatting>
  <conditionalFormatting sqref="D108">
    <cfRule type="expression" dxfId="3" priority="1604">
      <formula>COUNTIF(INDIRECT("Checklist!$A790"), "TRUE") = 1</formula>
    </cfRule>
    <cfRule type="expression" dxfId="4" priority="1605">
      <formula>COUNTIF(INDIRECT("Checklist!$A790"), "FALSE") = 1</formula>
    </cfRule>
  </conditionalFormatting>
  <conditionalFormatting sqref="D109">
    <cfRule type="expression" dxfId="3" priority="1616">
      <formula>COUNTIF(INDIRECT("Checklist!$A796"), "TRUE") = 1</formula>
    </cfRule>
    <cfRule type="expression" dxfId="4" priority="1617">
      <formula>COUNTIF(INDIRECT("Checklist!$A796"), "FALSE") = 1</formula>
    </cfRule>
  </conditionalFormatting>
  <conditionalFormatting sqref="D11">
    <cfRule type="expression" dxfId="3" priority="128">
      <formula>COUNTIF(INDIRECT("Checklist!$A64"), "TRUE") = 1</formula>
    </cfRule>
    <cfRule type="expression" dxfId="4" priority="129">
      <formula>COUNTIF(INDIRECT("Checklist!$A64"), "FALSE") = 1</formula>
    </cfRule>
  </conditionalFormatting>
  <conditionalFormatting sqref="D110">
    <cfRule type="expression" dxfId="3" priority="1628">
      <formula>COUNTIF(INDIRECT("Checklist!$A802"), "TRUE") = 1</formula>
    </cfRule>
    <cfRule type="expression" dxfId="4" priority="1629">
      <formula>COUNTIF(INDIRECT("Checklist!$A802"), "FALSE") = 1</formula>
    </cfRule>
  </conditionalFormatting>
  <conditionalFormatting sqref="D111">
    <cfRule type="expression" dxfId="3" priority="1640">
      <formula>COUNTIF(INDIRECT("Checklist!$A808"), "TRUE") = 1</formula>
    </cfRule>
    <cfRule type="expression" dxfId="4" priority="1641">
      <formula>COUNTIF(INDIRECT("Checklist!$A808"), "FALSE") = 1</formula>
    </cfRule>
  </conditionalFormatting>
  <conditionalFormatting sqref="D115">
    <cfRule type="expression" dxfId="3" priority="1714">
      <formula>COUNTIF(INDIRECT("Checklist!$A844"), "TRUE") = 1</formula>
    </cfRule>
    <cfRule type="expression" dxfId="4" priority="1715">
      <formula>COUNTIF(INDIRECT("Checklist!$A844"), "FALSE") = 1</formula>
    </cfRule>
  </conditionalFormatting>
  <conditionalFormatting sqref="D116">
    <cfRule type="expression" dxfId="3" priority="1726">
      <formula>COUNTIF(INDIRECT("Checklist!$A1230"), "TRUE") = 1</formula>
    </cfRule>
    <cfRule type="expression" dxfId="4" priority="1727">
      <formula>COUNTIF(INDIRECT("Checklist!$A1230"), "FALSE") = 1</formula>
    </cfRule>
  </conditionalFormatting>
  <conditionalFormatting sqref="D117">
    <cfRule type="expression" dxfId="3" priority="1738">
      <formula>COUNTIF(INDIRECT("Checklist!$A856"), "TRUE") = 1</formula>
    </cfRule>
    <cfRule type="expression" dxfId="4" priority="1739">
      <formula>COUNTIF(INDIRECT("Checklist!$A856"), "FALSE") = 1</formula>
    </cfRule>
  </conditionalFormatting>
  <conditionalFormatting sqref="D118">
    <cfRule type="expression" dxfId="3" priority="1750">
      <formula>COUNTIF(INDIRECT("Checklist!$A1234"), "TRUE") = 1</formula>
    </cfRule>
    <cfRule type="expression" dxfId="4" priority="1751">
      <formula>COUNTIF(INDIRECT("Checklist!$A1234"), "FALSE") = 1</formula>
    </cfRule>
  </conditionalFormatting>
  <conditionalFormatting sqref="D119">
    <cfRule type="expression" dxfId="3" priority="1762">
      <formula>COUNTIF(INDIRECT("Checklist!$A868"), "TRUE") = 1</formula>
    </cfRule>
    <cfRule type="expression" dxfId="4" priority="1763">
      <formula>COUNTIF(INDIRECT("Checklist!$A868"), "FALSE") = 1</formula>
    </cfRule>
  </conditionalFormatting>
  <conditionalFormatting sqref="D12">
    <cfRule type="expression" dxfId="3" priority="140">
      <formula>COUNTIF(INDIRECT("Checklist!$A70"), "TRUE") = 1</formula>
    </cfRule>
    <cfRule type="expression" dxfId="4" priority="141">
      <formula>COUNTIF(INDIRECT("Checklist!$A70"), "FALSE") = 1</formula>
    </cfRule>
  </conditionalFormatting>
  <conditionalFormatting sqref="D123">
    <cfRule type="expression" dxfId="3" priority="1836">
      <formula>COUNTIF(INDIRECT("Checklist!$A904"), "TRUE") = 1</formula>
    </cfRule>
    <cfRule type="expression" dxfId="4" priority="1837">
      <formula>COUNTIF(INDIRECT("Checklist!$A904"), "FALSE") = 1</formula>
    </cfRule>
  </conditionalFormatting>
  <conditionalFormatting sqref="D124">
    <cfRule type="expression" dxfId="3" priority="1848">
      <formula>COUNTIF(INDIRECT("Checklist!$None"), "TRUE") = 1</formula>
    </cfRule>
    <cfRule type="expression" dxfId="4" priority="1849">
      <formula>COUNTIF(INDIRECT("Checklist!$None"), "FALSE") = 1</formula>
    </cfRule>
  </conditionalFormatting>
  <conditionalFormatting sqref="D125">
    <cfRule type="expression" dxfId="3" priority="1860">
      <formula>COUNTIF(INDIRECT("Checklist!$None"), "TRUE") = 1</formula>
    </cfRule>
    <cfRule type="expression" dxfId="4" priority="1861">
      <formula>COUNTIF(INDIRECT("Checklist!$None"), "FALSE") = 1</formula>
    </cfRule>
  </conditionalFormatting>
  <conditionalFormatting sqref="D126">
    <cfRule type="expression" dxfId="3" priority="1872">
      <formula>COUNTIF(INDIRECT("Checklist!$None"), "TRUE") = 1</formula>
    </cfRule>
    <cfRule type="expression" dxfId="4" priority="1873">
      <formula>COUNTIF(INDIRECT("Checklist!$None"), "FALSE") = 1</formula>
    </cfRule>
  </conditionalFormatting>
  <conditionalFormatting sqref="D127">
    <cfRule type="expression" dxfId="3" priority="1884">
      <formula>COUNTIF(INDIRECT("Checklist!$None"), "TRUE") = 1</formula>
    </cfRule>
    <cfRule type="expression" dxfId="4" priority="1885">
      <formula>COUNTIF(INDIRECT("Checklist!$None"), "FALSE") = 1</formula>
    </cfRule>
  </conditionalFormatting>
  <conditionalFormatting sqref="D13">
    <cfRule type="expression" dxfId="3" priority="152">
      <formula>COUNTIF(INDIRECT("Checklist!$A76"), "TRUE") = 1</formula>
    </cfRule>
    <cfRule type="expression" dxfId="4" priority="153">
      <formula>COUNTIF(INDIRECT("Checklist!$A76"), "FALSE") = 1</formula>
    </cfRule>
  </conditionalFormatting>
  <conditionalFormatting sqref="D131">
    <cfRule type="expression" dxfId="3" priority="1958">
      <formula>COUNTIF(INDIRECT("Checklist!$A939"), "TRUE") = 1</formula>
    </cfRule>
    <cfRule type="expression" dxfId="4" priority="1959">
      <formula>COUNTIF(INDIRECT("Checklist!$A939"), "FALSE") = 1</formula>
    </cfRule>
  </conditionalFormatting>
  <conditionalFormatting sqref="D132">
    <cfRule type="expression" dxfId="3" priority="1970">
      <formula>COUNTIF(INDIRECT("Checklist!$A945"), "TRUE") = 1</formula>
    </cfRule>
    <cfRule type="expression" dxfId="4" priority="1971">
      <formula>COUNTIF(INDIRECT("Checklist!$A945"), "FALSE") = 1</formula>
    </cfRule>
  </conditionalFormatting>
  <conditionalFormatting sqref="D133">
    <cfRule type="expression" dxfId="3" priority="1982">
      <formula>COUNTIF(INDIRECT("Checklist!$A951"), "TRUE") = 1</formula>
    </cfRule>
    <cfRule type="expression" dxfId="4" priority="1983">
      <formula>COUNTIF(INDIRECT("Checklist!$A951"), "FALSE") = 1</formula>
    </cfRule>
  </conditionalFormatting>
  <conditionalFormatting sqref="D134">
    <cfRule type="expression" dxfId="3" priority="1994">
      <formula>COUNTIF(INDIRECT("Checklist!$A957"), "TRUE") = 1</formula>
    </cfRule>
    <cfRule type="expression" dxfId="4" priority="1995">
      <formula>COUNTIF(INDIRECT("Checklist!$A957"), "FALSE") = 1</formula>
    </cfRule>
  </conditionalFormatting>
  <conditionalFormatting sqref="D135">
    <cfRule type="expression" dxfId="3" priority="2006">
      <formula>COUNTIF(INDIRECT("Checklist!$A963"), "TRUE") = 1</formula>
    </cfRule>
    <cfRule type="expression" dxfId="4" priority="2007">
      <formula>COUNTIF(INDIRECT("Checklist!$A963"), "FALSE") = 1</formula>
    </cfRule>
  </conditionalFormatting>
  <conditionalFormatting sqref="D139">
    <cfRule type="expression" dxfId="3" priority="2080">
      <formula>COUNTIF(INDIRECT("Checklist!$A999"), "TRUE") = 1</formula>
    </cfRule>
    <cfRule type="expression" dxfId="4" priority="2081">
      <formula>COUNTIF(INDIRECT("Checklist!$A999"), "FALSE") = 1</formula>
    </cfRule>
  </conditionalFormatting>
  <conditionalFormatting sqref="D14">
    <cfRule type="expression" dxfId="3" priority="164">
      <formula>COUNTIF(INDIRECT("Checklist!$A82"), "TRUE") = 1</formula>
    </cfRule>
    <cfRule type="expression" dxfId="4" priority="165">
      <formula>COUNTIF(INDIRECT("Checklist!$A82"), "FALSE") = 1</formula>
    </cfRule>
  </conditionalFormatting>
  <conditionalFormatting sqref="D140">
    <cfRule type="expression" dxfId="3" priority="2092">
      <formula>COUNTIF(INDIRECT("Checklist!$A1005"), "TRUE") = 1</formula>
    </cfRule>
    <cfRule type="expression" dxfId="4" priority="2093">
      <formula>COUNTIF(INDIRECT("Checklist!$A1005"), "FALSE") = 1</formula>
    </cfRule>
  </conditionalFormatting>
  <conditionalFormatting sqref="D141">
    <cfRule type="expression" dxfId="3" priority="2104">
      <formula>COUNTIF(INDIRECT("Checklist!$None"), "TRUE") = 1</formula>
    </cfRule>
    <cfRule type="expression" dxfId="4" priority="2105">
      <formula>COUNTIF(INDIRECT("Checklist!$None"), "FALSE") = 1</formula>
    </cfRule>
  </conditionalFormatting>
  <conditionalFormatting sqref="D142">
    <cfRule type="expression" dxfId="3" priority="2116">
      <formula>COUNTIF(INDIRECT("Checklist!$None"), "TRUE") = 1</formula>
    </cfRule>
    <cfRule type="expression" dxfId="4" priority="2117">
      <formula>COUNTIF(INDIRECT("Checklist!$None"), "FALSE") = 1</formula>
    </cfRule>
  </conditionalFormatting>
  <conditionalFormatting sqref="D143">
    <cfRule type="expression" dxfId="3" priority="2128">
      <formula>COUNTIF(INDIRECT("Checklist!$None"), "TRUE") = 1</formula>
    </cfRule>
    <cfRule type="expression" dxfId="4" priority="2129">
      <formula>COUNTIF(INDIRECT("Checklist!$None"), "FALSE") = 1</formula>
    </cfRule>
  </conditionalFormatting>
  <conditionalFormatting sqref="D147">
    <cfRule type="expression" dxfId="3" priority="2202">
      <formula>COUNTIF(INDIRECT("Checklist!$A1018"), "TRUE") = 1</formula>
    </cfRule>
    <cfRule type="expression" dxfId="4" priority="2203">
      <formula>COUNTIF(INDIRECT("Checklist!$A1018"), "FALSE") = 1</formula>
    </cfRule>
  </conditionalFormatting>
  <conditionalFormatting sqref="D148">
    <cfRule type="expression" dxfId="3" priority="2214">
      <formula>COUNTIF(INDIRECT("Checklist!$A1024"), "TRUE") = 1</formula>
    </cfRule>
    <cfRule type="expression" dxfId="4" priority="2215">
      <formula>COUNTIF(INDIRECT("Checklist!$A1024"), "FALSE") = 1</formula>
    </cfRule>
  </conditionalFormatting>
  <conditionalFormatting sqref="D149">
    <cfRule type="expression" dxfId="3" priority="2226">
      <formula>COUNTIF(INDIRECT("Checklist!$A1030"), "TRUE") = 1</formula>
    </cfRule>
    <cfRule type="expression" dxfId="4" priority="2227">
      <formula>COUNTIF(INDIRECT("Checklist!$A1030"), "FALSE") = 1</formula>
    </cfRule>
  </conditionalFormatting>
  <conditionalFormatting sqref="D15">
    <cfRule type="expression" dxfId="3" priority="176">
      <formula>COUNTIF(INDIRECT("Checklist!$A88"), "TRUE") = 1</formula>
    </cfRule>
    <cfRule type="expression" dxfId="4" priority="177">
      <formula>COUNTIF(INDIRECT("Checklist!$A88"), "FALSE") = 1</formula>
    </cfRule>
  </conditionalFormatting>
  <conditionalFormatting sqref="D150">
    <cfRule type="expression" dxfId="3" priority="2238">
      <formula>COUNTIF(INDIRECT("Checklist!$A1036"), "TRUE") = 1</formula>
    </cfRule>
    <cfRule type="expression" dxfId="4" priority="2239">
      <formula>COUNTIF(INDIRECT("Checklist!$A1036"), "FALSE") = 1</formula>
    </cfRule>
  </conditionalFormatting>
  <conditionalFormatting sqref="D151">
    <cfRule type="expression" dxfId="3" priority="2250">
      <formula>COUNTIF(INDIRECT("Checklist!$A1042"), "TRUE") = 1</formula>
    </cfRule>
    <cfRule type="expression" dxfId="4" priority="2251">
      <formula>COUNTIF(INDIRECT("Checklist!$A1042"), "FALSE") = 1</formula>
    </cfRule>
  </conditionalFormatting>
  <conditionalFormatting sqref="D155">
    <cfRule type="expression" dxfId="3" priority="2324">
      <formula>COUNTIF(INDIRECT("Checklist!$A1060"), "TRUE") = 1</formula>
    </cfRule>
    <cfRule type="expression" dxfId="4" priority="2325">
      <formula>COUNTIF(INDIRECT("Checklist!$A1060"), "FALSE") = 1</formula>
    </cfRule>
  </conditionalFormatting>
  <conditionalFormatting sqref="D156">
    <cfRule type="expression" dxfId="3" priority="2336">
      <formula>COUNTIF(INDIRECT("Checklist!$A1063"), "TRUE") = 1</formula>
    </cfRule>
    <cfRule type="expression" dxfId="4" priority="2337">
      <formula>COUNTIF(INDIRECT("Checklist!$A1063"), "FALSE") = 1</formula>
    </cfRule>
  </conditionalFormatting>
  <conditionalFormatting sqref="D157">
    <cfRule type="expression" dxfId="3" priority="2348">
      <formula>COUNTIF(INDIRECT("Checklist!$None"), "TRUE") = 1</formula>
    </cfRule>
    <cfRule type="expression" dxfId="4" priority="2349">
      <formula>COUNTIF(INDIRECT("Checklist!$None"), "FALSE") = 1</formula>
    </cfRule>
  </conditionalFormatting>
  <conditionalFormatting sqref="D158">
    <cfRule type="expression" dxfId="3" priority="2360">
      <formula>COUNTIF(INDIRECT("Checklist!$A643"), "TRUE") = 1</formula>
    </cfRule>
    <cfRule type="expression" dxfId="4" priority="2361">
      <formula>COUNTIF(INDIRECT("Checklist!$A643"), "FALSE") = 1</formula>
    </cfRule>
  </conditionalFormatting>
  <conditionalFormatting sqref="D159">
    <cfRule type="expression" dxfId="3" priority="2372">
      <formula>COUNTIF(INDIRECT("Checklist!$None"), "TRUE") = 1</formula>
    </cfRule>
    <cfRule type="expression" dxfId="4" priority="2373">
      <formula>COUNTIF(INDIRECT("Checklist!$None"), "FALSE") = 1</formula>
    </cfRule>
  </conditionalFormatting>
  <conditionalFormatting sqref="D163">
    <cfRule type="expression" dxfId="3" priority="2446">
      <formula>COUNTIF(INDIRECT("Checklist!$A1086"), "TRUE") = 1</formula>
    </cfRule>
    <cfRule type="expression" dxfId="4" priority="2447">
      <formula>COUNTIF(INDIRECT("Checklist!$A1086"), "FALSE") = 1</formula>
    </cfRule>
  </conditionalFormatting>
  <conditionalFormatting sqref="D164">
    <cfRule type="expression" dxfId="3" priority="2458">
      <formula>COUNTIF(INDIRECT("Checklist!$A1090"), "TRUE") = 1</formula>
    </cfRule>
    <cfRule type="expression" dxfId="4" priority="2459">
      <formula>COUNTIF(INDIRECT("Checklist!$A1090"), "FALSE") = 1</formula>
    </cfRule>
  </conditionalFormatting>
  <conditionalFormatting sqref="D165">
    <cfRule type="expression" dxfId="3" priority="2470">
      <formula>COUNTIF(INDIRECT("Checklist!$A1094"), "TRUE") = 1</formula>
    </cfRule>
    <cfRule type="expression" dxfId="4" priority="2471">
      <formula>COUNTIF(INDIRECT("Checklist!$A1094"), "FALSE") = 1</formula>
    </cfRule>
  </conditionalFormatting>
  <conditionalFormatting sqref="D166">
    <cfRule type="expression" dxfId="3" priority="2482">
      <formula>COUNTIF(INDIRECT("Checklist!$None"), "TRUE") = 1</formula>
    </cfRule>
    <cfRule type="expression" dxfId="4" priority="2483">
      <formula>COUNTIF(INDIRECT("Checklist!$None"), "FALSE") = 1</formula>
    </cfRule>
  </conditionalFormatting>
  <conditionalFormatting sqref="D167">
    <cfRule type="expression" dxfId="3" priority="2494">
      <formula>COUNTIF(INDIRECT("Checklist!$A719"), "TRUE") = 1</formula>
    </cfRule>
    <cfRule type="expression" dxfId="4" priority="2495">
      <formula>COUNTIF(INDIRECT("Checklist!$A719"), "FALSE") = 1</formula>
    </cfRule>
  </conditionalFormatting>
  <conditionalFormatting sqref="D171">
    <cfRule type="expression" dxfId="3" priority="2568">
      <formula>COUNTIF(INDIRECT("Checklist!$A1122"), "TRUE") = 1</formula>
    </cfRule>
    <cfRule type="expression" dxfId="4" priority="2569">
      <formula>COUNTIF(INDIRECT("Checklist!$A1122"), "FALSE") = 1</formula>
    </cfRule>
  </conditionalFormatting>
  <conditionalFormatting sqref="D172">
    <cfRule type="expression" dxfId="3" priority="2580">
      <formula>COUNTIF(INDIRECT("Checklist!$A746"), "TRUE") = 1</formula>
    </cfRule>
    <cfRule type="expression" dxfId="4" priority="2581">
      <formula>COUNTIF(INDIRECT("Checklist!$A746"), "FALSE") = 1</formula>
    </cfRule>
  </conditionalFormatting>
  <conditionalFormatting sqref="D173">
    <cfRule type="expression" dxfId="3" priority="2592">
      <formula>COUNTIF(INDIRECT("Checklist!$A1128"), "TRUE") = 1</formula>
    </cfRule>
    <cfRule type="expression" dxfId="4" priority="2593">
      <formula>COUNTIF(INDIRECT("Checklist!$A1128"), "FALSE") = 1</formula>
    </cfRule>
  </conditionalFormatting>
  <conditionalFormatting sqref="D174">
    <cfRule type="expression" dxfId="3" priority="2604">
      <formula>COUNTIF(INDIRECT("Checklist!$A1133"), "TRUE") = 1</formula>
    </cfRule>
    <cfRule type="expression" dxfId="4" priority="2605">
      <formula>COUNTIF(INDIRECT("Checklist!$A1133"), "FALSE") = 1</formula>
    </cfRule>
  </conditionalFormatting>
  <conditionalFormatting sqref="D175">
    <cfRule type="expression" dxfId="3" priority="2616">
      <formula>COUNTIF(INDIRECT("Checklist!$None"), "TRUE") = 1</formula>
    </cfRule>
    <cfRule type="expression" dxfId="4" priority="2617">
      <formula>COUNTIF(INDIRECT("Checklist!$None"), "FALSE") = 1</formula>
    </cfRule>
  </conditionalFormatting>
  <conditionalFormatting sqref="D179">
    <cfRule type="expression" dxfId="3" priority="2690">
      <formula>COUNTIF(INDIRECT("Checklist!$A1141"), "TRUE") = 1</formula>
    </cfRule>
    <cfRule type="expression" dxfId="4" priority="2691">
      <formula>COUNTIF(INDIRECT("Checklist!$A1141"), "FALSE") = 1</formula>
    </cfRule>
  </conditionalFormatting>
  <conditionalFormatting sqref="D180">
    <cfRule type="expression" dxfId="3" priority="2702">
      <formula>COUNTIF(INDIRECT("Checklist!$A1147"), "TRUE") = 1</formula>
    </cfRule>
    <cfRule type="expression" dxfId="4" priority="2703">
      <formula>COUNTIF(INDIRECT("Checklist!$A1147"), "FALSE") = 1</formula>
    </cfRule>
  </conditionalFormatting>
  <conditionalFormatting sqref="D181">
    <cfRule type="expression" dxfId="3" priority="2714">
      <formula>COUNTIF(INDIRECT("Checklist!$A1153"), "TRUE") = 1</formula>
    </cfRule>
    <cfRule type="expression" dxfId="4" priority="2715">
      <formula>COUNTIF(INDIRECT("Checklist!$A1153"), "FALSE") = 1</formula>
    </cfRule>
  </conditionalFormatting>
  <conditionalFormatting sqref="D182">
    <cfRule type="expression" dxfId="3" priority="2726">
      <formula>COUNTIF(INDIRECT("Checklist!$A1159"), "TRUE") = 1</formula>
    </cfRule>
    <cfRule type="expression" dxfId="4" priority="2727">
      <formula>COUNTIF(INDIRECT("Checklist!$A1159"), "FALSE") = 1</formula>
    </cfRule>
  </conditionalFormatting>
  <conditionalFormatting sqref="D183">
    <cfRule type="expression" dxfId="3" priority="2738">
      <formula>COUNTIF(INDIRECT("Checklist!$A1165"), "TRUE") = 1</formula>
    </cfRule>
    <cfRule type="expression" dxfId="4" priority="2739">
      <formula>COUNTIF(INDIRECT("Checklist!$A1165"), "FALSE") = 1</formula>
    </cfRule>
  </conditionalFormatting>
  <conditionalFormatting sqref="D187">
    <cfRule type="expression" dxfId="3" priority="2812">
      <formula>COUNTIF(INDIRECT("Checklist!$A1197"), "TRUE") = 1</formula>
    </cfRule>
    <cfRule type="expression" dxfId="4" priority="2813">
      <formula>COUNTIF(INDIRECT("Checklist!$A1197"), "FALSE") = 1</formula>
    </cfRule>
  </conditionalFormatting>
  <conditionalFormatting sqref="D188">
    <cfRule type="expression" dxfId="3" priority="2824">
      <formula>COUNTIF(INDIRECT("Checklist!$None"), "TRUE") = 1</formula>
    </cfRule>
    <cfRule type="expression" dxfId="4" priority="2825">
      <formula>COUNTIF(INDIRECT("Checklist!$None"), "FALSE") = 1</formula>
    </cfRule>
  </conditionalFormatting>
  <conditionalFormatting sqref="D189">
    <cfRule type="expression" dxfId="3" priority="2836">
      <formula>COUNTIF(INDIRECT("Checklist!$None"), "TRUE") = 1</formula>
    </cfRule>
    <cfRule type="expression" dxfId="4" priority="2837">
      <formula>COUNTIF(INDIRECT("Checklist!$None"), "FALSE") = 1</formula>
    </cfRule>
  </conditionalFormatting>
  <conditionalFormatting sqref="D19">
    <cfRule type="expression" dxfId="3" priority="250">
      <formula>COUNTIF(INDIRECT("Checklist!$A124"), "TRUE") = 1</formula>
    </cfRule>
    <cfRule type="expression" dxfId="4" priority="251">
      <formula>COUNTIF(INDIRECT("Checklist!$A124"), "FALSE") = 1</formula>
    </cfRule>
  </conditionalFormatting>
  <conditionalFormatting sqref="D190">
    <cfRule type="expression" dxfId="3" priority="2848">
      <formula>COUNTIF(INDIRECT("Checklist!$None"), "TRUE") = 1</formula>
    </cfRule>
    <cfRule type="expression" dxfId="4" priority="2849">
      <formula>COUNTIF(INDIRECT("Checklist!$None"), "FALSE") = 1</formula>
    </cfRule>
  </conditionalFormatting>
  <conditionalFormatting sqref="D191">
    <cfRule type="expression" dxfId="3" priority="2860">
      <formula>COUNTIF(INDIRECT("Checklist!$None"), "TRUE") = 1</formula>
    </cfRule>
    <cfRule type="expression" dxfId="4" priority="2861">
      <formula>COUNTIF(INDIRECT("Checklist!$None"), "FALSE") = 1</formula>
    </cfRule>
  </conditionalFormatting>
  <conditionalFormatting sqref="D195">
    <cfRule type="expression" dxfId="3" priority="2934">
      <formula>COUNTIF(INDIRECT("Checklist!$None"), "TRUE") = 1</formula>
    </cfRule>
    <cfRule type="expression" dxfId="4" priority="2935">
      <formula>COUNTIF(INDIRECT("Checklist!$None"), "FALSE") = 1</formula>
    </cfRule>
  </conditionalFormatting>
  <conditionalFormatting sqref="D196">
    <cfRule type="expression" dxfId="3" priority="2946">
      <formula>COUNTIF(INDIRECT("Checklist!$None"), "TRUE") = 1</formula>
    </cfRule>
    <cfRule type="expression" dxfId="4" priority="2947">
      <formula>COUNTIF(INDIRECT("Checklist!$None"), "FALSE") = 1</formula>
    </cfRule>
  </conditionalFormatting>
  <conditionalFormatting sqref="D197">
    <cfRule type="expression" dxfId="3" priority="2958">
      <formula>COUNTIF(INDIRECT("Checklist!$None"), "TRUE") = 1</formula>
    </cfRule>
    <cfRule type="expression" dxfId="4" priority="2959">
      <formula>COUNTIF(INDIRECT("Checklist!$None"), "FALSE") = 1</formula>
    </cfRule>
  </conditionalFormatting>
  <conditionalFormatting sqref="D198">
    <cfRule type="expression" dxfId="3" priority="2970">
      <formula>COUNTIF(INDIRECT("Checklist!$None"), "TRUE") = 1</formula>
    </cfRule>
    <cfRule type="expression" dxfId="4" priority="2971">
      <formula>COUNTIF(INDIRECT("Checklist!$None"), "FALSE") = 1</formula>
    </cfRule>
  </conditionalFormatting>
  <conditionalFormatting sqref="D199">
    <cfRule type="expression" dxfId="3" priority="2982">
      <formula>COUNTIF(INDIRECT("Checklist!$None"), "TRUE") = 1</formula>
    </cfRule>
    <cfRule type="expression" dxfId="4" priority="2983">
      <formula>COUNTIF(INDIRECT("Checklist!$None"), "FALSE") = 1</formula>
    </cfRule>
  </conditionalFormatting>
  <conditionalFormatting sqref="D20">
    <cfRule type="expression" dxfId="3" priority="262">
      <formula>COUNTIF(INDIRECT("Checklist!$A130"), "TRUE") = 1</formula>
    </cfRule>
    <cfRule type="expression" dxfId="4" priority="263">
      <formula>COUNTIF(INDIRECT("Checklist!$A130"), "FALSE") = 1</formula>
    </cfRule>
  </conditionalFormatting>
  <conditionalFormatting sqref="D203">
    <cfRule type="expression" dxfId="3" priority="3056">
      <formula>COUNTIF(INDIRECT("Checklist!$A1242"), "TRUE") = 1</formula>
    </cfRule>
    <cfRule type="expression" dxfId="4" priority="3057">
      <formula>COUNTIF(INDIRECT("Checklist!$A1242"), "FALSE") = 1</formula>
    </cfRule>
  </conditionalFormatting>
  <conditionalFormatting sqref="D204">
    <cfRule type="expression" dxfId="3" priority="3068">
      <formula>COUNTIF(INDIRECT("Checklist!$A1248"), "TRUE") = 1</formula>
    </cfRule>
    <cfRule type="expression" dxfId="4" priority="3069">
      <formula>COUNTIF(INDIRECT("Checklist!$A1248"), "FALSE") = 1</formula>
    </cfRule>
  </conditionalFormatting>
  <conditionalFormatting sqref="D205">
    <cfRule type="expression" dxfId="3" priority="3080">
      <formula>COUNTIF(INDIRECT("Checklist!$A1254"), "TRUE") = 1</formula>
    </cfRule>
    <cfRule type="expression" dxfId="4" priority="3081">
      <formula>COUNTIF(INDIRECT("Checklist!$A1254"), "FALSE") = 1</formula>
    </cfRule>
  </conditionalFormatting>
  <conditionalFormatting sqref="D206">
    <cfRule type="expression" dxfId="3" priority="3092">
      <formula>COUNTIF(INDIRECT("Checklist!$None"), "TRUE") = 1</formula>
    </cfRule>
    <cfRule type="expression" dxfId="4" priority="3093">
      <formula>COUNTIF(INDIRECT("Checklist!$None"), "FALSE") = 1</formula>
    </cfRule>
  </conditionalFormatting>
  <conditionalFormatting sqref="D207">
    <cfRule type="expression" dxfId="3" priority="3104">
      <formula>COUNTIF(INDIRECT("Checklist!$None"), "TRUE") = 1</formula>
    </cfRule>
    <cfRule type="expression" dxfId="4" priority="3105">
      <formula>COUNTIF(INDIRECT("Checklist!$None"), "FALSE") = 1</formula>
    </cfRule>
  </conditionalFormatting>
  <conditionalFormatting sqref="D21">
    <cfRule type="expression" dxfId="3" priority="274">
      <formula>COUNTIF(INDIRECT("Checklist!$A136"), "TRUE") = 1</formula>
    </cfRule>
    <cfRule type="expression" dxfId="4" priority="275">
      <formula>COUNTIF(INDIRECT("Checklist!$A136"), "FALSE") = 1</formula>
    </cfRule>
  </conditionalFormatting>
  <conditionalFormatting sqref="D211">
    <cfRule type="expression" dxfId="3" priority="3178">
      <formula>COUNTIF(INDIRECT("Checklist!$A1279"), "TRUE") = 1</formula>
    </cfRule>
    <cfRule type="expression" dxfId="4" priority="3179">
      <formula>COUNTIF(INDIRECT("Checklist!$A1279"), "FALSE") = 1</formula>
    </cfRule>
  </conditionalFormatting>
  <conditionalFormatting sqref="D212">
    <cfRule type="expression" dxfId="3" priority="3190">
      <formula>COUNTIF(INDIRECT("Checklist!$A1285"), "TRUE") = 1</formula>
    </cfRule>
    <cfRule type="expression" dxfId="4" priority="3191">
      <formula>COUNTIF(INDIRECT("Checklist!$A1285"), "FALSE") = 1</formula>
    </cfRule>
  </conditionalFormatting>
  <conditionalFormatting sqref="D213">
    <cfRule type="expression" dxfId="3" priority="3202">
      <formula>COUNTIF(INDIRECT("Checklist!$A1291"), "TRUE") = 1</formula>
    </cfRule>
    <cfRule type="expression" dxfId="4" priority="3203">
      <formula>COUNTIF(INDIRECT("Checklist!$A1291"), "FALSE") = 1</formula>
    </cfRule>
  </conditionalFormatting>
  <conditionalFormatting sqref="D214">
    <cfRule type="expression" dxfId="3" priority="3214">
      <formula>COUNTIF(INDIRECT("Checklist!$None"), "TRUE") = 1</formula>
    </cfRule>
    <cfRule type="expression" dxfId="4" priority="3215">
      <formula>COUNTIF(INDIRECT("Checklist!$None"), "FALSE") = 1</formula>
    </cfRule>
  </conditionalFormatting>
  <conditionalFormatting sqref="D215">
    <cfRule type="expression" dxfId="3" priority="3226">
      <formula>COUNTIF(INDIRECT("Checklist!$None"), "TRUE") = 1</formula>
    </cfRule>
    <cfRule type="expression" dxfId="4" priority="3227">
      <formula>COUNTIF(INDIRECT("Checklist!$None"), "FALSE") = 1</formula>
    </cfRule>
  </conditionalFormatting>
  <conditionalFormatting sqref="D22">
    <cfRule type="expression" dxfId="3" priority="286">
      <formula>COUNTIF(INDIRECT("Checklist!$A142"), "TRUE") = 1</formula>
    </cfRule>
    <cfRule type="expression" dxfId="4" priority="287">
      <formula>COUNTIF(INDIRECT("Checklist!$A142"), "FALSE") = 1</formula>
    </cfRule>
  </conditionalFormatting>
  <conditionalFormatting sqref="D23">
    <cfRule type="expression" dxfId="3" priority="298">
      <formula>COUNTIF(INDIRECT("Checklist!$A148"), "TRUE") = 1</formula>
    </cfRule>
    <cfRule type="expression" dxfId="4" priority="299">
      <formula>COUNTIF(INDIRECT("Checklist!$A148"), "FALSE") = 1</formula>
    </cfRule>
  </conditionalFormatting>
  <conditionalFormatting sqref="D27">
    <cfRule type="expression" dxfId="3" priority="372">
      <formula>COUNTIF(INDIRECT("Checklist!$A184"), "TRUE") = 1</formula>
    </cfRule>
    <cfRule type="expression" dxfId="4" priority="373">
      <formula>COUNTIF(INDIRECT("Checklist!$A184"), "FALSE") = 1</formula>
    </cfRule>
  </conditionalFormatting>
  <conditionalFormatting sqref="D28">
    <cfRule type="expression" dxfId="3" priority="384">
      <formula>COUNTIF(INDIRECT("Checklist!$A190"), "TRUE") = 1</formula>
    </cfRule>
    <cfRule type="expression" dxfId="4" priority="385">
      <formula>COUNTIF(INDIRECT("Checklist!$A190"), "FALSE") = 1</formula>
    </cfRule>
  </conditionalFormatting>
  <conditionalFormatting sqref="D29">
    <cfRule type="expression" dxfId="3" priority="396">
      <formula>COUNTIF(INDIRECT("Checklist!$A196"), "TRUE") = 1</formula>
    </cfRule>
    <cfRule type="expression" dxfId="4" priority="397">
      <formula>COUNTIF(INDIRECT("Checklist!$A196"), "FALSE") = 1</formula>
    </cfRule>
  </conditionalFormatting>
  <conditionalFormatting sqref="D3">
    <cfRule type="expression" dxfId="3" priority="6">
      <formula>COUNTIF(INDIRECT("Checklist!$A1202"), "TRUE") = 1</formula>
    </cfRule>
    <cfRule type="expression" dxfId="4" priority="7">
      <formula>COUNTIF(INDIRECT("Checklist!$A1202"), "FALSE") = 1</formula>
    </cfRule>
  </conditionalFormatting>
  <conditionalFormatting sqref="D30">
    <cfRule type="expression" dxfId="3" priority="408">
      <formula>COUNTIF(INDIRECT("Checklist!$A202"), "TRUE") = 1</formula>
    </cfRule>
    <cfRule type="expression" dxfId="4" priority="409">
      <formula>COUNTIF(INDIRECT("Checklist!$A202"), "FALSE") = 1</formula>
    </cfRule>
  </conditionalFormatting>
  <conditionalFormatting sqref="D31">
    <cfRule type="expression" dxfId="3" priority="420">
      <formula>COUNTIF(INDIRECT("Checklist!$A208"), "TRUE") = 1</formula>
    </cfRule>
    <cfRule type="expression" dxfId="4" priority="421">
      <formula>COUNTIF(INDIRECT("Checklist!$A208"), "FALSE") = 1</formula>
    </cfRule>
  </conditionalFormatting>
  <conditionalFormatting sqref="D35">
    <cfRule type="expression" dxfId="3" priority="494">
      <formula>COUNTIF(INDIRECT("Checklist!$A244"), "TRUE") = 1</formula>
    </cfRule>
    <cfRule type="expression" dxfId="4" priority="495">
      <formula>COUNTIF(INDIRECT("Checklist!$A244"), "FALSE") = 1</formula>
    </cfRule>
  </conditionalFormatting>
  <conditionalFormatting sqref="D36">
    <cfRule type="expression" dxfId="3" priority="506">
      <formula>COUNTIF(INDIRECT("Checklist!$A250"), "TRUE") = 1</formula>
    </cfRule>
    <cfRule type="expression" dxfId="4" priority="507">
      <formula>COUNTIF(INDIRECT("Checklist!$A250"), "FALSE") = 1</formula>
    </cfRule>
  </conditionalFormatting>
  <conditionalFormatting sqref="D37">
    <cfRule type="expression" dxfId="3" priority="518">
      <formula>COUNTIF(INDIRECT("Checklist!$A256"), "TRUE") = 1</formula>
    </cfRule>
    <cfRule type="expression" dxfId="4" priority="519">
      <formula>COUNTIF(INDIRECT("Checklist!$A256"), "FALSE") = 1</formula>
    </cfRule>
  </conditionalFormatting>
  <conditionalFormatting sqref="D38">
    <cfRule type="expression" dxfId="3" priority="530">
      <formula>COUNTIF(INDIRECT("Checklist!$A262"), "TRUE") = 1</formula>
    </cfRule>
    <cfRule type="expression" dxfId="4" priority="531">
      <formula>COUNTIF(INDIRECT("Checklist!$A262"), "FALSE") = 1</formula>
    </cfRule>
  </conditionalFormatting>
  <conditionalFormatting sqref="D39">
    <cfRule type="expression" dxfId="3" priority="542">
      <formula>COUNTIF(INDIRECT("Checklist!$A268"), "TRUE") = 1</formula>
    </cfRule>
    <cfRule type="expression" dxfId="4" priority="543">
      <formula>COUNTIF(INDIRECT("Checklist!$A268"), "FALSE") = 1</formula>
    </cfRule>
  </conditionalFormatting>
  <conditionalFormatting sqref="D4">
    <cfRule type="expression" dxfId="3" priority="18">
      <formula>COUNTIF(INDIRECT("Checklist!$A1205"), "TRUE") = 1</formula>
    </cfRule>
    <cfRule type="expression" dxfId="4" priority="19">
      <formula>COUNTIF(INDIRECT("Checklist!$A1205"), "FALSE") = 1</formula>
    </cfRule>
  </conditionalFormatting>
  <conditionalFormatting sqref="D43">
    <cfRule type="expression" dxfId="3" priority="616">
      <formula>COUNTIF(INDIRECT("Checklist!$A304"), "TRUE") = 1</formula>
    </cfRule>
    <cfRule type="expression" dxfId="4" priority="617">
      <formula>COUNTIF(INDIRECT("Checklist!$A304"), "FALSE") = 1</formula>
    </cfRule>
  </conditionalFormatting>
  <conditionalFormatting sqref="D44">
    <cfRule type="expression" dxfId="3" priority="628">
      <formula>COUNTIF(INDIRECT("Checklist!$A310"), "TRUE") = 1</formula>
    </cfRule>
    <cfRule type="expression" dxfId="4" priority="629">
      <formula>COUNTIF(INDIRECT("Checklist!$A310"), "FALSE") = 1</formula>
    </cfRule>
  </conditionalFormatting>
  <conditionalFormatting sqref="D45">
    <cfRule type="expression" dxfId="3" priority="640">
      <formula>COUNTIF(INDIRECT("Checklist!$A316"), "TRUE") = 1</formula>
    </cfRule>
    <cfRule type="expression" dxfId="4" priority="641">
      <formula>COUNTIF(INDIRECT("Checklist!$A316"), "FALSE") = 1</formula>
    </cfRule>
  </conditionalFormatting>
  <conditionalFormatting sqref="D46">
    <cfRule type="expression" dxfId="3" priority="652">
      <formula>COUNTIF(INDIRECT("Checklist!$A322"), "TRUE") = 1</formula>
    </cfRule>
    <cfRule type="expression" dxfId="4" priority="653">
      <formula>COUNTIF(INDIRECT("Checklist!$A322"), "FALSE") = 1</formula>
    </cfRule>
  </conditionalFormatting>
  <conditionalFormatting sqref="D47">
    <cfRule type="expression" dxfId="3" priority="664">
      <formula>COUNTIF(INDIRECT("Checklist!$A328"), "TRUE") = 1</formula>
    </cfRule>
    <cfRule type="expression" dxfId="4" priority="665">
      <formula>COUNTIF(INDIRECT("Checklist!$A328"), "FALSE") = 1</formula>
    </cfRule>
  </conditionalFormatting>
  <conditionalFormatting sqref="D5">
    <cfRule type="expression" dxfId="3" priority="30">
      <formula>COUNTIF(INDIRECT("Checklist!$A16"), "TRUE") = 1</formula>
    </cfRule>
    <cfRule type="expression" dxfId="4" priority="31">
      <formula>COUNTIF(INDIRECT("Checklist!$A16"), "FALSE") = 1</formula>
    </cfRule>
  </conditionalFormatting>
  <conditionalFormatting sqref="D51">
    <cfRule type="expression" dxfId="3" priority="738">
      <formula>COUNTIF(INDIRECT("Checklist!$A364"), "TRUE") = 1</formula>
    </cfRule>
    <cfRule type="expression" dxfId="4" priority="739">
      <formula>COUNTIF(INDIRECT("Checklist!$A364"), "FALSE") = 1</formula>
    </cfRule>
  </conditionalFormatting>
  <conditionalFormatting sqref="D52">
    <cfRule type="expression" dxfId="3" priority="750">
      <formula>COUNTIF(INDIRECT("Checklist!$A370"), "TRUE") = 1</formula>
    </cfRule>
    <cfRule type="expression" dxfId="4" priority="751">
      <formula>COUNTIF(INDIRECT("Checklist!$A370"), "FALSE") = 1</formula>
    </cfRule>
  </conditionalFormatting>
  <conditionalFormatting sqref="D53">
    <cfRule type="expression" dxfId="3" priority="762">
      <formula>COUNTIF(INDIRECT("Checklist!$A376"), "TRUE") = 1</formula>
    </cfRule>
    <cfRule type="expression" dxfId="4" priority="763">
      <formula>COUNTIF(INDIRECT("Checklist!$A376"), "FALSE") = 1</formula>
    </cfRule>
  </conditionalFormatting>
  <conditionalFormatting sqref="D54">
    <cfRule type="expression" dxfId="3" priority="774">
      <formula>COUNTIF(INDIRECT("Checklist!$A382"), "TRUE") = 1</formula>
    </cfRule>
    <cfRule type="expression" dxfId="4" priority="775">
      <formula>COUNTIF(INDIRECT("Checklist!$A382"), "FALSE") = 1</formula>
    </cfRule>
  </conditionalFormatting>
  <conditionalFormatting sqref="D55">
    <cfRule type="expression" dxfId="3" priority="786">
      <formula>COUNTIF(INDIRECT("Checklist!$A388"), "TRUE") = 1</formula>
    </cfRule>
    <cfRule type="expression" dxfId="4" priority="787">
      <formula>COUNTIF(INDIRECT("Checklist!$A388"), "FALSE") = 1</formula>
    </cfRule>
  </conditionalFormatting>
  <conditionalFormatting sqref="D59">
    <cfRule type="expression" dxfId="3" priority="860">
      <formula>COUNTIF(INDIRECT("Checklist!$A424"), "TRUE") = 1</formula>
    </cfRule>
    <cfRule type="expression" dxfId="4" priority="861">
      <formula>COUNTIF(INDIRECT("Checklist!$A424"), "FALSE") = 1</formula>
    </cfRule>
  </conditionalFormatting>
  <conditionalFormatting sqref="D6">
    <cfRule type="expression" dxfId="3" priority="42">
      <formula>COUNTIF(INDIRECT("Checklist!$A22"), "TRUE") = 1</formula>
    </cfRule>
    <cfRule type="expression" dxfId="4" priority="43">
      <formula>COUNTIF(INDIRECT("Checklist!$A22"), "FALSE") = 1</formula>
    </cfRule>
  </conditionalFormatting>
  <conditionalFormatting sqref="D60">
    <cfRule type="expression" dxfId="3" priority="872">
      <formula>COUNTIF(INDIRECT("Checklist!$A430"), "TRUE") = 1</formula>
    </cfRule>
    <cfRule type="expression" dxfId="4" priority="873">
      <formula>COUNTIF(INDIRECT("Checklist!$A430"), "FALSE") = 1</formula>
    </cfRule>
  </conditionalFormatting>
  <conditionalFormatting sqref="D61">
    <cfRule type="expression" dxfId="3" priority="884">
      <formula>COUNTIF(INDIRECT("Checklist!$A436"), "TRUE") = 1</formula>
    </cfRule>
    <cfRule type="expression" dxfId="4" priority="885">
      <formula>COUNTIF(INDIRECT("Checklist!$A436"), "FALSE") = 1</formula>
    </cfRule>
  </conditionalFormatting>
  <conditionalFormatting sqref="D62">
    <cfRule type="expression" dxfId="3" priority="896">
      <formula>COUNTIF(INDIRECT("Checklist!$A442"), "TRUE") = 1</formula>
    </cfRule>
    <cfRule type="expression" dxfId="4" priority="897">
      <formula>COUNTIF(INDIRECT("Checklist!$A442"), "FALSE") = 1</formula>
    </cfRule>
  </conditionalFormatting>
  <conditionalFormatting sqref="D63">
    <cfRule type="expression" dxfId="3" priority="908">
      <formula>COUNTIF(INDIRECT("Checklist!$A448"), "TRUE") = 1</formula>
    </cfRule>
    <cfRule type="expression" dxfId="4" priority="909">
      <formula>COUNTIF(INDIRECT("Checklist!$A448"), "FALSE") = 1</formula>
    </cfRule>
  </conditionalFormatting>
  <conditionalFormatting sqref="D67">
    <cfRule type="expression" dxfId="3" priority="982">
      <formula>COUNTIF(INDIRECT("Checklist!$A484"), "TRUE") = 1</formula>
    </cfRule>
    <cfRule type="expression" dxfId="4" priority="983">
      <formula>COUNTIF(INDIRECT("Checklist!$A484"), "FALSE") = 1</formula>
    </cfRule>
  </conditionalFormatting>
  <conditionalFormatting sqref="D68">
    <cfRule type="expression" dxfId="3" priority="994">
      <formula>COUNTIF(INDIRECT("Checklist!$A490"), "TRUE") = 1</formula>
    </cfRule>
    <cfRule type="expression" dxfId="4" priority="995">
      <formula>COUNTIF(INDIRECT("Checklist!$A490"), "FALSE") = 1</formula>
    </cfRule>
  </conditionalFormatting>
  <conditionalFormatting sqref="D69">
    <cfRule type="expression" dxfId="3" priority="1006">
      <formula>COUNTIF(INDIRECT("Checklist!$A496"), "TRUE") = 1</formula>
    </cfRule>
    <cfRule type="expression" dxfId="4" priority="1007">
      <formula>COUNTIF(INDIRECT("Checklist!$A496"), "FALSE") = 1</formula>
    </cfRule>
  </conditionalFormatting>
  <conditionalFormatting sqref="D7">
    <cfRule type="expression" dxfId="3" priority="54">
      <formula>COUNTIF(INDIRECT("Checklist!$A28"), "TRUE") = 1</formula>
    </cfRule>
    <cfRule type="expression" dxfId="4" priority="55">
      <formula>COUNTIF(INDIRECT("Checklist!$A28"), "FALSE") = 1</formula>
    </cfRule>
  </conditionalFormatting>
  <conditionalFormatting sqref="D70">
    <cfRule type="expression" dxfId="3" priority="1018">
      <formula>COUNTIF(INDIRECT("Checklist!$A502"), "TRUE") = 1</formula>
    </cfRule>
    <cfRule type="expression" dxfId="4" priority="1019">
      <formula>COUNTIF(INDIRECT("Checklist!$A502"), "FALSE") = 1</formula>
    </cfRule>
  </conditionalFormatting>
  <conditionalFormatting sqref="D71">
    <cfRule type="expression" dxfId="3" priority="1030">
      <formula>COUNTIF(INDIRECT("Checklist!$A508"), "TRUE") = 1</formula>
    </cfRule>
    <cfRule type="expression" dxfId="4" priority="1031">
      <formula>COUNTIF(INDIRECT("Checklist!$A508"), "FALSE") = 1</formula>
    </cfRule>
  </conditionalFormatting>
  <conditionalFormatting sqref="D75">
    <cfRule type="expression" dxfId="3" priority="1104">
      <formula>COUNTIF(INDIRECT("Checklist!$A544"), "TRUE") = 1</formula>
    </cfRule>
    <cfRule type="expression" dxfId="4" priority="1105">
      <formula>COUNTIF(INDIRECT("Checklist!$A544"), "FALSE") = 1</formula>
    </cfRule>
  </conditionalFormatting>
  <conditionalFormatting sqref="D76">
    <cfRule type="expression" dxfId="3" priority="1116">
      <formula>COUNTIF(INDIRECT("Checklist!$A550"), "TRUE") = 1</formula>
    </cfRule>
    <cfRule type="expression" dxfId="4" priority="1117">
      <formula>COUNTIF(INDIRECT("Checklist!$A550"), "FALSE") = 1</formula>
    </cfRule>
  </conditionalFormatting>
  <conditionalFormatting sqref="D77">
    <cfRule type="expression" dxfId="3" priority="1128">
      <formula>COUNTIF(INDIRECT("Checklist!$A556"), "TRUE") = 1</formula>
    </cfRule>
    <cfRule type="expression" dxfId="4" priority="1129">
      <formula>COUNTIF(INDIRECT("Checklist!$A556"), "FALSE") = 1</formula>
    </cfRule>
  </conditionalFormatting>
  <conditionalFormatting sqref="D78">
    <cfRule type="expression" dxfId="3" priority="1140">
      <formula>COUNTIF(INDIRECT("Checklist!$A562"), "TRUE") = 1</formula>
    </cfRule>
    <cfRule type="expression" dxfId="4" priority="1141">
      <formula>COUNTIF(INDIRECT("Checklist!$A562"), "FALSE") = 1</formula>
    </cfRule>
  </conditionalFormatting>
  <conditionalFormatting sqref="D79">
    <cfRule type="expression" dxfId="3" priority="1152">
      <formula>COUNTIF(INDIRECT("Checklist!$A568"), "TRUE") = 1</formula>
    </cfRule>
    <cfRule type="expression" dxfId="4" priority="1153">
      <formula>COUNTIF(INDIRECT("Checklist!$A568"), "FALSE") = 1</formula>
    </cfRule>
  </conditionalFormatting>
  <conditionalFormatting sqref="D83">
    <cfRule type="expression" dxfId="3" priority="1226">
      <formula>COUNTIF(INDIRECT("Checklist!$A604"), "TRUE") = 1</formula>
    </cfRule>
    <cfRule type="expression" dxfId="4" priority="1227">
      <formula>COUNTIF(INDIRECT("Checklist!$A604"), "FALSE") = 1</formula>
    </cfRule>
  </conditionalFormatting>
  <conditionalFormatting sqref="D84">
    <cfRule type="expression" dxfId="3" priority="1238">
      <formula>COUNTIF(INDIRECT("Checklist!$A610"), "TRUE") = 1</formula>
    </cfRule>
    <cfRule type="expression" dxfId="4" priority="1239">
      <formula>COUNTIF(INDIRECT("Checklist!$A610"), "FALSE") = 1</formula>
    </cfRule>
  </conditionalFormatting>
  <conditionalFormatting sqref="D85">
    <cfRule type="expression" dxfId="3" priority="1250">
      <formula>COUNTIF(INDIRECT("Checklist!$A616"), "TRUE") = 1</formula>
    </cfRule>
    <cfRule type="expression" dxfId="4" priority="1251">
      <formula>COUNTIF(INDIRECT("Checklist!$A616"), "FALSE") = 1</formula>
    </cfRule>
  </conditionalFormatting>
  <conditionalFormatting sqref="D86">
    <cfRule type="expression" dxfId="3" priority="1262">
      <formula>COUNTIF(INDIRECT("Checklist!$A622"), "TRUE") = 1</formula>
    </cfRule>
    <cfRule type="expression" dxfId="4" priority="1263">
      <formula>COUNTIF(INDIRECT("Checklist!$A622"), "FALSE") = 1</formula>
    </cfRule>
  </conditionalFormatting>
  <conditionalFormatting sqref="D87">
    <cfRule type="expression" dxfId="3" priority="1274">
      <formula>COUNTIF(INDIRECT("Checklist!$A628"), "TRUE") = 1</formula>
    </cfRule>
    <cfRule type="expression" dxfId="4" priority="1275">
      <formula>COUNTIF(INDIRECT("Checklist!$A628"), "FALSE") = 1</formula>
    </cfRule>
  </conditionalFormatting>
  <conditionalFormatting sqref="D91">
    <cfRule type="expression" dxfId="3" priority="1348">
      <formula>COUNTIF(INDIRECT("Checklist!$A664"), "TRUE") = 1</formula>
    </cfRule>
    <cfRule type="expression" dxfId="4" priority="1349">
      <formula>COUNTIF(INDIRECT("Checklist!$A664"), "FALSE") = 1</formula>
    </cfRule>
  </conditionalFormatting>
  <conditionalFormatting sqref="D92">
    <cfRule type="expression" dxfId="3" priority="1360">
      <formula>COUNTIF(INDIRECT("Checklist!$A670"), "TRUE") = 1</formula>
    </cfRule>
    <cfRule type="expression" dxfId="4" priority="1361">
      <formula>COUNTIF(INDIRECT("Checklist!$A670"), "FALSE") = 1</formula>
    </cfRule>
  </conditionalFormatting>
  <conditionalFormatting sqref="D93">
    <cfRule type="expression" dxfId="3" priority="1372">
      <formula>COUNTIF(INDIRECT("Checklist!$A676"), "TRUE") = 1</formula>
    </cfRule>
    <cfRule type="expression" dxfId="4" priority="1373">
      <formula>COUNTIF(INDIRECT("Checklist!$A676"), "FALSE") = 1</formula>
    </cfRule>
  </conditionalFormatting>
  <conditionalFormatting sqref="D94">
    <cfRule type="expression" dxfId="3" priority="1384">
      <formula>COUNTIF(INDIRECT("Checklist!$A682"), "TRUE") = 1</formula>
    </cfRule>
    <cfRule type="expression" dxfId="4" priority="1385">
      <formula>COUNTIF(INDIRECT("Checklist!$A682"), "FALSE") = 1</formula>
    </cfRule>
  </conditionalFormatting>
  <conditionalFormatting sqref="D95">
    <cfRule type="expression" dxfId="3" priority="1396">
      <formula>COUNTIF(INDIRECT("Checklist!$A688"), "TRUE") = 1</formula>
    </cfRule>
    <cfRule type="expression" dxfId="4" priority="1397">
      <formula>COUNTIF(INDIRECT("Checklist!$A688"), "FALSE") = 1</formula>
    </cfRule>
  </conditionalFormatting>
  <conditionalFormatting sqref="D99">
    <cfRule type="expression" dxfId="3" priority="1470">
      <formula>COUNTIF(INDIRECT("Checklist!$A724"), "TRUE") = 1</formula>
    </cfRule>
    <cfRule type="expression" dxfId="4" priority="1471">
      <formula>COUNTIF(INDIRECT("Checklist!$A724"), "FALSE") = 1</formula>
    </cfRule>
  </conditionalFormatting>
  <conditionalFormatting sqref="E100">
    <cfRule type="expression" dxfId="3" priority="1484">
      <formula>COUNTIF(INDIRECT("Checklist!$A731"), "TRUE") = 1</formula>
    </cfRule>
    <cfRule type="expression" dxfId="4" priority="1485">
      <formula>COUNTIF(INDIRECT("Checklist!$A731"), "FALSE") = 1</formula>
    </cfRule>
  </conditionalFormatting>
  <conditionalFormatting sqref="E101">
    <cfRule type="expression" dxfId="3" priority="1496">
      <formula>COUNTIF(INDIRECT("Checklist!$A737"), "TRUE") = 1</formula>
    </cfRule>
    <cfRule type="expression" dxfId="4" priority="1497">
      <formula>COUNTIF(INDIRECT("Checklist!$A737"), "FALSE") = 1</formula>
    </cfRule>
  </conditionalFormatting>
  <conditionalFormatting sqref="E102">
    <cfRule type="expression" dxfId="3" priority="1508">
      <formula>COUNTIF(INDIRECT("Checklist!$A743"), "TRUE") = 1</formula>
    </cfRule>
    <cfRule type="expression" dxfId="4" priority="1509">
      <formula>COUNTIF(INDIRECT("Checklist!$A743"), "FALSE") = 1</formula>
    </cfRule>
  </conditionalFormatting>
  <conditionalFormatting sqref="E103">
    <cfRule type="expression" dxfId="3" priority="1520">
      <formula>COUNTIF(INDIRECT("Checklist!$A749"), "TRUE") = 1</formula>
    </cfRule>
    <cfRule type="expression" dxfId="4" priority="1521">
      <formula>COUNTIF(INDIRECT("Checklist!$A749"), "FALSE") = 1</formula>
    </cfRule>
  </conditionalFormatting>
  <conditionalFormatting sqref="E107">
    <cfRule type="expression" dxfId="3" priority="1594">
      <formula>COUNTIF(INDIRECT("Checklist!$A785"), "TRUE") = 1</formula>
    </cfRule>
    <cfRule type="expression" dxfId="4" priority="1595">
      <formula>COUNTIF(INDIRECT("Checklist!$A785"), "FALSE") = 1</formula>
    </cfRule>
  </conditionalFormatting>
  <conditionalFormatting sqref="E108">
    <cfRule type="expression" dxfId="3" priority="1606">
      <formula>COUNTIF(INDIRECT("Checklist!$A791"), "TRUE") = 1</formula>
    </cfRule>
    <cfRule type="expression" dxfId="4" priority="1607">
      <formula>COUNTIF(INDIRECT("Checklist!$A791"), "FALSE") = 1</formula>
    </cfRule>
  </conditionalFormatting>
  <conditionalFormatting sqref="E109">
    <cfRule type="expression" dxfId="3" priority="1618">
      <formula>COUNTIF(INDIRECT("Checklist!$A797"), "TRUE") = 1</formula>
    </cfRule>
    <cfRule type="expression" dxfId="4" priority="1619">
      <formula>COUNTIF(INDIRECT("Checklist!$A797"), "FALSE") = 1</formula>
    </cfRule>
  </conditionalFormatting>
  <conditionalFormatting sqref="E11">
    <cfRule type="expression" dxfId="3" priority="130">
      <formula>COUNTIF(INDIRECT("Checklist!$A65"), "TRUE") = 1</formula>
    </cfRule>
    <cfRule type="expression" dxfId="4" priority="131">
      <formula>COUNTIF(INDIRECT("Checklist!$A65"), "FALSE") = 1</formula>
    </cfRule>
  </conditionalFormatting>
  <conditionalFormatting sqref="E110">
    <cfRule type="expression" dxfId="3" priority="1630">
      <formula>COUNTIF(INDIRECT("Checklist!$A803"), "TRUE") = 1</formula>
    </cfRule>
    <cfRule type="expression" dxfId="4" priority="1631">
      <formula>COUNTIF(INDIRECT("Checklist!$A803"), "FALSE") = 1</formula>
    </cfRule>
  </conditionalFormatting>
  <conditionalFormatting sqref="E111">
    <cfRule type="expression" dxfId="3" priority="1642">
      <formula>COUNTIF(INDIRECT("Checklist!$A809"), "TRUE") = 1</formula>
    </cfRule>
    <cfRule type="expression" dxfId="4" priority="1643">
      <formula>COUNTIF(INDIRECT("Checklist!$A809"), "FALSE") = 1</formula>
    </cfRule>
  </conditionalFormatting>
  <conditionalFormatting sqref="E115">
    <cfRule type="expression" dxfId="3" priority="1716">
      <formula>COUNTIF(INDIRECT("Checklist!$A1229"), "TRUE") = 1</formula>
    </cfRule>
    <cfRule type="expression" dxfId="4" priority="1717">
      <formula>COUNTIF(INDIRECT("Checklist!$A1229"), "FALSE") = 1</formula>
    </cfRule>
  </conditionalFormatting>
  <conditionalFormatting sqref="E116">
    <cfRule type="expression" dxfId="3" priority="1728">
      <formula>COUNTIF(INDIRECT("Checklist!$A851"), "TRUE") = 1</formula>
    </cfRule>
    <cfRule type="expression" dxfId="4" priority="1729">
      <formula>COUNTIF(INDIRECT("Checklist!$A851"), "FALSE") = 1</formula>
    </cfRule>
  </conditionalFormatting>
  <conditionalFormatting sqref="E117">
    <cfRule type="expression" dxfId="3" priority="1740">
      <formula>COUNTIF(INDIRECT("Checklist!$A857"), "TRUE") = 1</formula>
    </cfRule>
    <cfRule type="expression" dxfId="4" priority="1741">
      <formula>COUNTIF(INDIRECT("Checklist!$A857"), "FALSE") = 1</formula>
    </cfRule>
  </conditionalFormatting>
  <conditionalFormatting sqref="E118">
    <cfRule type="expression" dxfId="3" priority="1752">
      <formula>COUNTIF(INDIRECT("Checklist!$A863"), "TRUE") = 1</formula>
    </cfRule>
    <cfRule type="expression" dxfId="4" priority="1753">
      <formula>COUNTIF(INDIRECT("Checklist!$A863"), "FALSE") = 1</formula>
    </cfRule>
  </conditionalFormatting>
  <conditionalFormatting sqref="E119">
    <cfRule type="expression" dxfId="3" priority="1764">
      <formula>COUNTIF(INDIRECT("Checklist!$A869"), "TRUE") = 1</formula>
    </cfRule>
    <cfRule type="expression" dxfId="4" priority="1765">
      <formula>COUNTIF(INDIRECT("Checklist!$A869"), "FALSE") = 1</formula>
    </cfRule>
  </conditionalFormatting>
  <conditionalFormatting sqref="E12">
    <cfRule type="expression" dxfId="3" priority="142">
      <formula>COUNTIF(INDIRECT("Checklist!$A71"), "TRUE") = 1</formula>
    </cfRule>
    <cfRule type="expression" dxfId="4" priority="143">
      <formula>COUNTIF(INDIRECT("Checklist!$A71"), "FALSE") = 1</formula>
    </cfRule>
  </conditionalFormatting>
  <conditionalFormatting sqref="E123">
    <cfRule type="expression" dxfId="3" priority="1838">
      <formula>COUNTIF(INDIRECT("Checklist!$A905"), "TRUE") = 1</formula>
    </cfRule>
    <cfRule type="expression" dxfId="4" priority="1839">
      <formula>COUNTIF(INDIRECT("Checklist!$A905"), "FALSE") = 1</formula>
    </cfRule>
  </conditionalFormatting>
  <conditionalFormatting sqref="E124">
    <cfRule type="expression" dxfId="3" priority="1850">
      <formula>COUNTIF(INDIRECT("Checklist!$None"), "TRUE") = 1</formula>
    </cfRule>
    <cfRule type="expression" dxfId="4" priority="1851">
      <formula>COUNTIF(INDIRECT("Checklist!$None"), "FALSE") = 1</formula>
    </cfRule>
  </conditionalFormatting>
  <conditionalFormatting sqref="E125">
    <cfRule type="expression" dxfId="3" priority="1862">
      <formula>COUNTIF(INDIRECT("Checklist!$None"), "TRUE") = 1</formula>
    </cfRule>
    <cfRule type="expression" dxfId="4" priority="1863">
      <formula>COUNTIF(INDIRECT("Checklist!$None"), "FALSE") = 1</formula>
    </cfRule>
  </conditionalFormatting>
  <conditionalFormatting sqref="E126">
    <cfRule type="expression" dxfId="3" priority="1874">
      <formula>COUNTIF(INDIRECT("Checklist!$None"), "TRUE") = 1</formula>
    </cfRule>
    <cfRule type="expression" dxfId="4" priority="1875">
      <formula>COUNTIF(INDIRECT("Checklist!$None"), "FALSE") = 1</formula>
    </cfRule>
  </conditionalFormatting>
  <conditionalFormatting sqref="E127">
    <cfRule type="expression" dxfId="3" priority="1886">
      <formula>COUNTIF(INDIRECT("Checklist!$None"), "TRUE") = 1</formula>
    </cfRule>
    <cfRule type="expression" dxfId="4" priority="1887">
      <formula>COUNTIF(INDIRECT("Checklist!$None"), "FALSE") = 1</formula>
    </cfRule>
  </conditionalFormatting>
  <conditionalFormatting sqref="E13">
    <cfRule type="expression" dxfId="3" priority="154">
      <formula>COUNTIF(INDIRECT("Checklist!$A77"), "TRUE") = 1</formula>
    </cfRule>
    <cfRule type="expression" dxfId="4" priority="155">
      <formula>COUNTIF(INDIRECT("Checklist!$A77"), "FALSE") = 1</formula>
    </cfRule>
  </conditionalFormatting>
  <conditionalFormatting sqref="E131">
    <cfRule type="expression" dxfId="3" priority="1960">
      <formula>COUNTIF(INDIRECT("Checklist!$A940"), "TRUE") = 1</formula>
    </cfRule>
    <cfRule type="expression" dxfId="4" priority="1961">
      <formula>COUNTIF(INDIRECT("Checklist!$A940"), "FALSE") = 1</formula>
    </cfRule>
  </conditionalFormatting>
  <conditionalFormatting sqref="E132">
    <cfRule type="expression" dxfId="3" priority="1972">
      <formula>COUNTIF(INDIRECT("Checklist!$A946"), "TRUE") = 1</formula>
    </cfRule>
    <cfRule type="expression" dxfId="4" priority="1973">
      <formula>COUNTIF(INDIRECT("Checklist!$A946"), "FALSE") = 1</formula>
    </cfRule>
  </conditionalFormatting>
  <conditionalFormatting sqref="E133">
    <cfRule type="expression" dxfId="3" priority="1984">
      <formula>COUNTIF(INDIRECT("Checklist!$A952"), "TRUE") = 1</formula>
    </cfRule>
    <cfRule type="expression" dxfId="4" priority="1985">
      <formula>COUNTIF(INDIRECT("Checklist!$A952"), "FALSE") = 1</formula>
    </cfRule>
  </conditionalFormatting>
  <conditionalFormatting sqref="E134">
    <cfRule type="expression" dxfId="3" priority="1996">
      <formula>COUNTIF(INDIRECT("Checklist!$A958"), "TRUE") = 1</formula>
    </cfRule>
    <cfRule type="expression" dxfId="4" priority="1997">
      <formula>COUNTIF(INDIRECT("Checklist!$A958"), "FALSE") = 1</formula>
    </cfRule>
  </conditionalFormatting>
  <conditionalFormatting sqref="E135">
    <cfRule type="expression" dxfId="3" priority="2008">
      <formula>COUNTIF(INDIRECT("Checklist!$A964"), "TRUE") = 1</formula>
    </cfRule>
    <cfRule type="expression" dxfId="4" priority="2009">
      <formula>COUNTIF(INDIRECT("Checklist!$A964"), "FALSE") = 1</formula>
    </cfRule>
  </conditionalFormatting>
  <conditionalFormatting sqref="E139">
    <cfRule type="expression" dxfId="3" priority="2082">
      <formula>COUNTIF(INDIRECT("Checklist!$A1000"), "TRUE") = 1</formula>
    </cfRule>
    <cfRule type="expression" dxfId="4" priority="2083">
      <formula>COUNTIF(INDIRECT("Checklist!$A1000"), "FALSE") = 1</formula>
    </cfRule>
  </conditionalFormatting>
  <conditionalFormatting sqref="E14">
    <cfRule type="expression" dxfId="3" priority="166">
      <formula>COUNTIF(INDIRECT("Checklist!$A83"), "TRUE") = 1</formula>
    </cfRule>
    <cfRule type="expression" dxfId="4" priority="167">
      <formula>COUNTIF(INDIRECT("Checklist!$A83"), "FALSE") = 1</formula>
    </cfRule>
  </conditionalFormatting>
  <conditionalFormatting sqref="E140">
    <cfRule type="expression" dxfId="3" priority="2094">
      <formula>COUNTIF(INDIRECT("Checklist!$A1006"), "TRUE") = 1</formula>
    </cfRule>
    <cfRule type="expression" dxfId="4" priority="2095">
      <formula>COUNTIF(INDIRECT("Checklist!$A1006"), "FALSE") = 1</formula>
    </cfRule>
  </conditionalFormatting>
  <conditionalFormatting sqref="E141">
    <cfRule type="expression" dxfId="3" priority="2106">
      <formula>COUNTIF(INDIRECT("Checklist!$None"), "TRUE") = 1</formula>
    </cfRule>
    <cfRule type="expression" dxfId="4" priority="2107">
      <formula>COUNTIF(INDIRECT("Checklist!$None"), "FALSE") = 1</formula>
    </cfRule>
  </conditionalFormatting>
  <conditionalFormatting sqref="E142">
    <cfRule type="expression" dxfId="3" priority="2118">
      <formula>COUNTIF(INDIRECT("Checklist!$None"), "TRUE") = 1</formula>
    </cfRule>
    <cfRule type="expression" dxfId="4" priority="2119">
      <formula>COUNTIF(INDIRECT("Checklist!$None"), "FALSE") = 1</formula>
    </cfRule>
  </conditionalFormatting>
  <conditionalFormatting sqref="E143">
    <cfRule type="expression" dxfId="3" priority="2130">
      <formula>COUNTIF(INDIRECT("Checklist!$None"), "TRUE") = 1</formula>
    </cfRule>
    <cfRule type="expression" dxfId="4" priority="2131">
      <formula>COUNTIF(INDIRECT("Checklist!$None"), "FALSE") = 1</formula>
    </cfRule>
  </conditionalFormatting>
  <conditionalFormatting sqref="E147">
    <cfRule type="expression" dxfId="3" priority="2204">
      <formula>COUNTIF(INDIRECT("Checklist!$A1019"), "TRUE") = 1</formula>
    </cfRule>
    <cfRule type="expression" dxfId="4" priority="2205">
      <formula>COUNTIF(INDIRECT("Checklist!$A1019"), "FALSE") = 1</formula>
    </cfRule>
  </conditionalFormatting>
  <conditionalFormatting sqref="E148">
    <cfRule type="expression" dxfId="3" priority="2216">
      <formula>COUNTIF(INDIRECT("Checklist!$A1025"), "TRUE") = 1</formula>
    </cfRule>
    <cfRule type="expression" dxfId="4" priority="2217">
      <formula>COUNTIF(INDIRECT("Checklist!$A1025"), "FALSE") = 1</formula>
    </cfRule>
  </conditionalFormatting>
  <conditionalFormatting sqref="E149">
    <cfRule type="expression" dxfId="3" priority="2228">
      <formula>COUNTIF(INDIRECT("Checklist!$A1031"), "TRUE") = 1</formula>
    </cfRule>
    <cfRule type="expression" dxfId="4" priority="2229">
      <formula>COUNTIF(INDIRECT("Checklist!$A1031"), "FALSE") = 1</formula>
    </cfRule>
  </conditionalFormatting>
  <conditionalFormatting sqref="E15">
    <cfRule type="expression" dxfId="3" priority="178">
      <formula>COUNTIF(INDIRECT("Checklist!$A89"), "TRUE") = 1</formula>
    </cfRule>
    <cfRule type="expression" dxfId="4" priority="179">
      <formula>COUNTIF(INDIRECT("Checklist!$A89"), "FALSE") = 1</formula>
    </cfRule>
  </conditionalFormatting>
  <conditionalFormatting sqref="E150">
    <cfRule type="expression" dxfId="3" priority="2240">
      <formula>COUNTIF(INDIRECT("Checklist!$A1037"), "TRUE") = 1</formula>
    </cfRule>
    <cfRule type="expression" dxfId="4" priority="2241">
      <formula>COUNTIF(INDIRECT("Checklist!$A1037"), "FALSE") = 1</formula>
    </cfRule>
  </conditionalFormatting>
  <conditionalFormatting sqref="E151">
    <cfRule type="expression" dxfId="3" priority="2252">
      <formula>COUNTIF(INDIRECT("Checklist!$A1043"), "TRUE") = 1</formula>
    </cfRule>
    <cfRule type="expression" dxfId="4" priority="2253">
      <formula>COUNTIF(INDIRECT("Checklist!$A1043"), "FALSE") = 1</formula>
    </cfRule>
  </conditionalFormatting>
  <conditionalFormatting sqref="E155">
    <cfRule type="expression" dxfId="3" priority="2326">
      <formula>COUNTIF(INDIRECT("Checklist!$A1061"), "TRUE") = 1</formula>
    </cfRule>
    <cfRule type="expression" dxfId="4" priority="2327">
      <formula>COUNTIF(INDIRECT("Checklist!$A1061"), "FALSE") = 1</formula>
    </cfRule>
  </conditionalFormatting>
  <conditionalFormatting sqref="E156">
    <cfRule type="expression" dxfId="3" priority="2338">
      <formula>COUNTIF(INDIRECT("Checklist!$A1064"), "TRUE") = 1</formula>
    </cfRule>
    <cfRule type="expression" dxfId="4" priority="2339">
      <formula>COUNTIF(INDIRECT("Checklist!$A1064"), "FALSE") = 1</formula>
    </cfRule>
  </conditionalFormatting>
  <conditionalFormatting sqref="E157">
    <cfRule type="expression" dxfId="3" priority="2350">
      <formula>COUNTIF(INDIRECT("Checklist!$None"), "TRUE") = 1</formula>
    </cfRule>
    <cfRule type="expression" dxfId="4" priority="2351">
      <formula>COUNTIF(INDIRECT("Checklist!$None"), "FALSE") = 1</formula>
    </cfRule>
  </conditionalFormatting>
  <conditionalFormatting sqref="E158">
    <cfRule type="expression" dxfId="3" priority="2362">
      <formula>COUNTIF(INDIRECT("Checklist!$A1067"), "TRUE") = 1</formula>
    </cfRule>
    <cfRule type="expression" dxfId="4" priority="2363">
      <formula>COUNTIF(INDIRECT("Checklist!$A1067"), "FALSE") = 1</formula>
    </cfRule>
  </conditionalFormatting>
  <conditionalFormatting sqref="E159">
    <cfRule type="expression" dxfId="3" priority="2374">
      <formula>COUNTIF(INDIRECT("Checklist!$None"), "TRUE") = 1</formula>
    </cfRule>
    <cfRule type="expression" dxfId="4" priority="2375">
      <formula>COUNTIF(INDIRECT("Checklist!$None"), "FALSE") = 1</formula>
    </cfRule>
  </conditionalFormatting>
  <conditionalFormatting sqref="E163">
    <cfRule type="expression" dxfId="3" priority="2448">
      <formula>COUNTIF(INDIRECT("Checklist!$A1087"), "TRUE") = 1</formula>
    </cfRule>
    <cfRule type="expression" dxfId="4" priority="2449">
      <formula>COUNTIF(INDIRECT("Checklist!$A1087"), "FALSE") = 1</formula>
    </cfRule>
  </conditionalFormatting>
  <conditionalFormatting sqref="E164">
    <cfRule type="expression" dxfId="3" priority="2460">
      <formula>COUNTIF(INDIRECT("Checklist!$A1091"), "TRUE") = 1</formula>
    </cfRule>
    <cfRule type="expression" dxfId="4" priority="2461">
      <formula>COUNTIF(INDIRECT("Checklist!$A1091"), "FALSE") = 1</formula>
    </cfRule>
  </conditionalFormatting>
  <conditionalFormatting sqref="E165">
    <cfRule type="expression" dxfId="3" priority="2472">
      <formula>COUNTIF(INDIRECT("Checklist!$A1095"), "TRUE") = 1</formula>
    </cfRule>
    <cfRule type="expression" dxfId="4" priority="2473">
      <formula>COUNTIF(INDIRECT("Checklist!$A1095"), "FALSE") = 1</formula>
    </cfRule>
  </conditionalFormatting>
  <conditionalFormatting sqref="E166">
    <cfRule type="expression" dxfId="3" priority="2484">
      <formula>COUNTIF(INDIRECT("Checklist!$None"), "TRUE") = 1</formula>
    </cfRule>
    <cfRule type="expression" dxfId="4" priority="2485">
      <formula>COUNTIF(INDIRECT("Checklist!$None"), "FALSE") = 1</formula>
    </cfRule>
  </conditionalFormatting>
  <conditionalFormatting sqref="E167">
    <cfRule type="expression" dxfId="3" priority="2496">
      <formula>COUNTIF(INDIRECT("Checklist!$A1099"), "TRUE") = 1</formula>
    </cfRule>
    <cfRule type="expression" dxfId="4" priority="2497">
      <formula>COUNTIF(INDIRECT("Checklist!$A1099"), "FALSE") = 1</formula>
    </cfRule>
  </conditionalFormatting>
  <conditionalFormatting sqref="E171">
    <cfRule type="expression" dxfId="3" priority="2570">
      <formula>COUNTIF(INDIRECT("Checklist!$A1123"), "TRUE") = 1</formula>
    </cfRule>
    <cfRule type="expression" dxfId="4" priority="2571">
      <formula>COUNTIF(INDIRECT("Checklist!$A1123"), "FALSE") = 1</formula>
    </cfRule>
  </conditionalFormatting>
  <conditionalFormatting sqref="E172">
    <cfRule type="expression" dxfId="3" priority="2582">
      <formula>COUNTIF(INDIRECT("Checklist!$A1125"), "TRUE") = 1</formula>
    </cfRule>
    <cfRule type="expression" dxfId="4" priority="2583">
      <formula>COUNTIF(INDIRECT("Checklist!$A1125"), "FALSE") = 1</formula>
    </cfRule>
  </conditionalFormatting>
  <conditionalFormatting sqref="E173">
    <cfRule type="expression" dxfId="3" priority="2594">
      <formula>COUNTIF(INDIRECT("Checklist!$A1129"), "TRUE") = 1</formula>
    </cfRule>
    <cfRule type="expression" dxfId="4" priority="2595">
      <formula>COUNTIF(INDIRECT("Checklist!$A1129"), "FALSE") = 1</formula>
    </cfRule>
  </conditionalFormatting>
  <conditionalFormatting sqref="E174">
    <cfRule type="expression" dxfId="3" priority="2606">
      <formula>COUNTIF(INDIRECT("Checklist!$None"), "TRUE") = 1</formula>
    </cfRule>
    <cfRule type="expression" dxfId="4" priority="2607">
      <formula>COUNTIF(INDIRECT("Checklist!$None"), "FALSE") = 1</formula>
    </cfRule>
  </conditionalFormatting>
  <conditionalFormatting sqref="E175">
    <cfRule type="expression" dxfId="3" priority="2618">
      <formula>COUNTIF(INDIRECT("Checklist!$None"), "TRUE") = 1</formula>
    </cfRule>
    <cfRule type="expression" dxfId="4" priority="2619">
      <formula>COUNTIF(INDIRECT("Checklist!$None"), "FALSE") = 1</formula>
    </cfRule>
  </conditionalFormatting>
  <conditionalFormatting sqref="E179">
    <cfRule type="expression" dxfId="3" priority="2692">
      <formula>COUNTIF(INDIRECT("Checklist!$A1142"), "TRUE") = 1</formula>
    </cfRule>
    <cfRule type="expression" dxfId="4" priority="2693">
      <formula>COUNTIF(INDIRECT("Checklist!$A1142"), "FALSE") = 1</formula>
    </cfRule>
  </conditionalFormatting>
  <conditionalFormatting sqref="E180">
    <cfRule type="expression" dxfId="3" priority="2704">
      <formula>COUNTIF(INDIRECT("Checklist!$A1148"), "TRUE") = 1</formula>
    </cfRule>
    <cfRule type="expression" dxfId="4" priority="2705">
      <formula>COUNTIF(INDIRECT("Checklist!$A1148"), "FALSE") = 1</formula>
    </cfRule>
  </conditionalFormatting>
  <conditionalFormatting sqref="E181">
    <cfRule type="expression" dxfId="3" priority="2716">
      <formula>COUNTIF(INDIRECT("Checklist!$A1154"), "TRUE") = 1</formula>
    </cfRule>
    <cfRule type="expression" dxfId="4" priority="2717">
      <formula>COUNTIF(INDIRECT("Checklist!$A1154"), "FALSE") = 1</formula>
    </cfRule>
  </conditionalFormatting>
  <conditionalFormatting sqref="E182">
    <cfRule type="expression" dxfId="3" priority="2728">
      <formula>COUNTIF(INDIRECT("Checklist!$A1160"), "TRUE") = 1</formula>
    </cfRule>
    <cfRule type="expression" dxfId="4" priority="2729">
      <formula>COUNTIF(INDIRECT("Checklist!$A1160"), "FALSE") = 1</formula>
    </cfRule>
  </conditionalFormatting>
  <conditionalFormatting sqref="E183">
    <cfRule type="expression" dxfId="3" priority="2740">
      <formula>COUNTIF(INDIRECT("Checklist!$A1166"), "TRUE") = 1</formula>
    </cfRule>
    <cfRule type="expression" dxfId="4" priority="2741">
      <formula>COUNTIF(INDIRECT("Checklist!$A1166"), "FALSE") = 1</formula>
    </cfRule>
  </conditionalFormatting>
  <conditionalFormatting sqref="E187">
    <cfRule type="expression" dxfId="3" priority="2814">
      <formula>COUNTIF(INDIRECT("Checklist!$A1198"), "TRUE") = 1</formula>
    </cfRule>
    <cfRule type="expression" dxfId="4" priority="2815">
      <formula>COUNTIF(INDIRECT("Checklist!$A1198"), "FALSE") = 1</formula>
    </cfRule>
  </conditionalFormatting>
  <conditionalFormatting sqref="E188">
    <cfRule type="expression" dxfId="3" priority="2826">
      <formula>COUNTIF(INDIRECT("Checklist!$None"), "TRUE") = 1</formula>
    </cfRule>
    <cfRule type="expression" dxfId="4" priority="2827">
      <formula>COUNTIF(INDIRECT("Checklist!$None"), "FALSE") = 1</formula>
    </cfRule>
  </conditionalFormatting>
  <conditionalFormatting sqref="E189">
    <cfRule type="expression" dxfId="3" priority="2838">
      <formula>COUNTIF(INDIRECT("Checklist!$None"), "TRUE") = 1</formula>
    </cfRule>
    <cfRule type="expression" dxfId="4" priority="2839">
      <formula>COUNTIF(INDIRECT("Checklist!$None"), "FALSE") = 1</formula>
    </cfRule>
  </conditionalFormatting>
  <conditionalFormatting sqref="E19">
    <cfRule type="expression" dxfId="3" priority="252">
      <formula>COUNTIF(INDIRECT("Checklist!$A125"), "TRUE") = 1</formula>
    </cfRule>
    <cfRule type="expression" dxfId="4" priority="253">
      <formula>COUNTIF(INDIRECT("Checklist!$A125"), "FALSE") = 1</formula>
    </cfRule>
  </conditionalFormatting>
  <conditionalFormatting sqref="E190">
    <cfRule type="expression" dxfId="3" priority="2850">
      <formula>COUNTIF(INDIRECT("Checklist!$None"), "TRUE") = 1</formula>
    </cfRule>
    <cfRule type="expression" dxfId="4" priority="2851">
      <formula>COUNTIF(INDIRECT("Checklist!$None"), "FALSE") = 1</formula>
    </cfRule>
  </conditionalFormatting>
  <conditionalFormatting sqref="E191">
    <cfRule type="expression" dxfId="3" priority="2862">
      <formula>COUNTIF(INDIRECT("Checklist!$None"), "TRUE") = 1</formula>
    </cfRule>
    <cfRule type="expression" dxfId="4" priority="2863">
      <formula>COUNTIF(INDIRECT("Checklist!$None"), "FALSE") = 1</formula>
    </cfRule>
  </conditionalFormatting>
  <conditionalFormatting sqref="E195">
    <cfRule type="expression" dxfId="3" priority="2936">
      <formula>COUNTIF(INDIRECT("Checklist!$None"), "TRUE") = 1</formula>
    </cfRule>
    <cfRule type="expression" dxfId="4" priority="2937">
      <formula>COUNTIF(INDIRECT("Checklist!$None"), "FALSE") = 1</formula>
    </cfRule>
  </conditionalFormatting>
  <conditionalFormatting sqref="E196">
    <cfRule type="expression" dxfId="3" priority="2948">
      <formula>COUNTIF(INDIRECT("Checklist!$None"), "TRUE") = 1</formula>
    </cfRule>
    <cfRule type="expression" dxfId="4" priority="2949">
      <formula>COUNTIF(INDIRECT("Checklist!$None"), "FALSE") = 1</formula>
    </cfRule>
  </conditionalFormatting>
  <conditionalFormatting sqref="E197">
    <cfRule type="expression" dxfId="3" priority="2960">
      <formula>COUNTIF(INDIRECT("Checklist!$None"), "TRUE") = 1</formula>
    </cfRule>
    <cfRule type="expression" dxfId="4" priority="2961">
      <formula>COUNTIF(INDIRECT("Checklist!$None"), "FALSE") = 1</formula>
    </cfRule>
  </conditionalFormatting>
  <conditionalFormatting sqref="E198">
    <cfRule type="expression" dxfId="3" priority="2972">
      <formula>COUNTIF(INDIRECT("Checklist!$None"), "TRUE") = 1</formula>
    </cfRule>
    <cfRule type="expression" dxfId="4" priority="2973">
      <formula>COUNTIF(INDIRECT("Checklist!$None"), "FALSE") = 1</formula>
    </cfRule>
  </conditionalFormatting>
  <conditionalFormatting sqref="E199">
    <cfRule type="expression" dxfId="3" priority="2984">
      <formula>COUNTIF(INDIRECT("Checklist!$None"), "TRUE") = 1</formula>
    </cfRule>
    <cfRule type="expression" dxfId="4" priority="2985">
      <formula>COUNTIF(INDIRECT("Checklist!$None"), "FALSE") = 1</formula>
    </cfRule>
  </conditionalFormatting>
  <conditionalFormatting sqref="E20">
    <cfRule type="expression" dxfId="3" priority="264">
      <formula>COUNTIF(INDIRECT("Checklist!$A131"), "TRUE") = 1</formula>
    </cfRule>
    <cfRule type="expression" dxfId="4" priority="265">
      <formula>COUNTIF(INDIRECT("Checklist!$A131"), "FALSE") = 1</formula>
    </cfRule>
  </conditionalFormatting>
  <conditionalFormatting sqref="E203">
    <cfRule type="expression" dxfId="3" priority="3058">
      <formula>COUNTIF(INDIRECT("Checklist!$A1243"), "TRUE") = 1</formula>
    </cfRule>
    <cfRule type="expression" dxfId="4" priority="3059">
      <formula>COUNTIF(INDIRECT("Checklist!$A1243"), "FALSE") = 1</formula>
    </cfRule>
  </conditionalFormatting>
  <conditionalFormatting sqref="E204">
    <cfRule type="expression" dxfId="3" priority="3070">
      <formula>COUNTIF(INDIRECT("Checklist!$A1249"), "TRUE") = 1</formula>
    </cfRule>
    <cfRule type="expression" dxfId="4" priority="3071">
      <formula>COUNTIF(INDIRECT("Checklist!$A1249"), "FALSE") = 1</formula>
    </cfRule>
  </conditionalFormatting>
  <conditionalFormatting sqref="E205">
    <cfRule type="expression" dxfId="3" priority="3082">
      <formula>COUNTIF(INDIRECT("Checklist!$A1255"), "TRUE") = 1</formula>
    </cfRule>
    <cfRule type="expression" dxfId="4" priority="3083">
      <formula>COUNTIF(INDIRECT("Checklist!$A1255"), "FALSE") = 1</formula>
    </cfRule>
  </conditionalFormatting>
  <conditionalFormatting sqref="E206">
    <cfRule type="expression" dxfId="3" priority="3094">
      <formula>COUNTIF(INDIRECT("Checklist!$None"), "TRUE") = 1</formula>
    </cfRule>
    <cfRule type="expression" dxfId="4" priority="3095">
      <formula>COUNTIF(INDIRECT("Checklist!$None"), "FALSE") = 1</formula>
    </cfRule>
  </conditionalFormatting>
  <conditionalFormatting sqref="E207">
    <cfRule type="expression" dxfId="3" priority="3106">
      <formula>COUNTIF(INDIRECT("Checklist!$None"), "TRUE") = 1</formula>
    </cfRule>
    <cfRule type="expression" dxfId="4" priority="3107">
      <formula>COUNTIF(INDIRECT("Checklist!$None"), "FALSE") = 1</formula>
    </cfRule>
  </conditionalFormatting>
  <conditionalFormatting sqref="E21">
    <cfRule type="expression" dxfId="3" priority="276">
      <formula>COUNTIF(INDIRECT("Checklist!$A137"), "TRUE") = 1</formula>
    </cfRule>
    <cfRule type="expression" dxfId="4" priority="277">
      <formula>COUNTIF(INDIRECT("Checklist!$A137"), "FALSE") = 1</formula>
    </cfRule>
  </conditionalFormatting>
  <conditionalFormatting sqref="E211">
    <cfRule type="expression" dxfId="3" priority="3180">
      <formula>COUNTIF(INDIRECT("Checklist!$A1280"), "TRUE") = 1</formula>
    </cfRule>
    <cfRule type="expression" dxfId="4" priority="3181">
      <formula>COUNTIF(INDIRECT("Checklist!$A1280"), "FALSE") = 1</formula>
    </cfRule>
  </conditionalFormatting>
  <conditionalFormatting sqref="E212">
    <cfRule type="expression" dxfId="3" priority="3192">
      <formula>COUNTIF(INDIRECT("Checklist!$A1286"), "TRUE") = 1</formula>
    </cfRule>
    <cfRule type="expression" dxfId="4" priority="3193">
      <formula>COUNTIF(INDIRECT("Checklist!$A1286"), "FALSE") = 1</formula>
    </cfRule>
  </conditionalFormatting>
  <conditionalFormatting sqref="E213">
    <cfRule type="expression" dxfId="3" priority="3204">
      <formula>COUNTIF(INDIRECT("Checklist!$A1292"), "TRUE") = 1</formula>
    </cfRule>
    <cfRule type="expression" dxfId="4" priority="3205">
      <formula>COUNTIF(INDIRECT("Checklist!$A1292"), "FALSE") = 1</formula>
    </cfRule>
  </conditionalFormatting>
  <conditionalFormatting sqref="E214">
    <cfRule type="expression" dxfId="3" priority="3216">
      <formula>COUNTIF(INDIRECT("Checklist!$None"), "TRUE") = 1</formula>
    </cfRule>
    <cfRule type="expression" dxfId="4" priority="3217">
      <formula>COUNTIF(INDIRECT("Checklist!$None"), "FALSE") = 1</formula>
    </cfRule>
  </conditionalFormatting>
  <conditionalFormatting sqref="E215">
    <cfRule type="expression" dxfId="3" priority="3228">
      <formula>COUNTIF(INDIRECT("Checklist!$None"), "TRUE") = 1</formula>
    </cfRule>
    <cfRule type="expression" dxfId="4" priority="3229">
      <formula>COUNTIF(INDIRECT("Checklist!$None"), "FALSE") = 1</formula>
    </cfRule>
  </conditionalFormatting>
  <conditionalFormatting sqref="E22">
    <cfRule type="expression" dxfId="3" priority="288">
      <formula>COUNTIF(INDIRECT("Checklist!$A143"), "TRUE") = 1</formula>
    </cfRule>
    <cfRule type="expression" dxfId="4" priority="289">
      <formula>COUNTIF(INDIRECT("Checklist!$A143"), "FALSE") = 1</formula>
    </cfRule>
  </conditionalFormatting>
  <conditionalFormatting sqref="E23">
    <cfRule type="expression" dxfId="3" priority="300">
      <formula>COUNTIF(INDIRECT("Checklist!$A149"), "TRUE") = 1</formula>
    </cfRule>
    <cfRule type="expression" dxfId="4" priority="301">
      <formula>COUNTIF(INDIRECT("Checklist!$A149"), "FALSE") = 1</formula>
    </cfRule>
  </conditionalFormatting>
  <conditionalFormatting sqref="E27">
    <cfRule type="expression" dxfId="3" priority="374">
      <formula>COUNTIF(INDIRECT("Checklist!$A185"), "TRUE") = 1</formula>
    </cfRule>
    <cfRule type="expression" dxfId="4" priority="375">
      <formula>COUNTIF(INDIRECT("Checklist!$A185"), "FALSE") = 1</formula>
    </cfRule>
  </conditionalFormatting>
  <conditionalFormatting sqref="E28">
    <cfRule type="expression" dxfId="3" priority="386">
      <formula>COUNTIF(INDIRECT("Checklist!$A191"), "TRUE") = 1</formula>
    </cfRule>
    <cfRule type="expression" dxfId="4" priority="387">
      <formula>COUNTIF(INDIRECT("Checklist!$A191"), "FALSE") = 1</formula>
    </cfRule>
  </conditionalFormatting>
  <conditionalFormatting sqref="E29">
    <cfRule type="expression" dxfId="3" priority="398">
      <formula>COUNTIF(INDIRECT("Checklist!$A197"), "TRUE") = 1</formula>
    </cfRule>
    <cfRule type="expression" dxfId="4" priority="399">
      <formula>COUNTIF(INDIRECT("Checklist!$A197"), "FALSE") = 1</formula>
    </cfRule>
  </conditionalFormatting>
  <conditionalFormatting sqref="E3">
    <cfRule type="expression" dxfId="3" priority="8">
      <formula>COUNTIF(INDIRECT("Checklist!$A5"), "TRUE") = 1</formula>
    </cfRule>
    <cfRule type="expression" dxfId="4" priority="9">
      <formula>COUNTIF(INDIRECT("Checklist!$A5"), "FALSE") = 1</formula>
    </cfRule>
  </conditionalFormatting>
  <conditionalFormatting sqref="E30">
    <cfRule type="expression" dxfId="3" priority="410">
      <formula>COUNTIF(INDIRECT("Checklist!$A203"), "TRUE") = 1</formula>
    </cfRule>
    <cfRule type="expression" dxfId="4" priority="411">
      <formula>COUNTIF(INDIRECT("Checklist!$A203"), "FALSE") = 1</formula>
    </cfRule>
  </conditionalFormatting>
  <conditionalFormatting sqref="E31">
    <cfRule type="expression" dxfId="3" priority="422">
      <formula>COUNTIF(INDIRECT("Checklist!$A209"), "TRUE") = 1</formula>
    </cfRule>
    <cfRule type="expression" dxfId="4" priority="423">
      <formula>COUNTIF(INDIRECT("Checklist!$A209"), "FALSE") = 1</formula>
    </cfRule>
  </conditionalFormatting>
  <conditionalFormatting sqref="E35">
    <cfRule type="expression" dxfId="3" priority="496">
      <formula>COUNTIF(INDIRECT("Checklist!$A245"), "TRUE") = 1</formula>
    </cfRule>
    <cfRule type="expression" dxfId="4" priority="497">
      <formula>COUNTIF(INDIRECT("Checklist!$A245"), "FALSE") = 1</formula>
    </cfRule>
  </conditionalFormatting>
  <conditionalFormatting sqref="E36">
    <cfRule type="expression" dxfId="3" priority="508">
      <formula>COUNTIF(INDIRECT("Checklist!$A251"), "TRUE") = 1</formula>
    </cfRule>
    <cfRule type="expression" dxfId="4" priority="509">
      <formula>COUNTIF(INDIRECT("Checklist!$A251"), "FALSE") = 1</formula>
    </cfRule>
  </conditionalFormatting>
  <conditionalFormatting sqref="E37">
    <cfRule type="expression" dxfId="3" priority="520">
      <formula>COUNTIF(INDIRECT("Checklist!$A257"), "TRUE") = 1</formula>
    </cfRule>
    <cfRule type="expression" dxfId="4" priority="521">
      <formula>COUNTIF(INDIRECT("Checklist!$A257"), "FALSE") = 1</formula>
    </cfRule>
  </conditionalFormatting>
  <conditionalFormatting sqref="E38">
    <cfRule type="expression" dxfId="3" priority="532">
      <formula>COUNTIF(INDIRECT("Checklist!$A263"), "TRUE") = 1</formula>
    </cfRule>
    <cfRule type="expression" dxfId="4" priority="533">
      <formula>COUNTIF(INDIRECT("Checklist!$A263"), "FALSE") = 1</formula>
    </cfRule>
  </conditionalFormatting>
  <conditionalFormatting sqref="E39">
    <cfRule type="expression" dxfId="3" priority="544">
      <formula>COUNTIF(INDIRECT("Checklist!$A269"), "TRUE") = 1</formula>
    </cfRule>
    <cfRule type="expression" dxfId="4" priority="545">
      <formula>COUNTIF(INDIRECT("Checklist!$A269"), "FALSE") = 1</formula>
    </cfRule>
  </conditionalFormatting>
  <conditionalFormatting sqref="E4">
    <cfRule type="expression" dxfId="3" priority="20">
      <formula>COUNTIF(INDIRECT("Checklist!$A11"), "TRUE") = 1</formula>
    </cfRule>
    <cfRule type="expression" dxfId="4" priority="21">
      <formula>COUNTIF(INDIRECT("Checklist!$A11"), "FALSE") = 1</formula>
    </cfRule>
  </conditionalFormatting>
  <conditionalFormatting sqref="E43">
    <cfRule type="expression" dxfId="3" priority="618">
      <formula>COUNTIF(INDIRECT("Checklist!$A305"), "TRUE") = 1</formula>
    </cfRule>
    <cfRule type="expression" dxfId="4" priority="619">
      <formula>COUNTIF(INDIRECT("Checklist!$A305"), "FALSE") = 1</formula>
    </cfRule>
  </conditionalFormatting>
  <conditionalFormatting sqref="E44">
    <cfRule type="expression" dxfId="3" priority="630">
      <formula>COUNTIF(INDIRECT("Checklist!$A311"), "TRUE") = 1</formula>
    </cfRule>
    <cfRule type="expression" dxfId="4" priority="631">
      <formula>COUNTIF(INDIRECT("Checklist!$A311"), "FALSE") = 1</formula>
    </cfRule>
  </conditionalFormatting>
  <conditionalFormatting sqref="E45">
    <cfRule type="expression" dxfId="3" priority="642">
      <formula>COUNTIF(INDIRECT("Checklist!$A317"), "TRUE") = 1</formula>
    </cfRule>
    <cfRule type="expression" dxfId="4" priority="643">
      <formula>COUNTIF(INDIRECT("Checklist!$A317"), "FALSE") = 1</formula>
    </cfRule>
  </conditionalFormatting>
  <conditionalFormatting sqref="E46">
    <cfRule type="expression" dxfId="3" priority="654">
      <formula>COUNTIF(INDIRECT("Checklist!$A323"), "TRUE") = 1</formula>
    </cfRule>
    <cfRule type="expression" dxfId="4" priority="655">
      <formula>COUNTIF(INDIRECT("Checklist!$A323"), "FALSE") = 1</formula>
    </cfRule>
  </conditionalFormatting>
  <conditionalFormatting sqref="E47">
    <cfRule type="expression" dxfId="3" priority="666">
      <formula>COUNTIF(INDIRECT("Checklist!$A329"), "TRUE") = 1</formula>
    </cfRule>
    <cfRule type="expression" dxfId="4" priority="667">
      <formula>COUNTIF(INDIRECT("Checklist!$A329"), "FALSE") = 1</formula>
    </cfRule>
  </conditionalFormatting>
  <conditionalFormatting sqref="E5">
    <cfRule type="expression" dxfId="3" priority="32">
      <formula>COUNTIF(INDIRECT("Checklist!$A17"), "TRUE") = 1</formula>
    </cfRule>
    <cfRule type="expression" dxfId="4" priority="33">
      <formula>COUNTIF(INDIRECT("Checklist!$A17"), "FALSE") = 1</formula>
    </cfRule>
  </conditionalFormatting>
  <conditionalFormatting sqref="E51">
    <cfRule type="expression" dxfId="3" priority="740">
      <formula>COUNTIF(INDIRECT("Checklist!$A365"), "TRUE") = 1</formula>
    </cfRule>
    <cfRule type="expression" dxfId="4" priority="741">
      <formula>COUNTIF(INDIRECT("Checklist!$A365"), "FALSE") = 1</formula>
    </cfRule>
  </conditionalFormatting>
  <conditionalFormatting sqref="E52">
    <cfRule type="expression" dxfId="3" priority="752">
      <formula>COUNTIF(INDIRECT("Checklist!$A371"), "TRUE") = 1</formula>
    </cfRule>
    <cfRule type="expression" dxfId="4" priority="753">
      <formula>COUNTIF(INDIRECT("Checklist!$A371"), "FALSE") = 1</formula>
    </cfRule>
  </conditionalFormatting>
  <conditionalFormatting sqref="E53">
    <cfRule type="expression" dxfId="3" priority="764">
      <formula>COUNTIF(INDIRECT("Checklist!$A377"), "TRUE") = 1</formula>
    </cfRule>
    <cfRule type="expression" dxfId="4" priority="765">
      <formula>COUNTIF(INDIRECT("Checklist!$A377"), "FALSE") = 1</formula>
    </cfRule>
  </conditionalFormatting>
  <conditionalFormatting sqref="E54">
    <cfRule type="expression" dxfId="3" priority="776">
      <formula>COUNTIF(INDIRECT("Checklist!$A383"), "TRUE") = 1</formula>
    </cfRule>
    <cfRule type="expression" dxfId="4" priority="777">
      <formula>COUNTIF(INDIRECT("Checklist!$A383"), "FALSE") = 1</formula>
    </cfRule>
  </conditionalFormatting>
  <conditionalFormatting sqref="E55">
    <cfRule type="expression" dxfId="3" priority="788">
      <formula>COUNTIF(INDIRECT("Checklist!$A389"), "TRUE") = 1</formula>
    </cfRule>
    <cfRule type="expression" dxfId="4" priority="789">
      <formula>COUNTIF(INDIRECT("Checklist!$A389"), "FALSE") = 1</formula>
    </cfRule>
  </conditionalFormatting>
  <conditionalFormatting sqref="E59">
    <cfRule type="expression" dxfId="3" priority="862">
      <formula>COUNTIF(INDIRECT("Checklist!$A425"), "TRUE") = 1</formula>
    </cfRule>
    <cfRule type="expression" dxfId="4" priority="863">
      <formula>COUNTIF(INDIRECT("Checklist!$A425"), "FALSE") = 1</formula>
    </cfRule>
  </conditionalFormatting>
  <conditionalFormatting sqref="E6">
    <cfRule type="expression" dxfId="3" priority="44">
      <formula>COUNTIF(INDIRECT("Checklist!$A23"), "TRUE") = 1</formula>
    </cfRule>
    <cfRule type="expression" dxfId="4" priority="45">
      <formula>COUNTIF(INDIRECT("Checklist!$A23"), "FALSE") = 1</formula>
    </cfRule>
  </conditionalFormatting>
  <conditionalFormatting sqref="E60">
    <cfRule type="expression" dxfId="3" priority="874">
      <formula>COUNTIF(INDIRECT("Checklist!$A431"), "TRUE") = 1</formula>
    </cfRule>
    <cfRule type="expression" dxfId="4" priority="875">
      <formula>COUNTIF(INDIRECT("Checklist!$A431"), "FALSE") = 1</formula>
    </cfRule>
  </conditionalFormatting>
  <conditionalFormatting sqref="E61">
    <cfRule type="expression" dxfId="3" priority="886">
      <formula>COUNTIF(INDIRECT("Checklist!$A437"), "TRUE") = 1</formula>
    </cfRule>
    <cfRule type="expression" dxfId="4" priority="887">
      <formula>COUNTIF(INDIRECT("Checklist!$A437"), "FALSE") = 1</formula>
    </cfRule>
  </conditionalFormatting>
  <conditionalFormatting sqref="E62">
    <cfRule type="expression" dxfId="3" priority="898">
      <formula>COUNTIF(INDIRECT("Checklist!$A443"), "TRUE") = 1</formula>
    </cfRule>
    <cfRule type="expression" dxfId="4" priority="899">
      <formula>COUNTIF(INDIRECT("Checklist!$A443"), "FALSE") = 1</formula>
    </cfRule>
  </conditionalFormatting>
  <conditionalFormatting sqref="E63">
    <cfRule type="expression" dxfId="3" priority="910">
      <formula>COUNTIF(INDIRECT("Checklist!$A449"), "TRUE") = 1</formula>
    </cfRule>
    <cfRule type="expression" dxfId="4" priority="911">
      <formula>COUNTIF(INDIRECT("Checklist!$A449"), "FALSE") = 1</formula>
    </cfRule>
  </conditionalFormatting>
  <conditionalFormatting sqref="E67">
    <cfRule type="expression" dxfId="3" priority="984">
      <formula>COUNTIF(INDIRECT("Checklist!$A485"), "TRUE") = 1</formula>
    </cfRule>
    <cfRule type="expression" dxfId="4" priority="985">
      <formula>COUNTIF(INDIRECT("Checklist!$A485"), "FALSE") = 1</formula>
    </cfRule>
  </conditionalFormatting>
  <conditionalFormatting sqref="E68">
    <cfRule type="expression" dxfId="3" priority="996">
      <formula>COUNTIF(INDIRECT("Checklist!$A491"), "TRUE") = 1</formula>
    </cfRule>
    <cfRule type="expression" dxfId="4" priority="997">
      <formula>COUNTIF(INDIRECT("Checklist!$A491"), "FALSE") = 1</formula>
    </cfRule>
  </conditionalFormatting>
  <conditionalFormatting sqref="E69">
    <cfRule type="expression" dxfId="3" priority="1008">
      <formula>COUNTIF(INDIRECT("Checklist!$A497"), "TRUE") = 1</formula>
    </cfRule>
    <cfRule type="expression" dxfId="4" priority="1009">
      <formula>COUNTIF(INDIRECT("Checklist!$A497"), "FALSE") = 1</formula>
    </cfRule>
  </conditionalFormatting>
  <conditionalFormatting sqref="E7">
    <cfRule type="expression" dxfId="3" priority="56">
      <formula>COUNTIF(INDIRECT("Checklist!$A29"), "TRUE") = 1</formula>
    </cfRule>
    <cfRule type="expression" dxfId="4" priority="57">
      <formula>COUNTIF(INDIRECT("Checklist!$A29"), "FALSE") = 1</formula>
    </cfRule>
  </conditionalFormatting>
  <conditionalFormatting sqref="E70">
    <cfRule type="expression" dxfId="3" priority="1020">
      <formula>COUNTIF(INDIRECT("Checklist!$A503"), "TRUE") = 1</formula>
    </cfRule>
    <cfRule type="expression" dxfId="4" priority="1021">
      <formula>COUNTIF(INDIRECT("Checklist!$A503"), "FALSE") = 1</formula>
    </cfRule>
  </conditionalFormatting>
  <conditionalFormatting sqref="E71">
    <cfRule type="expression" dxfId="3" priority="1032">
      <formula>COUNTIF(INDIRECT("Checklist!$A509"), "TRUE") = 1</formula>
    </cfRule>
    <cfRule type="expression" dxfId="4" priority="1033">
      <formula>COUNTIF(INDIRECT("Checklist!$A509"), "FALSE") = 1</formula>
    </cfRule>
  </conditionalFormatting>
  <conditionalFormatting sqref="E75">
    <cfRule type="expression" dxfId="3" priority="1106">
      <formula>COUNTIF(INDIRECT("Checklist!$A545"), "TRUE") = 1</formula>
    </cfRule>
    <cfRule type="expression" dxfId="4" priority="1107">
      <formula>COUNTIF(INDIRECT("Checklist!$A545"), "FALSE") = 1</formula>
    </cfRule>
  </conditionalFormatting>
  <conditionalFormatting sqref="E76">
    <cfRule type="expression" dxfId="3" priority="1118">
      <formula>COUNTIF(INDIRECT("Checklist!$A551"), "TRUE") = 1</formula>
    </cfRule>
    <cfRule type="expression" dxfId="4" priority="1119">
      <formula>COUNTIF(INDIRECT("Checklist!$A551"), "FALSE") = 1</formula>
    </cfRule>
  </conditionalFormatting>
  <conditionalFormatting sqref="E77">
    <cfRule type="expression" dxfId="3" priority="1130">
      <formula>COUNTIF(INDIRECT("Checklist!$A557"), "TRUE") = 1</formula>
    </cfRule>
    <cfRule type="expression" dxfId="4" priority="1131">
      <formula>COUNTIF(INDIRECT("Checklist!$A557"), "FALSE") = 1</formula>
    </cfRule>
  </conditionalFormatting>
  <conditionalFormatting sqref="E78">
    <cfRule type="expression" dxfId="3" priority="1142">
      <formula>COUNTIF(INDIRECT("Checklist!$A563"), "TRUE") = 1</formula>
    </cfRule>
    <cfRule type="expression" dxfId="4" priority="1143">
      <formula>COUNTIF(INDIRECT("Checklist!$A563"), "FALSE") = 1</formula>
    </cfRule>
  </conditionalFormatting>
  <conditionalFormatting sqref="E79">
    <cfRule type="expression" dxfId="3" priority="1154">
      <formula>COUNTIF(INDIRECT("Checklist!$A569"), "TRUE") = 1</formula>
    </cfRule>
    <cfRule type="expression" dxfId="4" priority="1155">
      <formula>COUNTIF(INDIRECT("Checklist!$A569"), "FALSE") = 1</formula>
    </cfRule>
  </conditionalFormatting>
  <conditionalFormatting sqref="E83">
    <cfRule type="expression" dxfId="3" priority="1228">
      <formula>COUNTIF(INDIRECT("Checklist!$A605"), "TRUE") = 1</formula>
    </cfRule>
    <cfRule type="expression" dxfId="4" priority="1229">
      <formula>COUNTIF(INDIRECT("Checklist!$A605"), "FALSE") = 1</formula>
    </cfRule>
  </conditionalFormatting>
  <conditionalFormatting sqref="E84">
    <cfRule type="expression" dxfId="3" priority="1240">
      <formula>COUNTIF(INDIRECT("Checklist!$A611"), "TRUE") = 1</formula>
    </cfRule>
    <cfRule type="expression" dxfId="4" priority="1241">
      <formula>COUNTIF(INDIRECT("Checklist!$A611"), "FALSE") = 1</formula>
    </cfRule>
  </conditionalFormatting>
  <conditionalFormatting sqref="E85">
    <cfRule type="expression" dxfId="3" priority="1252">
      <formula>COUNTIF(INDIRECT("Checklist!$A617"), "TRUE") = 1</formula>
    </cfRule>
    <cfRule type="expression" dxfId="4" priority="1253">
      <formula>COUNTIF(INDIRECT("Checklist!$A617"), "FALSE") = 1</formula>
    </cfRule>
  </conditionalFormatting>
  <conditionalFormatting sqref="E86">
    <cfRule type="expression" dxfId="3" priority="1264">
      <formula>COUNTIF(INDIRECT("Checklist!$A623"), "TRUE") = 1</formula>
    </cfRule>
    <cfRule type="expression" dxfId="4" priority="1265">
      <formula>COUNTIF(INDIRECT("Checklist!$A623"), "FALSE") = 1</formula>
    </cfRule>
  </conditionalFormatting>
  <conditionalFormatting sqref="E87">
    <cfRule type="expression" dxfId="3" priority="1276">
      <formula>COUNTIF(INDIRECT("Checklist!$A629"), "TRUE") = 1</formula>
    </cfRule>
    <cfRule type="expression" dxfId="4" priority="1277">
      <formula>COUNTIF(INDIRECT("Checklist!$A629"), "FALSE") = 1</formula>
    </cfRule>
  </conditionalFormatting>
  <conditionalFormatting sqref="E91">
    <cfRule type="expression" dxfId="3" priority="1350">
      <formula>COUNTIF(INDIRECT("Checklist!$A665"), "TRUE") = 1</formula>
    </cfRule>
    <cfRule type="expression" dxfId="4" priority="1351">
      <formula>COUNTIF(INDIRECT("Checklist!$A665"), "FALSE") = 1</formula>
    </cfRule>
  </conditionalFormatting>
  <conditionalFormatting sqref="E92">
    <cfRule type="expression" dxfId="3" priority="1362">
      <formula>COUNTIF(INDIRECT("Checklist!$A671"), "TRUE") = 1</formula>
    </cfRule>
    <cfRule type="expression" dxfId="4" priority="1363">
      <formula>COUNTIF(INDIRECT("Checklist!$A671"), "FALSE") = 1</formula>
    </cfRule>
  </conditionalFormatting>
  <conditionalFormatting sqref="E93">
    <cfRule type="expression" dxfId="3" priority="1374">
      <formula>COUNTIF(INDIRECT("Checklist!$A677"), "TRUE") = 1</formula>
    </cfRule>
    <cfRule type="expression" dxfId="4" priority="1375">
      <formula>COUNTIF(INDIRECT("Checklist!$A677"), "FALSE") = 1</formula>
    </cfRule>
  </conditionalFormatting>
  <conditionalFormatting sqref="E94">
    <cfRule type="expression" dxfId="3" priority="1386">
      <formula>COUNTIF(INDIRECT("Checklist!$A683"), "TRUE") = 1</formula>
    </cfRule>
    <cfRule type="expression" dxfId="4" priority="1387">
      <formula>COUNTIF(INDIRECT("Checklist!$A683"), "FALSE") = 1</formula>
    </cfRule>
  </conditionalFormatting>
  <conditionalFormatting sqref="E95">
    <cfRule type="expression" dxfId="3" priority="1398">
      <formula>COUNTIF(INDIRECT("Checklist!$A689"), "TRUE") = 1</formula>
    </cfRule>
    <cfRule type="expression" dxfId="4" priority="1399">
      <formula>COUNTIF(INDIRECT("Checklist!$A689"), "FALSE") = 1</formula>
    </cfRule>
  </conditionalFormatting>
  <conditionalFormatting sqref="E99">
    <cfRule type="expression" dxfId="3" priority="1472">
      <formula>COUNTIF(INDIRECT("Checklist!$A725"), "TRUE") = 1</formula>
    </cfRule>
    <cfRule type="expression" dxfId="4" priority="1473">
      <formula>COUNTIF(INDIRECT("Checklist!$A725"), "FALSE") = 1</formula>
    </cfRule>
  </conditionalFormatting>
  <conditionalFormatting sqref="F100">
    <cfRule type="expression" dxfId="3" priority="1486">
      <formula>COUNTIF(INDIRECT("Checklist!$A732"), "TRUE") = 1</formula>
    </cfRule>
    <cfRule type="expression" dxfId="4" priority="1487">
      <formula>COUNTIF(INDIRECT("Checklist!$A732"), "FALSE") = 1</formula>
    </cfRule>
  </conditionalFormatting>
  <conditionalFormatting sqref="F101">
    <cfRule type="expression" dxfId="3" priority="1498">
      <formula>COUNTIF(INDIRECT("Checklist!$A738"), "TRUE") = 1</formula>
    </cfRule>
    <cfRule type="expression" dxfId="4" priority="1499">
      <formula>COUNTIF(INDIRECT("Checklist!$A738"), "FALSE") = 1</formula>
    </cfRule>
  </conditionalFormatting>
  <conditionalFormatting sqref="F102">
    <cfRule type="expression" dxfId="3" priority="1510">
      <formula>COUNTIF(INDIRECT("Checklist!$A744"), "TRUE") = 1</formula>
    </cfRule>
    <cfRule type="expression" dxfId="4" priority="1511">
      <formula>COUNTIF(INDIRECT("Checklist!$A744"), "FALSE") = 1</formula>
    </cfRule>
  </conditionalFormatting>
  <conditionalFormatting sqref="F103">
    <cfRule type="expression" dxfId="3" priority="1522">
      <formula>COUNTIF(INDIRECT("Checklist!$A750"), "TRUE") = 1</formula>
    </cfRule>
    <cfRule type="expression" dxfId="4" priority="1523">
      <formula>COUNTIF(INDIRECT("Checklist!$A750"), "FALSE") = 1</formula>
    </cfRule>
  </conditionalFormatting>
  <conditionalFormatting sqref="F107">
    <cfRule type="expression" dxfId="3" priority="1596">
      <formula>COUNTIF(INDIRECT("Checklist!$A786"), "TRUE") = 1</formula>
    </cfRule>
    <cfRule type="expression" dxfId="4" priority="1597">
      <formula>COUNTIF(INDIRECT("Checklist!$A786"), "FALSE") = 1</formula>
    </cfRule>
  </conditionalFormatting>
  <conditionalFormatting sqref="F108">
    <cfRule type="expression" dxfId="3" priority="1608">
      <formula>COUNTIF(INDIRECT("Checklist!$A792"), "TRUE") = 1</formula>
    </cfRule>
    <cfRule type="expression" dxfId="4" priority="1609">
      <formula>COUNTIF(INDIRECT("Checklist!$A792"), "FALSE") = 1</formula>
    </cfRule>
  </conditionalFormatting>
  <conditionalFormatting sqref="F109">
    <cfRule type="expression" dxfId="3" priority="1620">
      <formula>COUNTIF(INDIRECT("Checklist!$A798"), "TRUE") = 1</formula>
    </cfRule>
    <cfRule type="expression" dxfId="4" priority="1621">
      <formula>COUNTIF(INDIRECT("Checklist!$A798"), "FALSE") = 1</formula>
    </cfRule>
  </conditionalFormatting>
  <conditionalFormatting sqref="F11">
    <cfRule type="expression" dxfId="3" priority="132">
      <formula>COUNTIF(INDIRECT("Checklist!$A66"), "TRUE") = 1</formula>
    </cfRule>
    <cfRule type="expression" dxfId="4" priority="133">
      <formula>COUNTIF(INDIRECT("Checklist!$A66"), "FALSE") = 1</formula>
    </cfRule>
  </conditionalFormatting>
  <conditionalFormatting sqref="F110">
    <cfRule type="expression" dxfId="3" priority="1632">
      <formula>COUNTIF(INDIRECT("Checklist!$A804"), "TRUE") = 1</formula>
    </cfRule>
    <cfRule type="expression" dxfId="4" priority="1633">
      <formula>COUNTIF(INDIRECT("Checklist!$A804"), "FALSE") = 1</formula>
    </cfRule>
  </conditionalFormatting>
  <conditionalFormatting sqref="F111">
    <cfRule type="expression" dxfId="3" priority="1644">
      <formula>COUNTIF(INDIRECT("Checklist!$A1219"), "TRUE") = 1</formula>
    </cfRule>
    <cfRule type="expression" dxfId="4" priority="1645">
      <formula>COUNTIF(INDIRECT("Checklist!$A1219"), "FALSE") = 1</formula>
    </cfRule>
  </conditionalFormatting>
  <conditionalFormatting sqref="F115">
    <cfRule type="expression" dxfId="3" priority="1718">
      <formula>COUNTIF(INDIRECT("Checklist!$A846"), "TRUE") = 1</formula>
    </cfRule>
    <cfRule type="expression" dxfId="4" priority="1719">
      <formula>COUNTIF(INDIRECT("Checklist!$A846"), "FALSE") = 1</formula>
    </cfRule>
  </conditionalFormatting>
  <conditionalFormatting sqref="F116">
    <cfRule type="expression" dxfId="3" priority="1730">
      <formula>COUNTIF(INDIRECT("Checklist!$A1232"), "TRUE") = 1</formula>
    </cfRule>
    <cfRule type="expression" dxfId="4" priority="1731">
      <formula>COUNTIF(INDIRECT("Checklist!$A1232"), "FALSE") = 1</formula>
    </cfRule>
  </conditionalFormatting>
  <conditionalFormatting sqref="F117">
    <cfRule type="expression" dxfId="3" priority="1742">
      <formula>COUNTIF(INDIRECT("Checklist!$A858"), "TRUE") = 1</formula>
    </cfRule>
    <cfRule type="expression" dxfId="4" priority="1743">
      <formula>COUNTIF(INDIRECT("Checklist!$A858"), "FALSE") = 1</formula>
    </cfRule>
  </conditionalFormatting>
  <conditionalFormatting sqref="F118">
    <cfRule type="expression" dxfId="3" priority="1754">
      <formula>COUNTIF(INDIRECT("Checklist!$A864"), "TRUE") = 1</formula>
    </cfRule>
    <cfRule type="expression" dxfId="4" priority="1755">
      <formula>COUNTIF(INDIRECT("Checklist!$A864"), "FALSE") = 1</formula>
    </cfRule>
  </conditionalFormatting>
  <conditionalFormatting sqref="F119">
    <cfRule type="expression" dxfId="3" priority="1766">
      <formula>COUNTIF(INDIRECT("Checklist!$A1235"), "TRUE") = 1</formula>
    </cfRule>
    <cfRule type="expression" dxfId="4" priority="1767">
      <formula>COUNTIF(INDIRECT("Checklist!$A1235"), "FALSE") = 1</formula>
    </cfRule>
  </conditionalFormatting>
  <conditionalFormatting sqref="F12">
    <cfRule type="expression" dxfId="3" priority="144">
      <formula>COUNTIF(INDIRECT("Checklist!$A72"), "TRUE") = 1</formula>
    </cfRule>
    <cfRule type="expression" dxfId="4" priority="145">
      <formula>COUNTIF(INDIRECT("Checklist!$A72"), "FALSE") = 1</formula>
    </cfRule>
  </conditionalFormatting>
  <conditionalFormatting sqref="F123">
    <cfRule type="expression" dxfId="3" priority="1840">
      <formula>COUNTIF(INDIRECT("Checklist!$A906"), "TRUE") = 1</formula>
    </cfRule>
    <cfRule type="expression" dxfId="4" priority="1841">
      <formula>COUNTIF(INDIRECT("Checklist!$A906"), "FALSE") = 1</formula>
    </cfRule>
  </conditionalFormatting>
  <conditionalFormatting sqref="F124">
    <cfRule type="expression" dxfId="3" priority="1852">
      <formula>COUNTIF(INDIRECT("Checklist!$None"), "TRUE") = 1</formula>
    </cfRule>
    <cfRule type="expression" dxfId="4" priority="1853">
      <formula>COUNTIF(INDIRECT("Checklist!$None"), "FALSE") = 1</formula>
    </cfRule>
  </conditionalFormatting>
  <conditionalFormatting sqref="F125">
    <cfRule type="expression" dxfId="3" priority="1864">
      <formula>COUNTIF(INDIRECT("Checklist!$None"), "TRUE") = 1</formula>
    </cfRule>
    <cfRule type="expression" dxfId="4" priority="1865">
      <formula>COUNTIF(INDIRECT("Checklist!$None"), "FALSE") = 1</formula>
    </cfRule>
  </conditionalFormatting>
  <conditionalFormatting sqref="F126">
    <cfRule type="expression" dxfId="3" priority="1876">
      <formula>COUNTIF(INDIRECT("Checklist!$None"), "TRUE") = 1</formula>
    </cfRule>
    <cfRule type="expression" dxfId="4" priority="1877">
      <formula>COUNTIF(INDIRECT("Checklist!$None"), "FALSE") = 1</formula>
    </cfRule>
  </conditionalFormatting>
  <conditionalFormatting sqref="F127">
    <cfRule type="expression" dxfId="3" priority="1888">
      <formula>COUNTIF(INDIRECT("Checklist!$None"), "TRUE") = 1</formula>
    </cfRule>
    <cfRule type="expression" dxfId="4" priority="1889">
      <formula>COUNTIF(INDIRECT("Checklist!$None"), "FALSE") = 1</formula>
    </cfRule>
  </conditionalFormatting>
  <conditionalFormatting sqref="F13">
    <cfRule type="expression" dxfId="3" priority="156">
      <formula>COUNTIF(INDIRECT("Checklist!$A78"), "TRUE") = 1</formula>
    </cfRule>
    <cfRule type="expression" dxfId="4" priority="157">
      <formula>COUNTIF(INDIRECT("Checklist!$A78"), "FALSE") = 1</formula>
    </cfRule>
  </conditionalFormatting>
  <conditionalFormatting sqref="F131">
    <cfRule type="expression" dxfId="3" priority="1962">
      <formula>COUNTIF(INDIRECT("Checklist!$A941"), "TRUE") = 1</formula>
    </cfRule>
    <cfRule type="expression" dxfId="4" priority="1963">
      <formula>COUNTIF(INDIRECT("Checklist!$A941"), "FALSE") = 1</formula>
    </cfRule>
  </conditionalFormatting>
  <conditionalFormatting sqref="F132">
    <cfRule type="expression" dxfId="3" priority="1974">
      <formula>COUNTIF(INDIRECT("Checklist!$A947"), "TRUE") = 1</formula>
    </cfRule>
    <cfRule type="expression" dxfId="4" priority="1975">
      <formula>COUNTIF(INDIRECT("Checklist!$A947"), "FALSE") = 1</formula>
    </cfRule>
  </conditionalFormatting>
  <conditionalFormatting sqref="F133">
    <cfRule type="expression" dxfId="3" priority="1986">
      <formula>COUNTIF(INDIRECT("Checklist!$A953"), "TRUE") = 1</formula>
    </cfRule>
    <cfRule type="expression" dxfId="4" priority="1987">
      <formula>COUNTIF(INDIRECT("Checklist!$A953"), "FALSE") = 1</formula>
    </cfRule>
  </conditionalFormatting>
  <conditionalFormatting sqref="F134">
    <cfRule type="expression" dxfId="3" priority="1998">
      <formula>COUNTIF(INDIRECT("Checklist!$A959"), "TRUE") = 1</formula>
    </cfRule>
    <cfRule type="expression" dxfId="4" priority="1999">
      <formula>COUNTIF(INDIRECT("Checklist!$A959"), "FALSE") = 1</formula>
    </cfRule>
  </conditionalFormatting>
  <conditionalFormatting sqref="F135">
    <cfRule type="expression" dxfId="3" priority="2010">
      <formula>COUNTIF(INDIRECT("Checklist!$A965"), "TRUE") = 1</formula>
    </cfRule>
    <cfRule type="expression" dxfId="4" priority="2011">
      <formula>COUNTIF(INDIRECT("Checklist!$A965"), "FALSE") = 1</formula>
    </cfRule>
  </conditionalFormatting>
  <conditionalFormatting sqref="F139">
    <cfRule type="expression" dxfId="3" priority="2084">
      <formula>COUNTIF(INDIRECT("Checklist!$A1001"), "TRUE") = 1</formula>
    </cfRule>
    <cfRule type="expression" dxfId="4" priority="2085">
      <formula>COUNTIF(INDIRECT("Checklist!$A1001"), "FALSE") = 1</formula>
    </cfRule>
  </conditionalFormatting>
  <conditionalFormatting sqref="F14">
    <cfRule type="expression" dxfId="3" priority="168">
      <formula>COUNTIF(INDIRECT("Checklist!$A84"), "TRUE") = 1</formula>
    </cfRule>
    <cfRule type="expression" dxfId="4" priority="169">
      <formula>COUNTIF(INDIRECT("Checklist!$A84"), "FALSE") = 1</formula>
    </cfRule>
  </conditionalFormatting>
  <conditionalFormatting sqref="F140">
    <cfRule type="expression" dxfId="3" priority="2096">
      <formula>COUNTIF(INDIRECT("Checklist!$A1007"), "TRUE") = 1</formula>
    </cfRule>
    <cfRule type="expression" dxfId="4" priority="2097">
      <formula>COUNTIF(INDIRECT("Checklist!$A1007"), "FALSE") = 1</formula>
    </cfRule>
  </conditionalFormatting>
  <conditionalFormatting sqref="F141">
    <cfRule type="expression" dxfId="3" priority="2108">
      <formula>COUNTIF(INDIRECT("Checklist!$None"), "TRUE") = 1</formula>
    </cfRule>
    <cfRule type="expression" dxfId="4" priority="2109">
      <formula>COUNTIF(INDIRECT("Checklist!$None"), "FALSE") = 1</formula>
    </cfRule>
  </conditionalFormatting>
  <conditionalFormatting sqref="F142">
    <cfRule type="expression" dxfId="3" priority="2120">
      <formula>COUNTIF(INDIRECT("Checklist!$None"), "TRUE") = 1</formula>
    </cfRule>
    <cfRule type="expression" dxfId="4" priority="2121">
      <formula>COUNTIF(INDIRECT("Checklist!$None"), "FALSE") = 1</formula>
    </cfRule>
  </conditionalFormatting>
  <conditionalFormatting sqref="F143">
    <cfRule type="expression" dxfId="3" priority="2132">
      <formula>COUNTIF(INDIRECT("Checklist!$None"), "TRUE") = 1</formula>
    </cfRule>
    <cfRule type="expression" dxfId="4" priority="2133">
      <formula>COUNTIF(INDIRECT("Checklist!$None"), "FALSE") = 1</formula>
    </cfRule>
  </conditionalFormatting>
  <conditionalFormatting sqref="F147">
    <cfRule type="expression" dxfId="3" priority="2206">
      <formula>COUNTIF(INDIRECT("Checklist!$A1020"), "TRUE") = 1</formula>
    </cfRule>
    <cfRule type="expression" dxfId="4" priority="2207">
      <formula>COUNTIF(INDIRECT("Checklist!$A1020"), "FALSE") = 1</formula>
    </cfRule>
  </conditionalFormatting>
  <conditionalFormatting sqref="F148">
    <cfRule type="expression" dxfId="3" priority="2218">
      <formula>COUNTIF(INDIRECT("Checklist!$A1026"), "TRUE") = 1</formula>
    </cfRule>
    <cfRule type="expression" dxfId="4" priority="2219">
      <formula>COUNTIF(INDIRECT("Checklist!$A1026"), "FALSE") = 1</formula>
    </cfRule>
  </conditionalFormatting>
  <conditionalFormatting sqref="F149">
    <cfRule type="expression" dxfId="3" priority="2230">
      <formula>COUNTIF(INDIRECT("Checklist!$A1032"), "TRUE") = 1</formula>
    </cfRule>
    <cfRule type="expression" dxfId="4" priority="2231">
      <formula>COUNTIF(INDIRECT("Checklist!$A1032"), "FALSE") = 1</formula>
    </cfRule>
  </conditionalFormatting>
  <conditionalFormatting sqref="F15">
    <cfRule type="expression" dxfId="3" priority="180">
      <formula>COUNTIF(INDIRECT("Checklist!$A90"), "TRUE") = 1</formula>
    </cfRule>
    <cfRule type="expression" dxfId="4" priority="181">
      <formula>COUNTIF(INDIRECT("Checklist!$A90"), "FALSE") = 1</formula>
    </cfRule>
  </conditionalFormatting>
  <conditionalFormatting sqref="F150">
    <cfRule type="expression" dxfId="3" priority="2242">
      <formula>COUNTIF(INDIRECT("Checklist!$A1038"), "TRUE") = 1</formula>
    </cfRule>
    <cfRule type="expression" dxfId="4" priority="2243">
      <formula>COUNTIF(INDIRECT("Checklist!$A1038"), "FALSE") = 1</formula>
    </cfRule>
  </conditionalFormatting>
  <conditionalFormatting sqref="F151">
    <cfRule type="expression" dxfId="3" priority="2254">
      <formula>COUNTIF(INDIRECT("Checklist!$None"), "TRUE") = 1</formula>
    </cfRule>
    <cfRule type="expression" dxfId="4" priority="2255">
      <formula>COUNTIF(INDIRECT("Checklist!$None"), "FALSE") = 1</formula>
    </cfRule>
  </conditionalFormatting>
  <conditionalFormatting sqref="F155">
    <cfRule type="expression" dxfId="3" priority="2328">
      <formula>COUNTIF(INDIRECT("Checklist!$None"), "TRUE") = 1</formula>
    </cfRule>
    <cfRule type="expression" dxfId="4" priority="2329">
      <formula>COUNTIF(INDIRECT("Checklist!$None"), "FALSE") = 1</formula>
    </cfRule>
  </conditionalFormatting>
  <conditionalFormatting sqref="F156">
    <cfRule type="expression" dxfId="3" priority="2340">
      <formula>COUNTIF(INDIRECT("Checklist!$None"), "TRUE") = 1</formula>
    </cfRule>
    <cfRule type="expression" dxfId="4" priority="2341">
      <formula>COUNTIF(INDIRECT("Checklist!$None"), "FALSE") = 1</formula>
    </cfRule>
  </conditionalFormatting>
  <conditionalFormatting sqref="F157">
    <cfRule type="expression" dxfId="3" priority="2352">
      <formula>COUNTIF(INDIRECT("Checklist!$None"), "TRUE") = 1</formula>
    </cfRule>
    <cfRule type="expression" dxfId="4" priority="2353">
      <formula>COUNTIF(INDIRECT("Checklist!$None"), "FALSE") = 1</formula>
    </cfRule>
  </conditionalFormatting>
  <conditionalFormatting sqref="F158">
    <cfRule type="expression" dxfId="3" priority="2364">
      <formula>COUNTIF(INDIRECT("Checklist!$A646"), "TRUE") = 1</formula>
    </cfRule>
    <cfRule type="expression" dxfId="4" priority="2365">
      <formula>COUNTIF(INDIRECT("Checklist!$A646"), "FALSE") = 1</formula>
    </cfRule>
  </conditionalFormatting>
  <conditionalFormatting sqref="F159">
    <cfRule type="expression" dxfId="3" priority="2376">
      <formula>COUNTIF(INDIRECT("Checklist!$None"), "TRUE") = 1</formula>
    </cfRule>
    <cfRule type="expression" dxfId="4" priority="2377">
      <formula>COUNTIF(INDIRECT("Checklist!$None"), "FALSE") = 1</formula>
    </cfRule>
  </conditionalFormatting>
  <conditionalFormatting sqref="F163">
    <cfRule type="expression" dxfId="3" priority="2450">
      <formula>COUNTIF(INDIRECT("Checklist!$A1088"), "TRUE") = 1</formula>
    </cfRule>
    <cfRule type="expression" dxfId="4" priority="2451">
      <formula>COUNTIF(INDIRECT("Checklist!$A1088"), "FALSE") = 1</formula>
    </cfRule>
  </conditionalFormatting>
  <conditionalFormatting sqref="F164">
    <cfRule type="expression" dxfId="3" priority="2462">
      <formula>COUNTIF(INDIRECT("Checklist!$A1092"), "TRUE") = 1</formula>
    </cfRule>
    <cfRule type="expression" dxfId="4" priority="2463">
      <formula>COUNTIF(INDIRECT("Checklist!$A1092"), "FALSE") = 1</formula>
    </cfRule>
  </conditionalFormatting>
  <conditionalFormatting sqref="F165">
    <cfRule type="expression" dxfId="3" priority="2474">
      <formula>COUNTIF(INDIRECT("Checklist!$A1096"), "TRUE") = 1</formula>
    </cfRule>
    <cfRule type="expression" dxfId="4" priority="2475">
      <formula>COUNTIF(INDIRECT("Checklist!$A1096"), "FALSE") = 1</formula>
    </cfRule>
  </conditionalFormatting>
  <conditionalFormatting sqref="F166">
    <cfRule type="expression" dxfId="3" priority="2486">
      <formula>COUNTIF(INDIRECT("Checklist!$None"), "TRUE") = 1</formula>
    </cfRule>
    <cfRule type="expression" dxfId="4" priority="2487">
      <formula>COUNTIF(INDIRECT("Checklist!$None"), "FALSE") = 1</formula>
    </cfRule>
  </conditionalFormatting>
  <conditionalFormatting sqref="F167">
    <cfRule type="expression" dxfId="3" priority="2498">
      <formula>COUNTIF(INDIRECT("Checklist!$A1100"), "TRUE") = 1</formula>
    </cfRule>
    <cfRule type="expression" dxfId="4" priority="2499">
      <formula>COUNTIF(INDIRECT("Checklist!$A1100"), "FALSE") = 1</formula>
    </cfRule>
  </conditionalFormatting>
  <conditionalFormatting sqref="F171">
    <cfRule type="expression" dxfId="3" priority="2572">
      <formula>COUNTIF(INDIRECT("Checklist!$None"), "TRUE") = 1</formula>
    </cfRule>
    <cfRule type="expression" dxfId="4" priority="2573">
      <formula>COUNTIF(INDIRECT("Checklist!$None"), "FALSE") = 1</formula>
    </cfRule>
  </conditionalFormatting>
  <conditionalFormatting sqref="F172">
    <cfRule type="expression" dxfId="3" priority="2584">
      <formula>COUNTIF(INDIRECT("Checklist!$A1126"), "TRUE") = 1</formula>
    </cfRule>
    <cfRule type="expression" dxfId="4" priority="2585">
      <formula>COUNTIF(INDIRECT("Checklist!$A1126"), "FALSE") = 1</formula>
    </cfRule>
  </conditionalFormatting>
  <conditionalFormatting sqref="F173">
    <cfRule type="expression" dxfId="3" priority="2596">
      <formula>COUNTIF(INDIRECT("Checklist!$A1130"), "TRUE") = 1</formula>
    </cfRule>
    <cfRule type="expression" dxfId="4" priority="2597">
      <formula>COUNTIF(INDIRECT("Checklist!$A1130"), "FALSE") = 1</formula>
    </cfRule>
  </conditionalFormatting>
  <conditionalFormatting sqref="F174">
    <cfRule type="expression" dxfId="3" priority="2608">
      <formula>COUNTIF(INDIRECT("Checklist!$None"), "TRUE") = 1</formula>
    </cfRule>
    <cfRule type="expression" dxfId="4" priority="2609">
      <formula>COUNTIF(INDIRECT("Checklist!$None"), "FALSE") = 1</formula>
    </cfRule>
  </conditionalFormatting>
  <conditionalFormatting sqref="F175">
    <cfRule type="expression" dxfId="3" priority="2620">
      <formula>COUNTIF(INDIRECT("Checklist!$None"), "TRUE") = 1</formula>
    </cfRule>
    <cfRule type="expression" dxfId="4" priority="2621">
      <formula>COUNTIF(INDIRECT("Checklist!$None"), "FALSE") = 1</formula>
    </cfRule>
  </conditionalFormatting>
  <conditionalFormatting sqref="F179">
    <cfRule type="expression" dxfId="3" priority="2694">
      <formula>COUNTIF(INDIRECT("Checklist!$A1143"), "TRUE") = 1</formula>
    </cfRule>
    <cfRule type="expression" dxfId="4" priority="2695">
      <formula>COUNTIF(INDIRECT("Checklist!$A1143"), "FALSE") = 1</formula>
    </cfRule>
  </conditionalFormatting>
  <conditionalFormatting sqref="F180">
    <cfRule type="expression" dxfId="3" priority="2706">
      <formula>COUNTIF(INDIRECT("Checklist!$A1149"), "TRUE") = 1</formula>
    </cfRule>
    <cfRule type="expression" dxfId="4" priority="2707">
      <formula>COUNTIF(INDIRECT("Checklist!$A1149"), "FALSE") = 1</formula>
    </cfRule>
  </conditionalFormatting>
  <conditionalFormatting sqref="F181">
    <cfRule type="expression" dxfId="3" priority="2718">
      <formula>COUNTIF(INDIRECT("Checklist!$A1155"), "TRUE") = 1</formula>
    </cfRule>
    <cfRule type="expression" dxfId="4" priority="2719">
      <formula>COUNTIF(INDIRECT("Checklist!$A1155"), "FALSE") = 1</formula>
    </cfRule>
  </conditionalFormatting>
  <conditionalFormatting sqref="F182">
    <cfRule type="expression" dxfId="3" priority="2730">
      <formula>COUNTIF(INDIRECT("Checklist!$A1161"), "TRUE") = 1</formula>
    </cfRule>
    <cfRule type="expression" dxfId="4" priority="2731">
      <formula>COUNTIF(INDIRECT("Checklist!$A1161"), "FALSE") = 1</formula>
    </cfRule>
  </conditionalFormatting>
  <conditionalFormatting sqref="F183">
    <cfRule type="expression" dxfId="3" priority="2742">
      <formula>COUNTIF(INDIRECT("Checklist!$None"), "TRUE") = 1</formula>
    </cfRule>
    <cfRule type="expression" dxfId="4" priority="2743">
      <formula>COUNTIF(INDIRECT("Checklist!$None"), "FALSE") = 1</formula>
    </cfRule>
  </conditionalFormatting>
  <conditionalFormatting sqref="F187">
    <cfRule type="expression" dxfId="3" priority="2816">
      <formula>COUNTIF(INDIRECT("Checklist!$A1199"), "TRUE") = 1</formula>
    </cfRule>
    <cfRule type="expression" dxfId="4" priority="2817">
      <formula>COUNTIF(INDIRECT("Checklist!$A1199"), "FALSE") = 1</formula>
    </cfRule>
  </conditionalFormatting>
  <conditionalFormatting sqref="F188">
    <cfRule type="expression" dxfId="3" priority="2828">
      <formula>COUNTIF(INDIRECT("Checklist!$None"), "TRUE") = 1</formula>
    </cfRule>
    <cfRule type="expression" dxfId="4" priority="2829">
      <formula>COUNTIF(INDIRECT("Checklist!$None"), "FALSE") = 1</formula>
    </cfRule>
  </conditionalFormatting>
  <conditionalFormatting sqref="F189">
    <cfRule type="expression" dxfId="3" priority="2840">
      <formula>COUNTIF(INDIRECT("Checklist!$None"), "TRUE") = 1</formula>
    </cfRule>
    <cfRule type="expression" dxfId="4" priority="2841">
      <formula>COUNTIF(INDIRECT("Checklist!$None"), "FALSE") = 1</formula>
    </cfRule>
  </conditionalFormatting>
  <conditionalFormatting sqref="F19">
    <cfRule type="expression" dxfId="3" priority="254">
      <formula>COUNTIF(INDIRECT("Checklist!$A126"), "TRUE") = 1</formula>
    </cfRule>
    <cfRule type="expression" dxfId="4" priority="255">
      <formula>COUNTIF(INDIRECT("Checklist!$A126"), "FALSE") = 1</formula>
    </cfRule>
  </conditionalFormatting>
  <conditionalFormatting sqref="F190">
    <cfRule type="expression" dxfId="3" priority="2852">
      <formula>COUNTIF(INDIRECT("Checklist!$None"), "TRUE") = 1</formula>
    </cfRule>
    <cfRule type="expression" dxfId="4" priority="2853">
      <formula>COUNTIF(INDIRECT("Checklist!$None"), "FALSE") = 1</formula>
    </cfRule>
  </conditionalFormatting>
  <conditionalFormatting sqref="F191">
    <cfRule type="expression" dxfId="3" priority="2864">
      <formula>COUNTIF(INDIRECT("Checklist!$None"), "TRUE") = 1</formula>
    </cfRule>
    <cfRule type="expression" dxfId="4" priority="2865">
      <formula>COUNTIF(INDIRECT("Checklist!$None"), "FALSE") = 1</formula>
    </cfRule>
  </conditionalFormatting>
  <conditionalFormatting sqref="F195">
    <cfRule type="expression" dxfId="3" priority="2938">
      <formula>COUNTIF(INDIRECT("Checklist!$None"), "TRUE") = 1</formula>
    </cfRule>
    <cfRule type="expression" dxfId="4" priority="2939">
      <formula>COUNTIF(INDIRECT("Checklist!$None"), "FALSE") = 1</formula>
    </cfRule>
  </conditionalFormatting>
  <conditionalFormatting sqref="F196">
    <cfRule type="expression" dxfId="3" priority="2950">
      <formula>COUNTIF(INDIRECT("Checklist!$None"), "TRUE") = 1</formula>
    </cfRule>
    <cfRule type="expression" dxfId="4" priority="2951">
      <formula>COUNTIF(INDIRECT("Checklist!$None"), "FALSE") = 1</formula>
    </cfRule>
  </conditionalFormatting>
  <conditionalFormatting sqref="F197">
    <cfRule type="expression" dxfId="3" priority="2962">
      <formula>COUNTIF(INDIRECT("Checklist!$None"), "TRUE") = 1</formula>
    </cfRule>
    <cfRule type="expression" dxfId="4" priority="2963">
      <formula>COUNTIF(INDIRECT("Checklist!$None"), "FALSE") = 1</formula>
    </cfRule>
  </conditionalFormatting>
  <conditionalFormatting sqref="F198">
    <cfRule type="expression" dxfId="3" priority="2974">
      <formula>COUNTIF(INDIRECT("Checklist!$None"), "TRUE") = 1</formula>
    </cfRule>
    <cfRule type="expression" dxfId="4" priority="2975">
      <formula>COUNTIF(INDIRECT("Checklist!$None"), "FALSE") = 1</formula>
    </cfRule>
  </conditionalFormatting>
  <conditionalFormatting sqref="F199">
    <cfRule type="expression" dxfId="3" priority="2986">
      <formula>COUNTIF(INDIRECT("Checklist!$None"), "TRUE") = 1</formula>
    </cfRule>
    <cfRule type="expression" dxfId="4" priority="2987">
      <formula>COUNTIF(INDIRECT("Checklist!$None"), "FALSE") = 1</formula>
    </cfRule>
  </conditionalFormatting>
  <conditionalFormatting sqref="F20">
    <cfRule type="expression" dxfId="3" priority="266">
      <formula>COUNTIF(INDIRECT("Checklist!$A1214"), "TRUE") = 1</formula>
    </cfRule>
    <cfRule type="expression" dxfId="4" priority="267">
      <formula>COUNTIF(INDIRECT("Checklist!$A1214"), "FALSE") = 1</formula>
    </cfRule>
  </conditionalFormatting>
  <conditionalFormatting sqref="F203">
    <cfRule type="expression" dxfId="3" priority="3060">
      <formula>COUNTIF(INDIRECT("Checklist!$A1244"), "TRUE") = 1</formula>
    </cfRule>
    <cfRule type="expression" dxfId="4" priority="3061">
      <formula>COUNTIF(INDIRECT("Checklist!$A1244"), "FALSE") = 1</formula>
    </cfRule>
  </conditionalFormatting>
  <conditionalFormatting sqref="F204">
    <cfRule type="expression" dxfId="3" priority="3072">
      <formula>COUNTIF(INDIRECT("Checklist!$A1250"), "TRUE") = 1</formula>
    </cfRule>
    <cfRule type="expression" dxfId="4" priority="3073">
      <formula>COUNTIF(INDIRECT("Checklist!$A1250"), "FALSE") = 1</formula>
    </cfRule>
  </conditionalFormatting>
  <conditionalFormatting sqref="F205">
    <cfRule type="expression" dxfId="3" priority="3084">
      <formula>COUNTIF(INDIRECT("Checklist!$A1256"), "TRUE") = 1</formula>
    </cfRule>
    <cfRule type="expression" dxfId="4" priority="3085">
      <formula>COUNTIF(INDIRECT("Checklist!$A1256"), "FALSE") = 1</formula>
    </cfRule>
  </conditionalFormatting>
  <conditionalFormatting sqref="F206">
    <cfRule type="expression" dxfId="3" priority="3096">
      <formula>COUNTIF(INDIRECT("Checklist!$None"), "TRUE") = 1</formula>
    </cfRule>
    <cfRule type="expression" dxfId="4" priority="3097">
      <formula>COUNTIF(INDIRECT("Checklist!$None"), "FALSE") = 1</formula>
    </cfRule>
  </conditionalFormatting>
  <conditionalFormatting sqref="F207">
    <cfRule type="expression" dxfId="3" priority="3108">
      <formula>COUNTIF(INDIRECT("Checklist!$None"), "TRUE") = 1</formula>
    </cfRule>
    <cfRule type="expression" dxfId="4" priority="3109">
      <formula>COUNTIF(INDIRECT("Checklist!$None"), "FALSE") = 1</formula>
    </cfRule>
  </conditionalFormatting>
  <conditionalFormatting sqref="F21">
    <cfRule type="expression" dxfId="3" priority="278">
      <formula>COUNTIF(INDIRECT("Checklist!$A138"), "TRUE") = 1</formula>
    </cfRule>
    <cfRule type="expression" dxfId="4" priority="279">
      <formula>COUNTIF(INDIRECT("Checklist!$A138"), "FALSE") = 1</formula>
    </cfRule>
  </conditionalFormatting>
  <conditionalFormatting sqref="F211">
    <cfRule type="expression" dxfId="3" priority="3182">
      <formula>COUNTIF(INDIRECT("Checklist!$A1281"), "TRUE") = 1</formula>
    </cfRule>
    <cfRule type="expression" dxfId="4" priority="3183">
      <formula>COUNTIF(INDIRECT("Checklist!$A1281"), "FALSE") = 1</formula>
    </cfRule>
  </conditionalFormatting>
  <conditionalFormatting sqref="F212">
    <cfRule type="expression" dxfId="3" priority="3194">
      <formula>COUNTIF(INDIRECT("Checklist!$A1287"), "TRUE") = 1</formula>
    </cfRule>
    <cfRule type="expression" dxfId="4" priority="3195">
      <formula>COUNTIF(INDIRECT("Checklist!$A1287"), "FALSE") = 1</formula>
    </cfRule>
  </conditionalFormatting>
  <conditionalFormatting sqref="F213">
    <cfRule type="expression" dxfId="3" priority="3206">
      <formula>COUNTIF(INDIRECT("Checklist!$A1293"), "TRUE") = 1</formula>
    </cfRule>
    <cfRule type="expression" dxfId="4" priority="3207">
      <formula>COUNTIF(INDIRECT("Checklist!$A1293"), "FALSE") = 1</formula>
    </cfRule>
  </conditionalFormatting>
  <conditionalFormatting sqref="F214">
    <cfRule type="expression" dxfId="3" priority="3218">
      <formula>COUNTIF(INDIRECT("Checklist!$None"), "TRUE") = 1</formula>
    </cfRule>
    <cfRule type="expression" dxfId="4" priority="3219">
      <formula>COUNTIF(INDIRECT("Checklist!$None"), "FALSE") = 1</formula>
    </cfRule>
  </conditionalFormatting>
  <conditionalFormatting sqref="F215">
    <cfRule type="expression" dxfId="3" priority="3230">
      <formula>COUNTIF(INDIRECT("Checklist!$None"), "TRUE") = 1</formula>
    </cfRule>
    <cfRule type="expression" dxfId="4" priority="3231">
      <formula>COUNTIF(INDIRECT("Checklist!$None"), "FALSE") = 1</formula>
    </cfRule>
  </conditionalFormatting>
  <conditionalFormatting sqref="F22">
    <cfRule type="expression" dxfId="3" priority="290">
      <formula>COUNTIF(INDIRECT("Checklist!$A1217"), "TRUE") = 1</formula>
    </cfRule>
    <cfRule type="expression" dxfId="4" priority="291">
      <formula>COUNTIF(INDIRECT("Checklist!$A1217"), "FALSE") = 1</formula>
    </cfRule>
  </conditionalFormatting>
  <conditionalFormatting sqref="F23">
    <cfRule type="expression" dxfId="3" priority="302">
      <formula>COUNTIF(INDIRECT("Checklist!$A150"), "TRUE") = 1</formula>
    </cfRule>
    <cfRule type="expression" dxfId="4" priority="303">
      <formula>COUNTIF(INDIRECT("Checklist!$A150"), "FALSE") = 1</formula>
    </cfRule>
  </conditionalFormatting>
  <conditionalFormatting sqref="F27">
    <cfRule type="expression" dxfId="3" priority="376">
      <formula>COUNTIF(INDIRECT("Checklist!$A186"), "TRUE") = 1</formula>
    </cfRule>
    <cfRule type="expression" dxfId="4" priority="377">
      <formula>COUNTIF(INDIRECT("Checklist!$A186"), "FALSE") = 1</formula>
    </cfRule>
  </conditionalFormatting>
  <conditionalFormatting sqref="F28">
    <cfRule type="expression" dxfId="3" priority="388">
      <formula>COUNTIF(INDIRECT("Checklist!$A192"), "TRUE") = 1</formula>
    </cfRule>
    <cfRule type="expression" dxfId="4" priority="389">
      <formula>COUNTIF(INDIRECT("Checklist!$A192"), "FALSE") = 1</formula>
    </cfRule>
  </conditionalFormatting>
  <conditionalFormatting sqref="F29">
    <cfRule type="expression" dxfId="3" priority="400">
      <formula>COUNTIF(INDIRECT("Checklist!$A198"), "TRUE") = 1</formula>
    </cfRule>
    <cfRule type="expression" dxfId="4" priority="401">
      <formula>COUNTIF(INDIRECT("Checklist!$A198"), "FALSE") = 1</formula>
    </cfRule>
  </conditionalFormatting>
  <conditionalFormatting sqref="F3">
    <cfRule type="expression" dxfId="3" priority="10">
      <formula>COUNTIF(INDIRECT("Checklist!$A6"), "TRUE") = 1</formula>
    </cfRule>
    <cfRule type="expression" dxfId="4" priority="11">
      <formula>COUNTIF(INDIRECT("Checklist!$A6"), "FALSE") = 1</formula>
    </cfRule>
  </conditionalFormatting>
  <conditionalFormatting sqref="F30">
    <cfRule type="expression" dxfId="3" priority="412">
      <formula>COUNTIF(INDIRECT("Checklist!$A204"), "TRUE") = 1</formula>
    </cfRule>
    <cfRule type="expression" dxfId="4" priority="413">
      <formula>COUNTIF(INDIRECT("Checklist!$A204"), "FALSE") = 1</formula>
    </cfRule>
  </conditionalFormatting>
  <conditionalFormatting sqref="F31">
    <cfRule type="expression" dxfId="3" priority="424">
      <formula>COUNTIF(INDIRECT("Checklist!$A210"), "TRUE") = 1</formula>
    </cfRule>
    <cfRule type="expression" dxfId="4" priority="425">
      <formula>COUNTIF(INDIRECT("Checklist!$A210"), "FALSE") = 1</formula>
    </cfRule>
  </conditionalFormatting>
  <conditionalFormatting sqref="F35">
    <cfRule type="expression" dxfId="3" priority="498">
      <formula>COUNTIF(INDIRECT("Checklist!$A246"), "TRUE") = 1</formula>
    </cfRule>
    <cfRule type="expression" dxfId="4" priority="499">
      <formula>COUNTIF(INDIRECT("Checklist!$A246"), "FALSE") = 1</formula>
    </cfRule>
  </conditionalFormatting>
  <conditionalFormatting sqref="F36">
    <cfRule type="expression" dxfId="3" priority="510">
      <formula>COUNTIF(INDIRECT("Checklist!$A252"), "TRUE") = 1</formula>
    </cfRule>
    <cfRule type="expression" dxfId="4" priority="511">
      <formula>COUNTIF(INDIRECT("Checklist!$A252"), "FALSE") = 1</formula>
    </cfRule>
  </conditionalFormatting>
  <conditionalFormatting sqref="F37">
    <cfRule type="expression" dxfId="3" priority="522">
      <formula>COUNTIF(INDIRECT("Checklist!$A258"), "TRUE") = 1</formula>
    </cfRule>
    <cfRule type="expression" dxfId="4" priority="523">
      <formula>COUNTIF(INDIRECT("Checklist!$A258"), "FALSE") = 1</formula>
    </cfRule>
  </conditionalFormatting>
  <conditionalFormatting sqref="F38">
    <cfRule type="expression" dxfId="3" priority="534">
      <formula>COUNTIF(INDIRECT("Checklist!$A264"), "TRUE") = 1</formula>
    </cfRule>
    <cfRule type="expression" dxfId="4" priority="535">
      <formula>COUNTIF(INDIRECT("Checklist!$A264"), "FALSE") = 1</formula>
    </cfRule>
  </conditionalFormatting>
  <conditionalFormatting sqref="F39">
    <cfRule type="expression" dxfId="3" priority="546">
      <formula>COUNTIF(INDIRECT("Checklist!$A270"), "TRUE") = 1</formula>
    </cfRule>
    <cfRule type="expression" dxfId="4" priority="547">
      <formula>COUNTIF(INDIRECT("Checklist!$A270"), "FALSE") = 1</formula>
    </cfRule>
  </conditionalFormatting>
  <conditionalFormatting sqref="F4">
    <cfRule type="expression" dxfId="3" priority="22">
      <formula>COUNTIF(INDIRECT("Checklist!$A12"), "TRUE") = 1</formula>
    </cfRule>
    <cfRule type="expression" dxfId="4" priority="23">
      <formula>COUNTIF(INDIRECT("Checklist!$A12"), "FALSE") = 1</formula>
    </cfRule>
  </conditionalFormatting>
  <conditionalFormatting sqref="F43">
    <cfRule type="expression" dxfId="3" priority="620">
      <formula>COUNTIF(INDIRECT("Checklist!$A306"), "TRUE") = 1</formula>
    </cfRule>
    <cfRule type="expression" dxfId="4" priority="621">
      <formula>COUNTIF(INDIRECT("Checklist!$A306"), "FALSE") = 1</formula>
    </cfRule>
  </conditionalFormatting>
  <conditionalFormatting sqref="F44">
    <cfRule type="expression" dxfId="3" priority="632">
      <formula>COUNTIF(INDIRECT("Checklist!$A312"), "TRUE") = 1</formula>
    </cfRule>
    <cfRule type="expression" dxfId="4" priority="633">
      <formula>COUNTIF(INDIRECT("Checklist!$A312"), "FALSE") = 1</formula>
    </cfRule>
  </conditionalFormatting>
  <conditionalFormatting sqref="F45">
    <cfRule type="expression" dxfId="3" priority="644">
      <formula>COUNTIF(INDIRECT("Checklist!$A318"), "TRUE") = 1</formula>
    </cfRule>
    <cfRule type="expression" dxfId="4" priority="645">
      <formula>COUNTIF(INDIRECT("Checklist!$A318"), "FALSE") = 1</formula>
    </cfRule>
  </conditionalFormatting>
  <conditionalFormatting sqref="F46">
    <cfRule type="expression" dxfId="3" priority="656">
      <formula>COUNTIF(INDIRECT("Checklist!$A324"), "TRUE") = 1</formula>
    </cfRule>
    <cfRule type="expression" dxfId="4" priority="657">
      <formula>COUNTIF(INDIRECT("Checklist!$A324"), "FALSE") = 1</formula>
    </cfRule>
  </conditionalFormatting>
  <conditionalFormatting sqref="F47">
    <cfRule type="expression" dxfId="3" priority="668">
      <formula>COUNTIF(INDIRECT("Checklist!$A330"), "TRUE") = 1</formula>
    </cfRule>
    <cfRule type="expression" dxfId="4" priority="669">
      <formula>COUNTIF(INDIRECT("Checklist!$A330"), "FALSE") = 1</formula>
    </cfRule>
  </conditionalFormatting>
  <conditionalFormatting sqref="F5">
    <cfRule type="expression" dxfId="3" priority="34">
      <formula>COUNTIF(INDIRECT("Checklist!$A18"), "TRUE") = 1</formula>
    </cfRule>
    <cfRule type="expression" dxfId="4" priority="35">
      <formula>COUNTIF(INDIRECT("Checklist!$A18"), "FALSE") = 1</formula>
    </cfRule>
  </conditionalFormatting>
  <conditionalFormatting sqref="F51">
    <cfRule type="expression" dxfId="3" priority="742">
      <formula>COUNTIF(INDIRECT("Checklist!$A366"), "TRUE") = 1</formula>
    </cfRule>
    <cfRule type="expression" dxfId="4" priority="743">
      <formula>COUNTIF(INDIRECT("Checklist!$A366"), "FALSE") = 1</formula>
    </cfRule>
  </conditionalFormatting>
  <conditionalFormatting sqref="F52">
    <cfRule type="expression" dxfId="3" priority="754">
      <formula>COUNTIF(INDIRECT("Checklist!$A372"), "TRUE") = 1</formula>
    </cfRule>
    <cfRule type="expression" dxfId="4" priority="755">
      <formula>COUNTIF(INDIRECT("Checklist!$A372"), "FALSE") = 1</formula>
    </cfRule>
  </conditionalFormatting>
  <conditionalFormatting sqref="F53">
    <cfRule type="expression" dxfId="3" priority="766">
      <formula>COUNTIF(INDIRECT("Checklist!$A378"), "TRUE") = 1</formula>
    </cfRule>
    <cfRule type="expression" dxfId="4" priority="767">
      <formula>COUNTIF(INDIRECT("Checklist!$A378"), "FALSE") = 1</formula>
    </cfRule>
  </conditionalFormatting>
  <conditionalFormatting sqref="F54">
    <cfRule type="expression" dxfId="3" priority="778">
      <formula>COUNTIF(INDIRECT("Checklist!$A384"), "TRUE") = 1</formula>
    </cfRule>
    <cfRule type="expression" dxfId="4" priority="779">
      <formula>COUNTIF(INDIRECT("Checklist!$A384"), "FALSE") = 1</formula>
    </cfRule>
  </conditionalFormatting>
  <conditionalFormatting sqref="F55">
    <cfRule type="expression" dxfId="3" priority="790">
      <formula>COUNTIF(INDIRECT("Checklist!$A390"), "TRUE") = 1</formula>
    </cfRule>
    <cfRule type="expression" dxfId="4" priority="791">
      <formula>COUNTIF(INDIRECT("Checklist!$A390"), "FALSE") = 1</formula>
    </cfRule>
  </conditionalFormatting>
  <conditionalFormatting sqref="F59">
    <cfRule type="expression" dxfId="3" priority="864">
      <formula>COUNTIF(INDIRECT("Checklist!$A426"), "TRUE") = 1</formula>
    </cfRule>
    <cfRule type="expression" dxfId="4" priority="865">
      <formula>COUNTIF(INDIRECT("Checklist!$A426"), "FALSE") = 1</formula>
    </cfRule>
  </conditionalFormatting>
  <conditionalFormatting sqref="F6">
    <cfRule type="expression" dxfId="3" priority="46">
      <formula>COUNTIF(INDIRECT("Checklist!$A24"), "TRUE") = 1</formula>
    </cfRule>
    <cfRule type="expression" dxfId="4" priority="47">
      <formula>COUNTIF(INDIRECT("Checklist!$A24"), "FALSE") = 1</formula>
    </cfRule>
  </conditionalFormatting>
  <conditionalFormatting sqref="F60">
    <cfRule type="expression" dxfId="3" priority="876">
      <formula>COUNTIF(INDIRECT("Checklist!$A432"), "TRUE") = 1</formula>
    </cfRule>
    <cfRule type="expression" dxfId="4" priority="877">
      <formula>COUNTIF(INDIRECT("Checklist!$A432"), "FALSE") = 1</formula>
    </cfRule>
  </conditionalFormatting>
  <conditionalFormatting sqref="F61">
    <cfRule type="expression" dxfId="3" priority="888">
      <formula>COUNTIF(INDIRECT("Checklist!$A438"), "TRUE") = 1</formula>
    </cfRule>
    <cfRule type="expression" dxfId="4" priority="889">
      <formula>COUNTIF(INDIRECT("Checklist!$A438"), "FALSE") = 1</formula>
    </cfRule>
  </conditionalFormatting>
  <conditionalFormatting sqref="F62">
    <cfRule type="expression" dxfId="3" priority="900">
      <formula>COUNTIF(INDIRECT("Checklist!$A444"), "TRUE") = 1</formula>
    </cfRule>
    <cfRule type="expression" dxfId="4" priority="901">
      <formula>COUNTIF(INDIRECT("Checklist!$A444"), "FALSE") = 1</formula>
    </cfRule>
  </conditionalFormatting>
  <conditionalFormatting sqref="F63">
    <cfRule type="expression" dxfId="3" priority="912">
      <formula>COUNTIF(INDIRECT("Checklist!$A450"), "TRUE") = 1</formula>
    </cfRule>
    <cfRule type="expression" dxfId="4" priority="913">
      <formula>COUNTIF(INDIRECT("Checklist!$A450"), "FALSE") = 1</formula>
    </cfRule>
  </conditionalFormatting>
  <conditionalFormatting sqref="F67">
    <cfRule type="expression" dxfId="3" priority="986">
      <formula>COUNTIF(INDIRECT("Checklist!$A486"), "TRUE") = 1</formula>
    </cfRule>
    <cfRule type="expression" dxfId="4" priority="987">
      <formula>COUNTIF(INDIRECT("Checklist!$A486"), "FALSE") = 1</formula>
    </cfRule>
  </conditionalFormatting>
  <conditionalFormatting sqref="F68">
    <cfRule type="expression" dxfId="3" priority="998">
      <formula>COUNTIF(INDIRECT("Checklist!$A492"), "TRUE") = 1</formula>
    </cfRule>
    <cfRule type="expression" dxfId="4" priority="999">
      <formula>COUNTIF(INDIRECT("Checklist!$A492"), "FALSE") = 1</formula>
    </cfRule>
  </conditionalFormatting>
  <conditionalFormatting sqref="F69">
    <cfRule type="expression" dxfId="3" priority="1010">
      <formula>COUNTIF(INDIRECT("Checklist!$A498"), "TRUE") = 1</formula>
    </cfRule>
    <cfRule type="expression" dxfId="4" priority="1011">
      <formula>COUNTIF(INDIRECT("Checklist!$A498"), "FALSE") = 1</formula>
    </cfRule>
  </conditionalFormatting>
  <conditionalFormatting sqref="F7">
    <cfRule type="expression" dxfId="3" priority="58">
      <formula>COUNTIF(INDIRECT("Checklist!$A30"), "TRUE") = 1</formula>
    </cfRule>
    <cfRule type="expression" dxfId="4" priority="59">
      <formula>COUNTIF(INDIRECT("Checklist!$A30"), "FALSE") = 1</formula>
    </cfRule>
  </conditionalFormatting>
  <conditionalFormatting sqref="F70">
    <cfRule type="expression" dxfId="3" priority="1022">
      <formula>COUNTIF(INDIRECT("Checklist!$A504"), "TRUE") = 1</formula>
    </cfRule>
    <cfRule type="expression" dxfId="4" priority="1023">
      <formula>COUNTIF(INDIRECT("Checklist!$A504"), "FALSE") = 1</formula>
    </cfRule>
  </conditionalFormatting>
  <conditionalFormatting sqref="F71">
    <cfRule type="expression" dxfId="3" priority="1034">
      <formula>COUNTIF(INDIRECT("Checklist!$A510"), "TRUE") = 1</formula>
    </cfRule>
    <cfRule type="expression" dxfId="4" priority="1035">
      <formula>COUNTIF(INDIRECT("Checklist!$A510"), "FALSE") = 1</formula>
    </cfRule>
  </conditionalFormatting>
  <conditionalFormatting sqref="F75">
    <cfRule type="expression" dxfId="3" priority="1108">
      <formula>COUNTIF(INDIRECT("Checklist!$A546"), "TRUE") = 1</formula>
    </cfRule>
    <cfRule type="expression" dxfId="4" priority="1109">
      <formula>COUNTIF(INDIRECT("Checklist!$A546"), "FALSE") = 1</formula>
    </cfRule>
  </conditionalFormatting>
  <conditionalFormatting sqref="F76">
    <cfRule type="expression" dxfId="3" priority="1120">
      <formula>COUNTIF(INDIRECT("Checklist!$A552"), "TRUE") = 1</formula>
    </cfRule>
    <cfRule type="expression" dxfId="4" priority="1121">
      <formula>COUNTIF(INDIRECT("Checklist!$A552"), "FALSE") = 1</formula>
    </cfRule>
  </conditionalFormatting>
  <conditionalFormatting sqref="F77">
    <cfRule type="expression" dxfId="3" priority="1132">
      <formula>COUNTIF(INDIRECT("Checklist!$A558"), "TRUE") = 1</formula>
    </cfRule>
    <cfRule type="expression" dxfId="4" priority="1133">
      <formula>COUNTIF(INDIRECT("Checklist!$A558"), "FALSE") = 1</formula>
    </cfRule>
  </conditionalFormatting>
  <conditionalFormatting sqref="F78">
    <cfRule type="expression" dxfId="3" priority="1144">
      <formula>COUNTIF(INDIRECT("Checklist!$A564"), "TRUE") = 1</formula>
    </cfRule>
    <cfRule type="expression" dxfId="4" priority="1145">
      <formula>COUNTIF(INDIRECT("Checklist!$A564"), "FALSE") = 1</formula>
    </cfRule>
  </conditionalFormatting>
  <conditionalFormatting sqref="F79">
    <cfRule type="expression" dxfId="3" priority="1156">
      <formula>COUNTIF(INDIRECT("Checklist!$A1218"), "TRUE") = 1</formula>
    </cfRule>
    <cfRule type="expression" dxfId="4" priority="1157">
      <formula>COUNTIF(INDIRECT("Checklist!$A1218"), "FALSE") = 1</formula>
    </cfRule>
  </conditionalFormatting>
  <conditionalFormatting sqref="F83">
    <cfRule type="expression" dxfId="3" priority="1230">
      <formula>COUNTIF(INDIRECT("Checklist!$A606"), "TRUE") = 1</formula>
    </cfRule>
    <cfRule type="expression" dxfId="4" priority="1231">
      <formula>COUNTIF(INDIRECT("Checklist!$A606"), "FALSE") = 1</formula>
    </cfRule>
  </conditionalFormatting>
  <conditionalFormatting sqref="F84">
    <cfRule type="expression" dxfId="3" priority="1242">
      <formula>COUNTIF(INDIRECT("Checklist!$A612"), "TRUE") = 1</formula>
    </cfRule>
    <cfRule type="expression" dxfId="4" priority="1243">
      <formula>COUNTIF(INDIRECT("Checklist!$A612"), "FALSE") = 1</formula>
    </cfRule>
  </conditionalFormatting>
  <conditionalFormatting sqref="F85">
    <cfRule type="expression" dxfId="3" priority="1254">
      <formula>COUNTIF(INDIRECT("Checklist!$A618"), "TRUE") = 1</formula>
    </cfRule>
    <cfRule type="expression" dxfId="4" priority="1255">
      <formula>COUNTIF(INDIRECT("Checklist!$A618"), "FALSE") = 1</formula>
    </cfRule>
  </conditionalFormatting>
  <conditionalFormatting sqref="F86">
    <cfRule type="expression" dxfId="3" priority="1266">
      <formula>COUNTIF(INDIRECT("Checklist!$A624"), "TRUE") = 1</formula>
    </cfRule>
    <cfRule type="expression" dxfId="4" priority="1267">
      <formula>COUNTIF(INDIRECT("Checklist!$A624"), "FALSE") = 1</formula>
    </cfRule>
  </conditionalFormatting>
  <conditionalFormatting sqref="F87">
    <cfRule type="expression" dxfId="3" priority="1278">
      <formula>COUNTIF(INDIRECT("Checklist!$A630"), "TRUE") = 1</formula>
    </cfRule>
    <cfRule type="expression" dxfId="4" priority="1279">
      <formula>COUNTIF(INDIRECT("Checklist!$A630"), "FALSE") = 1</formula>
    </cfRule>
  </conditionalFormatting>
  <conditionalFormatting sqref="F91">
    <cfRule type="expression" dxfId="3" priority="1352">
      <formula>COUNTIF(INDIRECT("Checklist!$A666"), "TRUE") = 1</formula>
    </cfRule>
    <cfRule type="expression" dxfId="4" priority="1353">
      <formula>COUNTIF(INDIRECT("Checklist!$A666"), "FALSE") = 1</formula>
    </cfRule>
  </conditionalFormatting>
  <conditionalFormatting sqref="F92">
    <cfRule type="expression" dxfId="3" priority="1364">
      <formula>COUNTIF(INDIRECT("Checklist!$A672"), "TRUE") = 1</formula>
    </cfRule>
    <cfRule type="expression" dxfId="4" priority="1365">
      <formula>COUNTIF(INDIRECT("Checklist!$A672"), "FALSE") = 1</formula>
    </cfRule>
  </conditionalFormatting>
  <conditionalFormatting sqref="F93">
    <cfRule type="expression" dxfId="3" priority="1376">
      <formula>COUNTIF(INDIRECT("Checklist!$A678"), "TRUE") = 1</formula>
    </cfRule>
    <cfRule type="expression" dxfId="4" priority="1377">
      <formula>COUNTIF(INDIRECT("Checklist!$A678"), "FALSE") = 1</formula>
    </cfRule>
  </conditionalFormatting>
  <conditionalFormatting sqref="F94">
    <cfRule type="expression" dxfId="3" priority="1388">
      <formula>COUNTIF(INDIRECT("Checklist!$A684"), "TRUE") = 1</formula>
    </cfRule>
    <cfRule type="expression" dxfId="4" priority="1389">
      <formula>COUNTIF(INDIRECT("Checklist!$A684"), "FALSE") = 1</formula>
    </cfRule>
  </conditionalFormatting>
  <conditionalFormatting sqref="F95">
    <cfRule type="expression" dxfId="3" priority="1400">
      <formula>COUNTIF(INDIRECT("Checklist!$A690"), "TRUE") = 1</formula>
    </cfRule>
    <cfRule type="expression" dxfId="4" priority="1401">
      <formula>COUNTIF(INDIRECT("Checklist!$A690"), "FALSE") = 1</formula>
    </cfRule>
  </conditionalFormatting>
  <conditionalFormatting sqref="F99">
    <cfRule type="expression" dxfId="3" priority="1474">
      <formula>COUNTIF(INDIRECT("Checklist!$A726"), "TRUE") = 1</formula>
    </cfRule>
    <cfRule type="expression" dxfId="4" priority="1475">
      <formula>COUNTIF(INDIRECT("Checklist!$A726"), "FALSE") = 1</formula>
    </cfRule>
  </conditionalFormatting>
  <conditionalFormatting sqref="G100">
    <cfRule type="expression" dxfId="3" priority="1488">
      <formula>COUNTIF(INDIRECT("Checklist!$A733"), "TRUE") = 1</formula>
    </cfRule>
    <cfRule type="expression" dxfId="4" priority="1489">
      <formula>COUNTIF(INDIRECT("Checklist!$A733"), "FALSE") = 1</formula>
    </cfRule>
  </conditionalFormatting>
  <conditionalFormatting sqref="G101">
    <cfRule type="expression" dxfId="3" priority="1500">
      <formula>COUNTIF(INDIRECT("Checklist!$A739"), "TRUE") = 1</formula>
    </cfRule>
    <cfRule type="expression" dxfId="4" priority="1501">
      <formula>COUNTIF(INDIRECT("Checklist!$A739"), "FALSE") = 1</formula>
    </cfRule>
  </conditionalFormatting>
  <conditionalFormatting sqref="G102">
    <cfRule type="expression" dxfId="3" priority="1512">
      <formula>COUNTIF(INDIRECT("Checklist!$A745"), "TRUE") = 1</formula>
    </cfRule>
    <cfRule type="expression" dxfId="4" priority="1513">
      <formula>COUNTIF(INDIRECT("Checklist!$A745"), "FALSE") = 1</formula>
    </cfRule>
  </conditionalFormatting>
  <conditionalFormatting sqref="G103">
    <cfRule type="expression" dxfId="3" priority="1524">
      <formula>COUNTIF(INDIRECT("Checklist!$A751"), "TRUE") = 1</formula>
    </cfRule>
    <cfRule type="expression" dxfId="4" priority="1525">
      <formula>COUNTIF(INDIRECT("Checklist!$A751"), "FALSE") = 1</formula>
    </cfRule>
  </conditionalFormatting>
  <conditionalFormatting sqref="G107">
    <cfRule type="expression" dxfId="3" priority="1598">
      <formula>COUNTIF(INDIRECT("Checklist!$A787"), "TRUE") = 1</formula>
    </cfRule>
    <cfRule type="expression" dxfId="4" priority="1599">
      <formula>COUNTIF(INDIRECT("Checklist!$A787"), "FALSE") = 1</formula>
    </cfRule>
  </conditionalFormatting>
  <conditionalFormatting sqref="G108">
    <cfRule type="expression" dxfId="3" priority="1610">
      <formula>COUNTIF(INDIRECT("Checklist!$A793"), "TRUE") = 1</formula>
    </cfRule>
    <cfRule type="expression" dxfId="4" priority="1611">
      <formula>COUNTIF(INDIRECT("Checklist!$A793"), "FALSE") = 1</formula>
    </cfRule>
  </conditionalFormatting>
  <conditionalFormatting sqref="G109">
    <cfRule type="expression" dxfId="3" priority="1622">
      <formula>COUNTIF(INDIRECT("Checklist!$A799"), "TRUE") = 1</formula>
    </cfRule>
    <cfRule type="expression" dxfId="4" priority="1623">
      <formula>COUNTIF(INDIRECT("Checklist!$A799"), "FALSE") = 1</formula>
    </cfRule>
  </conditionalFormatting>
  <conditionalFormatting sqref="G11">
    <cfRule type="expression" dxfId="3" priority="134">
      <formula>COUNTIF(INDIRECT("Checklist!$A67"), "TRUE") = 1</formula>
    </cfRule>
    <cfRule type="expression" dxfId="4" priority="135">
      <formula>COUNTIF(INDIRECT("Checklist!$A67"), "FALSE") = 1</formula>
    </cfRule>
  </conditionalFormatting>
  <conditionalFormatting sqref="G110">
    <cfRule type="expression" dxfId="3" priority="1634">
      <formula>COUNTIF(INDIRECT("Checklist!$A805"), "TRUE") = 1</formula>
    </cfRule>
    <cfRule type="expression" dxfId="4" priority="1635">
      <formula>COUNTIF(INDIRECT("Checklist!$A805"), "FALSE") = 1</formula>
    </cfRule>
  </conditionalFormatting>
  <conditionalFormatting sqref="G111">
    <cfRule type="expression" dxfId="3" priority="1646">
      <formula>COUNTIF(INDIRECT("Checklist!$A811"), "TRUE") = 1</formula>
    </cfRule>
    <cfRule type="expression" dxfId="4" priority="1647">
      <formula>COUNTIF(INDIRECT("Checklist!$A811"), "FALSE") = 1</formula>
    </cfRule>
  </conditionalFormatting>
  <conditionalFormatting sqref="G115">
    <cfRule type="expression" dxfId="3" priority="1720">
      <formula>COUNTIF(INDIRECT("Checklist!$A847"), "TRUE") = 1</formula>
    </cfRule>
    <cfRule type="expression" dxfId="4" priority="1721">
      <formula>COUNTIF(INDIRECT("Checklist!$A847"), "FALSE") = 1</formula>
    </cfRule>
  </conditionalFormatting>
  <conditionalFormatting sqref="G116">
    <cfRule type="expression" dxfId="3" priority="1732">
      <formula>COUNTIF(INDIRECT("Checklist!$A853"), "TRUE") = 1</formula>
    </cfRule>
    <cfRule type="expression" dxfId="4" priority="1733">
      <formula>COUNTIF(INDIRECT("Checklist!$A853"), "FALSE") = 1</formula>
    </cfRule>
  </conditionalFormatting>
  <conditionalFormatting sqref="G117">
    <cfRule type="expression" dxfId="3" priority="1744">
      <formula>COUNTIF(INDIRECT("Checklist!$A1233"), "TRUE") = 1</formula>
    </cfRule>
    <cfRule type="expression" dxfId="4" priority="1745">
      <formula>COUNTIF(INDIRECT("Checklist!$A1233"), "FALSE") = 1</formula>
    </cfRule>
  </conditionalFormatting>
  <conditionalFormatting sqref="G118">
    <cfRule type="expression" dxfId="3" priority="1756">
      <formula>COUNTIF(INDIRECT("Checklist!$A865"), "TRUE") = 1</formula>
    </cfRule>
    <cfRule type="expression" dxfId="4" priority="1757">
      <formula>COUNTIF(INDIRECT("Checklist!$A865"), "FALSE") = 1</formula>
    </cfRule>
  </conditionalFormatting>
  <conditionalFormatting sqref="G119">
    <cfRule type="expression" dxfId="3" priority="1768">
      <formula>COUNTIF(INDIRECT("Checklist!$A871"), "TRUE") = 1</formula>
    </cfRule>
    <cfRule type="expression" dxfId="4" priority="1769">
      <formula>COUNTIF(INDIRECT("Checklist!$A871"), "FALSE") = 1</formula>
    </cfRule>
  </conditionalFormatting>
  <conditionalFormatting sqref="G12">
    <cfRule type="expression" dxfId="3" priority="146">
      <formula>COUNTIF(INDIRECT("Checklist!$A73"), "TRUE") = 1</formula>
    </cfRule>
    <cfRule type="expression" dxfId="4" priority="147">
      <formula>COUNTIF(INDIRECT("Checklist!$A73"), "FALSE") = 1</formula>
    </cfRule>
  </conditionalFormatting>
  <conditionalFormatting sqref="G123">
    <cfRule type="expression" dxfId="3" priority="1842">
      <formula>COUNTIF(INDIRECT("Checklist!$None"), "TRUE") = 1</formula>
    </cfRule>
    <cfRule type="expression" dxfId="4" priority="1843">
      <formula>COUNTIF(INDIRECT("Checklist!$None"), "FALSE") = 1</formula>
    </cfRule>
  </conditionalFormatting>
  <conditionalFormatting sqref="G124">
    <cfRule type="expression" dxfId="3" priority="1854">
      <formula>COUNTIF(INDIRECT("Checklist!$None"), "TRUE") = 1</formula>
    </cfRule>
    <cfRule type="expression" dxfId="4" priority="1855">
      <formula>COUNTIF(INDIRECT("Checklist!$None"), "FALSE") = 1</formula>
    </cfRule>
  </conditionalFormatting>
  <conditionalFormatting sqref="G125">
    <cfRule type="expression" dxfId="3" priority="1866">
      <formula>COUNTIF(INDIRECT("Checklist!$None"), "TRUE") = 1</formula>
    </cfRule>
    <cfRule type="expression" dxfId="4" priority="1867">
      <formula>COUNTIF(INDIRECT("Checklist!$None"), "FALSE") = 1</formula>
    </cfRule>
  </conditionalFormatting>
  <conditionalFormatting sqref="G126">
    <cfRule type="expression" dxfId="3" priority="1878">
      <formula>COUNTIF(INDIRECT("Checklist!$None"), "TRUE") = 1</formula>
    </cfRule>
    <cfRule type="expression" dxfId="4" priority="1879">
      <formula>COUNTIF(INDIRECT("Checklist!$None"), "FALSE") = 1</formula>
    </cfRule>
  </conditionalFormatting>
  <conditionalFormatting sqref="G127">
    <cfRule type="expression" dxfId="3" priority="1890">
      <formula>COUNTIF(INDIRECT("Checklist!$None"), "TRUE") = 1</formula>
    </cfRule>
    <cfRule type="expression" dxfId="4" priority="1891">
      <formula>COUNTIF(INDIRECT("Checklist!$None"), "FALSE") = 1</formula>
    </cfRule>
  </conditionalFormatting>
  <conditionalFormatting sqref="G13">
    <cfRule type="expression" dxfId="3" priority="158">
      <formula>COUNTIF(INDIRECT("Checklist!$A79"), "TRUE") = 1</formula>
    </cfRule>
    <cfRule type="expression" dxfId="4" priority="159">
      <formula>COUNTIF(INDIRECT("Checklist!$A79"), "FALSE") = 1</formula>
    </cfRule>
  </conditionalFormatting>
  <conditionalFormatting sqref="G131">
    <cfRule type="expression" dxfId="3" priority="1964">
      <formula>COUNTIF(INDIRECT("Checklist!$A942"), "TRUE") = 1</formula>
    </cfRule>
    <cfRule type="expression" dxfId="4" priority="1965">
      <formula>COUNTIF(INDIRECT("Checklist!$A942"), "FALSE") = 1</formula>
    </cfRule>
  </conditionalFormatting>
  <conditionalFormatting sqref="G132">
    <cfRule type="expression" dxfId="3" priority="1976">
      <formula>COUNTIF(INDIRECT("Checklist!$A948"), "TRUE") = 1</formula>
    </cfRule>
    <cfRule type="expression" dxfId="4" priority="1977">
      <formula>COUNTIF(INDIRECT("Checklist!$A948"), "FALSE") = 1</formula>
    </cfRule>
  </conditionalFormatting>
  <conditionalFormatting sqref="G133">
    <cfRule type="expression" dxfId="3" priority="1988">
      <formula>COUNTIF(INDIRECT("Checklist!$A954"), "TRUE") = 1</formula>
    </cfRule>
    <cfRule type="expression" dxfId="4" priority="1989">
      <formula>COUNTIF(INDIRECT("Checklist!$A954"), "FALSE") = 1</formula>
    </cfRule>
  </conditionalFormatting>
  <conditionalFormatting sqref="G134">
    <cfRule type="expression" dxfId="3" priority="2000">
      <formula>COUNTIF(INDIRECT("Checklist!$A960"), "TRUE") = 1</formula>
    </cfRule>
    <cfRule type="expression" dxfId="4" priority="2001">
      <formula>COUNTIF(INDIRECT("Checklist!$A960"), "FALSE") = 1</formula>
    </cfRule>
  </conditionalFormatting>
  <conditionalFormatting sqref="G135">
    <cfRule type="expression" dxfId="3" priority="2012">
      <formula>COUNTIF(INDIRECT("Checklist!$A966"), "TRUE") = 1</formula>
    </cfRule>
    <cfRule type="expression" dxfId="4" priority="2013">
      <formula>COUNTIF(INDIRECT("Checklist!$A966"), "FALSE") = 1</formula>
    </cfRule>
  </conditionalFormatting>
  <conditionalFormatting sqref="G139">
    <cfRule type="expression" dxfId="3" priority="2086">
      <formula>COUNTIF(INDIRECT("Checklist!$A1002"), "TRUE") = 1</formula>
    </cfRule>
    <cfRule type="expression" dxfId="4" priority="2087">
      <formula>COUNTIF(INDIRECT("Checklist!$A1002"), "FALSE") = 1</formula>
    </cfRule>
  </conditionalFormatting>
  <conditionalFormatting sqref="G14">
    <cfRule type="expression" dxfId="3" priority="170">
      <formula>COUNTIF(INDIRECT("Checklist!$A85"), "TRUE") = 1</formula>
    </cfRule>
    <cfRule type="expression" dxfId="4" priority="171">
      <formula>COUNTIF(INDIRECT("Checklist!$A85"), "FALSE") = 1</formula>
    </cfRule>
  </conditionalFormatting>
  <conditionalFormatting sqref="G140">
    <cfRule type="expression" dxfId="3" priority="2098">
      <formula>COUNTIF(INDIRECT("Checklist!$A1008"), "TRUE") = 1</formula>
    </cfRule>
    <cfRule type="expression" dxfId="4" priority="2099">
      <formula>COUNTIF(INDIRECT("Checklist!$A1008"), "FALSE") = 1</formula>
    </cfRule>
  </conditionalFormatting>
  <conditionalFormatting sqref="G141">
    <cfRule type="expression" dxfId="3" priority="2110">
      <formula>COUNTIF(INDIRECT("Checklist!$None"), "TRUE") = 1</formula>
    </cfRule>
    <cfRule type="expression" dxfId="4" priority="2111">
      <formula>COUNTIF(INDIRECT("Checklist!$None"), "FALSE") = 1</formula>
    </cfRule>
  </conditionalFormatting>
  <conditionalFormatting sqref="G142">
    <cfRule type="expression" dxfId="3" priority="2122">
      <formula>COUNTIF(INDIRECT("Checklist!$None"), "TRUE") = 1</formula>
    </cfRule>
    <cfRule type="expression" dxfId="4" priority="2123">
      <formula>COUNTIF(INDIRECT("Checklist!$None"), "FALSE") = 1</formula>
    </cfRule>
  </conditionalFormatting>
  <conditionalFormatting sqref="G143">
    <cfRule type="expression" dxfId="3" priority="2134">
      <formula>COUNTIF(INDIRECT("Checklist!$None"), "TRUE") = 1</formula>
    </cfRule>
    <cfRule type="expression" dxfId="4" priority="2135">
      <formula>COUNTIF(INDIRECT("Checklist!$None"), "FALSE") = 1</formula>
    </cfRule>
  </conditionalFormatting>
  <conditionalFormatting sqref="G147">
    <cfRule type="expression" dxfId="3" priority="2208">
      <formula>COUNTIF(INDIRECT("Checklist!$A1021"), "TRUE") = 1</formula>
    </cfRule>
    <cfRule type="expression" dxfId="4" priority="2209">
      <formula>COUNTIF(INDIRECT("Checklist!$A1021"), "FALSE") = 1</formula>
    </cfRule>
  </conditionalFormatting>
  <conditionalFormatting sqref="G148">
    <cfRule type="expression" dxfId="3" priority="2220">
      <formula>COUNTIF(INDIRECT("Checklist!$A1027"), "TRUE") = 1</formula>
    </cfRule>
    <cfRule type="expression" dxfId="4" priority="2221">
      <formula>COUNTIF(INDIRECT("Checklist!$A1027"), "FALSE") = 1</formula>
    </cfRule>
  </conditionalFormatting>
  <conditionalFormatting sqref="G149">
    <cfRule type="expression" dxfId="3" priority="2232">
      <formula>COUNTIF(INDIRECT("Checklist!$A1033"), "TRUE") = 1</formula>
    </cfRule>
    <cfRule type="expression" dxfId="4" priority="2233">
      <formula>COUNTIF(INDIRECT("Checklist!$A1033"), "FALSE") = 1</formula>
    </cfRule>
  </conditionalFormatting>
  <conditionalFormatting sqref="G15">
    <cfRule type="expression" dxfId="3" priority="182">
      <formula>COUNTIF(INDIRECT("Checklist!$A91"), "TRUE") = 1</formula>
    </cfRule>
    <cfRule type="expression" dxfId="4" priority="183">
      <formula>COUNTIF(INDIRECT("Checklist!$A91"), "FALSE") = 1</formula>
    </cfRule>
  </conditionalFormatting>
  <conditionalFormatting sqref="G150">
    <cfRule type="expression" dxfId="3" priority="2244">
      <formula>COUNTIF(INDIRECT("Checklist!$A1039"), "TRUE") = 1</formula>
    </cfRule>
    <cfRule type="expression" dxfId="4" priority="2245">
      <formula>COUNTIF(INDIRECT("Checklist!$A1039"), "FALSE") = 1</formula>
    </cfRule>
  </conditionalFormatting>
  <conditionalFormatting sqref="G151">
    <cfRule type="expression" dxfId="3" priority="2256">
      <formula>COUNTIF(INDIRECT("Checklist!$None"), "TRUE") = 1</formula>
    </cfRule>
    <cfRule type="expression" dxfId="4" priority="2257">
      <formula>COUNTIF(INDIRECT("Checklist!$None"), "FALSE") = 1</formula>
    </cfRule>
  </conditionalFormatting>
  <conditionalFormatting sqref="G155">
    <cfRule type="expression" dxfId="3" priority="2330">
      <formula>COUNTIF(INDIRECT("Checklist!$None"), "TRUE") = 1</formula>
    </cfRule>
    <cfRule type="expression" dxfId="4" priority="2331">
      <formula>COUNTIF(INDIRECT("Checklist!$None"), "FALSE") = 1</formula>
    </cfRule>
  </conditionalFormatting>
  <conditionalFormatting sqref="G156">
    <cfRule type="expression" dxfId="3" priority="2342">
      <formula>COUNTIF(INDIRECT("Checklist!$None"), "TRUE") = 1</formula>
    </cfRule>
    <cfRule type="expression" dxfId="4" priority="2343">
      <formula>COUNTIF(INDIRECT("Checklist!$None"), "FALSE") = 1</formula>
    </cfRule>
  </conditionalFormatting>
  <conditionalFormatting sqref="G157">
    <cfRule type="expression" dxfId="3" priority="2354">
      <formula>COUNTIF(INDIRECT("Checklist!$None"), "TRUE") = 1</formula>
    </cfRule>
    <cfRule type="expression" dxfId="4" priority="2355">
      <formula>COUNTIF(INDIRECT("Checklist!$None"), "FALSE") = 1</formula>
    </cfRule>
  </conditionalFormatting>
  <conditionalFormatting sqref="G158">
    <cfRule type="expression" dxfId="3" priority="2366">
      <formula>COUNTIF(INDIRECT("Checklist!$A1068"), "TRUE") = 1</formula>
    </cfRule>
    <cfRule type="expression" dxfId="4" priority="2367">
      <formula>COUNTIF(INDIRECT("Checklist!$A1068"), "FALSE") = 1</formula>
    </cfRule>
  </conditionalFormatting>
  <conditionalFormatting sqref="G159">
    <cfRule type="expression" dxfId="3" priority="2378">
      <formula>COUNTIF(INDIRECT("Checklist!$None"), "TRUE") = 1</formula>
    </cfRule>
    <cfRule type="expression" dxfId="4" priority="2379">
      <formula>COUNTIF(INDIRECT("Checklist!$None"), "FALSE") = 1</formula>
    </cfRule>
  </conditionalFormatting>
  <conditionalFormatting sqref="G163">
    <cfRule type="expression" dxfId="3" priority="2452">
      <formula>COUNTIF(INDIRECT("Checklist!$None"), "TRUE") = 1</formula>
    </cfRule>
    <cfRule type="expression" dxfId="4" priority="2453">
      <formula>COUNTIF(INDIRECT("Checklist!$None"), "FALSE") = 1</formula>
    </cfRule>
  </conditionalFormatting>
  <conditionalFormatting sqref="G164">
    <cfRule type="expression" dxfId="3" priority="2464">
      <formula>COUNTIF(INDIRECT("Checklist!$None"), "TRUE") = 1</formula>
    </cfRule>
    <cfRule type="expression" dxfId="4" priority="2465">
      <formula>COUNTIF(INDIRECT("Checklist!$None"), "FALSE") = 1</formula>
    </cfRule>
  </conditionalFormatting>
  <conditionalFormatting sqref="G165">
    <cfRule type="expression" dxfId="3" priority="2476">
      <formula>COUNTIF(INDIRECT("Checklist!$None"), "TRUE") = 1</formula>
    </cfRule>
    <cfRule type="expression" dxfId="4" priority="2477">
      <formula>COUNTIF(INDIRECT("Checklist!$None"), "FALSE") = 1</formula>
    </cfRule>
  </conditionalFormatting>
  <conditionalFormatting sqref="G166">
    <cfRule type="expression" dxfId="3" priority="2488">
      <formula>COUNTIF(INDIRECT("Checklist!$None"), "TRUE") = 1</formula>
    </cfRule>
    <cfRule type="expression" dxfId="4" priority="2489">
      <formula>COUNTIF(INDIRECT("Checklist!$None"), "FALSE") = 1</formula>
    </cfRule>
  </conditionalFormatting>
  <conditionalFormatting sqref="G167">
    <cfRule type="expression" dxfId="3" priority="2500">
      <formula>COUNTIF(INDIRECT("Checklist!$A1101"), "TRUE") = 1</formula>
    </cfRule>
    <cfRule type="expression" dxfId="4" priority="2501">
      <formula>COUNTIF(INDIRECT("Checklist!$A1101"), "FALSE") = 1</formula>
    </cfRule>
  </conditionalFormatting>
  <conditionalFormatting sqref="G171">
    <cfRule type="expression" dxfId="3" priority="2574">
      <formula>COUNTIF(INDIRECT("Checklist!$None"), "TRUE") = 1</formula>
    </cfRule>
    <cfRule type="expression" dxfId="4" priority="2575">
      <formula>COUNTIF(INDIRECT("Checklist!$None"), "FALSE") = 1</formula>
    </cfRule>
  </conditionalFormatting>
  <conditionalFormatting sqref="G172">
    <cfRule type="expression" dxfId="3" priority="2586">
      <formula>COUNTIF(INDIRECT("Checklist!$None"), "TRUE") = 1</formula>
    </cfRule>
    <cfRule type="expression" dxfId="4" priority="2587">
      <formula>COUNTIF(INDIRECT("Checklist!$None"), "FALSE") = 1</formula>
    </cfRule>
  </conditionalFormatting>
  <conditionalFormatting sqref="G173">
    <cfRule type="expression" dxfId="3" priority="2598">
      <formula>COUNTIF(INDIRECT("Checklist!$A1131"), "TRUE") = 1</formula>
    </cfRule>
    <cfRule type="expression" dxfId="4" priority="2599">
      <formula>COUNTIF(INDIRECT("Checklist!$A1131"), "FALSE") = 1</formula>
    </cfRule>
  </conditionalFormatting>
  <conditionalFormatting sqref="G174">
    <cfRule type="expression" dxfId="3" priority="2610">
      <formula>COUNTIF(INDIRECT("Checklist!$None"), "TRUE") = 1</formula>
    </cfRule>
    <cfRule type="expression" dxfId="4" priority="2611">
      <formula>COUNTIF(INDIRECT("Checklist!$None"), "FALSE") = 1</formula>
    </cfRule>
  </conditionalFormatting>
  <conditionalFormatting sqref="G175">
    <cfRule type="expression" dxfId="3" priority="2622">
      <formula>COUNTIF(INDIRECT("Checklist!$None"), "TRUE") = 1</formula>
    </cfRule>
    <cfRule type="expression" dxfId="4" priority="2623">
      <formula>COUNTIF(INDIRECT("Checklist!$None"), "FALSE") = 1</formula>
    </cfRule>
  </conditionalFormatting>
  <conditionalFormatting sqref="G179">
    <cfRule type="expression" dxfId="3" priority="2696">
      <formula>COUNTIF(INDIRECT("Checklist!$A1144"), "TRUE") = 1</formula>
    </cfRule>
    <cfRule type="expression" dxfId="4" priority="2697">
      <formula>COUNTIF(INDIRECT("Checklist!$A1144"), "FALSE") = 1</formula>
    </cfRule>
  </conditionalFormatting>
  <conditionalFormatting sqref="G180">
    <cfRule type="expression" dxfId="3" priority="2708">
      <formula>COUNTIF(INDIRECT("Checklist!$A1150"), "TRUE") = 1</formula>
    </cfRule>
    <cfRule type="expression" dxfId="4" priority="2709">
      <formula>COUNTIF(INDIRECT("Checklist!$A1150"), "FALSE") = 1</formula>
    </cfRule>
  </conditionalFormatting>
  <conditionalFormatting sqref="G181">
    <cfRule type="expression" dxfId="3" priority="2720">
      <formula>COUNTIF(INDIRECT("Checklist!$A1156"), "TRUE") = 1</formula>
    </cfRule>
    <cfRule type="expression" dxfId="4" priority="2721">
      <formula>COUNTIF(INDIRECT("Checklist!$A1156"), "FALSE") = 1</formula>
    </cfRule>
  </conditionalFormatting>
  <conditionalFormatting sqref="G182">
    <cfRule type="expression" dxfId="3" priority="2732">
      <formula>COUNTIF(INDIRECT("Checklist!$A1162"), "TRUE") = 1</formula>
    </cfRule>
    <cfRule type="expression" dxfId="4" priority="2733">
      <formula>COUNTIF(INDIRECT("Checklist!$A1162"), "FALSE") = 1</formula>
    </cfRule>
  </conditionalFormatting>
  <conditionalFormatting sqref="G183">
    <cfRule type="expression" dxfId="3" priority="2744">
      <formula>COUNTIF(INDIRECT("Checklist!$None"), "TRUE") = 1</formula>
    </cfRule>
    <cfRule type="expression" dxfId="4" priority="2745">
      <formula>COUNTIF(INDIRECT("Checklist!$None"), "FALSE") = 1</formula>
    </cfRule>
  </conditionalFormatting>
  <conditionalFormatting sqref="G187">
    <cfRule type="expression" dxfId="3" priority="2818">
      <formula>COUNTIF(INDIRECT("Checklist!$A1200"), "TRUE") = 1</formula>
    </cfRule>
    <cfRule type="expression" dxfId="4" priority="2819">
      <formula>COUNTIF(INDIRECT("Checklist!$A1200"), "FALSE") = 1</formula>
    </cfRule>
  </conditionalFormatting>
  <conditionalFormatting sqref="G188">
    <cfRule type="expression" dxfId="3" priority="2830">
      <formula>COUNTIF(INDIRECT("Checklist!$None"), "TRUE") = 1</formula>
    </cfRule>
    <cfRule type="expression" dxfId="4" priority="2831">
      <formula>COUNTIF(INDIRECT("Checklist!$None"), "FALSE") = 1</formula>
    </cfRule>
  </conditionalFormatting>
  <conditionalFormatting sqref="G189">
    <cfRule type="expression" dxfId="3" priority="2842">
      <formula>COUNTIF(INDIRECT("Checklist!$None"), "TRUE") = 1</formula>
    </cfRule>
    <cfRule type="expression" dxfId="4" priority="2843">
      <formula>COUNTIF(INDIRECT("Checklist!$None"), "FALSE") = 1</formula>
    </cfRule>
  </conditionalFormatting>
  <conditionalFormatting sqref="G19">
    <cfRule type="expression" dxfId="3" priority="256">
      <formula>COUNTIF(INDIRECT("Checklist!$A127"), "TRUE") = 1</formula>
    </cfRule>
    <cfRule type="expression" dxfId="4" priority="257">
      <formula>COUNTIF(INDIRECT("Checklist!$A127"), "FALSE") = 1</formula>
    </cfRule>
  </conditionalFormatting>
  <conditionalFormatting sqref="G190">
    <cfRule type="expression" dxfId="3" priority="2854">
      <formula>COUNTIF(INDIRECT("Checklist!$None"), "TRUE") = 1</formula>
    </cfRule>
    <cfRule type="expression" dxfId="4" priority="2855">
      <formula>COUNTIF(INDIRECT("Checklist!$None"), "FALSE") = 1</formula>
    </cfRule>
  </conditionalFormatting>
  <conditionalFormatting sqref="G191">
    <cfRule type="expression" dxfId="3" priority="2866">
      <formula>COUNTIF(INDIRECT("Checklist!$None"), "TRUE") = 1</formula>
    </cfRule>
    <cfRule type="expression" dxfId="4" priority="2867">
      <formula>COUNTIF(INDIRECT("Checklist!$None"), "FALSE") = 1</formula>
    </cfRule>
  </conditionalFormatting>
  <conditionalFormatting sqref="G195">
    <cfRule type="expression" dxfId="3" priority="2940">
      <formula>COUNTIF(INDIRECT("Checklist!$None"), "TRUE") = 1</formula>
    </cfRule>
    <cfRule type="expression" dxfId="4" priority="2941">
      <formula>COUNTIF(INDIRECT("Checklist!$None"), "FALSE") = 1</formula>
    </cfRule>
  </conditionalFormatting>
  <conditionalFormatting sqref="G196">
    <cfRule type="expression" dxfId="3" priority="2952">
      <formula>COUNTIF(INDIRECT("Checklist!$None"), "TRUE") = 1</formula>
    </cfRule>
    <cfRule type="expression" dxfId="4" priority="2953">
      <formula>COUNTIF(INDIRECT("Checklist!$None"), "FALSE") = 1</formula>
    </cfRule>
  </conditionalFormatting>
  <conditionalFormatting sqref="G197">
    <cfRule type="expression" dxfId="3" priority="2964">
      <formula>COUNTIF(INDIRECT("Checklist!$None"), "TRUE") = 1</formula>
    </cfRule>
    <cfRule type="expression" dxfId="4" priority="2965">
      <formula>COUNTIF(INDIRECT("Checklist!$None"), "FALSE") = 1</formula>
    </cfRule>
  </conditionalFormatting>
  <conditionalFormatting sqref="G198">
    <cfRule type="expression" dxfId="3" priority="2976">
      <formula>COUNTIF(INDIRECT("Checklist!$None"), "TRUE") = 1</formula>
    </cfRule>
    <cfRule type="expression" dxfId="4" priority="2977">
      <formula>COUNTIF(INDIRECT("Checklist!$None"), "FALSE") = 1</formula>
    </cfRule>
  </conditionalFormatting>
  <conditionalFormatting sqref="G199">
    <cfRule type="expression" dxfId="3" priority="2988">
      <formula>COUNTIF(INDIRECT("Checklist!$None"), "TRUE") = 1</formula>
    </cfRule>
    <cfRule type="expression" dxfId="4" priority="2989">
      <formula>COUNTIF(INDIRECT("Checklist!$None"), "FALSE") = 1</formula>
    </cfRule>
  </conditionalFormatting>
  <conditionalFormatting sqref="G20">
    <cfRule type="expression" dxfId="3" priority="268">
      <formula>COUNTIF(INDIRECT("Checklist!$A133"), "TRUE") = 1</formula>
    </cfRule>
    <cfRule type="expression" dxfId="4" priority="269">
      <formula>COUNTIF(INDIRECT("Checklist!$A133"), "FALSE") = 1</formula>
    </cfRule>
  </conditionalFormatting>
  <conditionalFormatting sqref="G203">
    <cfRule type="expression" dxfId="3" priority="3062">
      <formula>COUNTIF(INDIRECT("Checklist!$A1245"), "TRUE") = 1</formula>
    </cfRule>
    <cfRule type="expression" dxfId="4" priority="3063">
      <formula>COUNTIF(INDIRECT("Checklist!$A1245"), "FALSE") = 1</formula>
    </cfRule>
  </conditionalFormatting>
  <conditionalFormatting sqref="G204">
    <cfRule type="expression" dxfId="3" priority="3074">
      <formula>COUNTIF(INDIRECT("Checklist!$A1251"), "TRUE") = 1</formula>
    </cfRule>
    <cfRule type="expression" dxfId="4" priority="3075">
      <formula>COUNTIF(INDIRECT("Checklist!$A1251"), "FALSE") = 1</formula>
    </cfRule>
  </conditionalFormatting>
  <conditionalFormatting sqref="G205">
    <cfRule type="expression" dxfId="3" priority="3086">
      <formula>COUNTIF(INDIRECT("Checklist!$A1257"), "TRUE") = 1</formula>
    </cfRule>
    <cfRule type="expression" dxfId="4" priority="3087">
      <formula>COUNTIF(INDIRECT("Checklist!$A1257"), "FALSE") = 1</formula>
    </cfRule>
  </conditionalFormatting>
  <conditionalFormatting sqref="G206">
    <cfRule type="expression" dxfId="3" priority="3098">
      <formula>COUNTIF(INDIRECT("Checklist!$None"), "TRUE") = 1</formula>
    </cfRule>
    <cfRule type="expression" dxfId="4" priority="3099">
      <formula>COUNTIF(INDIRECT("Checklist!$None"), "FALSE") = 1</formula>
    </cfRule>
  </conditionalFormatting>
  <conditionalFormatting sqref="G207">
    <cfRule type="expression" dxfId="3" priority="3110">
      <formula>COUNTIF(INDIRECT("Checklist!$None"), "TRUE") = 1</formula>
    </cfRule>
    <cfRule type="expression" dxfId="4" priority="3111">
      <formula>COUNTIF(INDIRECT("Checklist!$None"), "FALSE") = 1</formula>
    </cfRule>
  </conditionalFormatting>
  <conditionalFormatting sqref="G21">
    <cfRule type="expression" dxfId="3" priority="280">
      <formula>COUNTIF(INDIRECT("Checklist!$A139"), "TRUE") = 1</formula>
    </cfRule>
    <cfRule type="expression" dxfId="4" priority="281">
      <formula>COUNTIF(INDIRECT("Checklist!$A139"), "FALSE") = 1</formula>
    </cfRule>
  </conditionalFormatting>
  <conditionalFormatting sqref="G211">
    <cfRule type="expression" dxfId="3" priority="3184">
      <formula>COUNTIF(INDIRECT("Checklist!$A1282"), "TRUE") = 1</formula>
    </cfRule>
    <cfRule type="expression" dxfId="4" priority="3185">
      <formula>COUNTIF(INDIRECT("Checklist!$A1282"), "FALSE") = 1</formula>
    </cfRule>
  </conditionalFormatting>
  <conditionalFormatting sqref="G212">
    <cfRule type="expression" dxfId="3" priority="3196">
      <formula>COUNTIF(INDIRECT("Checklist!$A1288"), "TRUE") = 1</formula>
    </cfRule>
    <cfRule type="expression" dxfId="4" priority="3197">
      <formula>COUNTIF(INDIRECT("Checklist!$A1288"), "FALSE") = 1</formula>
    </cfRule>
  </conditionalFormatting>
  <conditionalFormatting sqref="G213">
    <cfRule type="expression" dxfId="3" priority="3208">
      <formula>COUNTIF(INDIRECT("Checklist!$None"), "TRUE") = 1</formula>
    </cfRule>
    <cfRule type="expression" dxfId="4" priority="3209">
      <formula>COUNTIF(INDIRECT("Checklist!$None"), "FALSE") = 1</formula>
    </cfRule>
  </conditionalFormatting>
  <conditionalFormatting sqref="G214">
    <cfRule type="expression" dxfId="3" priority="3220">
      <formula>COUNTIF(INDIRECT("Checklist!$None"), "TRUE") = 1</formula>
    </cfRule>
    <cfRule type="expression" dxfId="4" priority="3221">
      <formula>COUNTIF(INDIRECT("Checklist!$None"), "FALSE") = 1</formula>
    </cfRule>
  </conditionalFormatting>
  <conditionalFormatting sqref="G215">
    <cfRule type="expression" dxfId="3" priority="3232">
      <formula>COUNTIF(INDIRECT("Checklist!$None"), "TRUE") = 1</formula>
    </cfRule>
    <cfRule type="expression" dxfId="4" priority="3233">
      <formula>COUNTIF(INDIRECT("Checklist!$None"), "FALSE") = 1</formula>
    </cfRule>
  </conditionalFormatting>
  <conditionalFormatting sqref="G22">
    <cfRule type="expression" dxfId="3" priority="292">
      <formula>COUNTIF(INDIRECT("Checklist!$A145"), "TRUE") = 1</formula>
    </cfRule>
    <cfRule type="expression" dxfId="4" priority="293">
      <formula>COUNTIF(INDIRECT("Checklist!$A145"), "FALSE") = 1</formula>
    </cfRule>
  </conditionalFormatting>
  <conditionalFormatting sqref="G23">
    <cfRule type="expression" dxfId="3" priority="304">
      <formula>COUNTIF(INDIRECT("Checklist!$A151"), "TRUE") = 1</formula>
    </cfRule>
    <cfRule type="expression" dxfId="4" priority="305">
      <formula>COUNTIF(INDIRECT("Checklist!$A151"), "FALSE") = 1</formula>
    </cfRule>
  </conditionalFormatting>
  <conditionalFormatting sqref="G27">
    <cfRule type="expression" dxfId="3" priority="378">
      <formula>COUNTIF(INDIRECT("Checklist!$A187"), "TRUE") = 1</formula>
    </cfRule>
    <cfRule type="expression" dxfId="4" priority="379">
      <formula>COUNTIF(INDIRECT("Checklist!$A187"), "FALSE") = 1</formula>
    </cfRule>
  </conditionalFormatting>
  <conditionalFormatting sqref="G28">
    <cfRule type="expression" dxfId="3" priority="390">
      <formula>COUNTIF(INDIRECT("Checklist!$A193"), "TRUE") = 1</formula>
    </cfRule>
    <cfRule type="expression" dxfId="4" priority="391">
      <formula>COUNTIF(INDIRECT("Checklist!$A193"), "FALSE") = 1</formula>
    </cfRule>
  </conditionalFormatting>
  <conditionalFormatting sqref="G29">
    <cfRule type="expression" dxfId="3" priority="402">
      <formula>COUNTIF(INDIRECT("Checklist!$A199"), "TRUE") = 1</formula>
    </cfRule>
    <cfRule type="expression" dxfId="4" priority="403">
      <formula>COUNTIF(INDIRECT("Checklist!$A199"), "FALSE") = 1</formula>
    </cfRule>
  </conditionalFormatting>
  <conditionalFormatting sqref="G3">
    <cfRule type="expression" dxfId="3" priority="12">
      <formula>COUNTIF(INDIRECT("Checklist!$A1204"), "TRUE") = 1</formula>
    </cfRule>
    <cfRule type="expression" dxfId="4" priority="13">
      <formula>COUNTIF(INDIRECT("Checklist!$A1204"), "FALSE") = 1</formula>
    </cfRule>
  </conditionalFormatting>
  <conditionalFormatting sqref="G30">
    <cfRule type="expression" dxfId="3" priority="414">
      <formula>COUNTIF(INDIRECT("Checklist!$A205"), "TRUE") = 1</formula>
    </cfRule>
    <cfRule type="expression" dxfId="4" priority="415">
      <formula>COUNTIF(INDIRECT("Checklist!$A205"), "FALSE") = 1</formula>
    </cfRule>
  </conditionalFormatting>
  <conditionalFormatting sqref="G31">
    <cfRule type="expression" dxfId="3" priority="426">
      <formula>COUNTIF(INDIRECT("Checklist!$A211"), "TRUE") = 1</formula>
    </cfRule>
    <cfRule type="expression" dxfId="4" priority="427">
      <formula>COUNTIF(INDIRECT("Checklist!$A211"), "FALSE") = 1</formula>
    </cfRule>
  </conditionalFormatting>
  <conditionalFormatting sqref="G35">
    <cfRule type="expression" dxfId="3" priority="500">
      <formula>COUNTIF(INDIRECT("Checklist!$A247"), "TRUE") = 1</formula>
    </cfRule>
    <cfRule type="expression" dxfId="4" priority="501">
      <formula>COUNTIF(INDIRECT("Checklist!$A247"), "FALSE") = 1</formula>
    </cfRule>
  </conditionalFormatting>
  <conditionalFormatting sqref="G36">
    <cfRule type="expression" dxfId="3" priority="512">
      <formula>COUNTIF(INDIRECT("Checklist!$A253"), "TRUE") = 1</formula>
    </cfRule>
    <cfRule type="expression" dxfId="4" priority="513">
      <formula>COUNTIF(INDIRECT("Checklist!$A253"), "FALSE") = 1</formula>
    </cfRule>
  </conditionalFormatting>
  <conditionalFormatting sqref="G37">
    <cfRule type="expression" dxfId="3" priority="524">
      <formula>COUNTIF(INDIRECT("Checklist!$A259"), "TRUE") = 1</formula>
    </cfRule>
    <cfRule type="expression" dxfId="4" priority="525">
      <formula>COUNTIF(INDIRECT("Checklist!$A259"), "FALSE") = 1</formula>
    </cfRule>
  </conditionalFormatting>
  <conditionalFormatting sqref="G38">
    <cfRule type="expression" dxfId="3" priority="536">
      <formula>COUNTIF(INDIRECT("Checklist!$A265"), "TRUE") = 1</formula>
    </cfRule>
    <cfRule type="expression" dxfId="4" priority="537">
      <formula>COUNTIF(INDIRECT("Checklist!$A265"), "FALSE") = 1</formula>
    </cfRule>
  </conditionalFormatting>
  <conditionalFormatting sqref="G39">
    <cfRule type="expression" dxfId="3" priority="548">
      <formula>COUNTIF(INDIRECT("Checklist!$A271"), "TRUE") = 1</formula>
    </cfRule>
    <cfRule type="expression" dxfId="4" priority="549">
      <formula>COUNTIF(INDIRECT("Checklist!$A271"), "FALSE") = 1</formula>
    </cfRule>
  </conditionalFormatting>
  <conditionalFormatting sqref="G4">
    <cfRule type="expression" dxfId="3" priority="24">
      <formula>COUNTIF(INDIRECT("Checklist!$A1206"), "TRUE") = 1</formula>
    </cfRule>
    <cfRule type="expression" dxfId="4" priority="25">
      <formula>COUNTIF(INDIRECT("Checklist!$A1206"), "FALSE") = 1</formula>
    </cfRule>
  </conditionalFormatting>
  <conditionalFormatting sqref="G43">
    <cfRule type="expression" dxfId="3" priority="622">
      <formula>COUNTIF(INDIRECT("Checklist!$A307"), "TRUE") = 1</formula>
    </cfRule>
    <cfRule type="expression" dxfId="4" priority="623">
      <formula>COUNTIF(INDIRECT("Checklist!$A307"), "FALSE") = 1</formula>
    </cfRule>
  </conditionalFormatting>
  <conditionalFormatting sqref="G44">
    <cfRule type="expression" dxfId="3" priority="634">
      <formula>COUNTIF(INDIRECT("Checklist!$A313"), "TRUE") = 1</formula>
    </cfRule>
    <cfRule type="expression" dxfId="4" priority="635">
      <formula>COUNTIF(INDIRECT("Checklist!$A313"), "FALSE") = 1</formula>
    </cfRule>
  </conditionalFormatting>
  <conditionalFormatting sqref="G45">
    <cfRule type="expression" dxfId="3" priority="646">
      <formula>COUNTIF(INDIRECT("Checklist!$A319"), "TRUE") = 1</formula>
    </cfRule>
    <cfRule type="expression" dxfId="4" priority="647">
      <formula>COUNTIF(INDIRECT("Checklist!$A319"), "FALSE") = 1</formula>
    </cfRule>
  </conditionalFormatting>
  <conditionalFormatting sqref="G46">
    <cfRule type="expression" dxfId="3" priority="658">
      <formula>COUNTIF(INDIRECT("Checklist!$A325"), "TRUE") = 1</formula>
    </cfRule>
    <cfRule type="expression" dxfId="4" priority="659">
      <formula>COUNTIF(INDIRECT("Checklist!$A325"), "FALSE") = 1</formula>
    </cfRule>
  </conditionalFormatting>
  <conditionalFormatting sqref="G47">
    <cfRule type="expression" dxfId="3" priority="670">
      <formula>COUNTIF(INDIRECT("Checklist!$A331"), "TRUE") = 1</formula>
    </cfRule>
    <cfRule type="expression" dxfId="4" priority="671">
      <formula>COUNTIF(INDIRECT("Checklist!$A331"), "FALSE") = 1</formula>
    </cfRule>
  </conditionalFormatting>
  <conditionalFormatting sqref="G5">
    <cfRule type="expression" dxfId="3" priority="36">
      <formula>COUNTIF(INDIRECT("Checklist!$A19"), "TRUE") = 1</formula>
    </cfRule>
    <cfRule type="expression" dxfId="4" priority="37">
      <formula>COUNTIF(INDIRECT("Checklist!$A19"), "FALSE") = 1</formula>
    </cfRule>
  </conditionalFormatting>
  <conditionalFormatting sqref="G51">
    <cfRule type="expression" dxfId="3" priority="744">
      <formula>COUNTIF(INDIRECT("Checklist!$A367"), "TRUE") = 1</formula>
    </cfRule>
    <cfRule type="expression" dxfId="4" priority="745">
      <formula>COUNTIF(INDIRECT("Checklist!$A367"), "FALSE") = 1</formula>
    </cfRule>
  </conditionalFormatting>
  <conditionalFormatting sqref="G52">
    <cfRule type="expression" dxfId="3" priority="756">
      <formula>COUNTIF(INDIRECT("Checklist!$A373"), "TRUE") = 1</formula>
    </cfRule>
    <cfRule type="expression" dxfId="4" priority="757">
      <formula>COUNTIF(INDIRECT("Checklist!$A373"), "FALSE") = 1</formula>
    </cfRule>
  </conditionalFormatting>
  <conditionalFormatting sqref="G53">
    <cfRule type="expression" dxfId="3" priority="768">
      <formula>COUNTIF(INDIRECT("Checklist!$A379"), "TRUE") = 1</formula>
    </cfRule>
    <cfRule type="expression" dxfId="4" priority="769">
      <formula>COUNTIF(INDIRECT("Checklist!$A379"), "FALSE") = 1</formula>
    </cfRule>
  </conditionalFormatting>
  <conditionalFormatting sqref="G54">
    <cfRule type="expression" dxfId="3" priority="780">
      <formula>COUNTIF(INDIRECT("Checklist!$A385"), "TRUE") = 1</formula>
    </cfRule>
    <cfRule type="expression" dxfId="4" priority="781">
      <formula>COUNTIF(INDIRECT("Checklist!$A385"), "FALSE") = 1</formula>
    </cfRule>
  </conditionalFormatting>
  <conditionalFormatting sqref="G55">
    <cfRule type="expression" dxfId="3" priority="792">
      <formula>COUNTIF(INDIRECT("Checklist!$A391"), "TRUE") = 1</formula>
    </cfRule>
    <cfRule type="expression" dxfId="4" priority="793">
      <formula>COUNTIF(INDIRECT("Checklist!$A391"), "FALSE") = 1</formula>
    </cfRule>
  </conditionalFormatting>
  <conditionalFormatting sqref="G59">
    <cfRule type="expression" dxfId="3" priority="866">
      <formula>COUNTIF(INDIRECT("Checklist!$A427"), "TRUE") = 1</formula>
    </cfRule>
    <cfRule type="expression" dxfId="4" priority="867">
      <formula>COUNTIF(INDIRECT("Checklist!$A427"), "FALSE") = 1</formula>
    </cfRule>
  </conditionalFormatting>
  <conditionalFormatting sqref="G6">
    <cfRule type="expression" dxfId="3" priority="48">
      <formula>COUNTIF(INDIRECT("Checklist!$A25"), "TRUE") = 1</formula>
    </cfRule>
    <cfRule type="expression" dxfId="4" priority="49">
      <formula>COUNTIF(INDIRECT("Checklist!$A25"), "FALSE") = 1</formula>
    </cfRule>
  </conditionalFormatting>
  <conditionalFormatting sqref="G60">
    <cfRule type="expression" dxfId="3" priority="878">
      <formula>COUNTIF(INDIRECT("Checklist!$A433"), "TRUE") = 1</formula>
    </cfRule>
    <cfRule type="expression" dxfId="4" priority="879">
      <formula>COUNTIF(INDIRECT("Checklist!$A433"), "FALSE") = 1</formula>
    </cfRule>
  </conditionalFormatting>
  <conditionalFormatting sqref="G61">
    <cfRule type="expression" dxfId="3" priority="890">
      <formula>COUNTIF(INDIRECT("Checklist!$A439"), "TRUE") = 1</formula>
    </cfRule>
    <cfRule type="expression" dxfId="4" priority="891">
      <formula>COUNTIF(INDIRECT("Checklist!$A439"), "FALSE") = 1</formula>
    </cfRule>
  </conditionalFormatting>
  <conditionalFormatting sqref="G62">
    <cfRule type="expression" dxfId="3" priority="902">
      <formula>COUNTIF(INDIRECT("Checklist!$A445"), "TRUE") = 1</formula>
    </cfRule>
    <cfRule type="expression" dxfId="4" priority="903">
      <formula>COUNTIF(INDIRECT("Checklist!$A445"), "FALSE") = 1</formula>
    </cfRule>
  </conditionalFormatting>
  <conditionalFormatting sqref="G63">
    <cfRule type="expression" dxfId="3" priority="914">
      <formula>COUNTIF(INDIRECT("Checklist!$A451"), "TRUE") = 1</formula>
    </cfRule>
    <cfRule type="expression" dxfId="4" priority="915">
      <formula>COUNTIF(INDIRECT("Checklist!$A451"), "FALSE") = 1</formula>
    </cfRule>
  </conditionalFormatting>
  <conditionalFormatting sqref="G67">
    <cfRule type="expression" dxfId="3" priority="988">
      <formula>COUNTIF(INDIRECT("Checklist!$A487"), "TRUE") = 1</formula>
    </cfRule>
    <cfRule type="expression" dxfId="4" priority="989">
      <formula>COUNTIF(INDIRECT("Checklist!$A487"), "FALSE") = 1</formula>
    </cfRule>
  </conditionalFormatting>
  <conditionalFormatting sqref="G68">
    <cfRule type="expression" dxfId="3" priority="1000">
      <formula>COUNTIF(INDIRECT("Checklist!$A493"), "TRUE") = 1</formula>
    </cfRule>
    <cfRule type="expression" dxfId="4" priority="1001">
      <formula>COUNTIF(INDIRECT("Checklist!$A493"), "FALSE") = 1</formula>
    </cfRule>
  </conditionalFormatting>
  <conditionalFormatting sqref="G69">
    <cfRule type="expression" dxfId="3" priority="1012">
      <formula>COUNTIF(INDIRECT("Checklist!$A499"), "TRUE") = 1</formula>
    </cfRule>
    <cfRule type="expression" dxfId="4" priority="1013">
      <formula>COUNTIF(INDIRECT("Checklist!$A499"), "FALSE") = 1</formula>
    </cfRule>
  </conditionalFormatting>
  <conditionalFormatting sqref="G7">
    <cfRule type="expression" dxfId="3" priority="60">
      <formula>COUNTIF(INDIRECT("Checklist!$A31"), "TRUE") = 1</formula>
    </cfRule>
    <cfRule type="expression" dxfId="4" priority="61">
      <formula>COUNTIF(INDIRECT("Checklist!$A31"), "FALSE") = 1</formula>
    </cfRule>
  </conditionalFormatting>
  <conditionalFormatting sqref="G70">
    <cfRule type="expression" dxfId="3" priority="1024">
      <formula>COUNTIF(INDIRECT("Checklist!$A505"), "TRUE") = 1</formula>
    </cfRule>
    <cfRule type="expression" dxfId="4" priority="1025">
      <formula>COUNTIF(INDIRECT("Checklist!$A505"), "FALSE") = 1</formula>
    </cfRule>
  </conditionalFormatting>
  <conditionalFormatting sqref="G71">
    <cfRule type="expression" dxfId="3" priority="1036">
      <formula>COUNTIF(INDIRECT("Checklist!$A511"), "TRUE") = 1</formula>
    </cfRule>
    <cfRule type="expression" dxfId="4" priority="1037">
      <formula>COUNTIF(INDIRECT("Checklist!$A511"), "FALSE") = 1</formula>
    </cfRule>
  </conditionalFormatting>
  <conditionalFormatting sqref="G75">
    <cfRule type="expression" dxfId="3" priority="1110">
      <formula>COUNTIF(INDIRECT("Checklist!$A547"), "TRUE") = 1</formula>
    </cfRule>
    <cfRule type="expression" dxfId="4" priority="1111">
      <formula>COUNTIF(INDIRECT("Checklist!$A547"), "FALSE") = 1</formula>
    </cfRule>
  </conditionalFormatting>
  <conditionalFormatting sqref="G76">
    <cfRule type="expression" dxfId="3" priority="1122">
      <formula>COUNTIF(INDIRECT("Checklist!$A553"), "TRUE") = 1</formula>
    </cfRule>
    <cfRule type="expression" dxfId="4" priority="1123">
      <formula>COUNTIF(INDIRECT("Checklist!$A553"), "FALSE") = 1</formula>
    </cfRule>
  </conditionalFormatting>
  <conditionalFormatting sqref="G77">
    <cfRule type="expression" dxfId="3" priority="1134">
      <formula>COUNTIF(INDIRECT("Checklist!$A559"), "TRUE") = 1</formula>
    </cfRule>
    <cfRule type="expression" dxfId="4" priority="1135">
      <formula>COUNTIF(INDIRECT("Checklist!$A559"), "FALSE") = 1</formula>
    </cfRule>
  </conditionalFormatting>
  <conditionalFormatting sqref="G78">
    <cfRule type="expression" dxfId="3" priority="1146">
      <formula>COUNTIF(INDIRECT("Checklist!$A565"), "TRUE") = 1</formula>
    </cfRule>
    <cfRule type="expression" dxfId="4" priority="1147">
      <formula>COUNTIF(INDIRECT("Checklist!$A565"), "FALSE") = 1</formula>
    </cfRule>
  </conditionalFormatting>
  <conditionalFormatting sqref="G79">
    <cfRule type="expression" dxfId="3" priority="1158">
      <formula>COUNTIF(INDIRECT("Checklist!$A571"), "TRUE") = 1</formula>
    </cfRule>
    <cfRule type="expression" dxfId="4" priority="1159">
      <formula>COUNTIF(INDIRECT("Checklist!$A571"), "FALSE") = 1</formula>
    </cfRule>
  </conditionalFormatting>
  <conditionalFormatting sqref="G83">
    <cfRule type="expression" dxfId="3" priority="1232">
      <formula>COUNTIF(INDIRECT("Checklist!$A607"), "TRUE") = 1</formula>
    </cfRule>
    <cfRule type="expression" dxfId="4" priority="1233">
      <formula>COUNTIF(INDIRECT("Checklist!$A607"), "FALSE") = 1</formula>
    </cfRule>
  </conditionalFormatting>
  <conditionalFormatting sqref="G84">
    <cfRule type="expression" dxfId="3" priority="1244">
      <formula>COUNTIF(INDIRECT("Checklist!$A613"), "TRUE") = 1</formula>
    </cfRule>
    <cfRule type="expression" dxfId="4" priority="1245">
      <formula>COUNTIF(INDIRECT("Checklist!$A613"), "FALSE") = 1</formula>
    </cfRule>
  </conditionalFormatting>
  <conditionalFormatting sqref="G85">
    <cfRule type="expression" dxfId="3" priority="1256">
      <formula>COUNTIF(INDIRECT("Checklist!$A619"), "TRUE") = 1</formula>
    </cfRule>
    <cfRule type="expression" dxfId="4" priority="1257">
      <formula>COUNTIF(INDIRECT("Checklist!$A619"), "FALSE") = 1</formula>
    </cfRule>
  </conditionalFormatting>
  <conditionalFormatting sqref="G86">
    <cfRule type="expression" dxfId="3" priority="1268">
      <formula>COUNTIF(INDIRECT("Checklist!$A625"), "TRUE") = 1</formula>
    </cfRule>
    <cfRule type="expression" dxfId="4" priority="1269">
      <formula>COUNTIF(INDIRECT("Checklist!$A625"), "FALSE") = 1</formula>
    </cfRule>
  </conditionalFormatting>
  <conditionalFormatting sqref="G87">
    <cfRule type="expression" dxfId="3" priority="1280">
      <formula>COUNTIF(INDIRECT("Checklist!$A631"), "TRUE") = 1</formula>
    </cfRule>
    <cfRule type="expression" dxfId="4" priority="1281">
      <formula>COUNTIF(INDIRECT("Checklist!$A631"), "FALSE") = 1</formula>
    </cfRule>
  </conditionalFormatting>
  <conditionalFormatting sqref="G91">
    <cfRule type="expression" dxfId="3" priority="1354">
      <formula>COUNTIF(INDIRECT("Checklist!$A667"), "TRUE") = 1</formula>
    </cfRule>
    <cfRule type="expression" dxfId="4" priority="1355">
      <formula>COUNTIF(INDIRECT("Checklist!$A667"), "FALSE") = 1</formula>
    </cfRule>
  </conditionalFormatting>
  <conditionalFormatting sqref="G92">
    <cfRule type="expression" dxfId="3" priority="1366">
      <formula>COUNTIF(INDIRECT("Checklist!$A673"), "TRUE") = 1</formula>
    </cfRule>
    <cfRule type="expression" dxfId="4" priority="1367">
      <formula>COUNTIF(INDIRECT("Checklist!$A673"), "FALSE") = 1</formula>
    </cfRule>
  </conditionalFormatting>
  <conditionalFormatting sqref="G93">
    <cfRule type="expression" dxfId="3" priority="1378">
      <formula>COUNTIF(INDIRECT("Checklist!$A679"), "TRUE") = 1</formula>
    </cfRule>
    <cfRule type="expression" dxfId="4" priority="1379">
      <formula>COUNTIF(INDIRECT("Checklist!$A679"), "FALSE") = 1</formula>
    </cfRule>
  </conditionalFormatting>
  <conditionalFormatting sqref="G94">
    <cfRule type="expression" dxfId="3" priority="1390">
      <formula>COUNTIF(INDIRECT("Checklist!$A685"), "TRUE") = 1</formula>
    </cfRule>
    <cfRule type="expression" dxfId="4" priority="1391">
      <formula>COUNTIF(INDIRECT("Checklist!$A685"), "FALSE") = 1</formula>
    </cfRule>
  </conditionalFormatting>
  <conditionalFormatting sqref="G95">
    <cfRule type="expression" dxfId="3" priority="1402">
      <formula>COUNTIF(INDIRECT("Checklist!$A691"), "TRUE") = 1</formula>
    </cfRule>
    <cfRule type="expression" dxfId="4" priority="1403">
      <formula>COUNTIF(INDIRECT("Checklist!$A691"), "FALSE") = 1</formula>
    </cfRule>
  </conditionalFormatting>
  <conditionalFormatting sqref="G99">
    <cfRule type="expression" dxfId="3" priority="1476">
      <formula>COUNTIF(INDIRECT("Checklist!$A727"), "TRUE") = 1</formula>
    </cfRule>
    <cfRule type="expression" dxfId="4" priority="1477">
      <formula>COUNTIF(INDIRECT("Checklist!$A727"), "FALSE") = 1</formula>
    </cfRule>
  </conditionalFormatting>
  <conditionalFormatting sqref="I100">
    <cfRule type="expression" dxfId="3" priority="1539">
      <formula>COUNTIF(INDIRECT("Checklist!$A758"), "TRUE") = 1</formula>
    </cfRule>
    <cfRule type="expression" dxfId="4" priority="1540">
      <formula>COUNTIF(INDIRECT("Checklist!$A758"), "FALSE") = 1</formula>
    </cfRule>
  </conditionalFormatting>
  <conditionalFormatting sqref="I101">
    <cfRule type="expression" dxfId="3" priority="1551">
      <formula>COUNTIF(INDIRECT("Checklist!$A764"), "TRUE") = 1</formula>
    </cfRule>
    <cfRule type="expression" dxfId="4" priority="1552">
      <formula>COUNTIF(INDIRECT("Checklist!$A764"), "FALSE") = 1</formula>
    </cfRule>
  </conditionalFormatting>
  <conditionalFormatting sqref="I102">
    <cfRule type="expression" dxfId="3" priority="1563">
      <formula>COUNTIF(INDIRECT("Checklist!$A770"), "TRUE") = 1</formula>
    </cfRule>
    <cfRule type="expression" dxfId="4" priority="1564">
      <formula>COUNTIF(INDIRECT("Checklist!$A770"), "FALSE") = 1</formula>
    </cfRule>
  </conditionalFormatting>
  <conditionalFormatting sqref="I103">
    <cfRule type="expression" dxfId="3" priority="1575">
      <formula>COUNTIF(INDIRECT("Checklist!$A776"), "TRUE") = 1</formula>
    </cfRule>
    <cfRule type="expression" dxfId="4" priority="1576">
      <formula>COUNTIF(INDIRECT("Checklist!$A776"), "FALSE") = 1</formula>
    </cfRule>
  </conditionalFormatting>
  <conditionalFormatting sqref="I106:N106">
    <cfRule type="notContainsBlanks" dxfId="7" priority="1648">
      <formula>LEN(TRIM(I106))&gt;0</formula>
    </cfRule>
  </conditionalFormatting>
  <conditionalFormatting sqref="I107">
    <cfRule type="expression" dxfId="3" priority="1649">
      <formula>COUNTIF(INDIRECT("Checklist!$A812"), "TRUE") = 1</formula>
    </cfRule>
    <cfRule type="expression" dxfId="4" priority="1650">
      <formula>COUNTIF(INDIRECT("Checklist!$A812"), "FALSE") = 1</formula>
    </cfRule>
  </conditionalFormatting>
  <conditionalFormatting sqref="I108">
    <cfRule type="expression" dxfId="3" priority="1661">
      <formula>COUNTIF(INDIRECT("Checklist!$A818"), "TRUE") = 1</formula>
    </cfRule>
    <cfRule type="expression" dxfId="4" priority="1662">
      <formula>COUNTIF(INDIRECT("Checklist!$A818"), "FALSE") = 1</formula>
    </cfRule>
  </conditionalFormatting>
  <conditionalFormatting sqref="I109">
    <cfRule type="expression" dxfId="3" priority="1673">
      <formula>COUNTIF(INDIRECT("Checklist!$A1223"), "TRUE") = 1</formula>
    </cfRule>
    <cfRule type="expression" dxfId="4" priority="1674">
      <formula>COUNTIF(INDIRECT("Checklist!$A1223"), "FALSE") = 1</formula>
    </cfRule>
  </conditionalFormatting>
  <conditionalFormatting sqref="I10:N10">
    <cfRule type="notContainsBlanks" dxfId="7" priority="184">
      <formula>LEN(TRIM(I10))&gt;0</formula>
    </cfRule>
  </conditionalFormatting>
  <conditionalFormatting sqref="I11">
    <cfRule type="expression" dxfId="3" priority="185">
      <formula>COUNTIF(INDIRECT("Checklist!$A92"), "TRUE") = 1</formula>
    </cfRule>
    <cfRule type="expression" dxfId="4" priority="186">
      <formula>COUNTIF(INDIRECT("Checklist!$A92"), "FALSE") = 1</formula>
    </cfRule>
  </conditionalFormatting>
  <conditionalFormatting sqref="I110">
    <cfRule type="expression" dxfId="3" priority="1685">
      <formula>COUNTIF(INDIRECT("Checklist!$A830"), "TRUE") = 1</formula>
    </cfRule>
    <cfRule type="expression" dxfId="4" priority="1686">
      <formula>COUNTIF(INDIRECT("Checklist!$A830"), "FALSE") = 1</formula>
    </cfRule>
  </conditionalFormatting>
  <conditionalFormatting sqref="I111">
    <cfRule type="expression" dxfId="3" priority="1697">
      <formula>COUNTIF(INDIRECT("Checklist!$A836"), "TRUE") = 1</formula>
    </cfRule>
    <cfRule type="expression" dxfId="4" priority="1698">
      <formula>COUNTIF(INDIRECT("Checklist!$A836"), "FALSE") = 1</formula>
    </cfRule>
  </conditionalFormatting>
  <conditionalFormatting sqref="I114:N114">
    <cfRule type="notContainsBlanks" dxfId="7" priority="1770">
      <formula>LEN(TRIM(I114))&gt;0</formula>
    </cfRule>
  </conditionalFormatting>
  <conditionalFormatting sqref="I115">
    <cfRule type="expression" dxfId="3" priority="1771">
      <formula>COUNTIF(INDIRECT("Checklist!$A872"), "TRUE") = 1</formula>
    </cfRule>
    <cfRule type="expression" dxfId="4" priority="1772">
      <formula>COUNTIF(INDIRECT("Checklist!$A872"), "FALSE") = 1</formula>
    </cfRule>
  </conditionalFormatting>
  <conditionalFormatting sqref="I116">
    <cfRule type="expression" dxfId="3" priority="1783">
      <formula>COUNTIF(INDIRECT("Checklist!$A878"), "TRUE") = 1</formula>
    </cfRule>
    <cfRule type="expression" dxfId="4" priority="1784">
      <formula>COUNTIF(INDIRECT("Checklist!$A878"), "FALSE") = 1</formula>
    </cfRule>
  </conditionalFormatting>
  <conditionalFormatting sqref="I117">
    <cfRule type="expression" dxfId="3" priority="1795">
      <formula>COUNTIF(INDIRECT("Checklist!$A884"), "TRUE") = 1</formula>
    </cfRule>
    <cfRule type="expression" dxfId="4" priority="1796">
      <formula>COUNTIF(INDIRECT("Checklist!$A884"), "FALSE") = 1</formula>
    </cfRule>
  </conditionalFormatting>
  <conditionalFormatting sqref="I118">
    <cfRule type="expression" dxfId="3" priority="1807">
      <formula>COUNTIF(INDIRECT("Checklist!$A890"), "TRUE") = 1</formula>
    </cfRule>
    <cfRule type="expression" dxfId="4" priority="1808">
      <formula>COUNTIF(INDIRECT("Checklist!$A890"), "FALSE") = 1</formula>
    </cfRule>
  </conditionalFormatting>
  <conditionalFormatting sqref="I119">
    <cfRule type="expression" dxfId="3" priority="1819">
      <formula>COUNTIF(INDIRECT("Checklist!$A896"), "TRUE") = 1</formula>
    </cfRule>
    <cfRule type="expression" dxfId="4" priority="1820">
      <formula>COUNTIF(INDIRECT("Checklist!$A896"), "FALSE") = 1</formula>
    </cfRule>
  </conditionalFormatting>
  <conditionalFormatting sqref="I12">
    <cfRule type="expression" dxfId="3" priority="197">
      <formula>COUNTIF(INDIRECT("Checklist!$A98"), "TRUE") = 1</formula>
    </cfRule>
    <cfRule type="expression" dxfId="4" priority="198">
      <formula>COUNTIF(INDIRECT("Checklist!$A98"), "FALSE") = 1</formula>
    </cfRule>
  </conditionalFormatting>
  <conditionalFormatting sqref="I122:N122">
    <cfRule type="notContainsBlanks" dxfId="7" priority="1892">
      <formula>LEN(TRIM(I122))&gt;0</formula>
    </cfRule>
  </conditionalFormatting>
  <conditionalFormatting sqref="I123">
    <cfRule type="expression" dxfId="3" priority="1893">
      <formula>COUNTIF(INDIRECT("Checklist!$A1203"), "TRUE") = 1</formula>
    </cfRule>
    <cfRule type="expression" dxfId="4" priority="1894">
      <formula>COUNTIF(INDIRECT("Checklist!$A1203"), "FALSE") = 1</formula>
    </cfRule>
  </conditionalFormatting>
  <conditionalFormatting sqref="I124">
    <cfRule type="expression" dxfId="3" priority="1905">
      <formula>COUNTIF(INDIRECT("Checklist!$A913"), "TRUE") = 1</formula>
    </cfRule>
    <cfRule type="expression" dxfId="4" priority="1906">
      <formula>COUNTIF(INDIRECT("Checklist!$A913"), "FALSE") = 1</formula>
    </cfRule>
  </conditionalFormatting>
  <conditionalFormatting sqref="I125">
    <cfRule type="expression" dxfId="3" priority="1917">
      <formula>COUNTIF(INDIRECT("Checklist!$A919"), "TRUE") = 1</formula>
    </cfRule>
    <cfRule type="expression" dxfId="4" priority="1918">
      <formula>COUNTIF(INDIRECT("Checklist!$A919"), "FALSE") = 1</formula>
    </cfRule>
  </conditionalFormatting>
  <conditionalFormatting sqref="I126">
    <cfRule type="expression" dxfId="3" priority="1929">
      <formula>COUNTIF(INDIRECT("Checklist!$A925"), "TRUE") = 1</formula>
    </cfRule>
    <cfRule type="expression" dxfId="4" priority="1930">
      <formula>COUNTIF(INDIRECT("Checklist!$A925"), "FALSE") = 1</formula>
    </cfRule>
  </conditionalFormatting>
  <conditionalFormatting sqref="I127">
    <cfRule type="expression" dxfId="3" priority="1941">
      <formula>COUNTIF(INDIRECT("Checklist!$A931"), "TRUE") = 1</formula>
    </cfRule>
    <cfRule type="expression" dxfId="4" priority="1942">
      <formula>COUNTIF(INDIRECT("Checklist!$A931"), "FALSE") = 1</formula>
    </cfRule>
  </conditionalFormatting>
  <conditionalFormatting sqref="I13">
    <cfRule type="expression" dxfId="3" priority="209">
      <formula>COUNTIF(INDIRECT("Checklist!$A104"), "TRUE") = 1</formula>
    </cfRule>
    <cfRule type="expression" dxfId="4" priority="210">
      <formula>COUNTIF(INDIRECT("Checklist!$A104"), "FALSE") = 1</formula>
    </cfRule>
  </conditionalFormatting>
  <conditionalFormatting sqref="I130:N130">
    <cfRule type="notContainsBlanks" dxfId="7" priority="2014">
      <formula>LEN(TRIM(I130))&gt;0</formula>
    </cfRule>
  </conditionalFormatting>
  <conditionalFormatting sqref="I131">
    <cfRule type="expression" dxfId="3" priority="2015">
      <formula>COUNTIF(INDIRECT("Checklist!$A967"), "TRUE") = 1</formula>
    </cfRule>
    <cfRule type="expression" dxfId="4" priority="2016">
      <formula>COUNTIF(INDIRECT("Checklist!$A967"), "FALSE") = 1</formula>
    </cfRule>
  </conditionalFormatting>
  <conditionalFormatting sqref="I132">
    <cfRule type="expression" dxfId="3" priority="2027">
      <formula>COUNTIF(INDIRECT("Checklist!$A973"), "TRUE") = 1</formula>
    </cfRule>
    <cfRule type="expression" dxfId="4" priority="2028">
      <formula>COUNTIF(INDIRECT("Checklist!$A973"), "FALSE") = 1</formula>
    </cfRule>
  </conditionalFormatting>
  <conditionalFormatting sqref="I133">
    <cfRule type="expression" dxfId="3" priority="2039">
      <formula>COUNTIF(INDIRECT("Checklist!$A979"), "TRUE") = 1</formula>
    </cfRule>
    <cfRule type="expression" dxfId="4" priority="2040">
      <formula>COUNTIF(INDIRECT("Checklist!$A979"), "FALSE") = 1</formula>
    </cfRule>
  </conditionalFormatting>
  <conditionalFormatting sqref="I134">
    <cfRule type="expression" dxfId="3" priority="2051">
      <formula>COUNTIF(INDIRECT("Checklist!$A985"), "TRUE") = 1</formula>
    </cfRule>
    <cfRule type="expression" dxfId="4" priority="2052">
      <formula>COUNTIF(INDIRECT("Checklist!$A985"), "FALSE") = 1</formula>
    </cfRule>
  </conditionalFormatting>
  <conditionalFormatting sqref="I135">
    <cfRule type="expression" dxfId="3" priority="2063">
      <formula>COUNTIF(INDIRECT("Checklist!$A991"), "TRUE") = 1</formula>
    </cfRule>
    <cfRule type="expression" dxfId="4" priority="2064">
      <formula>COUNTIF(INDIRECT("Checklist!$A991"), "FALSE") = 1</formula>
    </cfRule>
  </conditionalFormatting>
  <conditionalFormatting sqref="I138:N138">
    <cfRule type="notContainsBlanks" dxfId="7" priority="2136">
      <formula>LEN(TRIM(I138))&gt;0</formula>
    </cfRule>
  </conditionalFormatting>
  <conditionalFormatting sqref="I139">
    <cfRule type="expression" dxfId="3" priority="2137">
      <formula>COUNTIF(INDIRECT("Checklist!$A1209"), "TRUE") = 1</formula>
    </cfRule>
    <cfRule type="expression" dxfId="4" priority="2138">
      <formula>COUNTIF(INDIRECT("Checklist!$A1209"), "FALSE") = 1</formula>
    </cfRule>
  </conditionalFormatting>
  <conditionalFormatting sqref="I14">
    <cfRule type="expression" dxfId="3" priority="221">
      <formula>COUNTIF(INDIRECT("Checklist!$A110"), "TRUE") = 1</formula>
    </cfRule>
    <cfRule type="expression" dxfId="4" priority="222">
      <formula>COUNTIF(INDIRECT("Checklist!$A110"), "FALSE") = 1</formula>
    </cfRule>
  </conditionalFormatting>
  <conditionalFormatting sqref="I140">
    <cfRule type="expression" dxfId="3" priority="2149">
      <formula>COUNTIF(INDIRECT("Checklist!$A1014"), "TRUE") = 1</formula>
    </cfRule>
    <cfRule type="expression" dxfId="4" priority="2150">
      <formula>COUNTIF(INDIRECT("Checklist!$A1014"), "FALSE") = 1</formula>
    </cfRule>
  </conditionalFormatting>
  <conditionalFormatting sqref="I141">
    <cfRule type="expression" dxfId="3" priority="2161">
      <formula>COUNTIF(INDIRECT("Checklist!$None"), "TRUE") = 1</formula>
    </cfRule>
    <cfRule type="expression" dxfId="4" priority="2162">
      <formula>COUNTIF(INDIRECT("Checklist!$None"), "FALSE") = 1</formula>
    </cfRule>
  </conditionalFormatting>
  <conditionalFormatting sqref="I142">
    <cfRule type="expression" dxfId="3" priority="2173">
      <formula>COUNTIF(INDIRECT("Checklist!$None"), "TRUE") = 1</formula>
    </cfRule>
    <cfRule type="expression" dxfId="4" priority="2174">
      <formula>COUNTIF(INDIRECT("Checklist!$None"), "FALSE") = 1</formula>
    </cfRule>
  </conditionalFormatting>
  <conditionalFormatting sqref="I143">
    <cfRule type="expression" dxfId="3" priority="2185">
      <formula>COUNTIF(INDIRECT("Checklist!$None"), "TRUE") = 1</formula>
    </cfRule>
    <cfRule type="expression" dxfId="4" priority="2186">
      <formula>COUNTIF(INDIRECT("Checklist!$None"), "FALSE") = 1</formula>
    </cfRule>
  </conditionalFormatting>
  <conditionalFormatting sqref="I146:N146">
    <cfRule type="notContainsBlanks" dxfId="7" priority="2258">
      <formula>LEN(TRIM(I146))&gt;0</formula>
    </cfRule>
  </conditionalFormatting>
  <conditionalFormatting sqref="I147">
    <cfRule type="expression" dxfId="3" priority="2259">
      <formula>COUNTIF(INDIRECT("Checklist!$A387"), "TRUE") = 1</formula>
    </cfRule>
    <cfRule type="expression" dxfId="4" priority="2260">
      <formula>COUNTIF(INDIRECT("Checklist!$A387"), "FALSE") = 1</formula>
    </cfRule>
  </conditionalFormatting>
  <conditionalFormatting sqref="I148">
    <cfRule type="expression" dxfId="3" priority="2271">
      <formula>COUNTIF(INDIRECT("Checklist!$A413"), "TRUE") = 1</formula>
    </cfRule>
    <cfRule type="expression" dxfId="4" priority="2272">
      <formula>COUNTIF(INDIRECT("Checklist!$A413"), "FALSE") = 1</formula>
    </cfRule>
  </conditionalFormatting>
  <conditionalFormatting sqref="I149">
    <cfRule type="expression" dxfId="3" priority="2283">
      <formula>COUNTIF(INDIRECT("Checklist!$A414"), "TRUE") = 1</formula>
    </cfRule>
    <cfRule type="expression" dxfId="4" priority="2284">
      <formula>COUNTIF(INDIRECT("Checklist!$A414"), "FALSE") = 1</formula>
    </cfRule>
  </conditionalFormatting>
  <conditionalFormatting sqref="I15">
    <cfRule type="expression" dxfId="3" priority="233">
      <formula>COUNTIF(INDIRECT("Checklist!$A116"), "TRUE") = 1</formula>
    </cfRule>
    <cfRule type="expression" dxfId="4" priority="234">
      <formula>COUNTIF(INDIRECT("Checklist!$A116"), "FALSE") = 1</formula>
    </cfRule>
  </conditionalFormatting>
  <conditionalFormatting sqref="I150">
    <cfRule type="expression" dxfId="3" priority="2295">
      <formula>COUNTIF(INDIRECT("Checklist!$A480"), "TRUE") = 1</formula>
    </cfRule>
    <cfRule type="expression" dxfId="4" priority="2296">
      <formula>COUNTIF(INDIRECT("Checklist!$A480"), "FALSE") = 1</formula>
    </cfRule>
  </conditionalFormatting>
  <conditionalFormatting sqref="I151">
    <cfRule type="expression" dxfId="3" priority="2307">
      <formula>COUNTIF(INDIRECT("Checklist!$A493"), "TRUE") = 1</formula>
    </cfRule>
    <cfRule type="expression" dxfId="4" priority="2308">
      <formula>COUNTIF(INDIRECT("Checklist!$A493"), "FALSE") = 1</formula>
    </cfRule>
  </conditionalFormatting>
  <conditionalFormatting sqref="I154:N154">
    <cfRule type="notContainsBlanks" dxfId="7" priority="2380">
      <formula>LEN(TRIM(I154))&gt;0</formula>
    </cfRule>
  </conditionalFormatting>
  <conditionalFormatting sqref="I155">
    <cfRule type="expression" dxfId="3" priority="2381">
      <formula>COUNTIF(INDIRECT("Checklist!$A711"), "TRUE") = 1</formula>
    </cfRule>
    <cfRule type="expression" dxfId="4" priority="2382">
      <formula>COUNTIF(INDIRECT("Checklist!$A711"), "FALSE") = 1</formula>
    </cfRule>
  </conditionalFormatting>
  <conditionalFormatting sqref="I156">
    <cfRule type="expression" dxfId="3" priority="2393">
      <formula>COUNTIF(INDIRECT("Checklist!$A712"), "TRUE") = 1</formula>
    </cfRule>
    <cfRule type="expression" dxfId="4" priority="2394">
      <formula>COUNTIF(INDIRECT("Checklist!$A712"), "FALSE") = 1</formula>
    </cfRule>
  </conditionalFormatting>
  <conditionalFormatting sqref="I157">
    <cfRule type="expression" dxfId="3" priority="2405">
      <formula>COUNTIF(INDIRECT("Checklist!$A677"), "TRUE") = 1</formula>
    </cfRule>
    <cfRule type="expression" dxfId="4" priority="2406">
      <formula>COUNTIF(INDIRECT("Checklist!$A677"), "FALSE") = 1</formula>
    </cfRule>
  </conditionalFormatting>
  <conditionalFormatting sqref="I158">
    <cfRule type="expression" dxfId="3" priority="2417">
      <formula>COUNTIF(INDIRECT("Checklist!$A1080"), "TRUE") = 1</formula>
    </cfRule>
    <cfRule type="expression" dxfId="4" priority="2418">
      <formula>COUNTIF(INDIRECT("Checklist!$A1080"), "FALSE") = 1</formula>
    </cfRule>
  </conditionalFormatting>
  <conditionalFormatting sqref="I159">
    <cfRule type="expression" dxfId="3" priority="2429">
      <formula>COUNTIF(INDIRECT("Checklist!$None"), "TRUE") = 1</formula>
    </cfRule>
    <cfRule type="expression" dxfId="4" priority="2430">
      <formula>COUNTIF(INDIRECT("Checklist!$None"), "FALSE") = 1</formula>
    </cfRule>
  </conditionalFormatting>
  <conditionalFormatting sqref="I162:N162">
    <cfRule type="notContainsBlanks" dxfId="7" priority="2502">
      <formula>LEN(TRIM(I162))&gt;0</formula>
    </cfRule>
  </conditionalFormatting>
  <conditionalFormatting sqref="I163">
    <cfRule type="expression" dxfId="3" priority="2503">
      <formula>COUNTIF(INDIRECT("Checklist!$A667"), "TRUE") = 1</formula>
    </cfRule>
    <cfRule type="expression" dxfId="4" priority="2504">
      <formula>COUNTIF(INDIRECT("Checklist!$A667"), "FALSE") = 1</formula>
    </cfRule>
  </conditionalFormatting>
  <conditionalFormatting sqref="I164">
    <cfRule type="expression" dxfId="3" priority="2515">
      <formula>COUNTIF(INDIRECT("Checklist!$A1107"), "TRUE") = 1</formula>
    </cfRule>
    <cfRule type="expression" dxfId="4" priority="2516">
      <formula>COUNTIF(INDIRECT("Checklist!$A1107"), "FALSE") = 1</formula>
    </cfRule>
  </conditionalFormatting>
  <conditionalFormatting sqref="I165">
    <cfRule type="expression" dxfId="3" priority="2527">
      <formula>COUNTIF(INDIRECT("Checklist!$A1113"), "TRUE") = 1</formula>
    </cfRule>
    <cfRule type="expression" dxfId="4" priority="2528">
      <formula>COUNTIF(INDIRECT("Checklist!$A1113"), "FALSE") = 1</formula>
    </cfRule>
  </conditionalFormatting>
  <conditionalFormatting sqref="I166">
    <cfRule type="expression" dxfId="3" priority="2539">
      <formula>COUNTIF(INDIRECT("Checklist!$A1119"), "TRUE") = 1</formula>
    </cfRule>
    <cfRule type="expression" dxfId="4" priority="2540">
      <formula>COUNTIF(INDIRECT("Checklist!$A1119"), "FALSE") = 1</formula>
    </cfRule>
  </conditionalFormatting>
  <conditionalFormatting sqref="I167">
    <cfRule type="expression" dxfId="3" priority="2551">
      <formula>COUNTIF(INDIRECT("Checklist!$None"), "TRUE") = 1</formula>
    </cfRule>
    <cfRule type="expression" dxfId="4" priority="2552">
      <formula>COUNTIF(INDIRECT("Checklist!$None"), "FALSE") = 1</formula>
    </cfRule>
  </conditionalFormatting>
  <conditionalFormatting sqref="I170:N170">
    <cfRule type="notContainsBlanks" dxfId="7" priority="2624">
      <formula>LEN(TRIM(I170))&gt;0</formula>
    </cfRule>
  </conditionalFormatting>
  <conditionalFormatting sqref="I171">
    <cfRule type="expression" dxfId="3" priority="2625">
      <formula>COUNTIF(INDIRECT("Checklist!$A1230"), "TRUE") = 1</formula>
    </cfRule>
    <cfRule type="expression" dxfId="4" priority="2626">
      <formula>COUNTIF(INDIRECT("Checklist!$A1230"), "FALSE") = 1</formula>
    </cfRule>
  </conditionalFormatting>
  <conditionalFormatting sqref="I172">
    <cfRule type="expression" dxfId="3" priority="2637">
      <formula>COUNTIF(INDIRECT("Checklist!$A855"), "TRUE") = 1</formula>
    </cfRule>
    <cfRule type="expression" dxfId="4" priority="2638">
      <formula>COUNTIF(INDIRECT("Checklist!$A855"), "FALSE") = 1</formula>
    </cfRule>
  </conditionalFormatting>
  <conditionalFormatting sqref="I173">
    <cfRule type="expression" dxfId="3" priority="2649">
      <formula>COUNTIF(INDIRECT("Checklist!$A1238"), "TRUE") = 1</formula>
    </cfRule>
    <cfRule type="expression" dxfId="4" priority="2650">
      <formula>COUNTIF(INDIRECT("Checklist!$A1238"), "FALSE") = 1</formula>
    </cfRule>
  </conditionalFormatting>
  <conditionalFormatting sqref="I174">
    <cfRule type="expression" dxfId="3" priority="2661">
      <formula>COUNTIF(INDIRECT("Checklist!$A894"), "TRUE") = 1</formula>
    </cfRule>
    <cfRule type="expression" dxfId="4" priority="2662">
      <formula>COUNTIF(INDIRECT("Checklist!$A894"), "FALSE") = 1</formula>
    </cfRule>
  </conditionalFormatting>
  <conditionalFormatting sqref="I175">
    <cfRule type="expression" dxfId="3" priority="2673">
      <formula>COUNTIF(INDIRECT("Checklist!$A906"), "TRUE") = 1</formula>
    </cfRule>
    <cfRule type="expression" dxfId="4" priority="2674">
      <formula>COUNTIF(INDIRECT("Checklist!$A906"), "FALSE") = 1</formula>
    </cfRule>
  </conditionalFormatting>
  <conditionalFormatting sqref="I178:N178">
    <cfRule type="notContainsBlanks" dxfId="7" priority="2746">
      <formula>LEN(TRIM(I178))&gt;0</formula>
    </cfRule>
  </conditionalFormatting>
  <conditionalFormatting sqref="I179">
    <cfRule type="expression" dxfId="3" priority="2747">
      <formula>COUNTIF(INDIRECT("Checklist!$A1167"), "TRUE") = 1</formula>
    </cfRule>
    <cfRule type="expression" dxfId="4" priority="2748">
      <formula>COUNTIF(INDIRECT("Checklist!$A1167"), "FALSE") = 1</formula>
    </cfRule>
  </conditionalFormatting>
  <conditionalFormatting sqref="I180">
    <cfRule type="expression" dxfId="3" priority="2759">
      <formula>COUNTIF(INDIRECT("Checklist!$A1173"), "TRUE") = 1</formula>
    </cfRule>
    <cfRule type="expression" dxfId="4" priority="2760">
      <formula>COUNTIF(INDIRECT("Checklist!$A1173"), "FALSE") = 1</formula>
    </cfRule>
  </conditionalFormatting>
  <conditionalFormatting sqref="I181">
    <cfRule type="expression" dxfId="3" priority="2771">
      <formula>COUNTIF(INDIRECT("Checklist!$A1179"), "TRUE") = 1</formula>
    </cfRule>
    <cfRule type="expression" dxfId="4" priority="2772">
      <formula>COUNTIF(INDIRECT("Checklist!$A1179"), "FALSE") = 1</formula>
    </cfRule>
  </conditionalFormatting>
  <conditionalFormatting sqref="I182">
    <cfRule type="expression" dxfId="3" priority="2783">
      <formula>COUNTIF(INDIRECT("Checklist!$A1185"), "TRUE") = 1</formula>
    </cfRule>
    <cfRule type="expression" dxfId="4" priority="2784">
      <formula>COUNTIF(INDIRECT("Checklist!$A1185"), "FALSE") = 1</formula>
    </cfRule>
  </conditionalFormatting>
  <conditionalFormatting sqref="I183">
    <cfRule type="expression" dxfId="3" priority="2795">
      <formula>COUNTIF(INDIRECT("Checklist!$A1191"), "TRUE") = 1</formula>
    </cfRule>
    <cfRule type="expression" dxfId="4" priority="2796">
      <formula>COUNTIF(INDIRECT("Checklist!$A1191"), "FALSE") = 1</formula>
    </cfRule>
  </conditionalFormatting>
  <conditionalFormatting sqref="I186:N186">
    <cfRule type="notContainsBlanks" dxfId="7" priority="2868">
      <formula>LEN(TRIM(I186))&gt;0</formula>
    </cfRule>
  </conditionalFormatting>
  <conditionalFormatting sqref="I187">
    <cfRule type="expression" dxfId="3" priority="2869">
      <formula>COUNTIF(INDIRECT("Checklist!$None"), "TRUE") = 1</formula>
    </cfRule>
    <cfRule type="expression" dxfId="4" priority="2870">
      <formula>COUNTIF(INDIRECT("Checklist!$None"), "FALSE") = 1</formula>
    </cfRule>
  </conditionalFormatting>
  <conditionalFormatting sqref="I188">
    <cfRule type="expression" dxfId="3" priority="2881">
      <formula>COUNTIF(INDIRECT("Checklist!$None"), "TRUE") = 1</formula>
    </cfRule>
    <cfRule type="expression" dxfId="4" priority="2882">
      <formula>COUNTIF(INDIRECT("Checklist!$None"), "FALSE") = 1</formula>
    </cfRule>
  </conditionalFormatting>
  <conditionalFormatting sqref="I189">
    <cfRule type="expression" dxfId="3" priority="2893">
      <formula>COUNTIF(INDIRECT("Checklist!$None"), "TRUE") = 1</formula>
    </cfRule>
    <cfRule type="expression" dxfId="4" priority="2894">
      <formula>COUNTIF(INDIRECT("Checklist!$None"), "FALSE") = 1</formula>
    </cfRule>
  </conditionalFormatting>
  <conditionalFormatting sqref="I18:N18">
    <cfRule type="notContainsBlanks" dxfId="7" priority="306">
      <formula>LEN(TRIM(I18))&gt;0</formula>
    </cfRule>
  </conditionalFormatting>
  <conditionalFormatting sqref="I19">
    <cfRule type="expression" dxfId="3" priority="307">
      <formula>COUNTIF(INDIRECT("Checklist!$A152"), "TRUE") = 1</formula>
    </cfRule>
    <cfRule type="expression" dxfId="4" priority="308">
      <formula>COUNTIF(INDIRECT("Checklist!$A152"), "FALSE") = 1</formula>
    </cfRule>
  </conditionalFormatting>
  <conditionalFormatting sqref="I190">
    <cfRule type="expression" dxfId="3" priority="2905">
      <formula>COUNTIF(INDIRECT("Checklist!$None"), "TRUE") = 1</formula>
    </cfRule>
    <cfRule type="expression" dxfId="4" priority="2906">
      <formula>COUNTIF(INDIRECT("Checklist!$None"), "FALSE") = 1</formula>
    </cfRule>
  </conditionalFormatting>
  <conditionalFormatting sqref="I191">
    <cfRule type="expression" dxfId="3" priority="2917">
      <formula>COUNTIF(INDIRECT("Checklist!$None"), "TRUE") = 1</formula>
    </cfRule>
    <cfRule type="expression" dxfId="4" priority="2918">
      <formula>COUNTIF(INDIRECT("Checklist!$None"), "FALSE") = 1</formula>
    </cfRule>
  </conditionalFormatting>
  <conditionalFormatting sqref="I194:N194">
    <cfRule type="notContainsBlanks" dxfId="7" priority="2990">
      <formula>LEN(TRIM(I194))&gt;0</formula>
    </cfRule>
  </conditionalFormatting>
  <conditionalFormatting sqref="I195">
    <cfRule type="expression" dxfId="3" priority="2991">
      <formula>COUNTIF(INDIRECT("Checklist!$None"), "TRUE") = 1</formula>
    </cfRule>
    <cfRule type="expression" dxfId="4" priority="2992">
      <formula>COUNTIF(INDIRECT("Checklist!$None"), "FALSE") = 1</formula>
    </cfRule>
  </conditionalFormatting>
  <conditionalFormatting sqref="I196">
    <cfRule type="expression" dxfId="3" priority="3003">
      <formula>COUNTIF(INDIRECT("Checklist!$None"), "TRUE") = 1</formula>
    </cfRule>
    <cfRule type="expression" dxfId="4" priority="3004">
      <formula>COUNTIF(INDIRECT("Checklist!$None"), "FALSE") = 1</formula>
    </cfRule>
  </conditionalFormatting>
  <conditionalFormatting sqref="I197">
    <cfRule type="expression" dxfId="3" priority="3015">
      <formula>COUNTIF(INDIRECT("Checklist!$None"), "TRUE") = 1</formula>
    </cfRule>
    <cfRule type="expression" dxfId="4" priority="3016">
      <formula>COUNTIF(INDIRECT("Checklist!$None"), "FALSE") = 1</formula>
    </cfRule>
  </conditionalFormatting>
  <conditionalFormatting sqref="I198">
    <cfRule type="expression" dxfId="3" priority="3027">
      <formula>COUNTIF(INDIRECT("Checklist!$None"), "TRUE") = 1</formula>
    </cfRule>
    <cfRule type="expression" dxfId="4" priority="3028">
      <formula>COUNTIF(INDIRECT("Checklist!$None"), "FALSE") = 1</formula>
    </cfRule>
  </conditionalFormatting>
  <conditionalFormatting sqref="I199">
    <cfRule type="expression" dxfId="3" priority="3039">
      <formula>COUNTIF(INDIRECT("Checklist!$None"), "TRUE") = 1</formula>
    </cfRule>
    <cfRule type="expression" dxfId="4" priority="3040">
      <formula>COUNTIF(INDIRECT("Checklist!$None"), "FALSE") = 1</formula>
    </cfRule>
  </conditionalFormatting>
  <conditionalFormatting sqref="I20">
    <cfRule type="expression" dxfId="3" priority="319">
      <formula>COUNTIF(INDIRECT("Checklist!$A158"), "TRUE") = 1</formula>
    </cfRule>
    <cfRule type="expression" dxfId="4" priority="320">
      <formula>COUNTIF(INDIRECT("Checklist!$A158"), "FALSE") = 1</formula>
    </cfRule>
  </conditionalFormatting>
  <conditionalFormatting sqref="I202:N202">
    <cfRule type="notContainsBlanks" dxfId="7" priority="3112">
      <formula>LEN(TRIM(I202))&gt;0</formula>
    </cfRule>
  </conditionalFormatting>
  <conditionalFormatting sqref="I203">
    <cfRule type="expression" dxfId="3" priority="3113">
      <formula>COUNTIF(INDIRECT("Checklist!$A1258"), "TRUE") = 1</formula>
    </cfRule>
    <cfRule type="expression" dxfId="4" priority="3114">
      <formula>COUNTIF(INDIRECT("Checklist!$A1258"), "FALSE") = 1</formula>
    </cfRule>
  </conditionalFormatting>
  <conditionalFormatting sqref="I204">
    <cfRule type="expression" dxfId="3" priority="3125">
      <formula>COUNTIF(INDIRECT("Checklist!$A1264"), "TRUE") = 1</formula>
    </cfRule>
    <cfRule type="expression" dxfId="4" priority="3126">
      <formula>COUNTIF(INDIRECT("Checklist!$A1264"), "FALSE") = 1</formula>
    </cfRule>
  </conditionalFormatting>
  <conditionalFormatting sqref="I205">
    <cfRule type="expression" dxfId="3" priority="3137">
      <formula>COUNTIF(INDIRECT("Checklist!$A1270"), "TRUE") = 1</formula>
    </cfRule>
    <cfRule type="expression" dxfId="4" priority="3138">
      <formula>COUNTIF(INDIRECT("Checklist!$A1270"), "FALSE") = 1</formula>
    </cfRule>
  </conditionalFormatting>
  <conditionalFormatting sqref="I206">
    <cfRule type="expression" dxfId="3" priority="3149">
      <formula>COUNTIF(INDIRECT("Checklist!$A1276"), "TRUE") = 1</formula>
    </cfRule>
    <cfRule type="expression" dxfId="4" priority="3150">
      <formula>COUNTIF(INDIRECT("Checklist!$A1276"), "FALSE") = 1</formula>
    </cfRule>
  </conditionalFormatting>
  <conditionalFormatting sqref="I207">
    <cfRule type="expression" dxfId="3" priority="3161">
      <formula>COUNTIF(INDIRECT("Checklist!$None"), "TRUE") = 1</formula>
    </cfRule>
    <cfRule type="expression" dxfId="4" priority="3162">
      <formula>COUNTIF(INDIRECT("Checklist!$None"), "FALSE") = 1</formula>
    </cfRule>
  </conditionalFormatting>
  <conditionalFormatting sqref="I21">
    <cfRule type="expression" dxfId="3" priority="331">
      <formula>COUNTIF(INDIRECT("Checklist!$A164"), "TRUE") = 1</formula>
    </cfRule>
    <cfRule type="expression" dxfId="4" priority="332">
      <formula>COUNTIF(INDIRECT("Checklist!$A164"), "FALSE") = 1</formula>
    </cfRule>
  </conditionalFormatting>
  <conditionalFormatting sqref="I22">
    <cfRule type="expression" dxfId="3" priority="343">
      <formula>COUNTIF(INDIRECT("Checklist!$A170"), "TRUE") = 1</formula>
    </cfRule>
    <cfRule type="expression" dxfId="4" priority="344">
      <formula>COUNTIF(INDIRECT("Checklist!$A170"), "FALSE") = 1</formula>
    </cfRule>
  </conditionalFormatting>
  <conditionalFormatting sqref="I23">
    <cfRule type="expression" dxfId="3" priority="355">
      <formula>COUNTIF(INDIRECT("Checklist!$A176"), "TRUE") = 1</formula>
    </cfRule>
    <cfRule type="expression" dxfId="4" priority="356">
      <formula>COUNTIF(INDIRECT("Checklist!$A176"), "FALSE") = 1</formula>
    </cfRule>
  </conditionalFormatting>
  <conditionalFormatting sqref="I26:N26">
    <cfRule type="notContainsBlanks" dxfId="7" priority="428">
      <formula>LEN(TRIM(I26))&gt;0</formula>
    </cfRule>
  </conditionalFormatting>
  <conditionalFormatting sqref="I27">
    <cfRule type="expression" dxfId="3" priority="429">
      <formula>COUNTIF(INDIRECT("Checklist!$A212"), "TRUE") = 1</formula>
    </cfRule>
    <cfRule type="expression" dxfId="4" priority="430">
      <formula>COUNTIF(INDIRECT("Checklist!$A212"), "FALSE") = 1</formula>
    </cfRule>
  </conditionalFormatting>
  <conditionalFormatting sqref="I28">
    <cfRule type="expression" dxfId="3" priority="441">
      <formula>COUNTIF(INDIRECT("Checklist!$A218"), "TRUE") = 1</formula>
    </cfRule>
    <cfRule type="expression" dxfId="4" priority="442">
      <formula>COUNTIF(INDIRECT("Checklist!$A218"), "FALSE") = 1</formula>
    </cfRule>
  </conditionalFormatting>
  <conditionalFormatting sqref="I29">
    <cfRule type="expression" dxfId="3" priority="453">
      <formula>COUNTIF(INDIRECT("Checklist!$A224"), "TRUE") = 1</formula>
    </cfRule>
    <cfRule type="expression" dxfId="4" priority="454">
      <formula>COUNTIF(INDIRECT("Checklist!$A224"), "FALSE") = 1</formula>
    </cfRule>
  </conditionalFormatting>
  <conditionalFormatting sqref="I2:N2">
    <cfRule type="notContainsBlanks" dxfId="7" priority="62">
      <formula>LEN(TRIM(I2))&gt;0</formula>
    </cfRule>
  </conditionalFormatting>
  <conditionalFormatting sqref="I3">
    <cfRule type="expression" dxfId="3" priority="63">
      <formula>COUNTIF(INDIRECT("Checklist!$A32"), "TRUE") = 1</formula>
    </cfRule>
    <cfRule type="expression" dxfId="4" priority="64">
      <formula>COUNTIF(INDIRECT("Checklist!$A32"), "FALSE") = 1</formula>
    </cfRule>
  </conditionalFormatting>
  <conditionalFormatting sqref="I30">
    <cfRule type="expression" dxfId="3" priority="465">
      <formula>COUNTIF(INDIRECT("Checklist!$A230"), "TRUE") = 1</formula>
    </cfRule>
    <cfRule type="expression" dxfId="4" priority="466">
      <formula>COUNTIF(INDIRECT("Checklist!$A230"), "FALSE") = 1</formula>
    </cfRule>
  </conditionalFormatting>
  <conditionalFormatting sqref="I31">
    <cfRule type="expression" dxfId="3" priority="477">
      <formula>COUNTIF(INDIRECT("Checklist!$A236"), "TRUE") = 1</formula>
    </cfRule>
    <cfRule type="expression" dxfId="4" priority="478">
      <formula>COUNTIF(INDIRECT("Checklist!$A236"), "FALSE") = 1</formula>
    </cfRule>
  </conditionalFormatting>
  <conditionalFormatting sqref="I34:N34">
    <cfRule type="notContainsBlanks" dxfId="7" priority="550">
      <formula>LEN(TRIM(I34))&gt;0</formula>
    </cfRule>
  </conditionalFormatting>
  <conditionalFormatting sqref="I35">
    <cfRule type="expression" dxfId="3" priority="551">
      <formula>COUNTIF(INDIRECT("Checklist!$A272"), "TRUE") = 1</formula>
    </cfRule>
    <cfRule type="expression" dxfId="4" priority="552">
      <formula>COUNTIF(INDIRECT("Checklist!$A272"), "FALSE") = 1</formula>
    </cfRule>
  </conditionalFormatting>
  <conditionalFormatting sqref="I36">
    <cfRule type="expression" dxfId="3" priority="563">
      <formula>COUNTIF(INDIRECT("Checklist!$A278"), "TRUE") = 1</formula>
    </cfRule>
    <cfRule type="expression" dxfId="4" priority="564">
      <formula>COUNTIF(INDIRECT("Checklist!$A278"), "FALSE") = 1</formula>
    </cfRule>
  </conditionalFormatting>
  <conditionalFormatting sqref="I37">
    <cfRule type="expression" dxfId="3" priority="575">
      <formula>COUNTIF(INDIRECT("Checklist!$A284"), "TRUE") = 1</formula>
    </cfRule>
    <cfRule type="expression" dxfId="4" priority="576">
      <formula>COUNTIF(INDIRECT("Checklist!$A284"), "FALSE") = 1</formula>
    </cfRule>
  </conditionalFormatting>
  <conditionalFormatting sqref="I38">
    <cfRule type="expression" dxfId="3" priority="587">
      <formula>COUNTIF(INDIRECT("Checklist!$A290"), "TRUE") = 1</formula>
    </cfRule>
    <cfRule type="expression" dxfId="4" priority="588">
      <formula>COUNTIF(INDIRECT("Checklist!$A290"), "FALSE") = 1</formula>
    </cfRule>
  </conditionalFormatting>
  <conditionalFormatting sqref="I39">
    <cfRule type="expression" dxfId="3" priority="599">
      <formula>COUNTIF(INDIRECT("Checklist!$A296"), "TRUE") = 1</formula>
    </cfRule>
    <cfRule type="expression" dxfId="4" priority="600">
      <formula>COUNTIF(INDIRECT("Checklist!$A296"), "FALSE") = 1</formula>
    </cfRule>
  </conditionalFormatting>
  <conditionalFormatting sqref="I4">
    <cfRule type="expression" dxfId="3" priority="75">
      <formula>COUNTIF(INDIRECT("Checklist!$A38"), "TRUE") = 1</formula>
    </cfRule>
    <cfRule type="expression" dxfId="4" priority="76">
      <formula>COUNTIF(INDIRECT("Checklist!$A38"), "FALSE") = 1</formula>
    </cfRule>
  </conditionalFormatting>
  <conditionalFormatting sqref="I42:N42">
    <cfRule type="notContainsBlanks" dxfId="7" priority="672">
      <formula>LEN(TRIM(I42))&gt;0</formula>
    </cfRule>
  </conditionalFormatting>
  <conditionalFormatting sqref="I43">
    <cfRule type="expression" dxfId="3" priority="673">
      <formula>COUNTIF(INDIRECT("Checklist!$A332"), "TRUE") = 1</formula>
    </cfRule>
    <cfRule type="expression" dxfId="4" priority="674">
      <formula>COUNTIF(INDIRECT("Checklist!$A332"), "FALSE") = 1</formula>
    </cfRule>
  </conditionalFormatting>
  <conditionalFormatting sqref="I44">
    <cfRule type="expression" dxfId="3" priority="685">
      <formula>COUNTIF(INDIRECT("Checklist!$A338"), "TRUE") = 1</formula>
    </cfRule>
    <cfRule type="expression" dxfId="4" priority="686">
      <formula>COUNTIF(INDIRECT("Checklist!$A338"), "FALSE") = 1</formula>
    </cfRule>
  </conditionalFormatting>
  <conditionalFormatting sqref="I45">
    <cfRule type="expression" dxfId="3" priority="697">
      <formula>COUNTIF(INDIRECT("Checklist!$A344"), "TRUE") = 1</formula>
    </cfRule>
    <cfRule type="expression" dxfId="4" priority="698">
      <formula>COUNTIF(INDIRECT("Checklist!$A344"), "FALSE") = 1</formula>
    </cfRule>
  </conditionalFormatting>
  <conditionalFormatting sqref="I46">
    <cfRule type="expression" dxfId="3" priority="709">
      <formula>COUNTIF(INDIRECT("Checklist!$A350"), "TRUE") = 1</formula>
    </cfRule>
    <cfRule type="expression" dxfId="4" priority="710">
      <formula>COUNTIF(INDIRECT("Checklist!$A350"), "FALSE") = 1</formula>
    </cfRule>
  </conditionalFormatting>
  <conditionalFormatting sqref="I47">
    <cfRule type="expression" dxfId="3" priority="721">
      <formula>COUNTIF(INDIRECT("Checklist!$A356"), "TRUE") = 1</formula>
    </cfRule>
    <cfRule type="expression" dxfId="4" priority="722">
      <formula>COUNTIF(INDIRECT("Checklist!$A356"), "FALSE") = 1</formula>
    </cfRule>
  </conditionalFormatting>
  <conditionalFormatting sqref="I5">
    <cfRule type="expression" dxfId="3" priority="87">
      <formula>COUNTIF(INDIRECT("Checklist!$A44"), "TRUE") = 1</formula>
    </cfRule>
    <cfRule type="expression" dxfId="4" priority="88">
      <formula>COUNTIF(INDIRECT("Checklist!$A44"), "FALSE") = 1</formula>
    </cfRule>
  </conditionalFormatting>
  <conditionalFormatting sqref="I50:N50">
    <cfRule type="notContainsBlanks" dxfId="7" priority="794">
      <formula>LEN(TRIM(I50))&gt;0</formula>
    </cfRule>
  </conditionalFormatting>
  <conditionalFormatting sqref="I51">
    <cfRule type="expression" dxfId="3" priority="795">
      <formula>COUNTIF(INDIRECT("Checklist!$A392"), "TRUE") = 1</formula>
    </cfRule>
    <cfRule type="expression" dxfId="4" priority="796">
      <formula>COUNTIF(INDIRECT("Checklist!$A392"), "FALSE") = 1</formula>
    </cfRule>
  </conditionalFormatting>
  <conditionalFormatting sqref="I52">
    <cfRule type="expression" dxfId="3" priority="807">
      <formula>COUNTIF(INDIRECT("Checklist!$A398"), "TRUE") = 1</formula>
    </cfRule>
    <cfRule type="expression" dxfId="4" priority="808">
      <formula>COUNTIF(INDIRECT("Checklist!$A398"), "FALSE") = 1</formula>
    </cfRule>
  </conditionalFormatting>
  <conditionalFormatting sqref="I53">
    <cfRule type="expression" dxfId="3" priority="819">
      <formula>COUNTIF(INDIRECT("Checklist!$A404"), "TRUE") = 1</formula>
    </cfRule>
    <cfRule type="expression" dxfId="4" priority="820">
      <formula>COUNTIF(INDIRECT("Checklist!$A404"), "FALSE") = 1</formula>
    </cfRule>
  </conditionalFormatting>
  <conditionalFormatting sqref="I54">
    <cfRule type="expression" dxfId="3" priority="831">
      <formula>COUNTIF(INDIRECT("Checklist!$A410"), "TRUE") = 1</formula>
    </cfRule>
    <cfRule type="expression" dxfId="4" priority="832">
      <formula>COUNTIF(INDIRECT("Checklist!$A410"), "FALSE") = 1</formula>
    </cfRule>
  </conditionalFormatting>
  <conditionalFormatting sqref="I55">
    <cfRule type="expression" dxfId="3" priority="843">
      <formula>COUNTIF(INDIRECT("Checklist!$A416"), "TRUE") = 1</formula>
    </cfRule>
    <cfRule type="expression" dxfId="4" priority="844">
      <formula>COUNTIF(INDIRECT("Checklist!$A416"), "FALSE") = 1</formula>
    </cfRule>
  </conditionalFormatting>
  <conditionalFormatting sqref="I58:N58">
    <cfRule type="notContainsBlanks" dxfId="7" priority="916">
      <formula>LEN(TRIM(I58))&gt;0</formula>
    </cfRule>
  </conditionalFormatting>
  <conditionalFormatting sqref="I59">
    <cfRule type="expression" dxfId="3" priority="917">
      <formula>COUNTIF(INDIRECT("Checklist!$A452"), "TRUE") = 1</formula>
    </cfRule>
    <cfRule type="expression" dxfId="4" priority="918">
      <formula>COUNTIF(INDIRECT("Checklist!$A452"), "FALSE") = 1</formula>
    </cfRule>
  </conditionalFormatting>
  <conditionalFormatting sqref="I6">
    <cfRule type="expression" dxfId="3" priority="99">
      <formula>COUNTIF(INDIRECT("Checklist!$A50"), "TRUE") = 1</formula>
    </cfRule>
    <cfRule type="expression" dxfId="4" priority="100">
      <formula>COUNTIF(INDIRECT("Checklist!$A50"), "FALSE") = 1</formula>
    </cfRule>
  </conditionalFormatting>
  <conditionalFormatting sqref="I60">
    <cfRule type="expression" dxfId="3" priority="929">
      <formula>COUNTIF(INDIRECT("Checklist!$A458"), "TRUE") = 1</formula>
    </cfRule>
    <cfRule type="expression" dxfId="4" priority="930">
      <formula>COUNTIF(INDIRECT("Checklist!$A458"), "FALSE") = 1</formula>
    </cfRule>
  </conditionalFormatting>
  <conditionalFormatting sqref="I61">
    <cfRule type="expression" dxfId="3" priority="941">
      <formula>COUNTIF(INDIRECT("Checklist!$A464"), "TRUE") = 1</formula>
    </cfRule>
    <cfRule type="expression" dxfId="4" priority="942">
      <formula>COUNTIF(INDIRECT("Checklist!$A464"), "FALSE") = 1</formula>
    </cfRule>
  </conditionalFormatting>
  <conditionalFormatting sqref="I62">
    <cfRule type="expression" dxfId="3" priority="953">
      <formula>COUNTIF(INDIRECT("Checklist!$A470"), "TRUE") = 1</formula>
    </cfRule>
    <cfRule type="expression" dxfId="4" priority="954">
      <formula>COUNTIF(INDIRECT("Checklist!$A470"), "FALSE") = 1</formula>
    </cfRule>
  </conditionalFormatting>
  <conditionalFormatting sqref="I63">
    <cfRule type="expression" dxfId="3" priority="965">
      <formula>COUNTIF(INDIRECT("Checklist!$A476"), "TRUE") = 1</formula>
    </cfRule>
    <cfRule type="expression" dxfId="4" priority="966">
      <formula>COUNTIF(INDIRECT("Checklist!$A476"), "FALSE") = 1</formula>
    </cfRule>
  </conditionalFormatting>
  <conditionalFormatting sqref="I66:N66">
    <cfRule type="notContainsBlanks" dxfId="7" priority="1038">
      <formula>LEN(TRIM(I66))&gt;0</formula>
    </cfRule>
  </conditionalFormatting>
  <conditionalFormatting sqref="I67">
    <cfRule type="expression" dxfId="3" priority="1039">
      <formula>COUNTIF(INDIRECT("Checklist!$A512"), "TRUE") = 1</formula>
    </cfRule>
    <cfRule type="expression" dxfId="4" priority="1040">
      <formula>COUNTIF(INDIRECT("Checklist!$A512"), "FALSE") = 1</formula>
    </cfRule>
  </conditionalFormatting>
  <conditionalFormatting sqref="I68">
    <cfRule type="expression" dxfId="3" priority="1051">
      <formula>COUNTIF(INDIRECT("Checklist!$A518"), "TRUE") = 1</formula>
    </cfRule>
    <cfRule type="expression" dxfId="4" priority="1052">
      <formula>COUNTIF(INDIRECT("Checklist!$A518"), "FALSE") = 1</formula>
    </cfRule>
  </conditionalFormatting>
  <conditionalFormatting sqref="I69">
    <cfRule type="expression" dxfId="3" priority="1063">
      <formula>COUNTIF(INDIRECT("Checklist!$A524"), "TRUE") = 1</formula>
    </cfRule>
    <cfRule type="expression" dxfId="4" priority="1064">
      <formula>COUNTIF(INDIRECT("Checklist!$A524"), "FALSE") = 1</formula>
    </cfRule>
  </conditionalFormatting>
  <conditionalFormatting sqref="I7">
    <cfRule type="expression" dxfId="3" priority="111">
      <formula>COUNTIF(INDIRECT("Checklist!$A56"), "TRUE") = 1</formula>
    </cfRule>
    <cfRule type="expression" dxfId="4" priority="112">
      <formula>COUNTIF(INDIRECT("Checklist!$A56"), "FALSE") = 1</formula>
    </cfRule>
  </conditionalFormatting>
  <conditionalFormatting sqref="I70">
    <cfRule type="expression" dxfId="3" priority="1075">
      <formula>COUNTIF(INDIRECT("Checklist!$A530"), "TRUE") = 1</formula>
    </cfRule>
    <cfRule type="expression" dxfId="4" priority="1076">
      <formula>COUNTIF(INDIRECT("Checklist!$A530"), "FALSE") = 1</formula>
    </cfRule>
  </conditionalFormatting>
  <conditionalFormatting sqref="I71">
    <cfRule type="expression" dxfId="3" priority="1087">
      <formula>COUNTIF(INDIRECT("Checklist!$A536"), "TRUE") = 1</formula>
    </cfRule>
    <cfRule type="expression" dxfId="4" priority="1088">
      <formula>COUNTIF(INDIRECT("Checklist!$A536"), "FALSE") = 1</formula>
    </cfRule>
  </conditionalFormatting>
  <conditionalFormatting sqref="I74:N74">
    <cfRule type="notContainsBlanks" dxfId="7" priority="1160">
      <formula>LEN(TRIM(I74))&gt;0</formula>
    </cfRule>
  </conditionalFormatting>
  <conditionalFormatting sqref="I75">
    <cfRule type="expression" dxfId="3" priority="1161">
      <formula>COUNTIF(INDIRECT("Checklist!$A572"), "TRUE") = 1</formula>
    </cfRule>
    <cfRule type="expression" dxfId="4" priority="1162">
      <formula>COUNTIF(INDIRECT("Checklist!$A572"), "FALSE") = 1</formula>
    </cfRule>
  </conditionalFormatting>
  <conditionalFormatting sqref="I76">
    <cfRule type="expression" dxfId="3" priority="1173">
      <formula>COUNTIF(INDIRECT("Checklist!$A578"), "TRUE") = 1</formula>
    </cfRule>
    <cfRule type="expression" dxfId="4" priority="1174">
      <formula>COUNTIF(INDIRECT("Checklist!$A578"), "FALSE") = 1</formula>
    </cfRule>
  </conditionalFormatting>
  <conditionalFormatting sqref="I77">
    <cfRule type="expression" dxfId="3" priority="1185">
      <formula>COUNTIF(INDIRECT("Checklist!$A584"), "TRUE") = 1</formula>
    </cfRule>
    <cfRule type="expression" dxfId="4" priority="1186">
      <formula>COUNTIF(INDIRECT("Checklist!$A584"), "FALSE") = 1</formula>
    </cfRule>
  </conditionalFormatting>
  <conditionalFormatting sqref="I78">
    <cfRule type="expression" dxfId="3" priority="1197">
      <formula>COUNTIF(INDIRECT("Checklist!$A590"), "TRUE") = 1</formula>
    </cfRule>
    <cfRule type="expression" dxfId="4" priority="1198">
      <formula>COUNTIF(INDIRECT("Checklist!$A590"), "FALSE") = 1</formula>
    </cfRule>
  </conditionalFormatting>
  <conditionalFormatting sqref="I79">
    <cfRule type="expression" dxfId="3" priority="1209">
      <formula>COUNTIF(INDIRECT("Checklist!$A596"), "TRUE") = 1</formula>
    </cfRule>
    <cfRule type="expression" dxfId="4" priority="1210">
      <formula>COUNTIF(INDIRECT("Checklist!$A596"), "FALSE") = 1</formula>
    </cfRule>
  </conditionalFormatting>
  <conditionalFormatting sqref="I82:N82">
    <cfRule type="notContainsBlanks" dxfId="7" priority="1282">
      <formula>LEN(TRIM(I82))&gt;0</formula>
    </cfRule>
  </conditionalFormatting>
  <conditionalFormatting sqref="I83">
    <cfRule type="expression" dxfId="3" priority="1283">
      <formula>COUNTIF(INDIRECT("Checklist!$A632"), "TRUE") = 1</formula>
    </cfRule>
    <cfRule type="expression" dxfId="4" priority="1284">
      <formula>COUNTIF(INDIRECT("Checklist!$A632"), "FALSE") = 1</formula>
    </cfRule>
  </conditionalFormatting>
  <conditionalFormatting sqref="I84">
    <cfRule type="expression" dxfId="3" priority="1295">
      <formula>COUNTIF(INDIRECT("Checklist!$A638"), "TRUE") = 1</formula>
    </cfRule>
    <cfRule type="expression" dxfId="4" priority="1296">
      <formula>COUNTIF(INDIRECT("Checklist!$A638"), "FALSE") = 1</formula>
    </cfRule>
  </conditionalFormatting>
  <conditionalFormatting sqref="I85">
    <cfRule type="expression" dxfId="3" priority="1307">
      <formula>COUNTIF(INDIRECT("Checklist!$A644"), "TRUE") = 1</formula>
    </cfRule>
    <cfRule type="expression" dxfId="4" priority="1308">
      <formula>COUNTIF(INDIRECT("Checklist!$A644"), "FALSE") = 1</formula>
    </cfRule>
  </conditionalFormatting>
  <conditionalFormatting sqref="I86">
    <cfRule type="expression" dxfId="3" priority="1319">
      <formula>COUNTIF(INDIRECT("Checklist!$A650"), "TRUE") = 1</formula>
    </cfRule>
    <cfRule type="expression" dxfId="4" priority="1320">
      <formula>COUNTIF(INDIRECT("Checklist!$A650"), "FALSE") = 1</formula>
    </cfRule>
  </conditionalFormatting>
  <conditionalFormatting sqref="I87">
    <cfRule type="expression" dxfId="3" priority="1331">
      <formula>COUNTIF(INDIRECT("Checklist!$A656"), "TRUE") = 1</formula>
    </cfRule>
    <cfRule type="expression" dxfId="4" priority="1332">
      <formula>COUNTIF(INDIRECT("Checklist!$A656"), "FALSE") = 1</formula>
    </cfRule>
  </conditionalFormatting>
  <conditionalFormatting sqref="I90:N90">
    <cfRule type="notContainsBlanks" dxfId="7" priority="1404">
      <formula>LEN(TRIM(I90))&gt;0</formula>
    </cfRule>
  </conditionalFormatting>
  <conditionalFormatting sqref="I91">
    <cfRule type="expression" dxfId="3" priority="1405">
      <formula>COUNTIF(INDIRECT("Checklist!$A692"), "TRUE") = 1</formula>
    </cfRule>
    <cfRule type="expression" dxfId="4" priority="1406">
      <formula>COUNTIF(INDIRECT("Checklist!$A692"), "FALSE") = 1</formula>
    </cfRule>
  </conditionalFormatting>
  <conditionalFormatting sqref="I92">
    <cfRule type="expression" dxfId="3" priority="1417">
      <formula>COUNTIF(INDIRECT("Checklist!$A698"), "TRUE") = 1</formula>
    </cfRule>
    <cfRule type="expression" dxfId="4" priority="1418">
      <formula>COUNTIF(INDIRECT("Checklist!$A698"), "FALSE") = 1</formula>
    </cfRule>
  </conditionalFormatting>
  <conditionalFormatting sqref="I93">
    <cfRule type="expression" dxfId="3" priority="1429">
      <formula>COUNTIF(INDIRECT("Checklist!$A704"), "TRUE") = 1</formula>
    </cfRule>
    <cfRule type="expression" dxfId="4" priority="1430">
      <formula>COUNTIF(INDIRECT("Checklist!$A704"), "FALSE") = 1</formula>
    </cfRule>
  </conditionalFormatting>
  <conditionalFormatting sqref="I94">
    <cfRule type="expression" dxfId="3" priority="1441">
      <formula>COUNTIF(INDIRECT("Checklist!$A710"), "TRUE") = 1</formula>
    </cfRule>
    <cfRule type="expression" dxfId="4" priority="1442">
      <formula>COUNTIF(INDIRECT("Checklist!$A710"), "FALSE") = 1</formula>
    </cfRule>
  </conditionalFormatting>
  <conditionalFormatting sqref="I95">
    <cfRule type="expression" dxfId="3" priority="1453">
      <formula>COUNTIF(INDIRECT("Checklist!$A716"), "TRUE") = 1</formula>
    </cfRule>
    <cfRule type="expression" dxfId="4" priority="1454">
      <formula>COUNTIF(INDIRECT("Checklist!$A716"), "FALSE") = 1</formula>
    </cfRule>
  </conditionalFormatting>
  <conditionalFormatting sqref="I98:N98">
    <cfRule type="notContainsBlanks" dxfId="7" priority="1526">
      <formula>LEN(TRIM(I98))&gt;0</formula>
    </cfRule>
  </conditionalFormatting>
  <conditionalFormatting sqref="I99">
    <cfRule type="expression" dxfId="3" priority="1527">
      <formula>COUNTIF(INDIRECT("Checklist!$A752"), "TRUE") = 1</formula>
    </cfRule>
    <cfRule type="expression" dxfId="4" priority="1528">
      <formula>COUNTIF(INDIRECT("Checklist!$A752"), "FALSE") = 1</formula>
    </cfRule>
  </conditionalFormatting>
  <conditionalFormatting sqref="J100">
    <cfRule type="expression" dxfId="3" priority="1541">
      <formula>COUNTIF(INDIRECT("Checklist!$A759"), "TRUE") = 1</formula>
    </cfRule>
    <cfRule type="expression" dxfId="4" priority="1542">
      <formula>COUNTIF(INDIRECT("Checklist!$A759"), "FALSE") = 1</formula>
    </cfRule>
  </conditionalFormatting>
  <conditionalFormatting sqref="J101">
    <cfRule type="expression" dxfId="3" priority="1553">
      <formula>COUNTIF(INDIRECT("Checklist!$A765"), "TRUE") = 1</formula>
    </cfRule>
    <cfRule type="expression" dxfId="4" priority="1554">
      <formula>COUNTIF(INDIRECT("Checklist!$A765"), "FALSE") = 1</formula>
    </cfRule>
  </conditionalFormatting>
  <conditionalFormatting sqref="J102">
    <cfRule type="expression" dxfId="3" priority="1565">
      <formula>COUNTIF(INDIRECT("Checklist!$A771"), "TRUE") = 1</formula>
    </cfRule>
    <cfRule type="expression" dxfId="4" priority="1566">
      <formula>COUNTIF(INDIRECT("Checklist!$A771"), "FALSE") = 1</formula>
    </cfRule>
  </conditionalFormatting>
  <conditionalFormatting sqref="J103">
    <cfRule type="expression" dxfId="3" priority="1577">
      <formula>COUNTIF(INDIRECT("Checklist!$A777"), "TRUE") = 1</formula>
    </cfRule>
    <cfRule type="expression" dxfId="4" priority="1578">
      <formula>COUNTIF(INDIRECT("Checklist!$A777"), "FALSE") = 1</formula>
    </cfRule>
  </conditionalFormatting>
  <conditionalFormatting sqref="J107">
    <cfRule type="expression" dxfId="3" priority="1651">
      <formula>COUNTIF(INDIRECT("Checklist!$A1220"), "TRUE") = 1</formula>
    </cfRule>
    <cfRule type="expression" dxfId="4" priority="1652">
      <formula>COUNTIF(INDIRECT("Checklist!$A1220"), "FALSE") = 1</formula>
    </cfRule>
  </conditionalFormatting>
  <conditionalFormatting sqref="J108">
    <cfRule type="expression" dxfId="3" priority="1663">
      <formula>COUNTIF(INDIRECT("Checklist!$A1222"), "TRUE") = 1</formula>
    </cfRule>
    <cfRule type="expression" dxfId="4" priority="1664">
      <formula>COUNTIF(INDIRECT("Checklist!$A1222"), "FALSE") = 1</formula>
    </cfRule>
  </conditionalFormatting>
  <conditionalFormatting sqref="J109">
    <cfRule type="expression" dxfId="3" priority="1675">
      <formula>COUNTIF(INDIRECT("Checklist!$A825"), "TRUE") = 1</formula>
    </cfRule>
    <cfRule type="expression" dxfId="4" priority="1676">
      <formula>COUNTIF(INDIRECT("Checklist!$A825"), "FALSE") = 1</formula>
    </cfRule>
  </conditionalFormatting>
  <conditionalFormatting sqref="J11">
    <cfRule type="expression" dxfId="3" priority="187">
      <formula>COUNTIF(INDIRECT("Checklist!$A93"), "TRUE") = 1</formula>
    </cfRule>
    <cfRule type="expression" dxfId="4" priority="188">
      <formula>COUNTIF(INDIRECT("Checklist!$A93"), "FALSE") = 1</formula>
    </cfRule>
  </conditionalFormatting>
  <conditionalFormatting sqref="J110">
    <cfRule type="expression" dxfId="3" priority="1687">
      <formula>COUNTIF(INDIRECT("Checklist!$A831"), "TRUE") = 1</formula>
    </cfRule>
    <cfRule type="expression" dxfId="4" priority="1688">
      <formula>COUNTIF(INDIRECT("Checklist!$A831"), "FALSE") = 1</formula>
    </cfRule>
  </conditionalFormatting>
  <conditionalFormatting sqref="J111">
    <cfRule type="expression" dxfId="3" priority="1699">
      <formula>COUNTIF(INDIRECT("Checklist!$A837"), "TRUE") = 1</formula>
    </cfRule>
    <cfRule type="expression" dxfId="4" priority="1700">
      <formula>COUNTIF(INDIRECT("Checklist!$A837"), "FALSE") = 1</formula>
    </cfRule>
  </conditionalFormatting>
  <conditionalFormatting sqref="J115">
    <cfRule type="expression" dxfId="3" priority="1773">
      <formula>COUNTIF(INDIRECT("Checklist!$A873"), "TRUE") = 1</formula>
    </cfRule>
    <cfRule type="expression" dxfId="4" priority="1774">
      <formula>COUNTIF(INDIRECT("Checklist!$A873"), "FALSE") = 1</formula>
    </cfRule>
  </conditionalFormatting>
  <conditionalFormatting sqref="J116">
    <cfRule type="expression" dxfId="3" priority="1785">
      <formula>COUNTIF(INDIRECT("Checklist!$A879"), "TRUE") = 1</formula>
    </cfRule>
    <cfRule type="expression" dxfId="4" priority="1786">
      <formula>COUNTIF(INDIRECT("Checklist!$A879"), "FALSE") = 1</formula>
    </cfRule>
  </conditionalFormatting>
  <conditionalFormatting sqref="J117">
    <cfRule type="expression" dxfId="3" priority="1797">
      <formula>COUNTIF(INDIRECT("Checklist!$A1237"), "TRUE") = 1</formula>
    </cfRule>
    <cfRule type="expression" dxfId="4" priority="1798">
      <formula>COUNTIF(INDIRECT("Checklist!$A1237"), "FALSE") = 1</formula>
    </cfRule>
  </conditionalFormatting>
  <conditionalFormatting sqref="J118">
    <cfRule type="expression" dxfId="3" priority="1809">
      <formula>COUNTIF(INDIRECT("Checklist!$A891"), "TRUE") = 1</formula>
    </cfRule>
    <cfRule type="expression" dxfId="4" priority="1810">
      <formula>COUNTIF(INDIRECT("Checklist!$A891"), "FALSE") = 1</formula>
    </cfRule>
  </conditionalFormatting>
  <conditionalFormatting sqref="J119">
    <cfRule type="expression" dxfId="3" priority="1821">
      <formula>COUNTIF(INDIRECT("Checklist!$A897"), "TRUE") = 1</formula>
    </cfRule>
    <cfRule type="expression" dxfId="4" priority="1822">
      <formula>COUNTIF(INDIRECT("Checklist!$A897"), "FALSE") = 1</formula>
    </cfRule>
  </conditionalFormatting>
  <conditionalFormatting sqref="J12">
    <cfRule type="expression" dxfId="3" priority="199">
      <formula>COUNTIF(INDIRECT("Checklist!$A99"), "TRUE") = 1</formula>
    </cfRule>
    <cfRule type="expression" dxfId="4" priority="200">
      <formula>COUNTIF(INDIRECT("Checklist!$A99"), "FALSE") = 1</formula>
    </cfRule>
  </conditionalFormatting>
  <conditionalFormatting sqref="J123">
    <cfRule type="expression" dxfId="3" priority="1895">
      <formula>COUNTIF(INDIRECT("Checklist!$A1207"), "TRUE") = 1</formula>
    </cfRule>
    <cfRule type="expression" dxfId="4" priority="1896">
      <formula>COUNTIF(INDIRECT("Checklist!$A1207"), "FALSE") = 1</formula>
    </cfRule>
  </conditionalFormatting>
  <conditionalFormatting sqref="J124">
    <cfRule type="expression" dxfId="3" priority="1907">
      <formula>COUNTIF(INDIRECT("Checklist!$A914"), "TRUE") = 1</formula>
    </cfRule>
    <cfRule type="expression" dxfId="4" priority="1908">
      <formula>COUNTIF(INDIRECT("Checklist!$A914"), "FALSE") = 1</formula>
    </cfRule>
  </conditionalFormatting>
  <conditionalFormatting sqref="J125">
    <cfRule type="expression" dxfId="3" priority="1919">
      <formula>COUNTIF(INDIRECT("Checklist!$A920"), "TRUE") = 1</formula>
    </cfRule>
    <cfRule type="expression" dxfId="4" priority="1920">
      <formula>COUNTIF(INDIRECT("Checklist!$A920"), "FALSE") = 1</formula>
    </cfRule>
  </conditionalFormatting>
  <conditionalFormatting sqref="J126">
    <cfRule type="expression" dxfId="3" priority="1931">
      <formula>COUNTIF(INDIRECT("Checklist!$A926"), "TRUE") = 1</formula>
    </cfRule>
    <cfRule type="expression" dxfId="4" priority="1932">
      <formula>COUNTIF(INDIRECT("Checklist!$A926"), "FALSE") = 1</formula>
    </cfRule>
  </conditionalFormatting>
  <conditionalFormatting sqref="J127">
    <cfRule type="expression" dxfId="3" priority="1943">
      <formula>COUNTIF(INDIRECT("Checklist!$A932"), "TRUE") = 1</formula>
    </cfRule>
    <cfRule type="expression" dxfId="4" priority="1944">
      <formula>COUNTIF(INDIRECT("Checklist!$A932"), "FALSE") = 1</formula>
    </cfRule>
  </conditionalFormatting>
  <conditionalFormatting sqref="J13">
    <cfRule type="expression" dxfId="3" priority="211">
      <formula>COUNTIF(INDIRECT("Checklist!$A105"), "TRUE") = 1</formula>
    </cfRule>
    <cfRule type="expression" dxfId="4" priority="212">
      <formula>COUNTIF(INDIRECT("Checklist!$A105"), "FALSE") = 1</formula>
    </cfRule>
  </conditionalFormatting>
  <conditionalFormatting sqref="J131">
    <cfRule type="expression" dxfId="3" priority="2017">
      <formula>COUNTIF(INDIRECT("Checklist!$A968"), "TRUE") = 1</formula>
    </cfRule>
    <cfRule type="expression" dxfId="4" priority="2018">
      <formula>COUNTIF(INDIRECT("Checklist!$A968"), "FALSE") = 1</formula>
    </cfRule>
  </conditionalFormatting>
  <conditionalFormatting sqref="J132">
    <cfRule type="expression" dxfId="3" priority="2029">
      <formula>COUNTIF(INDIRECT("Checklist!$A974"), "TRUE") = 1</formula>
    </cfRule>
    <cfRule type="expression" dxfId="4" priority="2030">
      <formula>COUNTIF(INDIRECT("Checklist!$A974"), "FALSE") = 1</formula>
    </cfRule>
  </conditionalFormatting>
  <conditionalFormatting sqref="J133">
    <cfRule type="expression" dxfId="3" priority="2041">
      <formula>COUNTIF(INDIRECT("Checklist!$A980"), "TRUE") = 1</formula>
    </cfRule>
    <cfRule type="expression" dxfId="4" priority="2042">
      <formula>COUNTIF(INDIRECT("Checklist!$A980"), "FALSE") = 1</formula>
    </cfRule>
  </conditionalFormatting>
  <conditionalFormatting sqref="J134">
    <cfRule type="expression" dxfId="3" priority="2053">
      <formula>COUNTIF(INDIRECT("Checklist!$A986"), "TRUE") = 1</formula>
    </cfRule>
    <cfRule type="expression" dxfId="4" priority="2054">
      <formula>COUNTIF(INDIRECT("Checklist!$A986"), "FALSE") = 1</formula>
    </cfRule>
  </conditionalFormatting>
  <conditionalFormatting sqref="J135">
    <cfRule type="expression" dxfId="3" priority="2065">
      <formula>COUNTIF(INDIRECT("Checklist!$A992"), "TRUE") = 1</formula>
    </cfRule>
    <cfRule type="expression" dxfId="4" priority="2066">
      <formula>COUNTIF(INDIRECT("Checklist!$A992"), "FALSE") = 1</formula>
    </cfRule>
  </conditionalFormatting>
  <conditionalFormatting sqref="J139">
    <cfRule type="expression" dxfId="3" priority="2139">
      <formula>COUNTIF(INDIRECT("Checklist!$A1009"), "TRUE") = 1</formula>
    </cfRule>
    <cfRule type="expression" dxfId="4" priority="2140">
      <formula>COUNTIF(INDIRECT("Checklist!$A1009"), "FALSE") = 1</formula>
    </cfRule>
  </conditionalFormatting>
  <conditionalFormatting sqref="J14">
    <cfRule type="expression" dxfId="3" priority="223">
      <formula>COUNTIF(INDIRECT("Checklist!$A111"), "TRUE") = 1</formula>
    </cfRule>
    <cfRule type="expression" dxfId="4" priority="224">
      <formula>COUNTIF(INDIRECT("Checklist!$A111"), "FALSE") = 1</formula>
    </cfRule>
  </conditionalFormatting>
  <conditionalFormatting sqref="J140">
    <cfRule type="expression" dxfId="3" priority="2151">
      <formula>COUNTIF(INDIRECT("Checklist!$A1015"), "TRUE") = 1</formula>
    </cfRule>
    <cfRule type="expression" dxfId="4" priority="2152">
      <formula>COUNTIF(INDIRECT("Checklist!$A1015"), "FALSE") = 1</formula>
    </cfRule>
  </conditionalFormatting>
  <conditionalFormatting sqref="J141">
    <cfRule type="expression" dxfId="3" priority="2163">
      <formula>COUNTIF(INDIRECT("Checklist!$None"), "TRUE") = 1</formula>
    </cfRule>
    <cfRule type="expression" dxfId="4" priority="2164">
      <formula>COUNTIF(INDIRECT("Checklist!$None"), "FALSE") = 1</formula>
    </cfRule>
  </conditionalFormatting>
  <conditionalFormatting sqref="J142">
    <cfRule type="expression" dxfId="3" priority="2175">
      <formula>COUNTIF(INDIRECT("Checklist!$None"), "TRUE") = 1</formula>
    </cfRule>
    <cfRule type="expression" dxfId="4" priority="2176">
      <formula>COUNTIF(INDIRECT("Checklist!$None"), "FALSE") = 1</formula>
    </cfRule>
  </conditionalFormatting>
  <conditionalFormatting sqref="J143">
    <cfRule type="expression" dxfId="3" priority="2187">
      <formula>COUNTIF(INDIRECT("Checklist!$None"), "TRUE") = 1</formula>
    </cfRule>
    <cfRule type="expression" dxfId="4" priority="2188">
      <formula>COUNTIF(INDIRECT("Checklist!$None"), "FALSE") = 1</formula>
    </cfRule>
  </conditionalFormatting>
  <conditionalFormatting sqref="J147">
    <cfRule type="expression" dxfId="3" priority="2261">
      <formula>COUNTIF(INDIRECT("Checklist!$A1044"), "TRUE") = 1</formula>
    </cfRule>
    <cfRule type="expression" dxfId="4" priority="2262">
      <formula>COUNTIF(INDIRECT("Checklist!$A1044"), "FALSE") = 1</formula>
    </cfRule>
  </conditionalFormatting>
  <conditionalFormatting sqref="J148">
    <cfRule type="expression" dxfId="3" priority="2273">
      <formula>COUNTIF(INDIRECT("Checklist!$A1047"), "TRUE") = 1</formula>
    </cfRule>
    <cfRule type="expression" dxfId="4" priority="2274">
      <formula>COUNTIF(INDIRECT("Checklist!$A1047"), "FALSE") = 1</formula>
    </cfRule>
  </conditionalFormatting>
  <conditionalFormatting sqref="J149">
    <cfRule type="expression" dxfId="3" priority="2285">
      <formula>COUNTIF(INDIRECT("Checklist!$A1049"), "TRUE") = 1</formula>
    </cfRule>
    <cfRule type="expression" dxfId="4" priority="2286">
      <formula>COUNTIF(INDIRECT("Checklist!$A1049"), "FALSE") = 1</formula>
    </cfRule>
  </conditionalFormatting>
  <conditionalFormatting sqref="J15">
    <cfRule type="expression" dxfId="3" priority="235">
      <formula>COUNTIF(INDIRECT("Checklist!$A117"), "TRUE") = 1</formula>
    </cfRule>
    <cfRule type="expression" dxfId="4" priority="236">
      <formula>COUNTIF(INDIRECT("Checklist!$A117"), "FALSE") = 1</formula>
    </cfRule>
  </conditionalFormatting>
  <conditionalFormatting sqref="J150">
    <cfRule type="expression" dxfId="3" priority="2297">
      <formula>COUNTIF(INDIRECT("Checklist!$A1053"), "TRUE") = 1</formula>
    </cfRule>
    <cfRule type="expression" dxfId="4" priority="2298">
      <formula>COUNTIF(INDIRECT("Checklist!$A1053"), "FALSE") = 1</formula>
    </cfRule>
  </conditionalFormatting>
  <conditionalFormatting sqref="J151">
    <cfRule type="expression" dxfId="3" priority="2309">
      <formula>COUNTIF(INDIRECT("Checklist!$A1058"), "TRUE") = 1</formula>
    </cfRule>
    <cfRule type="expression" dxfId="4" priority="2310">
      <formula>COUNTIF(INDIRECT("Checklist!$A1058"), "FALSE") = 1</formula>
    </cfRule>
  </conditionalFormatting>
  <conditionalFormatting sqref="J155">
    <cfRule type="expression" dxfId="3" priority="2383">
      <formula>COUNTIF(INDIRECT("Checklist!$A1070"), "TRUE") = 1</formula>
    </cfRule>
    <cfRule type="expression" dxfId="4" priority="2384">
      <formula>COUNTIF(INDIRECT("Checklist!$A1070"), "FALSE") = 1</formula>
    </cfRule>
  </conditionalFormatting>
  <conditionalFormatting sqref="J156">
    <cfRule type="expression" dxfId="3" priority="2395">
      <formula>COUNTIF(INDIRECT("Checklist!$A1073"), "TRUE") = 1</formula>
    </cfRule>
    <cfRule type="expression" dxfId="4" priority="2396">
      <formula>COUNTIF(INDIRECT("Checklist!$A1073"), "FALSE") = 1</formula>
    </cfRule>
  </conditionalFormatting>
  <conditionalFormatting sqref="J157">
    <cfRule type="expression" dxfId="3" priority="2407">
      <formula>COUNTIF(INDIRECT("Checklist!$A1076"), "TRUE") = 1</formula>
    </cfRule>
    <cfRule type="expression" dxfId="4" priority="2408">
      <formula>COUNTIF(INDIRECT("Checklist!$A1076"), "FALSE") = 1</formula>
    </cfRule>
  </conditionalFormatting>
  <conditionalFormatting sqref="J158">
    <cfRule type="expression" dxfId="3" priority="2419">
      <formula>COUNTIF(INDIRECT("Checklist!$A1081"), "TRUE") = 1</formula>
    </cfRule>
    <cfRule type="expression" dxfId="4" priority="2420">
      <formula>COUNTIF(INDIRECT("Checklist!$A1081"), "FALSE") = 1</formula>
    </cfRule>
  </conditionalFormatting>
  <conditionalFormatting sqref="J159">
    <cfRule type="expression" dxfId="3" priority="2431">
      <formula>COUNTIF(INDIRECT("Checklist!$None"), "TRUE") = 1</formula>
    </cfRule>
    <cfRule type="expression" dxfId="4" priority="2432">
      <formula>COUNTIF(INDIRECT("Checklist!$None"), "FALSE") = 1</formula>
    </cfRule>
  </conditionalFormatting>
  <conditionalFormatting sqref="J163">
    <cfRule type="expression" dxfId="3" priority="2505">
      <formula>COUNTIF(INDIRECT("Checklist!$A1102"), "TRUE") = 1</formula>
    </cfRule>
    <cfRule type="expression" dxfId="4" priority="2506">
      <formula>COUNTIF(INDIRECT("Checklist!$A1102"), "FALSE") = 1</formula>
    </cfRule>
  </conditionalFormatting>
  <conditionalFormatting sqref="J164">
    <cfRule type="expression" dxfId="3" priority="2517">
      <formula>COUNTIF(INDIRECT("Checklist!$A1108"), "TRUE") = 1</formula>
    </cfRule>
    <cfRule type="expression" dxfId="4" priority="2518">
      <formula>COUNTIF(INDIRECT("Checklist!$A1108"), "FALSE") = 1</formula>
    </cfRule>
  </conditionalFormatting>
  <conditionalFormatting sqref="J165">
    <cfRule type="expression" dxfId="3" priority="2529">
      <formula>COUNTIF(INDIRECT("Checklist!$A1114"), "TRUE") = 1</formula>
    </cfRule>
    <cfRule type="expression" dxfId="4" priority="2530">
      <formula>COUNTIF(INDIRECT("Checklist!$A1114"), "FALSE") = 1</formula>
    </cfRule>
  </conditionalFormatting>
  <conditionalFormatting sqref="J166">
    <cfRule type="expression" dxfId="3" priority="2541">
      <formula>COUNTIF(INDIRECT("Checklist!$A1120"), "TRUE") = 1</formula>
    </cfRule>
    <cfRule type="expression" dxfId="4" priority="2542">
      <formula>COUNTIF(INDIRECT("Checklist!$A1120"), "FALSE") = 1</formula>
    </cfRule>
  </conditionalFormatting>
  <conditionalFormatting sqref="J167">
    <cfRule type="expression" dxfId="3" priority="2553">
      <formula>COUNTIF(INDIRECT("Checklist!$None"), "TRUE") = 1</formula>
    </cfRule>
    <cfRule type="expression" dxfId="4" priority="2554">
      <formula>COUNTIF(INDIRECT("Checklist!$None"), "FALSE") = 1</formula>
    </cfRule>
  </conditionalFormatting>
  <conditionalFormatting sqref="J171">
    <cfRule type="expression" dxfId="3" priority="2627">
      <formula>COUNTIF(INDIRECT("Checklist!$A1231"), "TRUE") = 1</formula>
    </cfRule>
    <cfRule type="expression" dxfId="4" priority="2628">
      <formula>COUNTIF(INDIRECT("Checklist!$A1231"), "FALSE") = 1</formula>
    </cfRule>
  </conditionalFormatting>
  <conditionalFormatting sqref="J172">
    <cfRule type="expression" dxfId="3" priority="2639">
      <formula>COUNTIF(INDIRECT("Checklist!$A1135"), "TRUE") = 1</formula>
    </cfRule>
    <cfRule type="expression" dxfId="4" priority="2640">
      <formula>COUNTIF(INDIRECT("Checklist!$A1135"), "FALSE") = 1</formula>
    </cfRule>
  </conditionalFormatting>
  <conditionalFormatting sqref="J173">
    <cfRule type="expression" dxfId="3" priority="2651">
      <formula>COUNTIF(INDIRECT("Checklist!$A1239"), "TRUE") = 1</formula>
    </cfRule>
    <cfRule type="expression" dxfId="4" priority="2652">
      <formula>COUNTIF(INDIRECT("Checklist!$A1239"), "FALSE") = 1</formula>
    </cfRule>
  </conditionalFormatting>
  <conditionalFormatting sqref="J174">
    <cfRule type="expression" dxfId="3" priority="2663">
      <formula>COUNTIF(INDIRECT("Checklist!$A1138"), "TRUE") = 1</formula>
    </cfRule>
    <cfRule type="expression" dxfId="4" priority="2664">
      <formula>COUNTIF(INDIRECT("Checklist!$A1138"), "FALSE") = 1</formula>
    </cfRule>
  </conditionalFormatting>
  <conditionalFormatting sqref="J175">
    <cfRule type="expression" dxfId="3" priority="2675">
      <formula>COUNTIF(INDIRECT("Checklist!$A1139"), "TRUE") = 1</formula>
    </cfRule>
    <cfRule type="expression" dxfId="4" priority="2676">
      <formula>COUNTIF(INDIRECT("Checklist!$A1139"), "FALSE") = 1</formula>
    </cfRule>
  </conditionalFormatting>
  <conditionalFormatting sqref="J179">
    <cfRule type="expression" dxfId="3" priority="2749">
      <formula>COUNTIF(INDIRECT("Checklist!$A1168"), "TRUE") = 1</formula>
    </cfRule>
    <cfRule type="expression" dxfId="4" priority="2750">
      <formula>COUNTIF(INDIRECT("Checklist!$A1168"), "FALSE") = 1</formula>
    </cfRule>
  </conditionalFormatting>
  <conditionalFormatting sqref="J180">
    <cfRule type="expression" dxfId="3" priority="2761">
      <formula>COUNTIF(INDIRECT("Checklist!$A1174"), "TRUE") = 1</formula>
    </cfRule>
    <cfRule type="expression" dxfId="4" priority="2762">
      <formula>COUNTIF(INDIRECT("Checklist!$A1174"), "FALSE") = 1</formula>
    </cfRule>
  </conditionalFormatting>
  <conditionalFormatting sqref="J181">
    <cfRule type="expression" dxfId="3" priority="2773">
      <formula>COUNTIF(INDIRECT("Checklist!$A1180"), "TRUE") = 1</formula>
    </cfRule>
    <cfRule type="expression" dxfId="4" priority="2774">
      <formula>COUNTIF(INDIRECT("Checklist!$A1180"), "FALSE") = 1</formula>
    </cfRule>
  </conditionalFormatting>
  <conditionalFormatting sqref="J182">
    <cfRule type="expression" dxfId="3" priority="2785">
      <formula>COUNTIF(INDIRECT("Checklist!$A1186"), "TRUE") = 1</formula>
    </cfRule>
    <cfRule type="expression" dxfId="4" priority="2786">
      <formula>COUNTIF(INDIRECT("Checklist!$A1186"), "FALSE") = 1</formula>
    </cfRule>
  </conditionalFormatting>
  <conditionalFormatting sqref="J183">
    <cfRule type="expression" dxfId="3" priority="2797">
      <formula>COUNTIF(INDIRECT("Checklist!$A1192"), "TRUE") = 1</formula>
    </cfRule>
    <cfRule type="expression" dxfId="4" priority="2798">
      <formula>COUNTIF(INDIRECT("Checklist!$A1192"), "FALSE") = 1</formula>
    </cfRule>
  </conditionalFormatting>
  <conditionalFormatting sqref="J187">
    <cfRule type="expression" dxfId="3" priority="2871">
      <formula>COUNTIF(INDIRECT("Checklist!$None"), "TRUE") = 1</formula>
    </cfRule>
    <cfRule type="expression" dxfId="4" priority="2872">
      <formula>COUNTIF(INDIRECT("Checklist!$None"), "FALSE") = 1</formula>
    </cfRule>
  </conditionalFormatting>
  <conditionalFormatting sqref="J188">
    <cfRule type="expression" dxfId="3" priority="2883">
      <formula>COUNTIF(INDIRECT("Checklist!$None"), "TRUE") = 1</formula>
    </cfRule>
    <cfRule type="expression" dxfId="4" priority="2884">
      <formula>COUNTIF(INDIRECT("Checklist!$None"), "FALSE") = 1</formula>
    </cfRule>
  </conditionalFormatting>
  <conditionalFormatting sqref="J189">
    <cfRule type="expression" dxfId="3" priority="2895">
      <formula>COUNTIF(INDIRECT("Checklist!$None"), "TRUE") = 1</formula>
    </cfRule>
    <cfRule type="expression" dxfId="4" priority="2896">
      <formula>COUNTIF(INDIRECT("Checklist!$None"), "FALSE") = 1</formula>
    </cfRule>
  </conditionalFormatting>
  <conditionalFormatting sqref="J19">
    <cfRule type="expression" dxfId="3" priority="309">
      <formula>COUNTIF(INDIRECT("Checklist!$A153"), "TRUE") = 1</formula>
    </cfRule>
    <cfRule type="expression" dxfId="4" priority="310">
      <formula>COUNTIF(INDIRECT("Checklist!$A153"), "FALSE") = 1</formula>
    </cfRule>
  </conditionalFormatting>
  <conditionalFormatting sqref="J190">
    <cfRule type="expression" dxfId="3" priority="2907">
      <formula>COUNTIF(INDIRECT("Checklist!$None"), "TRUE") = 1</formula>
    </cfRule>
    <cfRule type="expression" dxfId="4" priority="2908">
      <formula>COUNTIF(INDIRECT("Checklist!$None"), "FALSE") = 1</formula>
    </cfRule>
  </conditionalFormatting>
  <conditionalFormatting sqref="J191">
    <cfRule type="expression" dxfId="3" priority="2919">
      <formula>COUNTIF(INDIRECT("Checklist!$None"), "TRUE") = 1</formula>
    </cfRule>
    <cfRule type="expression" dxfId="4" priority="2920">
      <formula>COUNTIF(INDIRECT("Checklist!$None"), "FALSE") = 1</formula>
    </cfRule>
  </conditionalFormatting>
  <conditionalFormatting sqref="J195">
    <cfRule type="expression" dxfId="3" priority="2993">
      <formula>COUNTIF(INDIRECT("Checklist!$None"), "TRUE") = 1</formula>
    </cfRule>
    <cfRule type="expression" dxfId="4" priority="2994">
      <formula>COUNTIF(INDIRECT("Checklist!$None"), "FALSE") = 1</formula>
    </cfRule>
  </conditionalFormatting>
  <conditionalFormatting sqref="J196">
    <cfRule type="expression" dxfId="3" priority="3005">
      <formula>COUNTIF(INDIRECT("Checklist!$None"), "TRUE") = 1</formula>
    </cfRule>
    <cfRule type="expression" dxfId="4" priority="3006">
      <formula>COUNTIF(INDIRECT("Checklist!$None"), "FALSE") = 1</formula>
    </cfRule>
  </conditionalFormatting>
  <conditionalFormatting sqref="J197">
    <cfRule type="expression" dxfId="3" priority="3017">
      <formula>COUNTIF(INDIRECT("Checklist!$None"), "TRUE") = 1</formula>
    </cfRule>
    <cfRule type="expression" dxfId="4" priority="3018">
      <formula>COUNTIF(INDIRECT("Checklist!$None"), "FALSE") = 1</formula>
    </cfRule>
  </conditionalFormatting>
  <conditionalFormatting sqref="J198">
    <cfRule type="expression" dxfId="3" priority="3029">
      <formula>COUNTIF(INDIRECT("Checklist!$None"), "TRUE") = 1</formula>
    </cfRule>
    <cfRule type="expression" dxfId="4" priority="3030">
      <formula>COUNTIF(INDIRECT("Checklist!$None"), "FALSE") = 1</formula>
    </cfRule>
  </conditionalFormatting>
  <conditionalFormatting sqref="J199">
    <cfRule type="expression" dxfId="3" priority="3041">
      <formula>COUNTIF(INDIRECT("Checklist!$None"), "TRUE") = 1</formula>
    </cfRule>
    <cfRule type="expression" dxfId="4" priority="3042">
      <formula>COUNTIF(INDIRECT("Checklist!$None"), "FALSE") = 1</formula>
    </cfRule>
  </conditionalFormatting>
  <conditionalFormatting sqref="J20">
    <cfRule type="expression" dxfId="3" priority="321">
      <formula>COUNTIF(INDIRECT("Checklist!$A159"), "TRUE") = 1</formula>
    </cfRule>
    <cfRule type="expression" dxfId="4" priority="322">
      <formula>COUNTIF(INDIRECT("Checklist!$A159"), "FALSE") = 1</formula>
    </cfRule>
  </conditionalFormatting>
  <conditionalFormatting sqref="J203">
    <cfRule type="expression" dxfId="3" priority="3115">
      <formula>COUNTIF(INDIRECT("Checklist!$A1259"), "TRUE") = 1</formula>
    </cfRule>
    <cfRule type="expression" dxfId="4" priority="3116">
      <formula>COUNTIF(INDIRECT("Checklist!$A1259"), "FALSE") = 1</formula>
    </cfRule>
  </conditionalFormatting>
  <conditionalFormatting sqref="J204">
    <cfRule type="expression" dxfId="3" priority="3127">
      <formula>COUNTIF(INDIRECT("Checklist!$A1265"), "TRUE") = 1</formula>
    </cfRule>
    <cfRule type="expression" dxfId="4" priority="3128">
      <formula>COUNTIF(INDIRECT("Checklist!$A1265"), "FALSE") = 1</formula>
    </cfRule>
  </conditionalFormatting>
  <conditionalFormatting sqref="J205">
    <cfRule type="expression" dxfId="3" priority="3139">
      <formula>COUNTIF(INDIRECT("Checklist!$A1271"), "TRUE") = 1</formula>
    </cfRule>
    <cfRule type="expression" dxfId="4" priority="3140">
      <formula>COUNTIF(INDIRECT("Checklist!$A1271"), "FALSE") = 1</formula>
    </cfRule>
  </conditionalFormatting>
  <conditionalFormatting sqref="J206">
    <cfRule type="expression" dxfId="3" priority="3151">
      <formula>COUNTIF(INDIRECT("Checklist!$None"), "TRUE") = 1</formula>
    </cfRule>
    <cfRule type="expression" dxfId="4" priority="3152">
      <formula>COUNTIF(INDIRECT("Checklist!$None"), "FALSE") = 1</formula>
    </cfRule>
  </conditionalFormatting>
  <conditionalFormatting sqref="J207">
    <cfRule type="expression" dxfId="3" priority="3163">
      <formula>COUNTIF(INDIRECT("Checklist!$None"), "TRUE") = 1</formula>
    </cfRule>
    <cfRule type="expression" dxfId="4" priority="3164">
      <formula>COUNTIF(INDIRECT("Checklist!$None"), "FALSE") = 1</formula>
    </cfRule>
  </conditionalFormatting>
  <conditionalFormatting sqref="J21">
    <cfRule type="expression" dxfId="3" priority="333">
      <formula>COUNTIF(INDIRECT("Checklist!$A165"), "TRUE") = 1</formula>
    </cfRule>
    <cfRule type="expression" dxfId="4" priority="334">
      <formula>COUNTIF(INDIRECT("Checklist!$A165"), "FALSE") = 1</formula>
    </cfRule>
  </conditionalFormatting>
  <conditionalFormatting sqref="J22">
    <cfRule type="expression" dxfId="3" priority="345">
      <formula>COUNTIF(INDIRECT("Checklist!$A171"), "TRUE") = 1</formula>
    </cfRule>
    <cfRule type="expression" dxfId="4" priority="346">
      <formula>COUNTIF(INDIRECT("Checklist!$A171"), "FALSE") = 1</formula>
    </cfRule>
  </conditionalFormatting>
  <conditionalFormatting sqref="J23">
    <cfRule type="expression" dxfId="3" priority="357">
      <formula>COUNTIF(INDIRECT("Checklist!$A177"), "TRUE") = 1</formula>
    </cfRule>
    <cfRule type="expression" dxfId="4" priority="358">
      <formula>COUNTIF(INDIRECT("Checklist!$A177"), "FALSE") = 1</formula>
    </cfRule>
  </conditionalFormatting>
  <conditionalFormatting sqref="J27">
    <cfRule type="expression" dxfId="3" priority="431">
      <formula>COUNTIF(INDIRECT("Checklist!$A213"), "TRUE") = 1</formula>
    </cfRule>
    <cfRule type="expression" dxfId="4" priority="432">
      <formula>COUNTIF(INDIRECT("Checklist!$A213"), "FALSE") = 1</formula>
    </cfRule>
  </conditionalFormatting>
  <conditionalFormatting sqref="J28">
    <cfRule type="expression" dxfId="3" priority="443">
      <formula>COUNTIF(INDIRECT("Checklist!$A219"), "TRUE") = 1</formula>
    </cfRule>
    <cfRule type="expression" dxfId="4" priority="444">
      <formula>COUNTIF(INDIRECT("Checklist!$A219"), "FALSE") = 1</formula>
    </cfRule>
  </conditionalFormatting>
  <conditionalFormatting sqref="J29">
    <cfRule type="expression" dxfId="3" priority="455">
      <formula>COUNTIF(INDIRECT("Checklist!$A225"), "TRUE") = 1</formula>
    </cfRule>
    <cfRule type="expression" dxfId="4" priority="456">
      <formula>COUNTIF(INDIRECT("Checklist!$A225"), "FALSE") = 1</formula>
    </cfRule>
  </conditionalFormatting>
  <conditionalFormatting sqref="J3">
    <cfRule type="expression" dxfId="3" priority="65">
      <formula>COUNTIF(INDIRECT("Checklist!$A30"), "TRUE") = 1</formula>
    </cfRule>
    <cfRule type="expression" dxfId="4" priority="66">
      <formula>COUNTIF(INDIRECT("Checklist!$A30"), "FALSE") = 1</formula>
    </cfRule>
  </conditionalFormatting>
  <conditionalFormatting sqref="J30">
    <cfRule type="expression" dxfId="3" priority="467">
      <formula>COUNTIF(INDIRECT("Checklist!$A231"), "TRUE") = 1</formula>
    </cfRule>
    <cfRule type="expression" dxfId="4" priority="468">
      <formula>COUNTIF(INDIRECT("Checklist!$A231"), "FALSE") = 1</formula>
    </cfRule>
  </conditionalFormatting>
  <conditionalFormatting sqref="J31">
    <cfRule type="expression" dxfId="3" priority="479">
      <formula>COUNTIF(INDIRECT("Checklist!$A237"), "TRUE") = 1</formula>
    </cfRule>
    <cfRule type="expression" dxfId="4" priority="480">
      <formula>COUNTIF(INDIRECT("Checklist!$A237"), "FALSE") = 1</formula>
    </cfRule>
  </conditionalFormatting>
  <conditionalFormatting sqref="J35">
    <cfRule type="expression" dxfId="3" priority="553">
      <formula>COUNTIF(INDIRECT("Checklist!$A273"), "TRUE") = 1</formula>
    </cfRule>
    <cfRule type="expression" dxfId="4" priority="554">
      <formula>COUNTIF(INDIRECT("Checklist!$A273"), "FALSE") = 1</formula>
    </cfRule>
  </conditionalFormatting>
  <conditionalFormatting sqref="J36">
    <cfRule type="expression" dxfId="3" priority="565">
      <formula>COUNTIF(INDIRECT("Checklist!$A279"), "TRUE") = 1</formula>
    </cfRule>
    <cfRule type="expression" dxfId="4" priority="566">
      <formula>COUNTIF(INDIRECT("Checklist!$A279"), "FALSE") = 1</formula>
    </cfRule>
  </conditionalFormatting>
  <conditionalFormatting sqref="J37">
    <cfRule type="expression" dxfId="3" priority="577">
      <formula>COUNTIF(INDIRECT("Checklist!$A285"), "TRUE") = 1</formula>
    </cfRule>
    <cfRule type="expression" dxfId="4" priority="578">
      <formula>COUNTIF(INDIRECT("Checklist!$A285"), "FALSE") = 1</formula>
    </cfRule>
  </conditionalFormatting>
  <conditionalFormatting sqref="J38">
    <cfRule type="expression" dxfId="3" priority="589">
      <formula>COUNTIF(INDIRECT("Checklist!$A291"), "TRUE") = 1</formula>
    </cfRule>
    <cfRule type="expression" dxfId="4" priority="590">
      <formula>COUNTIF(INDIRECT("Checklist!$A291"), "FALSE") = 1</formula>
    </cfRule>
  </conditionalFormatting>
  <conditionalFormatting sqref="J39">
    <cfRule type="expression" dxfId="3" priority="601">
      <formula>COUNTIF(INDIRECT("Checklist!$A297"), "TRUE") = 1</formula>
    </cfRule>
    <cfRule type="expression" dxfId="4" priority="602">
      <formula>COUNTIF(INDIRECT("Checklist!$A297"), "FALSE") = 1</formula>
    </cfRule>
  </conditionalFormatting>
  <conditionalFormatting sqref="J4">
    <cfRule type="expression" dxfId="3" priority="77">
      <formula>COUNTIF(INDIRECT("Checklist!$A39"), "TRUE") = 1</formula>
    </cfRule>
    <cfRule type="expression" dxfId="4" priority="78">
      <formula>COUNTIF(INDIRECT("Checklist!$A39"), "FALSE") = 1</formula>
    </cfRule>
  </conditionalFormatting>
  <conditionalFormatting sqref="J43">
    <cfRule type="expression" dxfId="3" priority="675">
      <formula>COUNTIF(INDIRECT("Checklist!$A333"), "TRUE") = 1</formula>
    </cfRule>
    <cfRule type="expression" dxfId="4" priority="676">
      <formula>COUNTIF(INDIRECT("Checklist!$A333"), "FALSE") = 1</formula>
    </cfRule>
  </conditionalFormatting>
  <conditionalFormatting sqref="J44">
    <cfRule type="expression" dxfId="3" priority="687">
      <formula>COUNTIF(INDIRECT("Checklist!$A339"), "TRUE") = 1</formula>
    </cfRule>
    <cfRule type="expression" dxfId="4" priority="688">
      <formula>COUNTIF(INDIRECT("Checklist!$A339"), "FALSE") = 1</formula>
    </cfRule>
  </conditionalFormatting>
  <conditionalFormatting sqref="J45">
    <cfRule type="expression" dxfId="3" priority="699">
      <formula>COUNTIF(INDIRECT("Checklist!$A345"), "TRUE") = 1</formula>
    </cfRule>
    <cfRule type="expression" dxfId="4" priority="700">
      <formula>COUNTIF(INDIRECT("Checklist!$A345"), "FALSE") = 1</formula>
    </cfRule>
  </conditionalFormatting>
  <conditionalFormatting sqref="J46">
    <cfRule type="expression" dxfId="3" priority="711">
      <formula>COUNTIF(INDIRECT("Checklist!$A351"), "TRUE") = 1</formula>
    </cfRule>
    <cfRule type="expression" dxfId="4" priority="712">
      <formula>COUNTIF(INDIRECT("Checklist!$A351"), "FALSE") = 1</formula>
    </cfRule>
  </conditionalFormatting>
  <conditionalFormatting sqref="J47">
    <cfRule type="expression" dxfId="3" priority="723">
      <formula>COUNTIF(INDIRECT("Checklist!$A357"), "TRUE") = 1</formula>
    </cfRule>
    <cfRule type="expression" dxfId="4" priority="724">
      <formula>COUNTIF(INDIRECT("Checklist!$A357"), "FALSE") = 1</formula>
    </cfRule>
  </conditionalFormatting>
  <conditionalFormatting sqref="J5">
    <cfRule type="expression" dxfId="3" priority="89">
      <formula>COUNTIF(INDIRECT("Checklist!$A45"), "TRUE") = 1</formula>
    </cfRule>
    <cfRule type="expression" dxfId="4" priority="90">
      <formula>COUNTIF(INDIRECT("Checklist!$A45"), "FALSE") = 1</formula>
    </cfRule>
  </conditionalFormatting>
  <conditionalFormatting sqref="J51">
    <cfRule type="expression" dxfId="3" priority="797">
      <formula>COUNTIF(INDIRECT("Checklist!$A393"), "TRUE") = 1</formula>
    </cfRule>
    <cfRule type="expression" dxfId="4" priority="798">
      <formula>COUNTIF(INDIRECT("Checklist!$A393"), "FALSE") = 1</formula>
    </cfRule>
  </conditionalFormatting>
  <conditionalFormatting sqref="J52">
    <cfRule type="expression" dxfId="3" priority="809">
      <formula>COUNTIF(INDIRECT("Checklist!$A399"), "TRUE") = 1</formula>
    </cfRule>
    <cfRule type="expression" dxfId="4" priority="810">
      <formula>COUNTIF(INDIRECT("Checklist!$A399"), "FALSE") = 1</formula>
    </cfRule>
  </conditionalFormatting>
  <conditionalFormatting sqref="J53">
    <cfRule type="expression" dxfId="3" priority="821">
      <formula>COUNTIF(INDIRECT("Checklist!$A405"), "TRUE") = 1</formula>
    </cfRule>
    <cfRule type="expression" dxfId="4" priority="822">
      <formula>COUNTIF(INDIRECT("Checklist!$A405"), "FALSE") = 1</formula>
    </cfRule>
  </conditionalFormatting>
  <conditionalFormatting sqref="J54">
    <cfRule type="expression" dxfId="3" priority="833">
      <formula>COUNTIF(INDIRECT("Checklist!$A411"), "TRUE") = 1</formula>
    </cfRule>
    <cfRule type="expression" dxfId="4" priority="834">
      <formula>COUNTIF(INDIRECT("Checklist!$A411"), "FALSE") = 1</formula>
    </cfRule>
  </conditionalFormatting>
  <conditionalFormatting sqref="J55">
    <cfRule type="expression" dxfId="3" priority="845">
      <formula>COUNTIF(INDIRECT("Checklist!$A417"), "TRUE") = 1</formula>
    </cfRule>
    <cfRule type="expression" dxfId="4" priority="846">
      <formula>COUNTIF(INDIRECT("Checklist!$A417"), "FALSE") = 1</formula>
    </cfRule>
  </conditionalFormatting>
  <conditionalFormatting sqref="J59">
    <cfRule type="expression" dxfId="3" priority="919">
      <formula>COUNTIF(INDIRECT("Checklist!$A453"), "TRUE") = 1</formula>
    </cfRule>
    <cfRule type="expression" dxfId="4" priority="920">
      <formula>COUNTIF(INDIRECT("Checklist!$A453"), "FALSE") = 1</formula>
    </cfRule>
  </conditionalFormatting>
  <conditionalFormatting sqref="J6">
    <cfRule type="expression" dxfId="3" priority="101">
      <formula>COUNTIF(INDIRECT("Checklist!$A51"), "TRUE") = 1</formula>
    </cfRule>
    <cfRule type="expression" dxfId="4" priority="102">
      <formula>COUNTIF(INDIRECT("Checklist!$A51"), "FALSE") = 1</formula>
    </cfRule>
  </conditionalFormatting>
  <conditionalFormatting sqref="J60">
    <cfRule type="expression" dxfId="3" priority="931">
      <formula>COUNTIF(INDIRECT("Checklist!$A459"), "TRUE") = 1</formula>
    </cfRule>
    <cfRule type="expression" dxfId="4" priority="932">
      <formula>COUNTIF(INDIRECT("Checklist!$A459"), "FALSE") = 1</formula>
    </cfRule>
  </conditionalFormatting>
  <conditionalFormatting sqref="J61">
    <cfRule type="expression" dxfId="3" priority="943">
      <formula>COUNTIF(INDIRECT("Checklist!$A465"), "TRUE") = 1</formula>
    </cfRule>
    <cfRule type="expression" dxfId="4" priority="944">
      <formula>COUNTIF(INDIRECT("Checklist!$A465"), "FALSE") = 1</formula>
    </cfRule>
  </conditionalFormatting>
  <conditionalFormatting sqref="J62">
    <cfRule type="expression" dxfId="3" priority="955">
      <formula>COUNTIF(INDIRECT("Checklist!$A471"), "TRUE") = 1</formula>
    </cfRule>
    <cfRule type="expression" dxfId="4" priority="956">
      <formula>COUNTIF(INDIRECT("Checklist!$A471"), "FALSE") = 1</formula>
    </cfRule>
  </conditionalFormatting>
  <conditionalFormatting sqref="J63">
    <cfRule type="expression" dxfId="3" priority="967">
      <formula>COUNTIF(INDIRECT("Checklist!$A477"), "TRUE") = 1</formula>
    </cfRule>
    <cfRule type="expression" dxfId="4" priority="968">
      <formula>COUNTIF(INDIRECT("Checklist!$A477"), "FALSE") = 1</formula>
    </cfRule>
  </conditionalFormatting>
  <conditionalFormatting sqref="J67">
    <cfRule type="expression" dxfId="3" priority="1041">
      <formula>COUNTIF(INDIRECT("Checklist!$A513"), "TRUE") = 1</formula>
    </cfRule>
    <cfRule type="expression" dxfId="4" priority="1042">
      <formula>COUNTIF(INDIRECT("Checklist!$A513"), "FALSE") = 1</formula>
    </cfRule>
  </conditionalFormatting>
  <conditionalFormatting sqref="J68">
    <cfRule type="expression" dxfId="3" priority="1053">
      <formula>COUNTIF(INDIRECT("Checklist!$A519"), "TRUE") = 1</formula>
    </cfRule>
    <cfRule type="expression" dxfId="4" priority="1054">
      <formula>COUNTIF(INDIRECT("Checklist!$A519"), "FALSE") = 1</formula>
    </cfRule>
  </conditionalFormatting>
  <conditionalFormatting sqref="J69">
    <cfRule type="expression" dxfId="3" priority="1065">
      <formula>COUNTIF(INDIRECT("Checklist!$A525"), "TRUE") = 1</formula>
    </cfRule>
    <cfRule type="expression" dxfId="4" priority="1066">
      <formula>COUNTIF(INDIRECT("Checklist!$A525"), "FALSE") = 1</formula>
    </cfRule>
  </conditionalFormatting>
  <conditionalFormatting sqref="J7">
    <cfRule type="expression" dxfId="3" priority="113">
      <formula>COUNTIF(INDIRECT("Checklist!$A57"), "TRUE") = 1</formula>
    </cfRule>
    <cfRule type="expression" dxfId="4" priority="114">
      <formula>COUNTIF(INDIRECT("Checklist!$A57"), "FALSE") = 1</formula>
    </cfRule>
  </conditionalFormatting>
  <conditionalFormatting sqref="J70">
    <cfRule type="expression" dxfId="3" priority="1077">
      <formula>COUNTIF(INDIRECT("Checklist!$A531"), "TRUE") = 1</formula>
    </cfRule>
    <cfRule type="expression" dxfId="4" priority="1078">
      <formula>COUNTIF(INDIRECT("Checklist!$A531"), "FALSE") = 1</formula>
    </cfRule>
  </conditionalFormatting>
  <conditionalFormatting sqref="J71">
    <cfRule type="expression" dxfId="3" priority="1089">
      <formula>COUNTIF(INDIRECT("Checklist!$A537"), "TRUE") = 1</formula>
    </cfRule>
    <cfRule type="expression" dxfId="4" priority="1090">
      <formula>COUNTIF(INDIRECT("Checklist!$A537"), "FALSE") = 1</formula>
    </cfRule>
  </conditionalFormatting>
  <conditionalFormatting sqref="J75">
    <cfRule type="expression" dxfId="3" priority="1163">
      <formula>COUNTIF(INDIRECT("Checklist!$A573"), "TRUE") = 1</formula>
    </cfRule>
    <cfRule type="expression" dxfId="4" priority="1164">
      <formula>COUNTIF(INDIRECT("Checklist!$A573"), "FALSE") = 1</formula>
    </cfRule>
  </conditionalFormatting>
  <conditionalFormatting sqref="J76">
    <cfRule type="expression" dxfId="3" priority="1175">
      <formula>COUNTIF(INDIRECT("Checklist!$A579"), "TRUE") = 1</formula>
    </cfRule>
    <cfRule type="expression" dxfId="4" priority="1176">
      <formula>COUNTIF(INDIRECT("Checklist!$A579"), "FALSE") = 1</formula>
    </cfRule>
  </conditionalFormatting>
  <conditionalFormatting sqref="J77">
    <cfRule type="expression" dxfId="3" priority="1187">
      <formula>COUNTIF(INDIRECT("Checklist!$A585"), "TRUE") = 1</formula>
    </cfRule>
    <cfRule type="expression" dxfId="4" priority="1188">
      <formula>COUNTIF(INDIRECT("Checklist!$A585"), "FALSE") = 1</formula>
    </cfRule>
  </conditionalFormatting>
  <conditionalFormatting sqref="J78">
    <cfRule type="expression" dxfId="3" priority="1199">
      <formula>COUNTIF(INDIRECT("Checklist!$A591"), "TRUE") = 1</formula>
    </cfRule>
    <cfRule type="expression" dxfId="4" priority="1200">
      <formula>COUNTIF(INDIRECT("Checklist!$A591"), "FALSE") = 1</formula>
    </cfRule>
  </conditionalFormatting>
  <conditionalFormatting sqref="J79">
    <cfRule type="expression" dxfId="3" priority="1211">
      <formula>COUNTIF(INDIRECT("Checklist!$A597"), "TRUE") = 1</formula>
    </cfRule>
    <cfRule type="expression" dxfId="4" priority="1212">
      <formula>COUNTIF(INDIRECT("Checklist!$A597"), "FALSE") = 1</formula>
    </cfRule>
  </conditionalFormatting>
  <conditionalFormatting sqref="J83">
    <cfRule type="expression" dxfId="3" priority="1285">
      <formula>COUNTIF(INDIRECT("Checklist!$A633"), "TRUE") = 1</formula>
    </cfRule>
    <cfRule type="expression" dxfId="4" priority="1286">
      <formula>COUNTIF(INDIRECT("Checklist!$A633"), "FALSE") = 1</formula>
    </cfRule>
  </conditionalFormatting>
  <conditionalFormatting sqref="J84">
    <cfRule type="expression" dxfId="3" priority="1297">
      <formula>COUNTIF(INDIRECT("Checklist!$A639"), "TRUE") = 1</formula>
    </cfRule>
    <cfRule type="expression" dxfId="4" priority="1298">
      <formula>COUNTIF(INDIRECT("Checklist!$A639"), "FALSE") = 1</formula>
    </cfRule>
  </conditionalFormatting>
  <conditionalFormatting sqref="J85">
    <cfRule type="expression" dxfId="3" priority="1309">
      <formula>COUNTIF(INDIRECT("Checklist!$A645"), "TRUE") = 1</formula>
    </cfRule>
    <cfRule type="expression" dxfId="4" priority="1310">
      <formula>COUNTIF(INDIRECT("Checklist!$A645"), "FALSE") = 1</formula>
    </cfRule>
  </conditionalFormatting>
  <conditionalFormatting sqref="J86">
    <cfRule type="expression" dxfId="3" priority="1321">
      <formula>COUNTIF(INDIRECT("Checklist!$A651"), "TRUE") = 1</formula>
    </cfRule>
    <cfRule type="expression" dxfId="4" priority="1322">
      <formula>COUNTIF(INDIRECT("Checklist!$A651"), "FALSE") = 1</formula>
    </cfRule>
  </conditionalFormatting>
  <conditionalFormatting sqref="J87">
    <cfRule type="expression" dxfId="3" priority="1333">
      <formula>COUNTIF(INDIRECT("Checklist!$A657"), "TRUE") = 1</formula>
    </cfRule>
    <cfRule type="expression" dxfId="4" priority="1334">
      <formula>COUNTIF(INDIRECT("Checklist!$A657"), "FALSE") = 1</formula>
    </cfRule>
  </conditionalFormatting>
  <conditionalFormatting sqref="J91">
    <cfRule type="expression" dxfId="3" priority="1407">
      <formula>COUNTIF(INDIRECT("Checklist!$A693"), "TRUE") = 1</formula>
    </cfRule>
    <cfRule type="expression" dxfId="4" priority="1408">
      <formula>COUNTIF(INDIRECT("Checklist!$A693"), "FALSE") = 1</formula>
    </cfRule>
  </conditionalFormatting>
  <conditionalFormatting sqref="J92">
    <cfRule type="expression" dxfId="3" priority="1419">
      <formula>COUNTIF(INDIRECT("Checklist!$A699"), "TRUE") = 1</formula>
    </cfRule>
    <cfRule type="expression" dxfId="4" priority="1420">
      <formula>COUNTIF(INDIRECT("Checklist!$A699"), "FALSE") = 1</formula>
    </cfRule>
  </conditionalFormatting>
  <conditionalFormatting sqref="J93">
    <cfRule type="expression" dxfId="3" priority="1431">
      <formula>COUNTIF(INDIRECT("Checklist!$A705"), "TRUE") = 1</formula>
    </cfRule>
    <cfRule type="expression" dxfId="4" priority="1432">
      <formula>COUNTIF(INDIRECT("Checklist!$A705"), "FALSE") = 1</formula>
    </cfRule>
  </conditionalFormatting>
  <conditionalFormatting sqref="J94">
    <cfRule type="expression" dxfId="3" priority="1443">
      <formula>COUNTIF(INDIRECT("Checklist!$A711"), "TRUE") = 1</formula>
    </cfRule>
    <cfRule type="expression" dxfId="4" priority="1444">
      <formula>COUNTIF(INDIRECT("Checklist!$A711"), "FALSE") = 1</formula>
    </cfRule>
  </conditionalFormatting>
  <conditionalFormatting sqref="J95">
    <cfRule type="expression" dxfId="3" priority="1455">
      <formula>COUNTIF(INDIRECT("Checklist!$A717"), "TRUE") = 1</formula>
    </cfRule>
    <cfRule type="expression" dxfId="4" priority="1456">
      <formula>COUNTIF(INDIRECT("Checklist!$A717"), "FALSE") = 1</formula>
    </cfRule>
  </conditionalFormatting>
  <conditionalFormatting sqref="J99">
    <cfRule type="expression" dxfId="3" priority="1529">
      <formula>COUNTIF(INDIRECT("Checklist!$A753"), "TRUE") = 1</formula>
    </cfRule>
    <cfRule type="expression" dxfId="4" priority="1530">
      <formula>COUNTIF(INDIRECT("Checklist!$A753"), "FALSE") = 1</formula>
    </cfRule>
  </conditionalFormatting>
  <conditionalFormatting sqref="K100">
    <cfRule type="expression" dxfId="3" priority="1543">
      <formula>COUNTIF(INDIRECT("Checklist!$A760"), "TRUE") = 1</formula>
    </cfRule>
    <cfRule type="expression" dxfId="4" priority="1544">
      <formula>COUNTIF(INDIRECT("Checklist!$A760"), "FALSE") = 1</formula>
    </cfRule>
  </conditionalFormatting>
  <conditionalFormatting sqref="K101">
    <cfRule type="expression" dxfId="3" priority="1555">
      <formula>COUNTIF(INDIRECT("Checklist!$A766"), "TRUE") = 1</formula>
    </cfRule>
    <cfRule type="expression" dxfId="4" priority="1556">
      <formula>COUNTIF(INDIRECT("Checklist!$A766"), "FALSE") = 1</formula>
    </cfRule>
  </conditionalFormatting>
  <conditionalFormatting sqref="K102">
    <cfRule type="expression" dxfId="3" priority="1567">
      <formula>COUNTIF(INDIRECT("Checklist!$A772"), "TRUE") = 1</formula>
    </cfRule>
    <cfRule type="expression" dxfId="4" priority="1568">
      <formula>COUNTIF(INDIRECT("Checklist!$A772"), "FALSE") = 1</formula>
    </cfRule>
  </conditionalFormatting>
  <conditionalFormatting sqref="K103">
    <cfRule type="expression" dxfId="3" priority="1579">
      <formula>COUNTIF(INDIRECT("Checklist!$A778"), "TRUE") = 1</formula>
    </cfRule>
    <cfRule type="expression" dxfId="4" priority="1580">
      <formula>COUNTIF(INDIRECT("Checklist!$A778"), "FALSE") = 1</formula>
    </cfRule>
  </conditionalFormatting>
  <conditionalFormatting sqref="K107">
    <cfRule type="expression" dxfId="3" priority="1653">
      <formula>COUNTIF(INDIRECT("Checklist!$A814"), "TRUE") = 1</formula>
    </cfRule>
    <cfRule type="expression" dxfId="4" priority="1654">
      <formula>COUNTIF(INDIRECT("Checklist!$A814"), "FALSE") = 1</formula>
    </cfRule>
  </conditionalFormatting>
  <conditionalFormatting sqref="K108">
    <cfRule type="expression" dxfId="3" priority="1665">
      <formula>COUNTIF(INDIRECT("Checklist!$A820"), "TRUE") = 1</formula>
    </cfRule>
    <cfRule type="expression" dxfId="4" priority="1666">
      <formula>COUNTIF(INDIRECT("Checklist!$A820"), "FALSE") = 1</formula>
    </cfRule>
  </conditionalFormatting>
  <conditionalFormatting sqref="K109">
    <cfRule type="expression" dxfId="3" priority="1677">
      <formula>COUNTIF(INDIRECT("Checklist!$A826"), "TRUE") = 1</formula>
    </cfRule>
    <cfRule type="expression" dxfId="4" priority="1678">
      <formula>COUNTIF(INDIRECT("Checklist!$A826"), "FALSE") = 1</formula>
    </cfRule>
  </conditionalFormatting>
  <conditionalFormatting sqref="K11">
    <cfRule type="expression" dxfId="3" priority="189">
      <formula>COUNTIF(INDIRECT("Checklist!$A94"), "TRUE") = 1</formula>
    </cfRule>
    <cfRule type="expression" dxfId="4" priority="190">
      <formula>COUNTIF(INDIRECT("Checklist!$A94"), "FALSE") = 1</formula>
    </cfRule>
  </conditionalFormatting>
  <conditionalFormatting sqref="K110">
    <cfRule type="expression" dxfId="3" priority="1689">
      <formula>COUNTIF(INDIRECT("Checklist!$A832"), "TRUE") = 1</formula>
    </cfRule>
    <cfRule type="expression" dxfId="4" priority="1690">
      <formula>COUNTIF(INDIRECT("Checklist!$A832"), "FALSE") = 1</formula>
    </cfRule>
  </conditionalFormatting>
  <conditionalFormatting sqref="K111">
    <cfRule type="expression" dxfId="3" priority="1701">
      <formula>COUNTIF(INDIRECT("Checklist!$A838"), "TRUE") = 1</formula>
    </cfRule>
    <cfRule type="expression" dxfId="4" priority="1702">
      <formula>COUNTIF(INDIRECT("Checklist!$A838"), "FALSE") = 1</formula>
    </cfRule>
  </conditionalFormatting>
  <conditionalFormatting sqref="K115">
    <cfRule type="expression" dxfId="3" priority="1775">
      <formula>COUNTIF(INDIRECT("Checklist!$A874"), "TRUE") = 1</formula>
    </cfRule>
    <cfRule type="expression" dxfId="4" priority="1776">
      <formula>COUNTIF(INDIRECT("Checklist!$A874"), "FALSE") = 1</formula>
    </cfRule>
  </conditionalFormatting>
  <conditionalFormatting sqref="K116">
    <cfRule type="expression" dxfId="3" priority="1787">
      <formula>COUNTIF(INDIRECT("Checklist!$A1236"), "TRUE") = 1</formula>
    </cfRule>
    <cfRule type="expression" dxfId="4" priority="1788">
      <formula>COUNTIF(INDIRECT("Checklist!$A1236"), "FALSE") = 1</formula>
    </cfRule>
  </conditionalFormatting>
  <conditionalFormatting sqref="K117">
    <cfRule type="expression" dxfId="3" priority="1799">
      <formula>COUNTIF(INDIRECT("Checklist!$A886"), "TRUE") = 1</formula>
    </cfRule>
    <cfRule type="expression" dxfId="4" priority="1800">
      <formula>COUNTIF(INDIRECT("Checklist!$A886"), "FALSE") = 1</formula>
    </cfRule>
  </conditionalFormatting>
  <conditionalFormatting sqref="K118">
    <cfRule type="expression" dxfId="3" priority="1811">
      <formula>COUNTIF(INDIRECT("Checklist!$A892"), "TRUE") = 1</formula>
    </cfRule>
    <cfRule type="expression" dxfId="4" priority="1812">
      <formula>COUNTIF(INDIRECT("Checklist!$A892"), "FALSE") = 1</formula>
    </cfRule>
  </conditionalFormatting>
  <conditionalFormatting sqref="K119">
    <cfRule type="expression" dxfId="3" priority="1823">
      <formula>COUNTIF(INDIRECT("Checklist!$A898"), "TRUE") = 1</formula>
    </cfRule>
    <cfRule type="expression" dxfId="4" priority="1824">
      <formula>COUNTIF(INDIRECT("Checklist!$A898"), "FALSE") = 1</formula>
    </cfRule>
  </conditionalFormatting>
  <conditionalFormatting sqref="K12">
    <cfRule type="expression" dxfId="3" priority="201">
      <formula>COUNTIF(INDIRECT("Checklist!$A1213"), "TRUE") = 1</formula>
    </cfRule>
    <cfRule type="expression" dxfId="4" priority="202">
      <formula>COUNTIF(INDIRECT("Checklist!$A1213"), "FALSE") = 1</formula>
    </cfRule>
  </conditionalFormatting>
  <conditionalFormatting sqref="K123">
    <cfRule type="expression" dxfId="3" priority="1897">
      <formula>COUNTIF(INDIRECT("Checklist!$A909"), "TRUE") = 1</formula>
    </cfRule>
    <cfRule type="expression" dxfId="4" priority="1898">
      <formula>COUNTIF(INDIRECT("Checklist!$A909"), "FALSE") = 1</formula>
    </cfRule>
  </conditionalFormatting>
  <conditionalFormatting sqref="K124">
    <cfRule type="expression" dxfId="3" priority="1909">
      <formula>COUNTIF(INDIRECT("Checklist!$A915"), "TRUE") = 1</formula>
    </cfRule>
    <cfRule type="expression" dxfId="4" priority="1910">
      <formula>COUNTIF(INDIRECT("Checklist!$A915"), "FALSE") = 1</formula>
    </cfRule>
  </conditionalFormatting>
  <conditionalFormatting sqref="K125">
    <cfRule type="expression" dxfId="3" priority="1921">
      <formula>COUNTIF(INDIRECT("Checklist!$A921"), "TRUE") = 1</formula>
    </cfRule>
    <cfRule type="expression" dxfId="4" priority="1922">
      <formula>COUNTIF(INDIRECT("Checklist!$A921"), "FALSE") = 1</formula>
    </cfRule>
  </conditionalFormatting>
  <conditionalFormatting sqref="K126">
    <cfRule type="expression" dxfId="3" priority="1933">
      <formula>COUNTIF(INDIRECT("Checklist!$A927"), "TRUE") = 1</formula>
    </cfRule>
    <cfRule type="expression" dxfId="4" priority="1934">
      <formula>COUNTIF(INDIRECT("Checklist!$A927"), "FALSE") = 1</formula>
    </cfRule>
  </conditionalFormatting>
  <conditionalFormatting sqref="K127">
    <cfRule type="expression" dxfId="3" priority="1945">
      <formula>COUNTIF(INDIRECT("Checklist!$A933"), "TRUE") = 1</formula>
    </cfRule>
    <cfRule type="expression" dxfId="4" priority="1946">
      <formula>COUNTIF(INDIRECT("Checklist!$A933"), "FALSE") = 1</formula>
    </cfRule>
  </conditionalFormatting>
  <conditionalFormatting sqref="K13">
    <cfRule type="expression" dxfId="3" priority="213">
      <formula>COUNTIF(INDIRECT("Checklist!$A106"), "TRUE") = 1</formula>
    </cfRule>
    <cfRule type="expression" dxfId="4" priority="214">
      <formula>COUNTIF(INDIRECT("Checklist!$A106"), "FALSE") = 1</formula>
    </cfRule>
  </conditionalFormatting>
  <conditionalFormatting sqref="K131">
    <cfRule type="expression" dxfId="3" priority="2019">
      <formula>COUNTIF(INDIRECT("Checklist!$A969"), "TRUE") = 1</formula>
    </cfRule>
    <cfRule type="expression" dxfId="4" priority="2020">
      <formula>COUNTIF(INDIRECT("Checklist!$A969"), "FALSE") = 1</formula>
    </cfRule>
  </conditionalFormatting>
  <conditionalFormatting sqref="K132">
    <cfRule type="expression" dxfId="3" priority="2031">
      <formula>COUNTIF(INDIRECT("Checklist!$A975"), "TRUE") = 1</formula>
    </cfRule>
    <cfRule type="expression" dxfId="4" priority="2032">
      <formula>COUNTIF(INDIRECT("Checklist!$A975"), "FALSE") = 1</formula>
    </cfRule>
  </conditionalFormatting>
  <conditionalFormatting sqref="K133">
    <cfRule type="expression" dxfId="3" priority="2043">
      <formula>COUNTIF(INDIRECT("Checklist!$A981"), "TRUE") = 1</formula>
    </cfRule>
    <cfRule type="expression" dxfId="4" priority="2044">
      <formula>COUNTIF(INDIRECT("Checklist!$A981"), "FALSE") = 1</formula>
    </cfRule>
  </conditionalFormatting>
  <conditionalFormatting sqref="K134">
    <cfRule type="expression" dxfId="3" priority="2055">
      <formula>COUNTIF(INDIRECT("Checklist!$A987"), "TRUE") = 1</formula>
    </cfRule>
    <cfRule type="expression" dxfId="4" priority="2056">
      <formula>COUNTIF(INDIRECT("Checklist!$A987"), "FALSE") = 1</formula>
    </cfRule>
  </conditionalFormatting>
  <conditionalFormatting sqref="K135">
    <cfRule type="expression" dxfId="3" priority="2067">
      <formula>COUNTIF(INDIRECT("Checklist!$A993"), "TRUE") = 1</formula>
    </cfRule>
    <cfRule type="expression" dxfId="4" priority="2068">
      <formula>COUNTIF(INDIRECT("Checklist!$A993"), "FALSE") = 1</formula>
    </cfRule>
  </conditionalFormatting>
  <conditionalFormatting sqref="K139">
    <cfRule type="expression" dxfId="3" priority="2141">
      <formula>COUNTIF(INDIRECT("Checklist!$A1010"), "TRUE") = 1</formula>
    </cfRule>
    <cfRule type="expression" dxfId="4" priority="2142">
      <formula>COUNTIF(INDIRECT("Checklist!$A1010"), "FALSE") = 1</formula>
    </cfRule>
  </conditionalFormatting>
  <conditionalFormatting sqref="K14">
    <cfRule type="expression" dxfId="3" priority="225">
      <formula>COUNTIF(INDIRECT("Checklist!$A112"), "TRUE") = 1</formula>
    </cfRule>
    <cfRule type="expression" dxfId="4" priority="226">
      <formula>COUNTIF(INDIRECT("Checklist!$A112"), "FALSE") = 1</formula>
    </cfRule>
  </conditionalFormatting>
  <conditionalFormatting sqref="K140">
    <cfRule type="expression" dxfId="3" priority="2153">
      <formula>COUNTIF(INDIRECT("Checklist!$A1016"), "TRUE") = 1</formula>
    </cfRule>
    <cfRule type="expression" dxfId="4" priority="2154">
      <formula>COUNTIF(INDIRECT("Checklist!$A1016"), "FALSE") = 1</formula>
    </cfRule>
  </conditionalFormatting>
  <conditionalFormatting sqref="K141">
    <cfRule type="expression" dxfId="3" priority="2165">
      <formula>COUNTIF(INDIRECT("Checklist!$None"), "TRUE") = 1</formula>
    </cfRule>
    <cfRule type="expression" dxfId="4" priority="2166">
      <formula>COUNTIF(INDIRECT("Checklist!$None"), "FALSE") = 1</formula>
    </cfRule>
  </conditionalFormatting>
  <conditionalFormatting sqref="K142">
    <cfRule type="expression" dxfId="3" priority="2177">
      <formula>COUNTIF(INDIRECT("Checklist!$None"), "TRUE") = 1</formula>
    </cfRule>
    <cfRule type="expression" dxfId="4" priority="2178">
      <formula>COUNTIF(INDIRECT("Checklist!$None"), "FALSE") = 1</formula>
    </cfRule>
  </conditionalFormatting>
  <conditionalFormatting sqref="K143">
    <cfRule type="expression" dxfId="3" priority="2189">
      <formula>COUNTIF(INDIRECT("Checklist!$None"), "TRUE") = 1</formula>
    </cfRule>
    <cfRule type="expression" dxfId="4" priority="2190">
      <formula>COUNTIF(INDIRECT("Checklist!$None"), "FALSE") = 1</formula>
    </cfRule>
  </conditionalFormatting>
  <conditionalFormatting sqref="K147">
    <cfRule type="expression" dxfId="3" priority="2263">
      <formula>COUNTIF(INDIRECT("Checklist!$A1045"), "TRUE") = 1</formula>
    </cfRule>
    <cfRule type="expression" dxfId="4" priority="2264">
      <formula>COUNTIF(INDIRECT("Checklist!$A1045"), "FALSE") = 1</formula>
    </cfRule>
  </conditionalFormatting>
  <conditionalFormatting sqref="K148">
    <cfRule type="expression" dxfId="3" priority="2275">
      <formula>COUNTIF(INDIRECT("Checklist!$A1048"), "TRUE") = 1</formula>
    </cfRule>
    <cfRule type="expression" dxfId="4" priority="2276">
      <formula>COUNTIF(INDIRECT("Checklist!$A1048"), "FALSE") = 1</formula>
    </cfRule>
  </conditionalFormatting>
  <conditionalFormatting sqref="K149">
    <cfRule type="expression" dxfId="3" priority="2287">
      <formula>COUNTIF(INDIRECT("Checklist!$A1050"), "TRUE") = 1</formula>
    </cfRule>
    <cfRule type="expression" dxfId="4" priority="2288">
      <formula>COUNTIF(INDIRECT("Checklist!$A1050"), "FALSE") = 1</formula>
    </cfRule>
  </conditionalFormatting>
  <conditionalFormatting sqref="K15">
    <cfRule type="expression" dxfId="3" priority="237">
      <formula>COUNTIF(INDIRECT("Checklist!$A118"), "TRUE") = 1</formula>
    </cfRule>
    <cfRule type="expression" dxfId="4" priority="238">
      <formula>COUNTIF(INDIRECT("Checklist!$A118"), "FALSE") = 1</formula>
    </cfRule>
  </conditionalFormatting>
  <conditionalFormatting sqref="K150">
    <cfRule type="expression" dxfId="3" priority="2299">
      <formula>COUNTIF(INDIRECT("Checklist!$A1054"), "TRUE") = 1</formula>
    </cfRule>
    <cfRule type="expression" dxfId="4" priority="2300">
      <formula>COUNTIF(INDIRECT("Checklist!$A1054"), "FALSE") = 1</formula>
    </cfRule>
  </conditionalFormatting>
  <conditionalFormatting sqref="K151">
    <cfRule type="expression" dxfId="3" priority="2311">
      <formula>COUNTIF(INDIRECT("Checklist!$None"), "TRUE") = 1</formula>
    </cfRule>
    <cfRule type="expression" dxfId="4" priority="2312">
      <formula>COUNTIF(INDIRECT("Checklist!$None"), "FALSE") = 1</formula>
    </cfRule>
  </conditionalFormatting>
  <conditionalFormatting sqref="K155">
    <cfRule type="expression" dxfId="3" priority="2385">
      <formula>COUNTIF(INDIRECT("Checklist!$A1071"), "TRUE") = 1</formula>
    </cfRule>
    <cfRule type="expression" dxfId="4" priority="2386">
      <formula>COUNTIF(INDIRECT("Checklist!$A1071"), "FALSE") = 1</formula>
    </cfRule>
  </conditionalFormatting>
  <conditionalFormatting sqref="K156">
    <cfRule type="expression" dxfId="3" priority="2397">
      <formula>COUNTIF(INDIRECT("Checklist!$A1074"), "TRUE") = 1</formula>
    </cfRule>
    <cfRule type="expression" dxfId="4" priority="2398">
      <formula>COUNTIF(INDIRECT("Checklist!$A1074"), "FALSE") = 1</formula>
    </cfRule>
  </conditionalFormatting>
  <conditionalFormatting sqref="K157">
    <cfRule type="expression" dxfId="3" priority="2409">
      <formula>COUNTIF(INDIRECT("Checklist!$A1077"), "TRUE") = 1</formula>
    </cfRule>
    <cfRule type="expression" dxfId="4" priority="2410">
      <formula>COUNTIF(INDIRECT("Checklist!$A1077"), "FALSE") = 1</formula>
    </cfRule>
  </conditionalFormatting>
  <conditionalFormatting sqref="K158">
    <cfRule type="expression" dxfId="3" priority="2421">
      <formula>COUNTIF(INDIRECT("Checklist!$A1082"), "TRUE") = 1</formula>
    </cfRule>
    <cfRule type="expression" dxfId="4" priority="2422">
      <formula>COUNTIF(INDIRECT("Checklist!$A1082"), "FALSE") = 1</formula>
    </cfRule>
  </conditionalFormatting>
  <conditionalFormatting sqref="K159">
    <cfRule type="expression" dxfId="3" priority="2433">
      <formula>COUNTIF(INDIRECT("Checklist!$None"), "TRUE") = 1</formula>
    </cfRule>
    <cfRule type="expression" dxfId="4" priority="2434">
      <formula>COUNTIF(INDIRECT("Checklist!$None"), "FALSE") = 1</formula>
    </cfRule>
  </conditionalFormatting>
  <conditionalFormatting sqref="K163">
    <cfRule type="expression" dxfId="3" priority="2507">
      <formula>COUNTIF(INDIRECT("Checklist!$A1103"), "TRUE") = 1</formula>
    </cfRule>
    <cfRule type="expression" dxfId="4" priority="2508">
      <formula>COUNTIF(INDIRECT("Checklist!$A1103"), "FALSE") = 1</formula>
    </cfRule>
  </conditionalFormatting>
  <conditionalFormatting sqref="K164">
    <cfRule type="expression" dxfId="3" priority="2519">
      <formula>COUNTIF(INDIRECT("Checklist!$A1109"), "TRUE") = 1</formula>
    </cfRule>
    <cfRule type="expression" dxfId="4" priority="2520">
      <formula>COUNTIF(INDIRECT("Checklist!$A1109"), "FALSE") = 1</formula>
    </cfRule>
  </conditionalFormatting>
  <conditionalFormatting sqref="K165">
    <cfRule type="expression" dxfId="3" priority="2531">
      <formula>COUNTIF(INDIRECT("Checklist!$A1115"), "TRUE") = 1</formula>
    </cfRule>
    <cfRule type="expression" dxfId="4" priority="2532">
      <formula>COUNTIF(INDIRECT("Checklist!$A1115"), "FALSE") = 1</formula>
    </cfRule>
  </conditionalFormatting>
  <conditionalFormatting sqref="K166">
    <cfRule type="expression" dxfId="3" priority="2543">
      <formula>COUNTIF(INDIRECT("Checklist!$None"), "TRUE") = 1</formula>
    </cfRule>
    <cfRule type="expression" dxfId="4" priority="2544">
      <formula>COUNTIF(INDIRECT("Checklist!$None"), "FALSE") = 1</formula>
    </cfRule>
  </conditionalFormatting>
  <conditionalFormatting sqref="K167">
    <cfRule type="expression" dxfId="3" priority="2555">
      <formula>COUNTIF(INDIRECT("Checklist!$None"), "TRUE") = 1</formula>
    </cfRule>
    <cfRule type="expression" dxfId="4" priority="2556">
      <formula>COUNTIF(INDIRECT("Checklist!$None"), "FALSE") = 1</formula>
    </cfRule>
  </conditionalFormatting>
  <conditionalFormatting sqref="K171">
    <cfRule type="expression" dxfId="3" priority="2629">
      <formula>COUNTIF(INDIRECT("Checklist!$None"), "TRUE") = 1</formula>
    </cfRule>
    <cfRule type="expression" dxfId="4" priority="2630">
      <formula>COUNTIF(INDIRECT("Checklist!$None"), "FALSE") = 1</formula>
    </cfRule>
  </conditionalFormatting>
  <conditionalFormatting sqref="K172">
    <cfRule type="expression" dxfId="3" priority="2641">
      <formula>COUNTIF(INDIRECT("Checklist!$A856"), "TRUE") = 1</formula>
    </cfRule>
    <cfRule type="expression" dxfId="4" priority="2642">
      <formula>COUNTIF(INDIRECT("Checklist!$A856"), "FALSE") = 1</formula>
    </cfRule>
  </conditionalFormatting>
  <conditionalFormatting sqref="K173">
    <cfRule type="expression" dxfId="3" priority="2653">
      <formula>COUNTIF(INDIRECT("Checklist!$None"), "TRUE") = 1</formula>
    </cfRule>
    <cfRule type="expression" dxfId="4" priority="2654">
      <formula>COUNTIF(INDIRECT("Checklist!$None"), "FALSE") = 1</formula>
    </cfRule>
  </conditionalFormatting>
  <conditionalFormatting sqref="K174">
    <cfRule type="expression" dxfId="3" priority="2665">
      <formula>COUNTIF(INDIRECT("Checklist!$None"), "TRUE") = 1</formula>
    </cfRule>
    <cfRule type="expression" dxfId="4" priority="2666">
      <formula>COUNTIF(INDIRECT("Checklist!$None"), "FALSE") = 1</formula>
    </cfRule>
  </conditionalFormatting>
  <conditionalFormatting sqref="K175">
    <cfRule type="expression" dxfId="3" priority="2677">
      <formula>COUNTIF(INDIRECT("Checklist!$None"), "TRUE") = 1</formula>
    </cfRule>
    <cfRule type="expression" dxfId="4" priority="2678">
      <formula>COUNTIF(INDIRECT("Checklist!$None"), "FALSE") = 1</formula>
    </cfRule>
  </conditionalFormatting>
  <conditionalFormatting sqref="K179">
    <cfRule type="expression" dxfId="3" priority="2751">
      <formula>COUNTIF(INDIRECT("Checklist!$A1169"), "TRUE") = 1</formula>
    </cfRule>
    <cfRule type="expression" dxfId="4" priority="2752">
      <formula>COUNTIF(INDIRECT("Checklist!$A1169"), "FALSE") = 1</formula>
    </cfRule>
  </conditionalFormatting>
  <conditionalFormatting sqref="K180">
    <cfRule type="expression" dxfId="3" priority="2763">
      <formula>COUNTIF(INDIRECT("Checklist!$A1175"), "TRUE") = 1</formula>
    </cfRule>
    <cfRule type="expression" dxfId="4" priority="2764">
      <formula>COUNTIF(INDIRECT("Checklist!$A1175"), "FALSE") = 1</formula>
    </cfRule>
  </conditionalFormatting>
  <conditionalFormatting sqref="K181">
    <cfRule type="expression" dxfId="3" priority="2775">
      <formula>COUNTIF(INDIRECT("Checklist!$A1181"), "TRUE") = 1</formula>
    </cfRule>
    <cfRule type="expression" dxfId="4" priority="2776">
      <formula>COUNTIF(INDIRECT("Checklist!$A1181"), "FALSE") = 1</formula>
    </cfRule>
  </conditionalFormatting>
  <conditionalFormatting sqref="K182">
    <cfRule type="expression" dxfId="3" priority="2787">
      <formula>COUNTIF(INDIRECT("Checklist!$A1187"), "TRUE") = 1</formula>
    </cfRule>
    <cfRule type="expression" dxfId="4" priority="2788">
      <formula>COUNTIF(INDIRECT("Checklist!$A1187"), "FALSE") = 1</formula>
    </cfRule>
  </conditionalFormatting>
  <conditionalFormatting sqref="K183">
    <cfRule type="expression" dxfId="3" priority="2799">
      <formula>COUNTIF(INDIRECT("Checklist!$A1193"), "TRUE") = 1</formula>
    </cfRule>
    <cfRule type="expression" dxfId="4" priority="2800">
      <formula>COUNTIF(INDIRECT("Checklist!$A1193"), "FALSE") = 1</formula>
    </cfRule>
  </conditionalFormatting>
  <conditionalFormatting sqref="K187">
    <cfRule type="expression" dxfId="3" priority="2873">
      <formula>COUNTIF(INDIRECT("Checklist!$None"), "TRUE") = 1</formula>
    </cfRule>
    <cfRule type="expression" dxfId="4" priority="2874">
      <formula>COUNTIF(INDIRECT("Checklist!$None"), "FALSE") = 1</formula>
    </cfRule>
  </conditionalFormatting>
  <conditionalFormatting sqref="K188">
    <cfRule type="expression" dxfId="3" priority="2885">
      <formula>COUNTIF(INDIRECT("Checklist!$None"), "TRUE") = 1</formula>
    </cfRule>
    <cfRule type="expression" dxfId="4" priority="2886">
      <formula>COUNTIF(INDIRECT("Checklist!$None"), "FALSE") = 1</formula>
    </cfRule>
  </conditionalFormatting>
  <conditionalFormatting sqref="K189">
    <cfRule type="expression" dxfId="3" priority="2897">
      <formula>COUNTIF(INDIRECT("Checklist!$None"), "TRUE") = 1</formula>
    </cfRule>
    <cfRule type="expression" dxfId="4" priority="2898">
      <formula>COUNTIF(INDIRECT("Checklist!$None"), "FALSE") = 1</formula>
    </cfRule>
  </conditionalFormatting>
  <conditionalFormatting sqref="K19">
    <cfRule type="expression" dxfId="3" priority="311">
      <formula>COUNTIF(INDIRECT("Checklist!$A154"), "TRUE") = 1</formula>
    </cfRule>
    <cfRule type="expression" dxfId="4" priority="312">
      <formula>COUNTIF(INDIRECT("Checklist!$A154"), "FALSE") = 1</formula>
    </cfRule>
  </conditionalFormatting>
  <conditionalFormatting sqref="K190">
    <cfRule type="expression" dxfId="3" priority="2909">
      <formula>COUNTIF(INDIRECT("Checklist!$None"), "TRUE") = 1</formula>
    </cfRule>
    <cfRule type="expression" dxfId="4" priority="2910">
      <formula>COUNTIF(INDIRECT("Checklist!$None"), "FALSE") = 1</formula>
    </cfRule>
  </conditionalFormatting>
  <conditionalFormatting sqref="K191">
    <cfRule type="expression" dxfId="3" priority="2921">
      <formula>COUNTIF(INDIRECT("Checklist!$None"), "TRUE") = 1</formula>
    </cfRule>
    <cfRule type="expression" dxfId="4" priority="2922">
      <formula>COUNTIF(INDIRECT("Checklist!$None"), "FALSE") = 1</formula>
    </cfRule>
  </conditionalFormatting>
  <conditionalFormatting sqref="K195">
    <cfRule type="expression" dxfId="3" priority="2995">
      <formula>COUNTIF(INDIRECT("Checklist!$None"), "TRUE") = 1</formula>
    </cfRule>
    <cfRule type="expression" dxfId="4" priority="2996">
      <formula>COUNTIF(INDIRECT("Checklist!$None"), "FALSE") = 1</formula>
    </cfRule>
  </conditionalFormatting>
  <conditionalFormatting sqref="K196">
    <cfRule type="expression" dxfId="3" priority="3007">
      <formula>COUNTIF(INDIRECT("Checklist!$None"), "TRUE") = 1</formula>
    </cfRule>
    <cfRule type="expression" dxfId="4" priority="3008">
      <formula>COUNTIF(INDIRECT("Checklist!$None"), "FALSE") = 1</formula>
    </cfRule>
  </conditionalFormatting>
  <conditionalFormatting sqref="K197">
    <cfRule type="expression" dxfId="3" priority="3019">
      <formula>COUNTIF(INDIRECT("Checklist!$None"), "TRUE") = 1</formula>
    </cfRule>
    <cfRule type="expression" dxfId="4" priority="3020">
      <formula>COUNTIF(INDIRECT("Checklist!$None"), "FALSE") = 1</formula>
    </cfRule>
  </conditionalFormatting>
  <conditionalFormatting sqref="K198">
    <cfRule type="expression" dxfId="3" priority="3031">
      <formula>COUNTIF(INDIRECT("Checklist!$None"), "TRUE") = 1</formula>
    </cfRule>
    <cfRule type="expression" dxfId="4" priority="3032">
      <formula>COUNTIF(INDIRECT("Checklist!$None"), "FALSE") = 1</formula>
    </cfRule>
  </conditionalFormatting>
  <conditionalFormatting sqref="K199">
    <cfRule type="expression" dxfId="3" priority="3043">
      <formula>COUNTIF(INDIRECT("Checklist!$None"), "TRUE") = 1</formula>
    </cfRule>
    <cfRule type="expression" dxfId="4" priority="3044">
      <formula>COUNTIF(INDIRECT("Checklist!$None"), "FALSE") = 1</formula>
    </cfRule>
  </conditionalFormatting>
  <conditionalFormatting sqref="K20">
    <cfRule type="expression" dxfId="3" priority="323">
      <formula>COUNTIF(INDIRECT("Checklist!$A160"), "TRUE") = 1</formula>
    </cfRule>
    <cfRule type="expression" dxfId="4" priority="324">
      <formula>COUNTIF(INDIRECT("Checklist!$A160"), "FALSE") = 1</formula>
    </cfRule>
  </conditionalFormatting>
  <conditionalFormatting sqref="K203">
    <cfRule type="expression" dxfId="3" priority="3117">
      <formula>COUNTIF(INDIRECT("Checklist!$A1260"), "TRUE") = 1</formula>
    </cfRule>
    <cfRule type="expression" dxfId="4" priority="3118">
      <formula>COUNTIF(INDIRECT("Checklist!$A1260"), "FALSE") = 1</formula>
    </cfRule>
  </conditionalFormatting>
  <conditionalFormatting sqref="K204">
    <cfRule type="expression" dxfId="3" priority="3129">
      <formula>COUNTIF(INDIRECT("Checklist!$A1266"), "TRUE") = 1</formula>
    </cfRule>
    <cfRule type="expression" dxfId="4" priority="3130">
      <formula>COUNTIF(INDIRECT("Checklist!$A1266"), "FALSE") = 1</formula>
    </cfRule>
  </conditionalFormatting>
  <conditionalFormatting sqref="K205">
    <cfRule type="expression" dxfId="3" priority="3141">
      <formula>COUNTIF(INDIRECT("Checklist!$A1272"), "TRUE") = 1</formula>
    </cfRule>
    <cfRule type="expression" dxfId="4" priority="3142">
      <formula>COUNTIF(INDIRECT("Checklist!$A1272"), "FALSE") = 1</formula>
    </cfRule>
  </conditionalFormatting>
  <conditionalFormatting sqref="K206">
    <cfRule type="expression" dxfId="3" priority="3153">
      <formula>COUNTIF(INDIRECT("Checklist!$None"), "TRUE") = 1</formula>
    </cfRule>
    <cfRule type="expression" dxfId="4" priority="3154">
      <formula>COUNTIF(INDIRECT("Checklist!$None"), "FALSE") = 1</formula>
    </cfRule>
  </conditionalFormatting>
  <conditionalFormatting sqref="K207">
    <cfRule type="expression" dxfId="3" priority="3165">
      <formula>COUNTIF(INDIRECT("Checklist!$None"), "TRUE") = 1</formula>
    </cfRule>
    <cfRule type="expression" dxfId="4" priority="3166">
      <formula>COUNTIF(INDIRECT("Checklist!$None"), "FALSE") = 1</formula>
    </cfRule>
  </conditionalFormatting>
  <conditionalFormatting sqref="K21">
    <cfRule type="expression" dxfId="3" priority="335">
      <formula>COUNTIF(INDIRECT("Checklist!$A166"), "TRUE") = 1</formula>
    </cfRule>
    <cfRule type="expression" dxfId="4" priority="336">
      <formula>COUNTIF(INDIRECT("Checklist!$A166"), "FALSE") = 1</formula>
    </cfRule>
  </conditionalFormatting>
  <conditionalFormatting sqref="K22">
    <cfRule type="expression" dxfId="3" priority="347">
      <formula>COUNTIF(INDIRECT("Checklist!$A172"), "TRUE") = 1</formula>
    </cfRule>
    <cfRule type="expression" dxfId="4" priority="348">
      <formula>COUNTIF(INDIRECT("Checklist!$A172"), "FALSE") = 1</formula>
    </cfRule>
  </conditionalFormatting>
  <conditionalFormatting sqref="K23">
    <cfRule type="expression" dxfId="3" priority="359">
      <formula>COUNTIF(INDIRECT("Checklist!$A178"), "TRUE") = 1</formula>
    </cfRule>
    <cfRule type="expression" dxfId="4" priority="360">
      <formula>COUNTIF(INDIRECT("Checklist!$A178"), "FALSE") = 1</formula>
    </cfRule>
  </conditionalFormatting>
  <conditionalFormatting sqref="K27">
    <cfRule type="expression" dxfId="3" priority="433">
      <formula>COUNTIF(INDIRECT("Checklist!$A214"), "TRUE") = 1</formula>
    </cfRule>
    <cfRule type="expression" dxfId="4" priority="434">
      <formula>COUNTIF(INDIRECT("Checklist!$A214"), "FALSE") = 1</formula>
    </cfRule>
  </conditionalFormatting>
  <conditionalFormatting sqref="K28">
    <cfRule type="expression" dxfId="3" priority="445">
      <formula>COUNTIF(INDIRECT("Checklist!$A220"), "TRUE") = 1</formula>
    </cfRule>
    <cfRule type="expression" dxfId="4" priority="446">
      <formula>COUNTIF(INDIRECT("Checklist!$A220"), "FALSE") = 1</formula>
    </cfRule>
  </conditionalFormatting>
  <conditionalFormatting sqref="K29">
    <cfRule type="expression" dxfId="3" priority="457">
      <formula>COUNTIF(INDIRECT("Checklist!$A226"), "TRUE") = 1</formula>
    </cfRule>
    <cfRule type="expression" dxfId="4" priority="458">
      <formula>COUNTIF(INDIRECT("Checklist!$A226"), "FALSE") = 1</formula>
    </cfRule>
  </conditionalFormatting>
  <conditionalFormatting sqref="K3">
    <cfRule type="expression" dxfId="3" priority="67">
      <formula>COUNTIF(INDIRECT("Checklist!$A34"), "TRUE") = 1</formula>
    </cfRule>
    <cfRule type="expression" dxfId="4" priority="68">
      <formula>COUNTIF(INDIRECT("Checklist!$A34"), "FALSE") = 1</formula>
    </cfRule>
  </conditionalFormatting>
  <conditionalFormatting sqref="K30">
    <cfRule type="expression" dxfId="3" priority="469">
      <formula>COUNTIF(INDIRECT("Checklist!$A232"), "TRUE") = 1</formula>
    </cfRule>
    <cfRule type="expression" dxfId="4" priority="470">
      <formula>COUNTIF(INDIRECT("Checklist!$A232"), "FALSE") = 1</formula>
    </cfRule>
  </conditionalFormatting>
  <conditionalFormatting sqref="K31">
    <cfRule type="expression" dxfId="3" priority="481">
      <formula>COUNTIF(INDIRECT("Checklist!$A238"), "TRUE") = 1</formula>
    </cfRule>
    <cfRule type="expression" dxfId="4" priority="482">
      <formula>COUNTIF(INDIRECT("Checklist!$A238"), "FALSE") = 1</formula>
    </cfRule>
  </conditionalFormatting>
  <conditionalFormatting sqref="K35">
    <cfRule type="expression" dxfId="3" priority="555">
      <formula>COUNTIF(INDIRECT("Checklist!$A274"), "TRUE") = 1</formula>
    </cfRule>
    <cfRule type="expression" dxfId="4" priority="556">
      <formula>COUNTIF(INDIRECT("Checklist!$A274"), "FALSE") = 1</formula>
    </cfRule>
  </conditionalFormatting>
  <conditionalFormatting sqref="K36">
    <cfRule type="expression" dxfId="3" priority="567">
      <formula>COUNTIF(INDIRECT("Checklist!$A280"), "TRUE") = 1</formula>
    </cfRule>
    <cfRule type="expression" dxfId="4" priority="568">
      <formula>COUNTIF(INDIRECT("Checklist!$A280"), "FALSE") = 1</formula>
    </cfRule>
  </conditionalFormatting>
  <conditionalFormatting sqref="K37">
    <cfRule type="expression" dxfId="3" priority="579">
      <formula>COUNTIF(INDIRECT("Checklist!$A286"), "TRUE") = 1</formula>
    </cfRule>
    <cfRule type="expression" dxfId="4" priority="580">
      <formula>COUNTIF(INDIRECT("Checklist!$A286"), "FALSE") = 1</formula>
    </cfRule>
  </conditionalFormatting>
  <conditionalFormatting sqref="K38">
    <cfRule type="expression" dxfId="3" priority="591">
      <formula>COUNTIF(INDIRECT("Checklist!$A292"), "TRUE") = 1</formula>
    </cfRule>
    <cfRule type="expression" dxfId="4" priority="592">
      <formula>COUNTIF(INDIRECT("Checklist!$A292"), "FALSE") = 1</formula>
    </cfRule>
  </conditionalFormatting>
  <conditionalFormatting sqref="K39">
    <cfRule type="expression" dxfId="3" priority="603">
      <formula>COUNTIF(INDIRECT("Checklist!$A298"), "TRUE") = 1</formula>
    </cfRule>
    <cfRule type="expression" dxfId="4" priority="604">
      <formula>COUNTIF(INDIRECT("Checklist!$A298"), "FALSE") = 1</formula>
    </cfRule>
  </conditionalFormatting>
  <conditionalFormatting sqref="K4">
    <cfRule type="expression" dxfId="3" priority="79">
      <formula>COUNTIF(INDIRECT("Checklist!$A40"), "TRUE") = 1</formula>
    </cfRule>
    <cfRule type="expression" dxfId="4" priority="80">
      <formula>COUNTIF(INDIRECT("Checklist!$A40"), "FALSE") = 1</formula>
    </cfRule>
  </conditionalFormatting>
  <conditionalFormatting sqref="K43">
    <cfRule type="expression" dxfId="3" priority="677">
      <formula>COUNTIF(INDIRECT("Checklist!$A334"), "TRUE") = 1</formula>
    </cfRule>
    <cfRule type="expression" dxfId="4" priority="678">
      <formula>COUNTIF(INDIRECT("Checklist!$A334"), "FALSE") = 1</formula>
    </cfRule>
  </conditionalFormatting>
  <conditionalFormatting sqref="K44">
    <cfRule type="expression" dxfId="3" priority="689">
      <formula>COUNTIF(INDIRECT("Checklist!$A340"), "TRUE") = 1</formula>
    </cfRule>
    <cfRule type="expression" dxfId="4" priority="690">
      <formula>COUNTIF(INDIRECT("Checklist!$A340"), "FALSE") = 1</formula>
    </cfRule>
  </conditionalFormatting>
  <conditionalFormatting sqref="K45">
    <cfRule type="expression" dxfId="3" priority="701">
      <formula>COUNTIF(INDIRECT("Checklist!$A346"), "TRUE") = 1</formula>
    </cfRule>
    <cfRule type="expression" dxfId="4" priority="702">
      <formula>COUNTIF(INDIRECT("Checklist!$A346"), "FALSE") = 1</formula>
    </cfRule>
  </conditionalFormatting>
  <conditionalFormatting sqref="K46">
    <cfRule type="expression" dxfId="3" priority="713">
      <formula>COUNTIF(INDIRECT("Checklist!$A352"), "TRUE") = 1</formula>
    </cfRule>
    <cfRule type="expression" dxfId="4" priority="714">
      <formula>COUNTIF(INDIRECT("Checklist!$A352"), "FALSE") = 1</formula>
    </cfRule>
  </conditionalFormatting>
  <conditionalFormatting sqref="K47">
    <cfRule type="expression" dxfId="3" priority="725">
      <formula>COUNTIF(INDIRECT("Checklist!$A358"), "TRUE") = 1</formula>
    </cfRule>
    <cfRule type="expression" dxfId="4" priority="726">
      <formula>COUNTIF(INDIRECT("Checklist!$A358"), "FALSE") = 1</formula>
    </cfRule>
  </conditionalFormatting>
  <conditionalFormatting sqref="K5">
    <cfRule type="expression" dxfId="3" priority="91">
      <formula>COUNTIF(INDIRECT("Checklist!$A46"), "TRUE") = 1</formula>
    </cfRule>
    <cfRule type="expression" dxfId="4" priority="92">
      <formula>COUNTIF(INDIRECT("Checklist!$A46"), "FALSE") = 1</formula>
    </cfRule>
  </conditionalFormatting>
  <conditionalFormatting sqref="K51">
    <cfRule type="expression" dxfId="3" priority="799">
      <formula>COUNTIF(INDIRECT("Checklist!$A394"), "TRUE") = 1</formula>
    </cfRule>
    <cfRule type="expression" dxfId="4" priority="800">
      <formula>COUNTIF(INDIRECT("Checklist!$A394"), "FALSE") = 1</formula>
    </cfRule>
  </conditionalFormatting>
  <conditionalFormatting sqref="K52">
    <cfRule type="expression" dxfId="3" priority="811">
      <formula>COUNTIF(INDIRECT("Checklist!$A400"), "TRUE") = 1</formula>
    </cfRule>
    <cfRule type="expression" dxfId="4" priority="812">
      <formula>COUNTIF(INDIRECT("Checklist!$A400"), "FALSE") = 1</formula>
    </cfRule>
  </conditionalFormatting>
  <conditionalFormatting sqref="K53">
    <cfRule type="expression" dxfId="3" priority="823">
      <formula>COUNTIF(INDIRECT("Checklist!$A406"), "TRUE") = 1</formula>
    </cfRule>
    <cfRule type="expression" dxfId="4" priority="824">
      <formula>COUNTIF(INDIRECT("Checklist!$A406"), "FALSE") = 1</formula>
    </cfRule>
  </conditionalFormatting>
  <conditionalFormatting sqref="K54">
    <cfRule type="expression" dxfId="3" priority="835">
      <formula>COUNTIF(INDIRECT("Checklist!$A412"), "TRUE") = 1</formula>
    </cfRule>
    <cfRule type="expression" dxfId="4" priority="836">
      <formula>COUNTIF(INDIRECT("Checklist!$A412"), "FALSE") = 1</formula>
    </cfRule>
  </conditionalFormatting>
  <conditionalFormatting sqref="K55">
    <cfRule type="expression" dxfId="3" priority="847">
      <formula>COUNTIF(INDIRECT("Checklist!$A418"), "TRUE") = 1</formula>
    </cfRule>
    <cfRule type="expression" dxfId="4" priority="848">
      <formula>COUNTIF(INDIRECT("Checklist!$A418"), "FALSE") = 1</formula>
    </cfRule>
  </conditionalFormatting>
  <conditionalFormatting sqref="K59">
    <cfRule type="expression" dxfId="3" priority="921">
      <formula>COUNTIF(INDIRECT("Checklist!$A454"), "TRUE") = 1</formula>
    </cfRule>
    <cfRule type="expression" dxfId="4" priority="922">
      <formula>COUNTIF(INDIRECT("Checklist!$A454"), "FALSE") = 1</formula>
    </cfRule>
  </conditionalFormatting>
  <conditionalFormatting sqref="K6">
    <cfRule type="expression" dxfId="3" priority="103">
      <formula>COUNTIF(INDIRECT("Checklist!$A52"), "TRUE") = 1</formula>
    </cfRule>
    <cfRule type="expression" dxfId="4" priority="104">
      <formula>COUNTIF(INDIRECT("Checklist!$A52"), "FALSE") = 1</formula>
    </cfRule>
  </conditionalFormatting>
  <conditionalFormatting sqref="K60">
    <cfRule type="expression" dxfId="3" priority="933">
      <formula>COUNTIF(INDIRECT("Checklist!$A460"), "TRUE") = 1</formula>
    </cfRule>
    <cfRule type="expression" dxfId="4" priority="934">
      <formula>COUNTIF(INDIRECT("Checklist!$A460"), "FALSE") = 1</formula>
    </cfRule>
  </conditionalFormatting>
  <conditionalFormatting sqref="K61">
    <cfRule type="expression" dxfId="3" priority="945">
      <formula>COUNTIF(INDIRECT("Checklist!$A466"), "TRUE") = 1</formula>
    </cfRule>
    <cfRule type="expression" dxfId="4" priority="946">
      <formula>COUNTIF(INDIRECT("Checklist!$A466"), "FALSE") = 1</formula>
    </cfRule>
  </conditionalFormatting>
  <conditionalFormatting sqref="K62">
    <cfRule type="expression" dxfId="3" priority="957">
      <formula>COUNTIF(INDIRECT("Checklist!$A472"), "TRUE") = 1</formula>
    </cfRule>
    <cfRule type="expression" dxfId="4" priority="958">
      <formula>COUNTIF(INDIRECT("Checklist!$A472"), "FALSE") = 1</formula>
    </cfRule>
  </conditionalFormatting>
  <conditionalFormatting sqref="K63">
    <cfRule type="expression" dxfId="3" priority="969">
      <formula>COUNTIF(INDIRECT("Checklist!$A478"), "TRUE") = 1</formula>
    </cfRule>
    <cfRule type="expression" dxfId="4" priority="970">
      <formula>COUNTIF(INDIRECT("Checklist!$A478"), "FALSE") = 1</formula>
    </cfRule>
  </conditionalFormatting>
  <conditionalFormatting sqref="K67">
    <cfRule type="expression" dxfId="3" priority="1043">
      <formula>COUNTIF(INDIRECT("Checklist!$A514"), "TRUE") = 1</formula>
    </cfRule>
    <cfRule type="expression" dxfId="4" priority="1044">
      <formula>COUNTIF(INDIRECT("Checklist!$A514"), "FALSE") = 1</formula>
    </cfRule>
  </conditionalFormatting>
  <conditionalFormatting sqref="K68">
    <cfRule type="expression" dxfId="3" priority="1055">
      <formula>COUNTIF(INDIRECT("Checklist!$A520"), "TRUE") = 1</formula>
    </cfRule>
    <cfRule type="expression" dxfId="4" priority="1056">
      <formula>COUNTIF(INDIRECT("Checklist!$A520"), "FALSE") = 1</formula>
    </cfRule>
  </conditionalFormatting>
  <conditionalFormatting sqref="K69">
    <cfRule type="expression" dxfId="3" priority="1067">
      <formula>COUNTIF(INDIRECT("Checklist!$A526"), "TRUE") = 1</formula>
    </cfRule>
    <cfRule type="expression" dxfId="4" priority="1068">
      <formula>COUNTIF(INDIRECT("Checklist!$A526"), "FALSE") = 1</formula>
    </cfRule>
  </conditionalFormatting>
  <conditionalFormatting sqref="K7">
    <cfRule type="expression" dxfId="3" priority="115">
      <formula>COUNTIF(INDIRECT("Checklist!$A58"), "TRUE") = 1</formula>
    </cfRule>
    <cfRule type="expression" dxfId="4" priority="116">
      <formula>COUNTIF(INDIRECT("Checklist!$A58"), "FALSE") = 1</formula>
    </cfRule>
  </conditionalFormatting>
  <conditionalFormatting sqref="K70">
    <cfRule type="expression" dxfId="3" priority="1079">
      <formula>COUNTIF(INDIRECT("Checklist!$A532"), "TRUE") = 1</formula>
    </cfRule>
    <cfRule type="expression" dxfId="4" priority="1080">
      <formula>COUNTIF(INDIRECT("Checklist!$A532"), "FALSE") = 1</formula>
    </cfRule>
  </conditionalFormatting>
  <conditionalFormatting sqref="K71">
    <cfRule type="expression" dxfId="3" priority="1091">
      <formula>COUNTIF(INDIRECT("Checklist!$A538"), "TRUE") = 1</formula>
    </cfRule>
    <cfRule type="expression" dxfId="4" priority="1092">
      <formula>COUNTIF(INDIRECT("Checklist!$A538"), "FALSE") = 1</formula>
    </cfRule>
  </conditionalFormatting>
  <conditionalFormatting sqref="K75">
    <cfRule type="expression" dxfId="3" priority="1165">
      <formula>COUNTIF(INDIRECT("Checklist!$A574"), "TRUE") = 1</formula>
    </cfRule>
    <cfRule type="expression" dxfId="4" priority="1166">
      <formula>COUNTIF(INDIRECT("Checklist!$A574"), "FALSE") = 1</formula>
    </cfRule>
  </conditionalFormatting>
  <conditionalFormatting sqref="K76">
    <cfRule type="expression" dxfId="3" priority="1177">
      <formula>COUNTIF(INDIRECT("Checklist!$A580"), "TRUE") = 1</formula>
    </cfRule>
    <cfRule type="expression" dxfId="4" priority="1178">
      <formula>COUNTIF(INDIRECT("Checklist!$A580"), "FALSE") = 1</formula>
    </cfRule>
  </conditionalFormatting>
  <conditionalFormatting sqref="K77">
    <cfRule type="expression" dxfId="3" priority="1189">
      <formula>COUNTIF(INDIRECT("Checklist!$A586"), "TRUE") = 1</formula>
    </cfRule>
    <cfRule type="expression" dxfId="4" priority="1190">
      <formula>COUNTIF(INDIRECT("Checklist!$A586"), "FALSE") = 1</formula>
    </cfRule>
  </conditionalFormatting>
  <conditionalFormatting sqref="K78">
    <cfRule type="expression" dxfId="3" priority="1201">
      <formula>COUNTIF(INDIRECT("Checklist!$A592"), "TRUE") = 1</formula>
    </cfRule>
    <cfRule type="expression" dxfId="4" priority="1202">
      <formula>COUNTIF(INDIRECT("Checklist!$A592"), "FALSE") = 1</formula>
    </cfRule>
  </conditionalFormatting>
  <conditionalFormatting sqref="K79">
    <cfRule type="expression" dxfId="3" priority="1213">
      <formula>COUNTIF(INDIRECT("Checklist!$A598"), "TRUE") = 1</formula>
    </cfRule>
    <cfRule type="expression" dxfId="4" priority="1214">
      <formula>COUNTIF(INDIRECT("Checklist!$A598"), "FALSE") = 1</formula>
    </cfRule>
  </conditionalFormatting>
  <conditionalFormatting sqref="K83">
    <cfRule type="expression" dxfId="3" priority="1287">
      <formula>COUNTIF(INDIRECT("Checklist!$A634"), "TRUE") = 1</formula>
    </cfRule>
    <cfRule type="expression" dxfId="4" priority="1288">
      <formula>COUNTIF(INDIRECT("Checklist!$A634"), "FALSE") = 1</formula>
    </cfRule>
  </conditionalFormatting>
  <conditionalFormatting sqref="K84">
    <cfRule type="expression" dxfId="3" priority="1299">
      <formula>COUNTIF(INDIRECT("Checklist!$A640"), "TRUE") = 1</formula>
    </cfRule>
    <cfRule type="expression" dxfId="4" priority="1300">
      <formula>COUNTIF(INDIRECT("Checklist!$A640"), "FALSE") = 1</formula>
    </cfRule>
  </conditionalFormatting>
  <conditionalFormatting sqref="K85">
    <cfRule type="expression" dxfId="3" priority="1311">
      <formula>COUNTIF(INDIRECT("Checklist!$A646"), "TRUE") = 1</formula>
    </cfRule>
    <cfRule type="expression" dxfId="4" priority="1312">
      <formula>COUNTIF(INDIRECT("Checklist!$A646"), "FALSE") = 1</formula>
    </cfRule>
  </conditionalFormatting>
  <conditionalFormatting sqref="K86">
    <cfRule type="expression" dxfId="3" priority="1323">
      <formula>COUNTIF(INDIRECT("Checklist!$A652"), "TRUE") = 1</formula>
    </cfRule>
    <cfRule type="expression" dxfId="4" priority="1324">
      <formula>COUNTIF(INDIRECT("Checklist!$A652"), "FALSE") = 1</formula>
    </cfRule>
  </conditionalFormatting>
  <conditionalFormatting sqref="K87">
    <cfRule type="expression" dxfId="3" priority="1335">
      <formula>COUNTIF(INDIRECT("Checklist!$A658"), "TRUE") = 1</formula>
    </cfRule>
    <cfRule type="expression" dxfId="4" priority="1336">
      <formula>COUNTIF(INDIRECT("Checklist!$A658"), "FALSE") = 1</formula>
    </cfRule>
  </conditionalFormatting>
  <conditionalFormatting sqref="K91">
    <cfRule type="expression" dxfId="3" priority="1409">
      <formula>COUNTIF(INDIRECT("Checklist!$A694"), "TRUE") = 1</formula>
    </cfRule>
    <cfRule type="expression" dxfId="4" priority="1410">
      <formula>COUNTIF(INDIRECT("Checklist!$A694"), "FALSE") = 1</formula>
    </cfRule>
  </conditionalFormatting>
  <conditionalFormatting sqref="K92">
    <cfRule type="expression" dxfId="3" priority="1421">
      <formula>COUNTIF(INDIRECT("Checklist!$A700"), "TRUE") = 1</formula>
    </cfRule>
    <cfRule type="expression" dxfId="4" priority="1422">
      <formula>COUNTIF(INDIRECT("Checklist!$A700"), "FALSE") = 1</formula>
    </cfRule>
  </conditionalFormatting>
  <conditionalFormatting sqref="K93">
    <cfRule type="expression" dxfId="3" priority="1433">
      <formula>COUNTIF(INDIRECT("Checklist!$A706"), "TRUE") = 1</formula>
    </cfRule>
    <cfRule type="expression" dxfId="4" priority="1434">
      <formula>COUNTIF(INDIRECT("Checklist!$A706"), "FALSE") = 1</formula>
    </cfRule>
  </conditionalFormatting>
  <conditionalFormatting sqref="K94">
    <cfRule type="expression" dxfId="3" priority="1445">
      <formula>COUNTIF(INDIRECT("Checklist!$A712"), "TRUE") = 1</formula>
    </cfRule>
    <cfRule type="expression" dxfId="4" priority="1446">
      <formula>COUNTIF(INDIRECT("Checklist!$A712"), "FALSE") = 1</formula>
    </cfRule>
  </conditionalFormatting>
  <conditionalFormatting sqref="K95">
    <cfRule type="expression" dxfId="3" priority="1457">
      <formula>COUNTIF(INDIRECT("Checklist!$A718"), "TRUE") = 1</formula>
    </cfRule>
    <cfRule type="expression" dxfId="4" priority="1458">
      <formula>COUNTIF(INDIRECT("Checklist!$A718"), "FALSE") = 1</formula>
    </cfRule>
  </conditionalFormatting>
  <conditionalFormatting sqref="K99">
    <cfRule type="expression" dxfId="3" priority="1531">
      <formula>COUNTIF(INDIRECT("Checklist!$A754"), "TRUE") = 1</formula>
    </cfRule>
    <cfRule type="expression" dxfId="4" priority="1532">
      <formula>COUNTIF(INDIRECT("Checklist!$A754"), "FALSE") = 1</formula>
    </cfRule>
  </conditionalFormatting>
  <conditionalFormatting sqref="L100">
    <cfRule type="expression" dxfId="3" priority="1545">
      <formula>COUNTIF(INDIRECT("Checklist!$A761"), "TRUE") = 1</formula>
    </cfRule>
    <cfRule type="expression" dxfId="4" priority="1546">
      <formula>COUNTIF(INDIRECT("Checklist!$A761"), "FALSE") = 1</formula>
    </cfRule>
  </conditionalFormatting>
  <conditionalFormatting sqref="L101">
    <cfRule type="expression" dxfId="3" priority="1557">
      <formula>COUNTIF(INDIRECT("Checklist!$A767"), "TRUE") = 1</formula>
    </cfRule>
    <cfRule type="expression" dxfId="4" priority="1558">
      <formula>COUNTIF(INDIRECT("Checklist!$A767"), "FALSE") = 1</formula>
    </cfRule>
  </conditionalFormatting>
  <conditionalFormatting sqref="L102">
    <cfRule type="expression" dxfId="3" priority="1569">
      <formula>COUNTIF(INDIRECT("Checklist!$A773"), "TRUE") = 1</formula>
    </cfRule>
    <cfRule type="expression" dxfId="4" priority="1570">
      <formula>COUNTIF(INDIRECT("Checklist!$A773"), "FALSE") = 1</formula>
    </cfRule>
  </conditionalFormatting>
  <conditionalFormatting sqref="L103">
    <cfRule type="expression" dxfId="3" priority="1581">
      <formula>COUNTIF(INDIRECT("Checklist!$A779"), "TRUE") = 1</formula>
    </cfRule>
    <cfRule type="expression" dxfId="4" priority="1582">
      <formula>COUNTIF(INDIRECT("Checklist!$A779"), "FALSE") = 1</formula>
    </cfRule>
  </conditionalFormatting>
  <conditionalFormatting sqref="L107">
    <cfRule type="expression" dxfId="3" priority="1655">
      <formula>COUNTIF(INDIRECT("Checklist!$A815"), "TRUE") = 1</formula>
    </cfRule>
    <cfRule type="expression" dxfId="4" priority="1656">
      <formula>COUNTIF(INDIRECT("Checklist!$A815"), "FALSE") = 1</formula>
    </cfRule>
  </conditionalFormatting>
  <conditionalFormatting sqref="L108">
    <cfRule type="expression" dxfId="3" priority="1667">
      <formula>COUNTIF(INDIRECT("Checklist!$A821"), "TRUE") = 1</formula>
    </cfRule>
    <cfRule type="expression" dxfId="4" priority="1668">
      <formula>COUNTIF(INDIRECT("Checklist!$A821"), "FALSE") = 1</formula>
    </cfRule>
  </conditionalFormatting>
  <conditionalFormatting sqref="L109">
    <cfRule type="expression" dxfId="3" priority="1679">
      <formula>COUNTIF(INDIRECT("Checklist!$A1224"), "TRUE") = 1</formula>
    </cfRule>
    <cfRule type="expression" dxfId="4" priority="1680">
      <formula>COUNTIF(INDIRECT("Checklist!$A1224"), "FALSE") = 1</formula>
    </cfRule>
  </conditionalFormatting>
  <conditionalFormatting sqref="L11">
    <cfRule type="expression" dxfId="3" priority="191">
      <formula>COUNTIF(INDIRECT("Checklist!$A1212"), "TRUE") = 1</formula>
    </cfRule>
    <cfRule type="expression" dxfId="4" priority="192">
      <formula>COUNTIF(INDIRECT("Checklist!$A1212"), "FALSE") = 1</formula>
    </cfRule>
  </conditionalFormatting>
  <conditionalFormatting sqref="L110">
    <cfRule type="expression" dxfId="3" priority="1691">
      <formula>COUNTIF(INDIRECT("Checklist!$A833"), "TRUE") = 1</formula>
    </cfRule>
    <cfRule type="expression" dxfId="4" priority="1692">
      <formula>COUNTIF(INDIRECT("Checklist!$A833"), "FALSE") = 1</formula>
    </cfRule>
  </conditionalFormatting>
  <conditionalFormatting sqref="L111">
    <cfRule type="expression" dxfId="3" priority="1703">
      <formula>COUNTIF(INDIRECT("Checklist!$A839"), "TRUE") = 1</formula>
    </cfRule>
    <cfRule type="expression" dxfId="4" priority="1704">
      <formula>COUNTIF(INDIRECT("Checklist!$A839"), "FALSE") = 1</formula>
    </cfRule>
  </conditionalFormatting>
  <conditionalFormatting sqref="L115">
    <cfRule type="expression" dxfId="3" priority="1777">
      <formula>COUNTIF(INDIRECT("Checklist!$A875"), "TRUE") = 1</formula>
    </cfRule>
    <cfRule type="expression" dxfId="4" priority="1778">
      <formula>COUNTIF(INDIRECT("Checklist!$A875"), "FALSE") = 1</formula>
    </cfRule>
  </conditionalFormatting>
  <conditionalFormatting sqref="L116">
    <cfRule type="expression" dxfId="3" priority="1789">
      <formula>COUNTIF(INDIRECT("Checklist!$A881"), "TRUE") = 1</formula>
    </cfRule>
    <cfRule type="expression" dxfId="4" priority="1790">
      <formula>COUNTIF(INDIRECT("Checklist!$A881"), "FALSE") = 1</formula>
    </cfRule>
  </conditionalFormatting>
  <conditionalFormatting sqref="L117">
    <cfRule type="expression" dxfId="3" priority="1801">
      <formula>COUNTIF(INDIRECT("Checklist!$A887"), "TRUE") = 1</formula>
    </cfRule>
    <cfRule type="expression" dxfId="4" priority="1802">
      <formula>COUNTIF(INDIRECT("Checklist!$A887"), "FALSE") = 1</formula>
    </cfRule>
  </conditionalFormatting>
  <conditionalFormatting sqref="L118">
    <cfRule type="expression" dxfId="3" priority="1813">
      <formula>COUNTIF(INDIRECT("Checklist!$A1238"), "TRUE") = 1</formula>
    </cfRule>
    <cfRule type="expression" dxfId="4" priority="1814">
      <formula>COUNTIF(INDIRECT("Checklist!$A1238"), "FALSE") = 1</formula>
    </cfRule>
  </conditionalFormatting>
  <conditionalFormatting sqref="L119">
    <cfRule type="expression" dxfId="3" priority="1825">
      <formula>COUNTIF(INDIRECT("Checklist!$A899"), "TRUE") = 1</formula>
    </cfRule>
    <cfRule type="expression" dxfId="4" priority="1826">
      <formula>COUNTIF(INDIRECT("Checklist!$A899"), "FALSE") = 1</formula>
    </cfRule>
  </conditionalFormatting>
  <conditionalFormatting sqref="L12">
    <cfRule type="expression" dxfId="3" priority="203">
      <formula>COUNTIF(INDIRECT("Checklist!$A101"), "TRUE") = 1</formula>
    </cfRule>
    <cfRule type="expression" dxfId="4" priority="204">
      <formula>COUNTIF(INDIRECT("Checklist!$A101"), "FALSE") = 1</formula>
    </cfRule>
  </conditionalFormatting>
  <conditionalFormatting sqref="L123">
    <cfRule type="expression" dxfId="3" priority="1899">
      <formula>COUNTIF(INDIRECT("Checklist!$A910"), "TRUE") = 1</formula>
    </cfRule>
    <cfRule type="expression" dxfId="4" priority="1900">
      <formula>COUNTIF(INDIRECT("Checklist!$A910"), "FALSE") = 1</formula>
    </cfRule>
  </conditionalFormatting>
  <conditionalFormatting sqref="L124">
    <cfRule type="expression" dxfId="3" priority="1911">
      <formula>COUNTIF(INDIRECT("Checklist!$A916"), "TRUE") = 1</formula>
    </cfRule>
    <cfRule type="expression" dxfId="4" priority="1912">
      <formula>COUNTIF(INDIRECT("Checklist!$A916"), "FALSE") = 1</formula>
    </cfRule>
  </conditionalFormatting>
  <conditionalFormatting sqref="L125">
    <cfRule type="expression" dxfId="3" priority="1923">
      <formula>COUNTIF(INDIRECT("Checklist!$A922"), "TRUE") = 1</formula>
    </cfRule>
    <cfRule type="expression" dxfId="4" priority="1924">
      <formula>COUNTIF(INDIRECT("Checklist!$A922"), "FALSE") = 1</formula>
    </cfRule>
  </conditionalFormatting>
  <conditionalFormatting sqref="L126">
    <cfRule type="expression" dxfId="3" priority="1935">
      <formula>COUNTIF(INDIRECT("Checklist!$A928"), "TRUE") = 1</formula>
    </cfRule>
    <cfRule type="expression" dxfId="4" priority="1936">
      <formula>COUNTIF(INDIRECT("Checklist!$A928"), "FALSE") = 1</formula>
    </cfRule>
  </conditionalFormatting>
  <conditionalFormatting sqref="L127">
    <cfRule type="expression" dxfId="3" priority="1947">
      <formula>COUNTIF(INDIRECT("Checklist!$A934"), "TRUE") = 1</formula>
    </cfRule>
    <cfRule type="expression" dxfId="4" priority="1948">
      <formula>COUNTIF(INDIRECT("Checklist!$A934"), "FALSE") = 1</formula>
    </cfRule>
  </conditionalFormatting>
  <conditionalFormatting sqref="L13">
    <cfRule type="expression" dxfId="3" priority="215">
      <formula>COUNTIF(INDIRECT("Checklist!$A107"), "TRUE") = 1</formula>
    </cfRule>
    <cfRule type="expression" dxfId="4" priority="216">
      <formula>COUNTIF(INDIRECT("Checklist!$A107"), "FALSE") = 1</formula>
    </cfRule>
  </conditionalFormatting>
  <conditionalFormatting sqref="L131">
    <cfRule type="expression" dxfId="3" priority="2021">
      <formula>COUNTIF(INDIRECT("Checklist!$A970"), "TRUE") = 1</formula>
    </cfRule>
    <cfRule type="expression" dxfId="4" priority="2022">
      <formula>COUNTIF(INDIRECT("Checklist!$A970"), "FALSE") = 1</formula>
    </cfRule>
  </conditionalFormatting>
  <conditionalFormatting sqref="L132">
    <cfRule type="expression" dxfId="3" priority="2033">
      <formula>COUNTIF(INDIRECT("Checklist!$A976"), "TRUE") = 1</formula>
    </cfRule>
    <cfRule type="expression" dxfId="4" priority="2034">
      <formula>COUNTIF(INDIRECT("Checklist!$A976"), "FALSE") = 1</formula>
    </cfRule>
  </conditionalFormatting>
  <conditionalFormatting sqref="L133">
    <cfRule type="expression" dxfId="3" priority="2045">
      <formula>COUNTIF(INDIRECT("Checklist!$A982"), "TRUE") = 1</formula>
    </cfRule>
    <cfRule type="expression" dxfId="4" priority="2046">
      <formula>COUNTIF(INDIRECT("Checklist!$A982"), "FALSE") = 1</formula>
    </cfRule>
  </conditionalFormatting>
  <conditionalFormatting sqref="L134">
    <cfRule type="expression" dxfId="3" priority="2057">
      <formula>COUNTIF(INDIRECT("Checklist!$A988"), "TRUE") = 1</formula>
    </cfRule>
    <cfRule type="expression" dxfId="4" priority="2058">
      <formula>COUNTIF(INDIRECT("Checklist!$A988"), "FALSE") = 1</formula>
    </cfRule>
  </conditionalFormatting>
  <conditionalFormatting sqref="L135">
    <cfRule type="expression" dxfId="3" priority="2069">
      <formula>COUNTIF(INDIRECT("Checklist!$A994"), "TRUE") = 1</formula>
    </cfRule>
    <cfRule type="expression" dxfId="4" priority="2070">
      <formula>COUNTIF(INDIRECT("Checklist!$A994"), "FALSE") = 1</formula>
    </cfRule>
  </conditionalFormatting>
  <conditionalFormatting sqref="L139">
    <cfRule type="expression" dxfId="3" priority="2143">
      <formula>COUNTIF(INDIRECT("Checklist!$A1011"), "TRUE") = 1</formula>
    </cfRule>
    <cfRule type="expression" dxfId="4" priority="2144">
      <formula>COUNTIF(INDIRECT("Checklist!$A1011"), "FALSE") = 1</formula>
    </cfRule>
  </conditionalFormatting>
  <conditionalFormatting sqref="L14">
    <cfRule type="expression" dxfId="3" priority="227">
      <formula>COUNTIF(INDIRECT("Checklist!$A113"), "TRUE") = 1</formula>
    </cfRule>
    <cfRule type="expression" dxfId="4" priority="228">
      <formula>COUNTIF(INDIRECT("Checklist!$A113"), "FALSE") = 1</formula>
    </cfRule>
  </conditionalFormatting>
  <conditionalFormatting sqref="L140">
    <cfRule type="expression" dxfId="3" priority="2155">
      <formula>COUNTIF(INDIRECT("Checklist!$None"), "TRUE") = 1</formula>
    </cfRule>
    <cfRule type="expression" dxfId="4" priority="2156">
      <formula>COUNTIF(INDIRECT("Checklist!$None"), "FALSE") = 1</formula>
    </cfRule>
  </conditionalFormatting>
  <conditionalFormatting sqref="L141">
    <cfRule type="expression" dxfId="3" priority="2167">
      <formula>COUNTIF(INDIRECT("Checklist!$None"), "TRUE") = 1</formula>
    </cfRule>
    <cfRule type="expression" dxfId="4" priority="2168">
      <formula>COUNTIF(INDIRECT("Checklist!$None"), "FALSE") = 1</formula>
    </cfRule>
  </conditionalFormatting>
  <conditionalFormatting sqref="L142">
    <cfRule type="expression" dxfId="3" priority="2179">
      <formula>COUNTIF(INDIRECT("Checklist!$None"), "TRUE") = 1</formula>
    </cfRule>
    <cfRule type="expression" dxfId="4" priority="2180">
      <formula>COUNTIF(INDIRECT("Checklist!$None"), "FALSE") = 1</formula>
    </cfRule>
  </conditionalFormatting>
  <conditionalFormatting sqref="L143">
    <cfRule type="expression" dxfId="3" priority="2191">
      <formula>COUNTIF(INDIRECT("Checklist!$None"), "TRUE") = 1</formula>
    </cfRule>
    <cfRule type="expression" dxfId="4" priority="2192">
      <formula>COUNTIF(INDIRECT("Checklist!$None"), "FALSE") = 1</formula>
    </cfRule>
  </conditionalFormatting>
  <conditionalFormatting sqref="L147">
    <cfRule type="expression" dxfId="3" priority="2265">
      <formula>COUNTIF(INDIRECT("Checklist!$A1046"), "TRUE") = 1</formula>
    </cfRule>
    <cfRule type="expression" dxfId="4" priority="2266">
      <formula>COUNTIF(INDIRECT("Checklist!$A1046"), "FALSE") = 1</formula>
    </cfRule>
  </conditionalFormatting>
  <conditionalFormatting sqref="L148">
    <cfRule type="expression" dxfId="3" priority="2277">
      <formula>COUNTIF(INDIRECT("Checklist!$A423"), "TRUE") = 1</formula>
    </cfRule>
    <cfRule type="expression" dxfId="4" priority="2278">
      <formula>COUNTIF(INDIRECT("Checklist!$A423"), "FALSE") = 1</formula>
    </cfRule>
  </conditionalFormatting>
  <conditionalFormatting sqref="L149">
    <cfRule type="expression" dxfId="3" priority="2289">
      <formula>COUNTIF(INDIRECT("Checklist!$A1051"), "TRUE") = 1</formula>
    </cfRule>
    <cfRule type="expression" dxfId="4" priority="2290">
      <formula>COUNTIF(INDIRECT("Checklist!$A1051"), "FALSE") = 1</formula>
    </cfRule>
  </conditionalFormatting>
  <conditionalFormatting sqref="L15">
    <cfRule type="expression" dxfId="3" priority="239">
      <formula>COUNTIF(INDIRECT("Checklist!$A119"), "TRUE") = 1</formula>
    </cfRule>
    <cfRule type="expression" dxfId="4" priority="240">
      <formula>COUNTIF(INDIRECT("Checklist!$A119"), "FALSE") = 1</formula>
    </cfRule>
  </conditionalFormatting>
  <conditionalFormatting sqref="L150">
    <cfRule type="expression" dxfId="3" priority="2301">
      <formula>COUNTIF(INDIRECT("Checklist!$A1055"), "TRUE") = 1</formula>
    </cfRule>
    <cfRule type="expression" dxfId="4" priority="2302">
      <formula>COUNTIF(INDIRECT("Checklist!$A1055"), "FALSE") = 1</formula>
    </cfRule>
  </conditionalFormatting>
  <conditionalFormatting sqref="L151">
    <cfRule type="expression" dxfId="3" priority="2313">
      <formula>COUNTIF(INDIRECT("Checklist!$None"), "TRUE") = 1</formula>
    </cfRule>
    <cfRule type="expression" dxfId="4" priority="2314">
      <formula>COUNTIF(INDIRECT("Checklist!$None"), "FALSE") = 1</formula>
    </cfRule>
  </conditionalFormatting>
  <conditionalFormatting sqref="L155">
    <cfRule type="expression" dxfId="3" priority="2387">
      <formula>COUNTIF(INDIRECT("Checklist!$A1072"), "TRUE") = 1</formula>
    </cfRule>
    <cfRule type="expression" dxfId="4" priority="2388">
      <formula>COUNTIF(INDIRECT("Checklist!$A1072"), "FALSE") = 1</formula>
    </cfRule>
  </conditionalFormatting>
  <conditionalFormatting sqref="L156">
    <cfRule type="expression" dxfId="3" priority="2399">
      <formula>COUNTIF(INDIRECT("Checklist!$A1075"), "TRUE") = 1</formula>
    </cfRule>
    <cfRule type="expression" dxfId="4" priority="2400">
      <formula>COUNTIF(INDIRECT("Checklist!$A1075"), "FALSE") = 1</formula>
    </cfRule>
  </conditionalFormatting>
  <conditionalFormatting sqref="L157">
    <cfRule type="expression" dxfId="3" priority="2411">
      <formula>COUNTIF(INDIRECT("Checklist!$A1078"), "TRUE") = 1</formula>
    </cfRule>
    <cfRule type="expression" dxfId="4" priority="2412">
      <formula>COUNTIF(INDIRECT("Checklist!$A1078"), "FALSE") = 1</formula>
    </cfRule>
  </conditionalFormatting>
  <conditionalFormatting sqref="L158">
    <cfRule type="expression" dxfId="3" priority="2423">
      <formula>COUNTIF(INDIRECT("Checklist!$A1083"), "TRUE") = 1</formula>
    </cfRule>
    <cfRule type="expression" dxfId="4" priority="2424">
      <formula>COUNTIF(INDIRECT("Checklist!$A1083"), "FALSE") = 1</formula>
    </cfRule>
  </conditionalFormatting>
  <conditionalFormatting sqref="L159">
    <cfRule type="expression" dxfId="3" priority="2435">
      <formula>COUNTIF(INDIRECT("Checklist!$None"), "TRUE") = 1</formula>
    </cfRule>
    <cfRule type="expression" dxfId="4" priority="2436">
      <formula>COUNTIF(INDIRECT("Checklist!$None"), "FALSE") = 1</formula>
    </cfRule>
  </conditionalFormatting>
  <conditionalFormatting sqref="L163">
    <cfRule type="expression" dxfId="3" priority="2509">
      <formula>COUNTIF(INDIRECT("Checklist!$A1104"), "TRUE") = 1</formula>
    </cfRule>
    <cfRule type="expression" dxfId="4" priority="2510">
      <formula>COUNTIF(INDIRECT("Checklist!$A1104"), "FALSE") = 1</formula>
    </cfRule>
  </conditionalFormatting>
  <conditionalFormatting sqref="L164">
    <cfRule type="expression" dxfId="3" priority="2521">
      <formula>COUNTIF(INDIRECT("Checklist!$A1110"), "TRUE") = 1</formula>
    </cfRule>
    <cfRule type="expression" dxfId="4" priority="2522">
      <formula>COUNTIF(INDIRECT("Checklist!$A1110"), "FALSE") = 1</formula>
    </cfRule>
  </conditionalFormatting>
  <conditionalFormatting sqref="L165">
    <cfRule type="expression" dxfId="3" priority="2533">
      <formula>COUNTIF(INDIRECT("Checklist!$A1116"), "TRUE") = 1</formula>
    </cfRule>
    <cfRule type="expression" dxfId="4" priority="2534">
      <formula>COUNTIF(INDIRECT("Checklist!$A1116"), "FALSE") = 1</formula>
    </cfRule>
  </conditionalFormatting>
  <conditionalFormatting sqref="L166">
    <cfRule type="expression" dxfId="3" priority="2545">
      <formula>COUNTIF(INDIRECT("Checklist!$None"), "TRUE") = 1</formula>
    </cfRule>
    <cfRule type="expression" dxfId="4" priority="2546">
      <formula>COUNTIF(INDIRECT("Checklist!$None"), "FALSE") = 1</formula>
    </cfRule>
  </conditionalFormatting>
  <conditionalFormatting sqref="L167">
    <cfRule type="expression" dxfId="3" priority="2557">
      <formula>COUNTIF(INDIRECT("Checklist!$None"), "TRUE") = 1</formula>
    </cfRule>
    <cfRule type="expression" dxfId="4" priority="2558">
      <formula>COUNTIF(INDIRECT("Checklist!$None"), "FALSE") = 1</formula>
    </cfRule>
  </conditionalFormatting>
  <conditionalFormatting sqref="L171">
    <cfRule type="expression" dxfId="3" priority="2631">
      <formula>COUNTIF(INDIRECT("Checklist!$None"), "TRUE") = 1</formula>
    </cfRule>
    <cfRule type="expression" dxfId="4" priority="2632">
      <formula>COUNTIF(INDIRECT("Checklist!$None"), "FALSE") = 1</formula>
    </cfRule>
  </conditionalFormatting>
  <conditionalFormatting sqref="L172">
    <cfRule type="expression" dxfId="3" priority="2643">
      <formula>COUNTIF(INDIRECT("Checklist!$A1136"), "TRUE") = 1</formula>
    </cfRule>
    <cfRule type="expression" dxfId="4" priority="2644">
      <formula>COUNTIF(INDIRECT("Checklist!$A1136"), "FALSE") = 1</formula>
    </cfRule>
  </conditionalFormatting>
  <conditionalFormatting sqref="L173">
    <cfRule type="expression" dxfId="3" priority="2655">
      <formula>COUNTIF(INDIRECT("Checklist!$None"), "TRUE") = 1</formula>
    </cfRule>
    <cfRule type="expression" dxfId="4" priority="2656">
      <formula>COUNTIF(INDIRECT("Checklist!$None"), "FALSE") = 1</formula>
    </cfRule>
  </conditionalFormatting>
  <conditionalFormatting sqref="L174">
    <cfRule type="expression" dxfId="3" priority="2667">
      <formula>COUNTIF(INDIRECT("Checklist!$None"), "TRUE") = 1</formula>
    </cfRule>
    <cfRule type="expression" dxfId="4" priority="2668">
      <formula>COUNTIF(INDIRECT("Checklist!$None"), "FALSE") = 1</formula>
    </cfRule>
  </conditionalFormatting>
  <conditionalFormatting sqref="L175">
    <cfRule type="expression" dxfId="3" priority="2679">
      <formula>COUNTIF(INDIRECT("Checklist!$None"), "TRUE") = 1</formula>
    </cfRule>
    <cfRule type="expression" dxfId="4" priority="2680">
      <formula>COUNTIF(INDIRECT("Checklist!$None"), "FALSE") = 1</formula>
    </cfRule>
  </conditionalFormatting>
  <conditionalFormatting sqref="L179">
    <cfRule type="expression" dxfId="3" priority="2753">
      <formula>COUNTIF(INDIRECT("Checklist!$A1170"), "TRUE") = 1</formula>
    </cfRule>
    <cfRule type="expression" dxfId="4" priority="2754">
      <formula>COUNTIF(INDIRECT("Checklist!$A1170"), "FALSE") = 1</formula>
    </cfRule>
  </conditionalFormatting>
  <conditionalFormatting sqref="L180">
    <cfRule type="expression" dxfId="3" priority="2765">
      <formula>COUNTIF(INDIRECT("Checklist!$A1176"), "TRUE") = 1</formula>
    </cfRule>
    <cfRule type="expression" dxfId="4" priority="2766">
      <formula>COUNTIF(INDIRECT("Checklist!$A1176"), "FALSE") = 1</formula>
    </cfRule>
  </conditionalFormatting>
  <conditionalFormatting sqref="L181">
    <cfRule type="expression" dxfId="3" priority="2777">
      <formula>COUNTIF(INDIRECT("Checklist!$A1182"), "TRUE") = 1</formula>
    </cfRule>
    <cfRule type="expression" dxfId="4" priority="2778">
      <formula>COUNTIF(INDIRECT("Checklist!$A1182"), "FALSE") = 1</formula>
    </cfRule>
  </conditionalFormatting>
  <conditionalFormatting sqref="L182">
    <cfRule type="expression" dxfId="3" priority="2789">
      <formula>COUNTIF(INDIRECT("Checklist!$A1188"), "TRUE") = 1</formula>
    </cfRule>
    <cfRule type="expression" dxfId="4" priority="2790">
      <formula>COUNTIF(INDIRECT("Checklist!$A1188"), "FALSE") = 1</formula>
    </cfRule>
  </conditionalFormatting>
  <conditionalFormatting sqref="L183">
    <cfRule type="expression" dxfId="3" priority="2801">
      <formula>COUNTIF(INDIRECT("Checklist!$A1194"), "TRUE") = 1</formula>
    </cfRule>
    <cfRule type="expression" dxfId="4" priority="2802">
      <formula>COUNTIF(INDIRECT("Checklist!$A1194"), "FALSE") = 1</formula>
    </cfRule>
  </conditionalFormatting>
  <conditionalFormatting sqref="L187">
    <cfRule type="expression" dxfId="3" priority="2875">
      <formula>COUNTIF(INDIRECT("Checklist!$None"), "TRUE") = 1</formula>
    </cfRule>
    <cfRule type="expression" dxfId="4" priority="2876">
      <formula>COUNTIF(INDIRECT("Checklist!$None"), "FALSE") = 1</formula>
    </cfRule>
  </conditionalFormatting>
  <conditionalFormatting sqref="L188">
    <cfRule type="expression" dxfId="3" priority="2887">
      <formula>COUNTIF(INDIRECT("Checklist!$None"), "TRUE") = 1</formula>
    </cfRule>
    <cfRule type="expression" dxfId="4" priority="2888">
      <formula>COUNTIF(INDIRECT("Checklist!$None"), "FALSE") = 1</formula>
    </cfRule>
  </conditionalFormatting>
  <conditionalFormatting sqref="L189">
    <cfRule type="expression" dxfId="3" priority="2899">
      <formula>COUNTIF(INDIRECT("Checklist!$None"), "TRUE") = 1</formula>
    </cfRule>
    <cfRule type="expression" dxfId="4" priority="2900">
      <formula>COUNTIF(INDIRECT("Checklist!$None"), "FALSE") = 1</formula>
    </cfRule>
  </conditionalFormatting>
  <conditionalFormatting sqref="L19">
    <cfRule type="expression" dxfId="3" priority="313">
      <formula>COUNTIF(INDIRECT("Checklist!$A155"), "TRUE") = 1</formula>
    </cfRule>
    <cfRule type="expression" dxfId="4" priority="314">
      <formula>COUNTIF(INDIRECT("Checklist!$A155"), "FALSE") = 1</formula>
    </cfRule>
  </conditionalFormatting>
  <conditionalFormatting sqref="L190">
    <cfRule type="expression" dxfId="3" priority="2911">
      <formula>COUNTIF(INDIRECT("Checklist!$None"), "TRUE") = 1</formula>
    </cfRule>
    <cfRule type="expression" dxfId="4" priority="2912">
      <formula>COUNTIF(INDIRECT("Checklist!$None"), "FALSE") = 1</formula>
    </cfRule>
  </conditionalFormatting>
  <conditionalFormatting sqref="L191">
    <cfRule type="expression" dxfId="3" priority="2923">
      <formula>COUNTIF(INDIRECT("Checklist!$None"), "TRUE") = 1</formula>
    </cfRule>
    <cfRule type="expression" dxfId="4" priority="2924">
      <formula>COUNTIF(INDIRECT("Checklist!$None"), "FALSE") = 1</formula>
    </cfRule>
  </conditionalFormatting>
  <conditionalFormatting sqref="L195">
    <cfRule type="expression" dxfId="3" priority="2997">
      <formula>COUNTIF(INDIRECT("Checklist!$None"), "TRUE") = 1</formula>
    </cfRule>
    <cfRule type="expression" dxfId="4" priority="2998">
      <formula>COUNTIF(INDIRECT("Checklist!$None"), "FALSE") = 1</formula>
    </cfRule>
  </conditionalFormatting>
  <conditionalFormatting sqref="L196">
    <cfRule type="expression" dxfId="3" priority="3009">
      <formula>COUNTIF(INDIRECT("Checklist!$None"), "TRUE") = 1</formula>
    </cfRule>
    <cfRule type="expression" dxfId="4" priority="3010">
      <formula>COUNTIF(INDIRECT("Checklist!$None"), "FALSE") = 1</formula>
    </cfRule>
  </conditionalFormatting>
  <conditionalFormatting sqref="L197">
    <cfRule type="expression" dxfId="3" priority="3021">
      <formula>COUNTIF(INDIRECT("Checklist!$None"), "TRUE") = 1</formula>
    </cfRule>
    <cfRule type="expression" dxfId="4" priority="3022">
      <formula>COUNTIF(INDIRECT("Checklist!$None"), "FALSE") = 1</formula>
    </cfRule>
  </conditionalFormatting>
  <conditionalFormatting sqref="L198">
    <cfRule type="expression" dxfId="3" priority="3033">
      <formula>COUNTIF(INDIRECT("Checklist!$None"), "TRUE") = 1</formula>
    </cfRule>
    <cfRule type="expression" dxfId="4" priority="3034">
      <formula>COUNTIF(INDIRECT("Checklist!$None"), "FALSE") = 1</formula>
    </cfRule>
  </conditionalFormatting>
  <conditionalFormatting sqref="L199">
    <cfRule type="expression" dxfId="3" priority="3045">
      <formula>COUNTIF(INDIRECT("Checklist!$None"), "TRUE") = 1</formula>
    </cfRule>
    <cfRule type="expression" dxfId="4" priority="3046">
      <formula>COUNTIF(INDIRECT("Checklist!$None"), "FALSE") = 1</formula>
    </cfRule>
  </conditionalFormatting>
  <conditionalFormatting sqref="L20">
    <cfRule type="expression" dxfId="3" priority="325">
      <formula>COUNTIF(INDIRECT("Checklist!$A161"), "TRUE") = 1</formula>
    </cfRule>
    <cfRule type="expression" dxfId="4" priority="326">
      <formula>COUNTIF(INDIRECT("Checklist!$A161"), "FALSE") = 1</formula>
    </cfRule>
  </conditionalFormatting>
  <conditionalFormatting sqref="L203">
    <cfRule type="expression" dxfId="3" priority="3119">
      <formula>COUNTIF(INDIRECT("Checklist!$A1261"), "TRUE") = 1</formula>
    </cfRule>
    <cfRule type="expression" dxfId="4" priority="3120">
      <formula>COUNTIF(INDIRECT("Checklist!$A1261"), "FALSE") = 1</formula>
    </cfRule>
  </conditionalFormatting>
  <conditionalFormatting sqref="L204">
    <cfRule type="expression" dxfId="3" priority="3131">
      <formula>COUNTIF(INDIRECT("Checklist!$A1267"), "TRUE") = 1</formula>
    </cfRule>
    <cfRule type="expression" dxfId="4" priority="3132">
      <formula>COUNTIF(INDIRECT("Checklist!$A1267"), "FALSE") = 1</formula>
    </cfRule>
  </conditionalFormatting>
  <conditionalFormatting sqref="L205">
    <cfRule type="expression" dxfId="3" priority="3143">
      <formula>COUNTIF(INDIRECT("Checklist!$A1273"), "TRUE") = 1</formula>
    </cfRule>
    <cfRule type="expression" dxfId="4" priority="3144">
      <formula>COUNTIF(INDIRECT("Checklist!$A1273"), "FALSE") = 1</formula>
    </cfRule>
  </conditionalFormatting>
  <conditionalFormatting sqref="L206">
    <cfRule type="expression" dxfId="3" priority="3155">
      <formula>COUNTIF(INDIRECT("Checklist!$None"), "TRUE") = 1</formula>
    </cfRule>
    <cfRule type="expression" dxfId="4" priority="3156">
      <formula>COUNTIF(INDIRECT("Checklist!$None"), "FALSE") = 1</formula>
    </cfRule>
  </conditionalFormatting>
  <conditionalFormatting sqref="L207">
    <cfRule type="expression" dxfId="3" priority="3167">
      <formula>COUNTIF(INDIRECT("Checklist!$None"), "TRUE") = 1</formula>
    </cfRule>
    <cfRule type="expression" dxfId="4" priority="3168">
      <formula>COUNTIF(INDIRECT("Checklist!$None"), "FALSE") = 1</formula>
    </cfRule>
  </conditionalFormatting>
  <conditionalFormatting sqref="L21">
    <cfRule type="expression" dxfId="3" priority="337">
      <formula>COUNTIF(INDIRECT("Checklist!$A167"), "TRUE") = 1</formula>
    </cfRule>
    <cfRule type="expression" dxfId="4" priority="338">
      <formula>COUNTIF(INDIRECT("Checklist!$A167"), "FALSE") = 1</formula>
    </cfRule>
  </conditionalFormatting>
  <conditionalFormatting sqref="L22">
    <cfRule type="expression" dxfId="3" priority="349">
      <formula>COUNTIF(INDIRECT("Checklist!$A173"), "TRUE") = 1</formula>
    </cfRule>
    <cfRule type="expression" dxfId="4" priority="350">
      <formula>COUNTIF(INDIRECT("Checklist!$A173"), "FALSE") = 1</formula>
    </cfRule>
  </conditionalFormatting>
  <conditionalFormatting sqref="L23">
    <cfRule type="expression" dxfId="3" priority="361">
      <formula>COUNTIF(INDIRECT("Checklist!$A179"), "TRUE") = 1</formula>
    </cfRule>
    <cfRule type="expression" dxfId="4" priority="362">
      <formula>COUNTIF(INDIRECT("Checklist!$A179"), "FALSE") = 1</formula>
    </cfRule>
  </conditionalFormatting>
  <conditionalFormatting sqref="L27">
    <cfRule type="expression" dxfId="3" priority="435">
      <formula>COUNTIF(INDIRECT("Checklist!$A215"), "TRUE") = 1</formula>
    </cfRule>
    <cfRule type="expression" dxfId="4" priority="436">
      <formula>COUNTIF(INDIRECT("Checklist!$A215"), "FALSE") = 1</formula>
    </cfRule>
  </conditionalFormatting>
  <conditionalFormatting sqref="L28">
    <cfRule type="expression" dxfId="3" priority="447">
      <formula>COUNTIF(INDIRECT("Checklist!$A221"), "TRUE") = 1</formula>
    </cfRule>
    <cfRule type="expression" dxfId="4" priority="448">
      <formula>COUNTIF(INDIRECT("Checklist!$A221"), "FALSE") = 1</formula>
    </cfRule>
  </conditionalFormatting>
  <conditionalFormatting sqref="L29">
    <cfRule type="expression" dxfId="3" priority="459">
      <formula>COUNTIF(INDIRECT("Checklist!$A227"), "TRUE") = 1</formula>
    </cfRule>
    <cfRule type="expression" dxfId="4" priority="460">
      <formula>COUNTIF(INDIRECT("Checklist!$A227"), "FALSE") = 1</formula>
    </cfRule>
  </conditionalFormatting>
  <conditionalFormatting sqref="L3">
    <cfRule type="expression" dxfId="3" priority="69">
      <formula>COUNTIF(INDIRECT("Checklist!$A35"), "TRUE") = 1</formula>
    </cfRule>
    <cfRule type="expression" dxfId="4" priority="70">
      <formula>COUNTIF(INDIRECT("Checklist!$A35"), "FALSE") = 1</formula>
    </cfRule>
  </conditionalFormatting>
  <conditionalFormatting sqref="L30">
    <cfRule type="expression" dxfId="3" priority="471">
      <formula>COUNTIF(INDIRECT("Checklist!$A233"), "TRUE") = 1</formula>
    </cfRule>
    <cfRule type="expression" dxfId="4" priority="472">
      <formula>COUNTIF(INDIRECT("Checklist!$A233"), "FALSE") = 1</formula>
    </cfRule>
  </conditionalFormatting>
  <conditionalFormatting sqref="L31">
    <cfRule type="expression" dxfId="3" priority="483">
      <formula>COUNTIF(INDIRECT("Checklist!$A239"), "TRUE") = 1</formula>
    </cfRule>
    <cfRule type="expression" dxfId="4" priority="484">
      <formula>COUNTIF(INDIRECT("Checklist!$A239"), "FALSE") = 1</formula>
    </cfRule>
  </conditionalFormatting>
  <conditionalFormatting sqref="L35">
    <cfRule type="expression" dxfId="3" priority="557">
      <formula>COUNTIF(INDIRECT("Checklist!$A275"), "TRUE") = 1</formula>
    </cfRule>
    <cfRule type="expression" dxfId="4" priority="558">
      <formula>COUNTIF(INDIRECT("Checklist!$A275"), "FALSE") = 1</formula>
    </cfRule>
  </conditionalFormatting>
  <conditionalFormatting sqref="L36">
    <cfRule type="expression" dxfId="3" priority="569">
      <formula>COUNTIF(INDIRECT("Checklist!$A281"), "TRUE") = 1</formula>
    </cfRule>
    <cfRule type="expression" dxfId="4" priority="570">
      <formula>COUNTIF(INDIRECT("Checklist!$A281"), "FALSE") = 1</formula>
    </cfRule>
  </conditionalFormatting>
  <conditionalFormatting sqref="L37">
    <cfRule type="expression" dxfId="3" priority="581">
      <formula>COUNTIF(INDIRECT("Checklist!$A287"), "TRUE") = 1</formula>
    </cfRule>
    <cfRule type="expression" dxfId="4" priority="582">
      <formula>COUNTIF(INDIRECT("Checklist!$A287"), "FALSE") = 1</formula>
    </cfRule>
  </conditionalFormatting>
  <conditionalFormatting sqref="L38">
    <cfRule type="expression" dxfId="3" priority="593">
      <formula>COUNTIF(INDIRECT("Checklist!$A293"), "TRUE") = 1</formula>
    </cfRule>
    <cfRule type="expression" dxfId="4" priority="594">
      <formula>COUNTIF(INDIRECT("Checklist!$A293"), "FALSE") = 1</formula>
    </cfRule>
  </conditionalFormatting>
  <conditionalFormatting sqref="L39">
    <cfRule type="expression" dxfId="3" priority="605">
      <formula>COUNTIF(INDIRECT("Checklist!$A299"), "TRUE") = 1</formula>
    </cfRule>
    <cfRule type="expression" dxfId="4" priority="606">
      <formula>COUNTIF(INDIRECT("Checklist!$A299"), "FALSE") = 1</formula>
    </cfRule>
  </conditionalFormatting>
  <conditionalFormatting sqref="L4">
    <cfRule type="expression" dxfId="3" priority="81">
      <formula>COUNTIF(INDIRECT("Checklist!$A41"), "TRUE") = 1</formula>
    </cfRule>
    <cfRule type="expression" dxfId="4" priority="82">
      <formula>COUNTIF(INDIRECT("Checklist!$A41"), "FALSE") = 1</formula>
    </cfRule>
  </conditionalFormatting>
  <conditionalFormatting sqref="L43">
    <cfRule type="expression" dxfId="3" priority="679">
      <formula>COUNTIF(INDIRECT("Checklist!$A335"), "TRUE") = 1</formula>
    </cfRule>
    <cfRule type="expression" dxfId="4" priority="680">
      <formula>COUNTIF(INDIRECT("Checklist!$A335"), "FALSE") = 1</formula>
    </cfRule>
  </conditionalFormatting>
  <conditionalFormatting sqref="L44">
    <cfRule type="expression" dxfId="3" priority="691">
      <formula>COUNTIF(INDIRECT("Checklist!$A341"), "TRUE") = 1</formula>
    </cfRule>
    <cfRule type="expression" dxfId="4" priority="692">
      <formula>COUNTIF(INDIRECT("Checklist!$A341"), "FALSE") = 1</formula>
    </cfRule>
  </conditionalFormatting>
  <conditionalFormatting sqref="L45">
    <cfRule type="expression" dxfId="3" priority="703">
      <formula>COUNTIF(INDIRECT("Checklist!$A347"), "TRUE") = 1</formula>
    </cfRule>
    <cfRule type="expression" dxfId="4" priority="704">
      <formula>COUNTIF(INDIRECT("Checklist!$A347"), "FALSE") = 1</formula>
    </cfRule>
  </conditionalFormatting>
  <conditionalFormatting sqref="L46">
    <cfRule type="expression" dxfId="3" priority="715">
      <formula>COUNTIF(INDIRECT("Checklist!$A353"), "TRUE") = 1</formula>
    </cfRule>
    <cfRule type="expression" dxfId="4" priority="716">
      <formula>COUNTIF(INDIRECT("Checklist!$A353"), "FALSE") = 1</formula>
    </cfRule>
  </conditionalFormatting>
  <conditionalFormatting sqref="L47">
    <cfRule type="expression" dxfId="3" priority="727">
      <formula>COUNTIF(INDIRECT("Checklist!$A359"), "TRUE") = 1</formula>
    </cfRule>
    <cfRule type="expression" dxfId="4" priority="728">
      <formula>COUNTIF(INDIRECT("Checklist!$A359"), "FALSE") = 1</formula>
    </cfRule>
  </conditionalFormatting>
  <conditionalFormatting sqref="L5">
    <cfRule type="expression" dxfId="3" priority="93">
      <formula>COUNTIF(INDIRECT("Checklist!$A47"), "TRUE") = 1</formula>
    </cfRule>
    <cfRule type="expression" dxfId="4" priority="94">
      <formula>COUNTIF(INDIRECT("Checklist!$A47"), "FALSE") = 1</formula>
    </cfRule>
  </conditionalFormatting>
  <conditionalFormatting sqref="L51">
    <cfRule type="expression" dxfId="3" priority="801">
      <formula>COUNTIF(INDIRECT("Checklist!$A395"), "TRUE") = 1</formula>
    </cfRule>
    <cfRule type="expression" dxfId="4" priority="802">
      <formula>COUNTIF(INDIRECT("Checklist!$A395"), "FALSE") = 1</formula>
    </cfRule>
  </conditionalFormatting>
  <conditionalFormatting sqref="L52">
    <cfRule type="expression" dxfId="3" priority="813">
      <formula>COUNTIF(INDIRECT("Checklist!$A401"), "TRUE") = 1</formula>
    </cfRule>
    <cfRule type="expression" dxfId="4" priority="814">
      <formula>COUNTIF(INDIRECT("Checklist!$A401"), "FALSE") = 1</formula>
    </cfRule>
  </conditionalFormatting>
  <conditionalFormatting sqref="L53">
    <cfRule type="expression" dxfId="3" priority="825">
      <formula>COUNTIF(INDIRECT("Checklist!$A407"), "TRUE") = 1</formula>
    </cfRule>
    <cfRule type="expression" dxfId="4" priority="826">
      <formula>COUNTIF(INDIRECT("Checklist!$A407"), "FALSE") = 1</formula>
    </cfRule>
  </conditionalFormatting>
  <conditionalFormatting sqref="L54">
    <cfRule type="expression" dxfId="3" priority="837">
      <formula>COUNTIF(INDIRECT("Checklist!$A413"), "TRUE") = 1</formula>
    </cfRule>
    <cfRule type="expression" dxfId="4" priority="838">
      <formula>COUNTIF(INDIRECT("Checklist!$A413"), "FALSE") = 1</formula>
    </cfRule>
  </conditionalFormatting>
  <conditionalFormatting sqref="L55">
    <cfRule type="expression" dxfId="3" priority="849">
      <formula>COUNTIF(INDIRECT("Checklist!$A419"), "TRUE") = 1</formula>
    </cfRule>
    <cfRule type="expression" dxfId="4" priority="850">
      <formula>COUNTIF(INDIRECT("Checklist!$A419"), "FALSE") = 1</formula>
    </cfRule>
  </conditionalFormatting>
  <conditionalFormatting sqref="L59">
    <cfRule type="expression" dxfId="3" priority="923">
      <formula>COUNTIF(INDIRECT("Checklist!$A455"), "TRUE") = 1</formula>
    </cfRule>
    <cfRule type="expression" dxfId="4" priority="924">
      <formula>COUNTIF(INDIRECT("Checklist!$A455"), "FALSE") = 1</formula>
    </cfRule>
  </conditionalFormatting>
  <conditionalFormatting sqref="L6">
    <cfRule type="expression" dxfId="3" priority="105">
      <formula>COUNTIF(INDIRECT("Checklist!$A1210"), "TRUE") = 1</formula>
    </cfRule>
    <cfRule type="expression" dxfId="4" priority="106">
      <formula>COUNTIF(INDIRECT("Checklist!$A1210"), "FALSE") = 1</formula>
    </cfRule>
  </conditionalFormatting>
  <conditionalFormatting sqref="L60">
    <cfRule type="expression" dxfId="3" priority="935">
      <formula>COUNTIF(INDIRECT("Checklist!$A461"), "TRUE") = 1</formula>
    </cfRule>
    <cfRule type="expression" dxfId="4" priority="936">
      <formula>COUNTIF(INDIRECT("Checklist!$A461"), "FALSE") = 1</formula>
    </cfRule>
  </conditionalFormatting>
  <conditionalFormatting sqref="L61">
    <cfRule type="expression" dxfId="3" priority="947">
      <formula>COUNTIF(INDIRECT("Checklist!$A467"), "TRUE") = 1</formula>
    </cfRule>
    <cfRule type="expression" dxfId="4" priority="948">
      <formula>COUNTIF(INDIRECT("Checklist!$A467"), "FALSE") = 1</formula>
    </cfRule>
  </conditionalFormatting>
  <conditionalFormatting sqref="L62">
    <cfRule type="expression" dxfId="3" priority="959">
      <formula>COUNTIF(INDIRECT("Checklist!$A473"), "TRUE") = 1</formula>
    </cfRule>
    <cfRule type="expression" dxfId="4" priority="960">
      <formula>COUNTIF(INDIRECT("Checklist!$A473"), "FALSE") = 1</formula>
    </cfRule>
  </conditionalFormatting>
  <conditionalFormatting sqref="L63">
    <cfRule type="expression" dxfId="3" priority="971">
      <formula>COUNTIF(INDIRECT("Checklist!$A479"), "TRUE") = 1</formula>
    </cfRule>
    <cfRule type="expression" dxfId="4" priority="972">
      <formula>COUNTIF(INDIRECT("Checklist!$A479"), "FALSE") = 1</formula>
    </cfRule>
  </conditionalFormatting>
  <conditionalFormatting sqref="L67">
    <cfRule type="expression" dxfId="3" priority="1045">
      <formula>COUNTIF(INDIRECT("Checklist!$A515"), "TRUE") = 1</formula>
    </cfRule>
    <cfRule type="expression" dxfId="4" priority="1046">
      <formula>COUNTIF(INDIRECT("Checklist!$A515"), "FALSE") = 1</formula>
    </cfRule>
  </conditionalFormatting>
  <conditionalFormatting sqref="L68">
    <cfRule type="expression" dxfId="3" priority="1057">
      <formula>COUNTIF(INDIRECT("Checklist!$A521"), "TRUE") = 1</formula>
    </cfRule>
    <cfRule type="expression" dxfId="4" priority="1058">
      <formula>COUNTIF(INDIRECT("Checklist!$A521"), "FALSE") = 1</formula>
    </cfRule>
  </conditionalFormatting>
  <conditionalFormatting sqref="L69">
    <cfRule type="expression" dxfId="3" priority="1069">
      <formula>COUNTIF(INDIRECT("Checklist!$A527"), "TRUE") = 1</formula>
    </cfRule>
    <cfRule type="expression" dxfId="4" priority="1070">
      <formula>COUNTIF(INDIRECT("Checklist!$A527"), "FALSE") = 1</formula>
    </cfRule>
  </conditionalFormatting>
  <conditionalFormatting sqref="L7">
    <cfRule type="expression" dxfId="3" priority="117">
      <formula>COUNTIF(INDIRECT("Checklist!$A59"), "TRUE") = 1</formula>
    </cfRule>
    <cfRule type="expression" dxfId="4" priority="118">
      <formula>COUNTIF(INDIRECT("Checklist!$A59"), "FALSE") = 1</formula>
    </cfRule>
  </conditionalFormatting>
  <conditionalFormatting sqref="L70">
    <cfRule type="expression" dxfId="3" priority="1081">
      <formula>COUNTIF(INDIRECT("Checklist!$A533"), "TRUE") = 1</formula>
    </cfRule>
    <cfRule type="expression" dxfId="4" priority="1082">
      <formula>COUNTIF(INDIRECT("Checklist!$A533"), "FALSE") = 1</formula>
    </cfRule>
  </conditionalFormatting>
  <conditionalFormatting sqref="L71">
    <cfRule type="expression" dxfId="3" priority="1093">
      <formula>COUNTIF(INDIRECT("Checklist!$A539"), "TRUE") = 1</formula>
    </cfRule>
    <cfRule type="expression" dxfId="4" priority="1094">
      <formula>COUNTIF(INDIRECT("Checklist!$A539"), "FALSE") = 1</formula>
    </cfRule>
  </conditionalFormatting>
  <conditionalFormatting sqref="L75">
    <cfRule type="expression" dxfId="3" priority="1167">
      <formula>COUNTIF(INDIRECT("Checklist!$A575"), "TRUE") = 1</formula>
    </cfRule>
    <cfRule type="expression" dxfId="4" priority="1168">
      <formula>COUNTIF(INDIRECT("Checklist!$A575"), "FALSE") = 1</formula>
    </cfRule>
  </conditionalFormatting>
  <conditionalFormatting sqref="L76">
    <cfRule type="expression" dxfId="3" priority="1179">
      <formula>COUNTIF(INDIRECT("Checklist!$A581"), "TRUE") = 1</formula>
    </cfRule>
    <cfRule type="expression" dxfId="4" priority="1180">
      <formula>COUNTIF(INDIRECT("Checklist!$A581"), "FALSE") = 1</formula>
    </cfRule>
  </conditionalFormatting>
  <conditionalFormatting sqref="L77">
    <cfRule type="expression" dxfId="3" priority="1191">
      <formula>COUNTIF(INDIRECT("Checklist!$A587"), "TRUE") = 1</formula>
    </cfRule>
    <cfRule type="expression" dxfId="4" priority="1192">
      <formula>COUNTIF(INDIRECT("Checklist!$A587"), "FALSE") = 1</formula>
    </cfRule>
  </conditionalFormatting>
  <conditionalFormatting sqref="L78">
    <cfRule type="expression" dxfId="3" priority="1203">
      <formula>COUNTIF(INDIRECT("Checklist!$A593"), "TRUE") = 1</formula>
    </cfRule>
    <cfRule type="expression" dxfId="4" priority="1204">
      <formula>COUNTIF(INDIRECT("Checklist!$A593"), "FALSE") = 1</formula>
    </cfRule>
  </conditionalFormatting>
  <conditionalFormatting sqref="L79">
    <cfRule type="expression" dxfId="3" priority="1215">
      <formula>COUNTIF(INDIRECT("Checklist!$A599"), "TRUE") = 1</formula>
    </cfRule>
    <cfRule type="expression" dxfId="4" priority="1216">
      <formula>COUNTIF(INDIRECT("Checklist!$A599"), "FALSE") = 1</formula>
    </cfRule>
  </conditionalFormatting>
  <conditionalFormatting sqref="L83">
    <cfRule type="expression" dxfId="3" priority="1289">
      <formula>COUNTIF(INDIRECT("Checklist!$A635"), "TRUE") = 1</formula>
    </cfRule>
    <cfRule type="expression" dxfId="4" priority="1290">
      <formula>COUNTIF(INDIRECT("Checklist!$A635"), "FALSE") = 1</formula>
    </cfRule>
  </conditionalFormatting>
  <conditionalFormatting sqref="L84">
    <cfRule type="expression" dxfId="3" priority="1301">
      <formula>COUNTIF(INDIRECT("Checklist!$A641"), "TRUE") = 1</formula>
    </cfRule>
    <cfRule type="expression" dxfId="4" priority="1302">
      <formula>COUNTIF(INDIRECT("Checklist!$A641"), "FALSE") = 1</formula>
    </cfRule>
  </conditionalFormatting>
  <conditionalFormatting sqref="L85">
    <cfRule type="expression" dxfId="3" priority="1313">
      <formula>COUNTIF(INDIRECT("Checklist!$A647"), "TRUE") = 1</formula>
    </cfRule>
    <cfRule type="expression" dxfId="4" priority="1314">
      <formula>COUNTIF(INDIRECT("Checklist!$A647"), "FALSE") = 1</formula>
    </cfRule>
  </conditionalFormatting>
  <conditionalFormatting sqref="L86">
    <cfRule type="expression" dxfId="3" priority="1325">
      <formula>COUNTIF(INDIRECT("Checklist!$A653"), "TRUE") = 1</formula>
    </cfRule>
    <cfRule type="expression" dxfId="4" priority="1326">
      <formula>COUNTIF(INDIRECT("Checklist!$A653"), "FALSE") = 1</formula>
    </cfRule>
  </conditionalFormatting>
  <conditionalFormatting sqref="L87">
    <cfRule type="expression" dxfId="3" priority="1337">
      <formula>COUNTIF(INDIRECT("Checklist!$A659"), "TRUE") = 1</formula>
    </cfRule>
    <cfRule type="expression" dxfId="4" priority="1338">
      <formula>COUNTIF(INDIRECT("Checklist!$A659"), "FALSE") = 1</formula>
    </cfRule>
  </conditionalFormatting>
  <conditionalFormatting sqref="L91">
    <cfRule type="expression" dxfId="3" priority="1411">
      <formula>COUNTIF(INDIRECT("Checklist!$A695"), "TRUE") = 1</formula>
    </cfRule>
    <cfRule type="expression" dxfId="4" priority="1412">
      <formula>COUNTIF(INDIRECT("Checklist!$A695"), "FALSE") = 1</formula>
    </cfRule>
  </conditionalFormatting>
  <conditionalFormatting sqref="L92">
    <cfRule type="expression" dxfId="3" priority="1423">
      <formula>COUNTIF(INDIRECT("Checklist!$A701"), "TRUE") = 1</formula>
    </cfRule>
    <cfRule type="expression" dxfId="4" priority="1424">
      <formula>COUNTIF(INDIRECT("Checklist!$A701"), "FALSE") = 1</formula>
    </cfRule>
  </conditionalFormatting>
  <conditionalFormatting sqref="L93">
    <cfRule type="expression" dxfId="3" priority="1435">
      <formula>COUNTIF(INDIRECT("Checklist!$A707"), "TRUE") = 1</formula>
    </cfRule>
    <cfRule type="expression" dxfId="4" priority="1436">
      <formula>COUNTIF(INDIRECT("Checklist!$A707"), "FALSE") = 1</formula>
    </cfRule>
  </conditionalFormatting>
  <conditionalFormatting sqref="L94">
    <cfRule type="expression" dxfId="3" priority="1447">
      <formula>COUNTIF(INDIRECT("Checklist!$A713"), "TRUE") = 1</formula>
    </cfRule>
    <cfRule type="expression" dxfId="4" priority="1448">
      <formula>COUNTIF(INDIRECT("Checklist!$A713"), "FALSE") = 1</formula>
    </cfRule>
  </conditionalFormatting>
  <conditionalFormatting sqref="L95">
    <cfRule type="expression" dxfId="3" priority="1459">
      <formula>COUNTIF(INDIRECT("Checklist!$A719"), "TRUE") = 1</formula>
    </cfRule>
    <cfRule type="expression" dxfId="4" priority="1460">
      <formula>COUNTIF(INDIRECT("Checklist!$A719"), "FALSE") = 1</formula>
    </cfRule>
  </conditionalFormatting>
  <conditionalFormatting sqref="L99">
    <cfRule type="expression" dxfId="3" priority="1533">
      <formula>COUNTIF(INDIRECT("Checklist!$A755"), "TRUE") = 1</formula>
    </cfRule>
    <cfRule type="expression" dxfId="4" priority="1534">
      <formula>COUNTIF(INDIRECT("Checklist!$A755"), "FALSE") = 1</formula>
    </cfRule>
  </conditionalFormatting>
  <conditionalFormatting sqref="M100">
    <cfRule type="expression" dxfId="3" priority="1547">
      <formula>COUNTIF(INDIRECT("Checklist!$A762"), "TRUE") = 1</formula>
    </cfRule>
    <cfRule type="expression" dxfId="4" priority="1548">
      <formula>COUNTIF(INDIRECT("Checklist!$A762"), "FALSE") = 1</formula>
    </cfRule>
  </conditionalFormatting>
  <conditionalFormatting sqref="M101">
    <cfRule type="expression" dxfId="3" priority="1559">
      <formula>COUNTIF(INDIRECT("Checklist!$A768"), "TRUE") = 1</formula>
    </cfRule>
    <cfRule type="expression" dxfId="4" priority="1560">
      <formula>COUNTIF(INDIRECT("Checklist!$A768"), "FALSE") = 1</formula>
    </cfRule>
  </conditionalFormatting>
  <conditionalFormatting sqref="M102">
    <cfRule type="expression" dxfId="3" priority="1571">
      <formula>COUNTIF(INDIRECT("Checklist!$A774"), "TRUE") = 1</formula>
    </cfRule>
    <cfRule type="expression" dxfId="4" priority="1572">
      <formula>COUNTIF(INDIRECT("Checklist!$A774"), "FALSE") = 1</formula>
    </cfRule>
  </conditionalFormatting>
  <conditionalFormatting sqref="M103">
    <cfRule type="expression" dxfId="3" priority="1583">
      <formula>COUNTIF(INDIRECT("Checklist!$A780"), "TRUE") = 1</formula>
    </cfRule>
    <cfRule type="expression" dxfId="4" priority="1584">
      <formula>COUNTIF(INDIRECT("Checklist!$A780"), "FALSE") = 1</formula>
    </cfRule>
  </conditionalFormatting>
  <conditionalFormatting sqref="M107">
    <cfRule type="expression" dxfId="3" priority="1657">
      <formula>COUNTIF(INDIRECT("Checklist!$A1221"), "TRUE") = 1</formula>
    </cfRule>
    <cfRule type="expression" dxfId="4" priority="1658">
      <formula>COUNTIF(INDIRECT("Checklist!$A1221"), "FALSE") = 1</formula>
    </cfRule>
  </conditionalFormatting>
  <conditionalFormatting sqref="M108">
    <cfRule type="expression" dxfId="3" priority="1669">
      <formula>COUNTIF(INDIRECT("Checklist!$A822"), "TRUE") = 1</formula>
    </cfRule>
    <cfRule type="expression" dxfId="4" priority="1670">
      <formula>COUNTIF(INDIRECT("Checklist!$A822"), "FALSE") = 1</formula>
    </cfRule>
  </conditionalFormatting>
  <conditionalFormatting sqref="M109">
    <cfRule type="expression" dxfId="3" priority="1681">
      <formula>COUNTIF(INDIRECT("Checklist!$A828"), "TRUE") = 1</formula>
    </cfRule>
    <cfRule type="expression" dxfId="4" priority="1682">
      <formula>COUNTIF(INDIRECT("Checklist!$A828"), "FALSE") = 1</formula>
    </cfRule>
  </conditionalFormatting>
  <conditionalFormatting sqref="M11">
    <cfRule type="expression" dxfId="3" priority="193">
      <formula>COUNTIF(INDIRECT("Checklist!$A96"), "TRUE") = 1</formula>
    </cfRule>
    <cfRule type="expression" dxfId="4" priority="194">
      <formula>COUNTIF(INDIRECT("Checklist!$A96"), "FALSE") = 1</formula>
    </cfRule>
  </conditionalFormatting>
  <conditionalFormatting sqref="M110">
    <cfRule type="expression" dxfId="3" priority="1693">
      <formula>COUNTIF(INDIRECT("Checklist!$A834"), "TRUE") = 1</formula>
    </cfRule>
    <cfRule type="expression" dxfId="4" priority="1694">
      <formula>COUNTIF(INDIRECT("Checklist!$A834"), "FALSE") = 1</formula>
    </cfRule>
  </conditionalFormatting>
  <conditionalFormatting sqref="M111">
    <cfRule type="expression" dxfId="3" priority="1705">
      <formula>COUNTIF(INDIRECT("Checklist!$A1226"), "TRUE") = 1</formula>
    </cfRule>
    <cfRule type="expression" dxfId="4" priority="1706">
      <formula>COUNTIF(INDIRECT("Checklist!$A1226"), "FALSE") = 1</formula>
    </cfRule>
  </conditionalFormatting>
  <conditionalFormatting sqref="M115">
    <cfRule type="expression" dxfId="3" priority="1779">
      <formula>COUNTIF(INDIRECT("Checklist!$A876"), "TRUE") = 1</formula>
    </cfRule>
    <cfRule type="expression" dxfId="4" priority="1780">
      <formula>COUNTIF(INDIRECT("Checklist!$A876"), "FALSE") = 1</formula>
    </cfRule>
  </conditionalFormatting>
  <conditionalFormatting sqref="M116">
    <cfRule type="expression" dxfId="3" priority="1791">
      <formula>COUNTIF(INDIRECT("Checklist!$A882"), "TRUE") = 1</formula>
    </cfRule>
    <cfRule type="expression" dxfId="4" priority="1792">
      <formula>COUNTIF(INDIRECT("Checklist!$A882"), "FALSE") = 1</formula>
    </cfRule>
  </conditionalFormatting>
  <conditionalFormatting sqref="M117">
    <cfRule type="expression" dxfId="3" priority="1803">
      <formula>COUNTIF(INDIRECT("Checklist!$A888"), "TRUE") = 1</formula>
    </cfRule>
    <cfRule type="expression" dxfId="4" priority="1804">
      <formula>COUNTIF(INDIRECT("Checklist!$A888"), "FALSE") = 1</formula>
    </cfRule>
  </conditionalFormatting>
  <conditionalFormatting sqref="M118">
    <cfRule type="expression" dxfId="3" priority="1815">
      <formula>COUNTIF(INDIRECT("Checklist!$A894"), "TRUE") = 1</formula>
    </cfRule>
    <cfRule type="expression" dxfId="4" priority="1816">
      <formula>COUNTIF(INDIRECT("Checklist!$A894"), "FALSE") = 1</formula>
    </cfRule>
  </conditionalFormatting>
  <conditionalFormatting sqref="M119">
    <cfRule type="expression" dxfId="3" priority="1827">
      <formula>COUNTIF(INDIRECT("Checklist!$A900"), "TRUE") = 1</formula>
    </cfRule>
    <cfRule type="expression" dxfId="4" priority="1828">
      <formula>COUNTIF(INDIRECT("Checklist!$A900"), "FALSE") = 1</formula>
    </cfRule>
  </conditionalFormatting>
  <conditionalFormatting sqref="M12">
    <cfRule type="expression" dxfId="3" priority="205">
      <formula>COUNTIF(INDIRECT("Checklist!$A102"), "TRUE") = 1</formula>
    </cfRule>
    <cfRule type="expression" dxfId="4" priority="206">
      <formula>COUNTIF(INDIRECT("Checklist!$A102"), "FALSE") = 1</formula>
    </cfRule>
  </conditionalFormatting>
  <conditionalFormatting sqref="M123">
    <cfRule type="expression" dxfId="3" priority="1901">
      <formula>COUNTIF(INDIRECT("Checklist!$A1209"), "TRUE") = 1</formula>
    </cfRule>
    <cfRule type="expression" dxfId="4" priority="1902">
      <formula>COUNTIF(INDIRECT("Checklist!$A1209"), "FALSE") = 1</formula>
    </cfRule>
  </conditionalFormatting>
  <conditionalFormatting sqref="M124">
    <cfRule type="expression" dxfId="3" priority="1913">
      <formula>COUNTIF(INDIRECT("Checklist!$A917"), "TRUE") = 1</formula>
    </cfRule>
    <cfRule type="expression" dxfId="4" priority="1914">
      <formula>COUNTIF(INDIRECT("Checklist!$A917"), "FALSE") = 1</formula>
    </cfRule>
  </conditionalFormatting>
  <conditionalFormatting sqref="M125">
    <cfRule type="expression" dxfId="3" priority="1925">
      <formula>COUNTIF(INDIRECT("Checklist!$A923"), "TRUE") = 1</formula>
    </cfRule>
    <cfRule type="expression" dxfId="4" priority="1926">
      <formula>COUNTIF(INDIRECT("Checklist!$A923"), "FALSE") = 1</formula>
    </cfRule>
  </conditionalFormatting>
  <conditionalFormatting sqref="M126">
    <cfRule type="expression" dxfId="3" priority="1937">
      <formula>COUNTIF(INDIRECT("Checklist!$A1216"), "TRUE") = 1</formula>
    </cfRule>
    <cfRule type="expression" dxfId="4" priority="1938">
      <formula>COUNTIF(INDIRECT("Checklist!$A1216"), "FALSE") = 1</formula>
    </cfRule>
  </conditionalFormatting>
  <conditionalFormatting sqref="M127">
    <cfRule type="expression" dxfId="3" priority="1949">
      <formula>COUNTIF(INDIRECT("Checklist!$A935"), "TRUE") = 1</formula>
    </cfRule>
    <cfRule type="expression" dxfId="4" priority="1950">
      <formula>COUNTIF(INDIRECT("Checklist!$A935"), "FALSE") = 1</formula>
    </cfRule>
  </conditionalFormatting>
  <conditionalFormatting sqref="M13">
    <cfRule type="expression" dxfId="3" priority="217">
      <formula>COUNTIF(INDIRECT("Checklist!$A108"), "TRUE") = 1</formula>
    </cfRule>
    <cfRule type="expression" dxfId="4" priority="218">
      <formula>COUNTIF(INDIRECT("Checklist!$A108"), "FALSE") = 1</formula>
    </cfRule>
  </conditionalFormatting>
  <conditionalFormatting sqref="M131">
    <cfRule type="expression" dxfId="3" priority="2023">
      <formula>COUNTIF(INDIRECT("Checklist!$A971"), "TRUE") = 1</formula>
    </cfRule>
    <cfRule type="expression" dxfId="4" priority="2024">
      <formula>COUNTIF(INDIRECT("Checklist!$A971"), "FALSE") = 1</formula>
    </cfRule>
  </conditionalFormatting>
  <conditionalFormatting sqref="M132">
    <cfRule type="expression" dxfId="3" priority="2035">
      <formula>COUNTIF(INDIRECT("Checklist!$A977"), "TRUE") = 1</formula>
    </cfRule>
    <cfRule type="expression" dxfId="4" priority="2036">
      <formula>COUNTIF(INDIRECT("Checklist!$A977"), "FALSE") = 1</formula>
    </cfRule>
  </conditionalFormatting>
  <conditionalFormatting sqref="M133">
    <cfRule type="expression" dxfId="3" priority="2047">
      <formula>COUNTIF(INDIRECT("Checklist!$A983"), "TRUE") = 1</formula>
    </cfRule>
    <cfRule type="expression" dxfId="4" priority="2048">
      <formula>COUNTIF(INDIRECT("Checklist!$A983"), "FALSE") = 1</formula>
    </cfRule>
  </conditionalFormatting>
  <conditionalFormatting sqref="M134">
    <cfRule type="expression" dxfId="3" priority="2059">
      <formula>COUNTIF(INDIRECT("Checklist!$A989"), "TRUE") = 1</formula>
    </cfRule>
    <cfRule type="expression" dxfId="4" priority="2060">
      <formula>COUNTIF(INDIRECT("Checklist!$A989"), "FALSE") = 1</formula>
    </cfRule>
  </conditionalFormatting>
  <conditionalFormatting sqref="M135">
    <cfRule type="expression" dxfId="3" priority="2071">
      <formula>COUNTIF(INDIRECT("Checklist!$A995"), "TRUE") = 1</formula>
    </cfRule>
    <cfRule type="expression" dxfId="4" priority="2072">
      <formula>COUNTIF(INDIRECT("Checklist!$A995"), "FALSE") = 1</formula>
    </cfRule>
  </conditionalFormatting>
  <conditionalFormatting sqref="M139">
    <cfRule type="expression" dxfId="3" priority="2145">
      <formula>COUNTIF(INDIRECT("Checklist!$A1012"), "TRUE") = 1</formula>
    </cfRule>
    <cfRule type="expression" dxfId="4" priority="2146">
      <formula>COUNTIF(INDIRECT("Checklist!$A1012"), "FALSE") = 1</formula>
    </cfRule>
  </conditionalFormatting>
  <conditionalFormatting sqref="M14">
    <cfRule type="expression" dxfId="3" priority="229">
      <formula>COUNTIF(INDIRECT("Checklist!$A114"), "TRUE") = 1</formula>
    </cfRule>
    <cfRule type="expression" dxfId="4" priority="230">
      <formula>COUNTIF(INDIRECT("Checklist!$A114"), "FALSE") = 1</formula>
    </cfRule>
  </conditionalFormatting>
  <conditionalFormatting sqref="M140">
    <cfRule type="expression" dxfId="3" priority="2157">
      <formula>COUNTIF(INDIRECT("Checklist!$None"), "TRUE") = 1</formula>
    </cfRule>
    <cfRule type="expression" dxfId="4" priority="2158">
      <formula>COUNTIF(INDIRECT("Checklist!$None"), "FALSE") = 1</formula>
    </cfRule>
  </conditionalFormatting>
  <conditionalFormatting sqref="M141">
    <cfRule type="expression" dxfId="3" priority="2169">
      <formula>COUNTIF(INDIRECT("Checklist!$None"), "TRUE") = 1</formula>
    </cfRule>
    <cfRule type="expression" dxfId="4" priority="2170">
      <formula>COUNTIF(INDIRECT("Checklist!$None"), "FALSE") = 1</formula>
    </cfRule>
  </conditionalFormatting>
  <conditionalFormatting sqref="M142">
    <cfRule type="expression" dxfId="3" priority="2181">
      <formula>COUNTIF(INDIRECT("Checklist!$None"), "TRUE") = 1</formula>
    </cfRule>
    <cfRule type="expression" dxfId="4" priority="2182">
      <formula>COUNTIF(INDIRECT("Checklist!$None"), "FALSE") = 1</formula>
    </cfRule>
  </conditionalFormatting>
  <conditionalFormatting sqref="M143">
    <cfRule type="expression" dxfId="3" priority="2193">
      <formula>COUNTIF(INDIRECT("Checklist!$None"), "TRUE") = 1</formula>
    </cfRule>
    <cfRule type="expression" dxfId="4" priority="2194">
      <formula>COUNTIF(INDIRECT("Checklist!$None"), "FALSE") = 1</formula>
    </cfRule>
  </conditionalFormatting>
  <conditionalFormatting sqref="M147">
    <cfRule type="expression" dxfId="3" priority="2267">
      <formula>COUNTIF(INDIRECT("Checklist!$None"), "TRUE") = 1</formula>
    </cfRule>
    <cfRule type="expression" dxfId="4" priority="2268">
      <formula>COUNTIF(INDIRECT("Checklist!$None"), "FALSE") = 1</formula>
    </cfRule>
  </conditionalFormatting>
  <conditionalFormatting sqref="M148">
    <cfRule type="expression" dxfId="3" priority="2279">
      <formula>COUNTIF(INDIRECT("Checklist!$A424"), "TRUE") = 1</formula>
    </cfRule>
    <cfRule type="expression" dxfId="4" priority="2280">
      <formula>COUNTIF(INDIRECT("Checklist!$A424"), "FALSE") = 1</formula>
    </cfRule>
  </conditionalFormatting>
  <conditionalFormatting sqref="M149">
    <cfRule type="expression" dxfId="3" priority="2291">
      <formula>COUNTIF(INDIRECT("Checklist!$A1052"), "TRUE") = 1</formula>
    </cfRule>
    <cfRule type="expression" dxfId="4" priority="2292">
      <formula>COUNTIF(INDIRECT("Checklist!$A1052"), "FALSE") = 1</formula>
    </cfRule>
  </conditionalFormatting>
  <conditionalFormatting sqref="M15">
    <cfRule type="expression" dxfId="3" priority="241">
      <formula>COUNTIF(INDIRECT("Checklist!$A120"), "TRUE") = 1</formula>
    </cfRule>
    <cfRule type="expression" dxfId="4" priority="242">
      <formula>COUNTIF(INDIRECT("Checklist!$A120"), "FALSE") = 1</formula>
    </cfRule>
  </conditionalFormatting>
  <conditionalFormatting sqref="M150">
    <cfRule type="expression" dxfId="3" priority="2303">
      <formula>COUNTIF(INDIRECT("Checklist!$A1056"), "TRUE") = 1</formula>
    </cfRule>
    <cfRule type="expression" dxfId="4" priority="2304">
      <formula>COUNTIF(INDIRECT("Checklist!$A1056"), "FALSE") = 1</formula>
    </cfRule>
  </conditionalFormatting>
  <conditionalFormatting sqref="M151">
    <cfRule type="expression" dxfId="3" priority="2315">
      <formula>COUNTIF(INDIRECT("Checklist!$None"), "TRUE") = 1</formula>
    </cfRule>
    <cfRule type="expression" dxfId="4" priority="2316">
      <formula>COUNTIF(INDIRECT("Checklist!$None"), "FALSE") = 1</formula>
    </cfRule>
  </conditionalFormatting>
  <conditionalFormatting sqref="M155">
    <cfRule type="expression" dxfId="3" priority="2389">
      <formula>COUNTIF(INDIRECT("Checklist!$None"), "TRUE") = 1</formula>
    </cfRule>
    <cfRule type="expression" dxfId="4" priority="2390">
      <formula>COUNTIF(INDIRECT("Checklist!$None"), "FALSE") = 1</formula>
    </cfRule>
  </conditionalFormatting>
  <conditionalFormatting sqref="M156">
    <cfRule type="expression" dxfId="3" priority="2401">
      <formula>COUNTIF(INDIRECT("Checklist!$None"), "TRUE") = 1</formula>
    </cfRule>
    <cfRule type="expression" dxfId="4" priority="2402">
      <formula>COUNTIF(INDIRECT("Checklist!$None"), "FALSE") = 1</formula>
    </cfRule>
  </conditionalFormatting>
  <conditionalFormatting sqref="M157">
    <cfRule type="expression" dxfId="3" priority="2413">
      <formula>COUNTIF(INDIRECT("Checklist!$A1079"), "TRUE") = 1</formula>
    </cfRule>
    <cfRule type="expression" dxfId="4" priority="2414">
      <formula>COUNTIF(INDIRECT("Checklist!$A1079"), "FALSE") = 1</formula>
    </cfRule>
  </conditionalFormatting>
  <conditionalFormatting sqref="M158">
    <cfRule type="expression" dxfId="3" priority="2425">
      <formula>COUNTIF(INDIRECT("Checklist!$A1084"), "TRUE") = 1</formula>
    </cfRule>
    <cfRule type="expression" dxfId="4" priority="2426">
      <formula>COUNTIF(INDIRECT("Checklist!$A1084"), "FALSE") = 1</formula>
    </cfRule>
  </conditionalFormatting>
  <conditionalFormatting sqref="M159">
    <cfRule type="expression" dxfId="3" priority="2437">
      <formula>COUNTIF(INDIRECT("Checklist!$None"), "TRUE") = 1</formula>
    </cfRule>
    <cfRule type="expression" dxfId="4" priority="2438">
      <formula>COUNTIF(INDIRECT("Checklist!$None"), "FALSE") = 1</formula>
    </cfRule>
  </conditionalFormatting>
  <conditionalFormatting sqref="M163">
    <cfRule type="expression" dxfId="3" priority="2511">
      <formula>COUNTIF(INDIRECT("Checklist!$A1105"), "TRUE") = 1</formula>
    </cfRule>
    <cfRule type="expression" dxfId="4" priority="2512">
      <formula>COUNTIF(INDIRECT("Checklist!$A1105"), "FALSE") = 1</formula>
    </cfRule>
  </conditionalFormatting>
  <conditionalFormatting sqref="M164">
    <cfRule type="expression" dxfId="3" priority="2523">
      <formula>COUNTIF(INDIRECT("Checklist!$A1111"), "TRUE") = 1</formula>
    </cfRule>
    <cfRule type="expression" dxfId="4" priority="2524">
      <formula>COUNTIF(INDIRECT("Checklist!$A1111"), "FALSE") = 1</formula>
    </cfRule>
  </conditionalFormatting>
  <conditionalFormatting sqref="M165">
    <cfRule type="expression" dxfId="3" priority="2535">
      <formula>COUNTIF(INDIRECT("Checklist!$A1117"), "TRUE") = 1</formula>
    </cfRule>
    <cfRule type="expression" dxfId="4" priority="2536">
      <formula>COUNTIF(INDIRECT("Checklist!$A1117"), "FALSE") = 1</formula>
    </cfRule>
  </conditionalFormatting>
  <conditionalFormatting sqref="M166">
    <cfRule type="expression" dxfId="3" priority="2547">
      <formula>COUNTIF(INDIRECT("Checklist!$None"), "TRUE") = 1</formula>
    </cfRule>
    <cfRule type="expression" dxfId="4" priority="2548">
      <formula>COUNTIF(INDIRECT("Checklist!$None"), "FALSE") = 1</formula>
    </cfRule>
  </conditionalFormatting>
  <conditionalFormatting sqref="M167">
    <cfRule type="expression" dxfId="3" priority="2559">
      <formula>COUNTIF(INDIRECT("Checklist!$None"), "TRUE") = 1</formula>
    </cfRule>
    <cfRule type="expression" dxfId="4" priority="2560">
      <formula>COUNTIF(INDIRECT("Checklist!$None"), "FALSE") = 1</formula>
    </cfRule>
  </conditionalFormatting>
  <conditionalFormatting sqref="M171">
    <cfRule type="expression" dxfId="3" priority="2633">
      <formula>COUNTIF(INDIRECT("Checklist!$None"), "TRUE") = 1</formula>
    </cfRule>
    <cfRule type="expression" dxfId="4" priority="2634">
      <formula>COUNTIF(INDIRECT("Checklist!$None"), "FALSE") = 1</formula>
    </cfRule>
  </conditionalFormatting>
  <conditionalFormatting sqref="M172">
    <cfRule type="expression" dxfId="3" priority="2645">
      <formula>COUNTIF(INDIRECT("Checklist!$None"), "TRUE") = 1</formula>
    </cfRule>
    <cfRule type="expression" dxfId="4" priority="2646">
      <formula>COUNTIF(INDIRECT("Checklist!$None"), "FALSE") = 1</formula>
    </cfRule>
  </conditionalFormatting>
  <conditionalFormatting sqref="M173">
    <cfRule type="expression" dxfId="3" priority="2657">
      <formula>COUNTIF(INDIRECT("Checklist!$None"), "TRUE") = 1</formula>
    </cfRule>
    <cfRule type="expression" dxfId="4" priority="2658">
      <formula>COUNTIF(INDIRECT("Checklist!$None"), "FALSE") = 1</formula>
    </cfRule>
  </conditionalFormatting>
  <conditionalFormatting sqref="M174">
    <cfRule type="expression" dxfId="3" priority="2669">
      <formula>COUNTIF(INDIRECT("Checklist!$None"), "TRUE") = 1</formula>
    </cfRule>
    <cfRule type="expression" dxfId="4" priority="2670">
      <formula>COUNTIF(INDIRECT("Checklist!$None"), "FALSE") = 1</formula>
    </cfRule>
  </conditionalFormatting>
  <conditionalFormatting sqref="M175">
    <cfRule type="expression" dxfId="3" priority="2681">
      <formula>COUNTIF(INDIRECT("Checklist!$None"), "TRUE") = 1</formula>
    </cfRule>
    <cfRule type="expression" dxfId="4" priority="2682">
      <formula>COUNTIF(INDIRECT("Checklist!$None"), "FALSE") = 1</formula>
    </cfRule>
  </conditionalFormatting>
  <conditionalFormatting sqref="M179">
    <cfRule type="expression" dxfId="3" priority="2755">
      <formula>COUNTIF(INDIRECT("Checklist!$A1171"), "TRUE") = 1</formula>
    </cfRule>
    <cfRule type="expression" dxfId="4" priority="2756">
      <formula>COUNTIF(INDIRECT("Checklist!$A1171"), "FALSE") = 1</formula>
    </cfRule>
  </conditionalFormatting>
  <conditionalFormatting sqref="M180">
    <cfRule type="expression" dxfId="3" priority="2767">
      <formula>COUNTIF(INDIRECT("Checklist!$A1177"), "TRUE") = 1</formula>
    </cfRule>
    <cfRule type="expression" dxfId="4" priority="2768">
      <formula>COUNTIF(INDIRECT("Checklist!$A1177"), "FALSE") = 1</formula>
    </cfRule>
  </conditionalFormatting>
  <conditionalFormatting sqref="M181">
    <cfRule type="expression" dxfId="3" priority="2779">
      <formula>COUNTIF(INDIRECT("Checklist!$A1183"), "TRUE") = 1</formula>
    </cfRule>
    <cfRule type="expression" dxfId="4" priority="2780">
      <formula>COUNTIF(INDIRECT("Checklist!$A1183"), "FALSE") = 1</formula>
    </cfRule>
  </conditionalFormatting>
  <conditionalFormatting sqref="M182">
    <cfRule type="expression" dxfId="3" priority="2791">
      <formula>COUNTIF(INDIRECT("Checklist!$A1189"), "TRUE") = 1</formula>
    </cfRule>
    <cfRule type="expression" dxfId="4" priority="2792">
      <formula>COUNTIF(INDIRECT("Checklist!$A1189"), "FALSE") = 1</formula>
    </cfRule>
  </conditionalFormatting>
  <conditionalFormatting sqref="M183">
    <cfRule type="expression" dxfId="3" priority="2803">
      <formula>COUNTIF(INDIRECT("Checklist!$None"), "TRUE") = 1</formula>
    </cfRule>
    <cfRule type="expression" dxfId="4" priority="2804">
      <formula>COUNTIF(INDIRECT("Checklist!$None"), "FALSE") = 1</formula>
    </cfRule>
  </conditionalFormatting>
  <conditionalFormatting sqref="M187">
    <cfRule type="expression" dxfId="3" priority="2877">
      <formula>COUNTIF(INDIRECT("Checklist!$None"), "TRUE") = 1</formula>
    </cfRule>
    <cfRule type="expression" dxfId="4" priority="2878">
      <formula>COUNTIF(INDIRECT("Checklist!$None"), "FALSE") = 1</formula>
    </cfRule>
  </conditionalFormatting>
  <conditionalFormatting sqref="M188">
    <cfRule type="expression" dxfId="3" priority="2889">
      <formula>COUNTIF(INDIRECT("Checklist!$None"), "TRUE") = 1</formula>
    </cfRule>
    <cfRule type="expression" dxfId="4" priority="2890">
      <formula>COUNTIF(INDIRECT("Checklist!$None"), "FALSE") = 1</formula>
    </cfRule>
  </conditionalFormatting>
  <conditionalFormatting sqref="M189">
    <cfRule type="expression" dxfId="3" priority="2901">
      <formula>COUNTIF(INDIRECT("Checklist!$None"), "TRUE") = 1</formula>
    </cfRule>
    <cfRule type="expression" dxfId="4" priority="2902">
      <formula>COUNTIF(INDIRECT("Checklist!$None"), "FALSE") = 1</formula>
    </cfRule>
  </conditionalFormatting>
  <conditionalFormatting sqref="M19">
    <cfRule type="expression" dxfId="3" priority="315">
      <formula>COUNTIF(INDIRECT("Checklist!$A156"), "TRUE") = 1</formula>
    </cfRule>
    <cfRule type="expression" dxfId="4" priority="316">
      <formula>COUNTIF(INDIRECT("Checklist!$A156"), "FALSE") = 1</formula>
    </cfRule>
  </conditionalFormatting>
  <conditionalFormatting sqref="M190">
    <cfRule type="expression" dxfId="3" priority="2913">
      <formula>COUNTIF(INDIRECT("Checklist!$None"), "TRUE") = 1</formula>
    </cfRule>
    <cfRule type="expression" dxfId="4" priority="2914">
      <formula>COUNTIF(INDIRECT("Checklist!$None"), "FALSE") = 1</formula>
    </cfRule>
  </conditionalFormatting>
  <conditionalFormatting sqref="M191">
    <cfRule type="expression" dxfId="3" priority="2925">
      <formula>COUNTIF(INDIRECT("Checklist!$None"), "TRUE") = 1</formula>
    </cfRule>
    <cfRule type="expression" dxfId="4" priority="2926">
      <formula>COUNTIF(INDIRECT("Checklist!$None"), "FALSE") = 1</formula>
    </cfRule>
  </conditionalFormatting>
  <conditionalFormatting sqref="M195">
    <cfRule type="expression" dxfId="3" priority="2999">
      <formula>COUNTIF(INDIRECT("Checklist!$None"), "TRUE") = 1</formula>
    </cfRule>
    <cfRule type="expression" dxfId="4" priority="3000">
      <formula>COUNTIF(INDIRECT("Checklist!$None"), "FALSE") = 1</formula>
    </cfRule>
  </conditionalFormatting>
  <conditionalFormatting sqref="M196">
    <cfRule type="expression" dxfId="3" priority="3011">
      <formula>COUNTIF(INDIRECT("Checklist!$None"), "TRUE") = 1</formula>
    </cfRule>
    <cfRule type="expression" dxfId="4" priority="3012">
      <formula>COUNTIF(INDIRECT("Checklist!$None"), "FALSE") = 1</formula>
    </cfRule>
  </conditionalFormatting>
  <conditionalFormatting sqref="M197">
    <cfRule type="expression" dxfId="3" priority="3023">
      <formula>COUNTIF(INDIRECT("Checklist!$None"), "TRUE") = 1</formula>
    </cfRule>
    <cfRule type="expression" dxfId="4" priority="3024">
      <formula>COUNTIF(INDIRECT("Checklist!$None"), "FALSE") = 1</formula>
    </cfRule>
  </conditionalFormatting>
  <conditionalFormatting sqref="M198">
    <cfRule type="expression" dxfId="3" priority="3035">
      <formula>COUNTIF(INDIRECT("Checklist!$None"), "TRUE") = 1</formula>
    </cfRule>
    <cfRule type="expression" dxfId="4" priority="3036">
      <formula>COUNTIF(INDIRECT("Checklist!$None"), "FALSE") = 1</formula>
    </cfRule>
  </conditionalFormatting>
  <conditionalFormatting sqref="M199">
    <cfRule type="expression" dxfId="3" priority="3047">
      <formula>COUNTIF(INDIRECT("Checklist!$None"), "TRUE") = 1</formula>
    </cfRule>
    <cfRule type="expression" dxfId="4" priority="3048">
      <formula>COUNTIF(INDIRECT("Checklist!$None"), "FALSE") = 1</formula>
    </cfRule>
  </conditionalFormatting>
  <conditionalFormatting sqref="M20">
    <cfRule type="expression" dxfId="3" priority="327">
      <formula>COUNTIF(INDIRECT("Checklist!$A162"), "TRUE") = 1</formula>
    </cfRule>
    <cfRule type="expression" dxfId="4" priority="328">
      <formula>COUNTIF(INDIRECT("Checklist!$A162"), "FALSE") = 1</formula>
    </cfRule>
  </conditionalFormatting>
  <conditionalFormatting sqref="M203">
    <cfRule type="expression" dxfId="3" priority="3121">
      <formula>COUNTIF(INDIRECT("Checklist!$A1262"), "TRUE") = 1</formula>
    </cfRule>
    <cfRule type="expression" dxfId="4" priority="3122">
      <formula>COUNTIF(INDIRECT("Checklist!$A1262"), "FALSE") = 1</formula>
    </cfRule>
  </conditionalFormatting>
  <conditionalFormatting sqref="M204">
    <cfRule type="expression" dxfId="3" priority="3133">
      <formula>COUNTIF(INDIRECT("Checklist!$A1268"), "TRUE") = 1</formula>
    </cfRule>
    <cfRule type="expression" dxfId="4" priority="3134">
      <formula>COUNTIF(INDIRECT("Checklist!$A1268"), "FALSE") = 1</formula>
    </cfRule>
  </conditionalFormatting>
  <conditionalFormatting sqref="M205">
    <cfRule type="expression" dxfId="3" priority="3145">
      <formula>COUNTIF(INDIRECT("Checklist!$A1274"), "TRUE") = 1</formula>
    </cfRule>
    <cfRule type="expression" dxfId="4" priority="3146">
      <formula>COUNTIF(INDIRECT("Checklist!$A1274"), "FALSE") = 1</formula>
    </cfRule>
  </conditionalFormatting>
  <conditionalFormatting sqref="M206">
    <cfRule type="expression" dxfId="3" priority="3157">
      <formula>COUNTIF(INDIRECT("Checklist!$None"), "TRUE") = 1</formula>
    </cfRule>
    <cfRule type="expression" dxfId="4" priority="3158">
      <formula>COUNTIF(INDIRECT("Checklist!$None"), "FALSE") = 1</formula>
    </cfRule>
  </conditionalFormatting>
  <conditionalFormatting sqref="M207">
    <cfRule type="expression" dxfId="3" priority="3169">
      <formula>COUNTIF(INDIRECT("Checklist!$None"), "TRUE") = 1</formula>
    </cfRule>
    <cfRule type="expression" dxfId="4" priority="3170">
      <formula>COUNTIF(INDIRECT("Checklist!$None"), "FALSE") = 1</formula>
    </cfRule>
  </conditionalFormatting>
  <conditionalFormatting sqref="M21">
    <cfRule type="expression" dxfId="3" priority="339">
      <formula>COUNTIF(INDIRECT("Checklist!$A168"), "TRUE") = 1</formula>
    </cfRule>
    <cfRule type="expression" dxfId="4" priority="340">
      <formula>COUNTIF(INDIRECT("Checklist!$A168"), "FALSE") = 1</formula>
    </cfRule>
  </conditionalFormatting>
  <conditionalFormatting sqref="M22">
    <cfRule type="expression" dxfId="3" priority="351">
      <formula>COUNTIF(INDIRECT("Checklist!$A174"), "TRUE") = 1</formula>
    </cfRule>
    <cfRule type="expression" dxfId="4" priority="352">
      <formula>COUNTIF(INDIRECT("Checklist!$A174"), "FALSE") = 1</formula>
    </cfRule>
  </conditionalFormatting>
  <conditionalFormatting sqref="M23">
    <cfRule type="expression" dxfId="3" priority="363">
      <formula>COUNTIF(INDIRECT("Checklist!$A180"), "TRUE") = 1</formula>
    </cfRule>
    <cfRule type="expression" dxfId="4" priority="364">
      <formula>COUNTIF(INDIRECT("Checklist!$A180"), "FALSE") = 1</formula>
    </cfRule>
  </conditionalFormatting>
  <conditionalFormatting sqref="M27">
    <cfRule type="expression" dxfId="3" priority="437">
      <formula>COUNTIF(INDIRECT("Checklist!$A216"), "TRUE") = 1</formula>
    </cfRule>
    <cfRule type="expression" dxfId="4" priority="438">
      <formula>COUNTIF(INDIRECT("Checklist!$A216"), "FALSE") = 1</formula>
    </cfRule>
  </conditionalFormatting>
  <conditionalFormatting sqref="M28">
    <cfRule type="expression" dxfId="3" priority="449">
      <formula>COUNTIF(INDIRECT("Checklist!$A222"), "TRUE") = 1</formula>
    </cfRule>
    <cfRule type="expression" dxfId="4" priority="450">
      <formula>COUNTIF(INDIRECT("Checklist!$A222"), "FALSE") = 1</formula>
    </cfRule>
  </conditionalFormatting>
  <conditionalFormatting sqref="M29">
    <cfRule type="expression" dxfId="3" priority="461">
      <formula>COUNTIF(INDIRECT("Checklist!$A228"), "TRUE") = 1</formula>
    </cfRule>
    <cfRule type="expression" dxfId="4" priority="462">
      <formula>COUNTIF(INDIRECT("Checklist!$A228"), "FALSE") = 1</formula>
    </cfRule>
  </conditionalFormatting>
  <conditionalFormatting sqref="M3">
    <cfRule type="expression" dxfId="3" priority="71">
      <formula>COUNTIF(INDIRECT("Checklist!$A36"), "TRUE") = 1</formula>
    </cfRule>
    <cfRule type="expression" dxfId="4" priority="72">
      <formula>COUNTIF(INDIRECT("Checklist!$A36"), "FALSE") = 1</formula>
    </cfRule>
  </conditionalFormatting>
  <conditionalFormatting sqref="M30">
    <cfRule type="expression" dxfId="3" priority="473">
      <formula>COUNTIF(INDIRECT("Checklist!$A234"), "TRUE") = 1</formula>
    </cfRule>
    <cfRule type="expression" dxfId="4" priority="474">
      <formula>COUNTIF(INDIRECT("Checklist!$A234"), "FALSE") = 1</formula>
    </cfRule>
  </conditionalFormatting>
  <conditionalFormatting sqref="M31">
    <cfRule type="expression" dxfId="3" priority="485">
      <formula>COUNTIF(INDIRECT("Checklist!$A240"), "TRUE") = 1</formula>
    </cfRule>
    <cfRule type="expression" dxfId="4" priority="486">
      <formula>COUNTIF(INDIRECT("Checklist!$A240"), "FALSE") = 1</formula>
    </cfRule>
  </conditionalFormatting>
  <conditionalFormatting sqref="M35">
    <cfRule type="expression" dxfId="3" priority="559">
      <formula>COUNTIF(INDIRECT("Checklist!$A276"), "TRUE") = 1</formula>
    </cfRule>
    <cfRule type="expression" dxfId="4" priority="560">
      <formula>COUNTIF(INDIRECT("Checklist!$A276"), "FALSE") = 1</formula>
    </cfRule>
  </conditionalFormatting>
  <conditionalFormatting sqref="M36">
    <cfRule type="expression" dxfId="3" priority="571">
      <formula>COUNTIF(INDIRECT("Checklist!$A282"), "TRUE") = 1</formula>
    </cfRule>
    <cfRule type="expression" dxfId="4" priority="572">
      <formula>COUNTIF(INDIRECT("Checklist!$A282"), "FALSE") = 1</formula>
    </cfRule>
  </conditionalFormatting>
  <conditionalFormatting sqref="M37">
    <cfRule type="expression" dxfId="3" priority="583">
      <formula>COUNTIF(INDIRECT("Checklist!$A288"), "TRUE") = 1</formula>
    </cfRule>
    <cfRule type="expression" dxfId="4" priority="584">
      <formula>COUNTIF(INDIRECT("Checklist!$A288"), "FALSE") = 1</formula>
    </cfRule>
  </conditionalFormatting>
  <conditionalFormatting sqref="M38">
    <cfRule type="expression" dxfId="3" priority="595">
      <formula>COUNTIF(INDIRECT("Checklist!$A294"), "TRUE") = 1</formula>
    </cfRule>
    <cfRule type="expression" dxfId="4" priority="596">
      <formula>COUNTIF(INDIRECT("Checklist!$A294"), "FALSE") = 1</formula>
    </cfRule>
  </conditionalFormatting>
  <conditionalFormatting sqref="M39">
    <cfRule type="expression" dxfId="3" priority="607">
      <formula>COUNTIF(INDIRECT("Checklist!$A300"), "TRUE") = 1</formula>
    </cfRule>
    <cfRule type="expression" dxfId="4" priority="608">
      <formula>COUNTIF(INDIRECT("Checklist!$A300"), "FALSE") = 1</formula>
    </cfRule>
  </conditionalFormatting>
  <conditionalFormatting sqref="M4">
    <cfRule type="expression" dxfId="3" priority="83">
      <formula>COUNTIF(INDIRECT("Checklist!$A42"), "TRUE") = 1</formula>
    </cfRule>
    <cfRule type="expression" dxfId="4" priority="84">
      <formula>COUNTIF(INDIRECT("Checklist!$A42"), "FALSE") = 1</formula>
    </cfRule>
  </conditionalFormatting>
  <conditionalFormatting sqref="M43">
    <cfRule type="expression" dxfId="3" priority="681">
      <formula>COUNTIF(INDIRECT("Checklist!$A336"), "TRUE") = 1</formula>
    </cfRule>
    <cfRule type="expression" dxfId="4" priority="682">
      <formula>COUNTIF(INDIRECT("Checklist!$A336"), "FALSE") = 1</formula>
    </cfRule>
  </conditionalFormatting>
  <conditionalFormatting sqref="M44">
    <cfRule type="expression" dxfId="3" priority="693">
      <formula>COUNTIF(INDIRECT("Checklist!$A342"), "TRUE") = 1</formula>
    </cfRule>
    <cfRule type="expression" dxfId="4" priority="694">
      <formula>COUNTIF(INDIRECT("Checklist!$A342"), "FALSE") = 1</formula>
    </cfRule>
  </conditionalFormatting>
  <conditionalFormatting sqref="M45">
    <cfRule type="expression" dxfId="3" priority="705">
      <formula>COUNTIF(INDIRECT("Checklist!$A348"), "TRUE") = 1</formula>
    </cfRule>
    <cfRule type="expression" dxfId="4" priority="706">
      <formula>COUNTIF(INDIRECT("Checklist!$A348"), "FALSE") = 1</formula>
    </cfRule>
  </conditionalFormatting>
  <conditionalFormatting sqref="M46">
    <cfRule type="expression" dxfId="3" priority="717">
      <formula>COUNTIF(INDIRECT("Checklist!$A354"), "TRUE") = 1</formula>
    </cfRule>
    <cfRule type="expression" dxfId="4" priority="718">
      <formula>COUNTIF(INDIRECT("Checklist!$A354"), "FALSE") = 1</formula>
    </cfRule>
  </conditionalFormatting>
  <conditionalFormatting sqref="M47">
    <cfRule type="expression" dxfId="3" priority="729">
      <formula>COUNTIF(INDIRECT("Checklist!$A360"), "TRUE") = 1</formula>
    </cfRule>
    <cfRule type="expression" dxfId="4" priority="730">
      <formula>COUNTIF(INDIRECT("Checklist!$A360"), "FALSE") = 1</formula>
    </cfRule>
  </conditionalFormatting>
  <conditionalFormatting sqref="M5">
    <cfRule type="expression" dxfId="3" priority="95">
      <formula>COUNTIF(INDIRECT("Checklist!$A48"), "TRUE") = 1</formula>
    </cfRule>
    <cfRule type="expression" dxfId="4" priority="96">
      <formula>COUNTIF(INDIRECT("Checklist!$A48"), "FALSE") = 1</formula>
    </cfRule>
  </conditionalFormatting>
  <conditionalFormatting sqref="M51">
    <cfRule type="expression" dxfId="3" priority="803">
      <formula>COUNTIF(INDIRECT("Checklist!$A396"), "TRUE") = 1</formula>
    </cfRule>
    <cfRule type="expression" dxfId="4" priority="804">
      <formula>COUNTIF(INDIRECT("Checklist!$A396"), "FALSE") = 1</formula>
    </cfRule>
  </conditionalFormatting>
  <conditionalFormatting sqref="M52">
    <cfRule type="expression" dxfId="3" priority="815">
      <formula>COUNTIF(INDIRECT("Checklist!$A402"), "TRUE") = 1</formula>
    </cfRule>
    <cfRule type="expression" dxfId="4" priority="816">
      <formula>COUNTIF(INDIRECT("Checklist!$A402"), "FALSE") = 1</formula>
    </cfRule>
  </conditionalFormatting>
  <conditionalFormatting sqref="M53">
    <cfRule type="expression" dxfId="3" priority="827">
      <formula>COUNTIF(INDIRECT("Checklist!$A408"), "TRUE") = 1</formula>
    </cfRule>
    <cfRule type="expression" dxfId="4" priority="828">
      <formula>COUNTIF(INDIRECT("Checklist!$A408"), "FALSE") = 1</formula>
    </cfRule>
  </conditionalFormatting>
  <conditionalFormatting sqref="M54">
    <cfRule type="expression" dxfId="3" priority="839">
      <formula>COUNTIF(INDIRECT("Checklist!$A414"), "TRUE") = 1</formula>
    </cfRule>
    <cfRule type="expression" dxfId="4" priority="840">
      <formula>COUNTIF(INDIRECT("Checklist!$A414"), "FALSE") = 1</formula>
    </cfRule>
  </conditionalFormatting>
  <conditionalFormatting sqref="M55">
    <cfRule type="expression" dxfId="3" priority="851">
      <formula>COUNTIF(INDIRECT("Checklist!$A420"), "TRUE") = 1</formula>
    </cfRule>
    <cfRule type="expression" dxfId="4" priority="852">
      <formula>COUNTIF(INDIRECT("Checklist!$A420"), "FALSE") = 1</formula>
    </cfRule>
  </conditionalFormatting>
  <conditionalFormatting sqref="M59">
    <cfRule type="expression" dxfId="3" priority="925">
      <formula>COUNTIF(INDIRECT("Checklist!$A456"), "TRUE") = 1</formula>
    </cfRule>
    <cfRule type="expression" dxfId="4" priority="926">
      <formula>COUNTIF(INDIRECT("Checklist!$A456"), "FALSE") = 1</formula>
    </cfRule>
  </conditionalFormatting>
  <conditionalFormatting sqref="M6">
    <cfRule type="expression" dxfId="3" priority="107">
      <formula>COUNTIF(INDIRECT("Checklist!$A54"), "TRUE") = 1</formula>
    </cfRule>
    <cfRule type="expression" dxfId="4" priority="108">
      <formula>COUNTIF(INDIRECT("Checklist!$A54"), "FALSE") = 1</formula>
    </cfRule>
  </conditionalFormatting>
  <conditionalFormatting sqref="M60">
    <cfRule type="expression" dxfId="3" priority="937">
      <formula>COUNTIF(INDIRECT("Checklist!$A462"), "TRUE") = 1</formula>
    </cfRule>
    <cfRule type="expression" dxfId="4" priority="938">
      <formula>COUNTIF(INDIRECT("Checklist!$A462"), "FALSE") = 1</formula>
    </cfRule>
  </conditionalFormatting>
  <conditionalFormatting sqref="M61">
    <cfRule type="expression" dxfId="3" priority="949">
      <formula>COUNTIF(INDIRECT("Checklist!$A468"), "TRUE") = 1</formula>
    </cfRule>
    <cfRule type="expression" dxfId="4" priority="950">
      <formula>COUNTIF(INDIRECT("Checklist!$A468"), "FALSE") = 1</formula>
    </cfRule>
  </conditionalFormatting>
  <conditionalFormatting sqref="M62">
    <cfRule type="expression" dxfId="3" priority="961">
      <formula>COUNTIF(INDIRECT("Checklist!$A474"), "TRUE") = 1</formula>
    </cfRule>
    <cfRule type="expression" dxfId="4" priority="962">
      <formula>COUNTIF(INDIRECT("Checklist!$A474"), "FALSE") = 1</formula>
    </cfRule>
  </conditionalFormatting>
  <conditionalFormatting sqref="M63">
    <cfRule type="expression" dxfId="3" priority="973">
      <formula>COUNTIF(INDIRECT("Checklist!$A480"), "TRUE") = 1</formula>
    </cfRule>
    <cfRule type="expression" dxfId="4" priority="974">
      <formula>COUNTIF(INDIRECT("Checklist!$A480"), "FALSE") = 1</formula>
    </cfRule>
  </conditionalFormatting>
  <conditionalFormatting sqref="M67">
    <cfRule type="expression" dxfId="3" priority="1047">
      <formula>COUNTIF(INDIRECT("Checklist!$A516"), "TRUE") = 1</formula>
    </cfRule>
    <cfRule type="expression" dxfId="4" priority="1048">
      <formula>COUNTIF(INDIRECT("Checklist!$A516"), "FALSE") = 1</formula>
    </cfRule>
  </conditionalFormatting>
  <conditionalFormatting sqref="M68">
    <cfRule type="expression" dxfId="3" priority="1059">
      <formula>COUNTIF(INDIRECT("Checklist!$A522"), "TRUE") = 1</formula>
    </cfRule>
    <cfRule type="expression" dxfId="4" priority="1060">
      <formula>COUNTIF(INDIRECT("Checklist!$A522"), "FALSE") = 1</formula>
    </cfRule>
  </conditionalFormatting>
  <conditionalFormatting sqref="M69">
    <cfRule type="expression" dxfId="3" priority="1071">
      <formula>COUNTIF(INDIRECT("Checklist!$A528"), "TRUE") = 1</formula>
    </cfRule>
    <cfRule type="expression" dxfId="4" priority="1072">
      <formula>COUNTIF(INDIRECT("Checklist!$A528"), "FALSE") = 1</formula>
    </cfRule>
  </conditionalFormatting>
  <conditionalFormatting sqref="M7">
    <cfRule type="expression" dxfId="3" priority="119">
      <formula>COUNTIF(INDIRECT("Checklist!$A60"), "TRUE") = 1</formula>
    </cfRule>
    <cfRule type="expression" dxfId="4" priority="120">
      <formula>COUNTIF(INDIRECT("Checklist!$A60"), "FALSE") = 1</formula>
    </cfRule>
  </conditionalFormatting>
  <conditionalFormatting sqref="M70">
    <cfRule type="expression" dxfId="3" priority="1083">
      <formula>COUNTIF(INDIRECT("Checklist!$A534"), "TRUE") = 1</formula>
    </cfRule>
    <cfRule type="expression" dxfId="4" priority="1084">
      <formula>COUNTIF(INDIRECT("Checklist!$A534"), "FALSE") = 1</formula>
    </cfRule>
  </conditionalFormatting>
  <conditionalFormatting sqref="M71">
    <cfRule type="expression" dxfId="3" priority="1095">
      <formula>COUNTIF(INDIRECT("Checklist!$A540"), "TRUE") = 1</formula>
    </cfRule>
    <cfRule type="expression" dxfId="4" priority="1096">
      <formula>COUNTIF(INDIRECT("Checklist!$A540"), "FALSE") = 1</formula>
    </cfRule>
  </conditionalFormatting>
  <conditionalFormatting sqref="M75">
    <cfRule type="expression" dxfId="3" priority="1169">
      <formula>COUNTIF(INDIRECT("Checklist!$A576"), "TRUE") = 1</formula>
    </cfRule>
    <cfRule type="expression" dxfId="4" priority="1170">
      <formula>COUNTIF(INDIRECT("Checklist!$A576"), "FALSE") = 1</formula>
    </cfRule>
  </conditionalFormatting>
  <conditionalFormatting sqref="M76">
    <cfRule type="expression" dxfId="3" priority="1181">
      <formula>COUNTIF(INDIRECT("Checklist!$A582"), "TRUE") = 1</formula>
    </cfRule>
    <cfRule type="expression" dxfId="4" priority="1182">
      <formula>COUNTIF(INDIRECT("Checklist!$A582"), "FALSE") = 1</formula>
    </cfRule>
  </conditionalFormatting>
  <conditionalFormatting sqref="M77">
    <cfRule type="expression" dxfId="3" priority="1193">
      <formula>COUNTIF(INDIRECT("Checklist!$A588"), "TRUE") = 1</formula>
    </cfRule>
    <cfRule type="expression" dxfId="4" priority="1194">
      <formula>COUNTIF(INDIRECT("Checklist!$A588"), "FALSE") = 1</formula>
    </cfRule>
  </conditionalFormatting>
  <conditionalFormatting sqref="M78">
    <cfRule type="expression" dxfId="3" priority="1205">
      <formula>COUNTIF(INDIRECT("Checklist!$A594"), "TRUE") = 1</formula>
    </cfRule>
    <cfRule type="expression" dxfId="4" priority="1206">
      <formula>COUNTIF(INDIRECT("Checklist!$A594"), "FALSE") = 1</formula>
    </cfRule>
  </conditionalFormatting>
  <conditionalFormatting sqref="M79">
    <cfRule type="expression" dxfId="3" priority="1217">
      <formula>COUNTIF(INDIRECT("Checklist!$A600"), "TRUE") = 1</formula>
    </cfRule>
    <cfRule type="expression" dxfId="4" priority="1218">
      <formula>COUNTIF(INDIRECT("Checklist!$A600"), "FALSE") = 1</formula>
    </cfRule>
  </conditionalFormatting>
  <conditionalFormatting sqref="M83">
    <cfRule type="expression" dxfId="3" priority="1291">
      <formula>COUNTIF(INDIRECT("Checklist!$A636"), "TRUE") = 1</formula>
    </cfRule>
    <cfRule type="expression" dxfId="4" priority="1292">
      <formula>COUNTIF(INDIRECT("Checklist!$A636"), "FALSE") = 1</formula>
    </cfRule>
  </conditionalFormatting>
  <conditionalFormatting sqref="M84">
    <cfRule type="expression" dxfId="3" priority="1303">
      <formula>COUNTIF(INDIRECT("Checklist!$A642"), "TRUE") = 1</formula>
    </cfRule>
    <cfRule type="expression" dxfId="4" priority="1304">
      <formula>COUNTIF(INDIRECT("Checklist!$A642"), "FALSE") = 1</formula>
    </cfRule>
  </conditionalFormatting>
  <conditionalFormatting sqref="M85">
    <cfRule type="expression" dxfId="3" priority="1315">
      <formula>COUNTIF(INDIRECT("Checklist!$A648"), "TRUE") = 1</formula>
    </cfRule>
    <cfRule type="expression" dxfId="4" priority="1316">
      <formula>COUNTIF(INDIRECT("Checklist!$A648"), "FALSE") = 1</formula>
    </cfRule>
  </conditionalFormatting>
  <conditionalFormatting sqref="M86">
    <cfRule type="expression" dxfId="3" priority="1327">
      <formula>COUNTIF(INDIRECT("Checklist!$A654"), "TRUE") = 1</formula>
    </cfRule>
    <cfRule type="expression" dxfId="4" priority="1328">
      <formula>COUNTIF(INDIRECT("Checklist!$A654"), "FALSE") = 1</formula>
    </cfRule>
  </conditionalFormatting>
  <conditionalFormatting sqref="M87">
    <cfRule type="expression" dxfId="3" priority="1339">
      <formula>COUNTIF(INDIRECT("Checklist!$A660"), "TRUE") = 1</formula>
    </cfRule>
    <cfRule type="expression" dxfId="4" priority="1340">
      <formula>COUNTIF(INDIRECT("Checklist!$A660"), "FALSE") = 1</formula>
    </cfRule>
  </conditionalFormatting>
  <conditionalFormatting sqref="M91">
    <cfRule type="expression" dxfId="3" priority="1413">
      <formula>COUNTIF(INDIRECT("Checklist!$A696"), "TRUE") = 1</formula>
    </cfRule>
    <cfRule type="expression" dxfId="4" priority="1414">
      <formula>COUNTIF(INDIRECT("Checklist!$A696"), "FALSE") = 1</formula>
    </cfRule>
  </conditionalFormatting>
  <conditionalFormatting sqref="M92">
    <cfRule type="expression" dxfId="3" priority="1425">
      <formula>COUNTIF(INDIRECT("Checklist!$A702"), "TRUE") = 1</formula>
    </cfRule>
    <cfRule type="expression" dxfId="4" priority="1426">
      <formula>COUNTIF(INDIRECT("Checklist!$A702"), "FALSE") = 1</formula>
    </cfRule>
  </conditionalFormatting>
  <conditionalFormatting sqref="M93">
    <cfRule type="expression" dxfId="3" priority="1437">
      <formula>COUNTIF(INDIRECT("Checklist!$A708"), "TRUE") = 1</formula>
    </cfRule>
    <cfRule type="expression" dxfId="4" priority="1438">
      <formula>COUNTIF(INDIRECT("Checklist!$A708"), "FALSE") = 1</formula>
    </cfRule>
  </conditionalFormatting>
  <conditionalFormatting sqref="M94">
    <cfRule type="expression" dxfId="3" priority="1449">
      <formula>COUNTIF(INDIRECT("Checklist!$A714"), "TRUE") = 1</formula>
    </cfRule>
    <cfRule type="expression" dxfId="4" priority="1450">
      <formula>COUNTIF(INDIRECT("Checklist!$A714"), "FALSE") = 1</formula>
    </cfRule>
  </conditionalFormatting>
  <conditionalFormatting sqref="M95">
    <cfRule type="expression" dxfId="3" priority="1461">
      <formula>COUNTIF(INDIRECT("Checklist!$A720"), "TRUE") = 1</formula>
    </cfRule>
    <cfRule type="expression" dxfId="4" priority="1462">
      <formula>COUNTIF(INDIRECT("Checklist!$A720"), "FALSE") = 1</formula>
    </cfRule>
  </conditionalFormatting>
  <conditionalFormatting sqref="M99">
    <cfRule type="expression" dxfId="3" priority="1535">
      <formula>COUNTIF(INDIRECT("Checklist!$A756"), "TRUE") = 1</formula>
    </cfRule>
    <cfRule type="expression" dxfId="4" priority="1536">
      <formula>COUNTIF(INDIRECT("Checklist!$A756"), "FALSE") = 1</formula>
    </cfRule>
  </conditionalFormatting>
  <conditionalFormatting sqref="N100">
    <cfRule type="expression" dxfId="3" priority="1549">
      <formula>COUNTIF(INDIRECT("Checklist!$A763"), "TRUE") = 1</formula>
    </cfRule>
    <cfRule type="expression" dxfId="4" priority="1550">
      <formula>COUNTIF(INDIRECT("Checklist!$A763"), "FALSE") = 1</formula>
    </cfRule>
  </conditionalFormatting>
  <conditionalFormatting sqref="N101">
    <cfRule type="expression" dxfId="3" priority="1561">
      <formula>COUNTIF(INDIRECT("Checklist!$A769"), "TRUE") = 1</formula>
    </cfRule>
    <cfRule type="expression" dxfId="4" priority="1562">
      <formula>COUNTIF(INDIRECT("Checklist!$A769"), "FALSE") = 1</formula>
    </cfRule>
  </conditionalFormatting>
  <conditionalFormatting sqref="N102">
    <cfRule type="expression" dxfId="3" priority="1573">
      <formula>COUNTIF(INDIRECT("Checklist!$A775"), "TRUE") = 1</formula>
    </cfRule>
    <cfRule type="expression" dxfId="4" priority="1574">
      <formula>COUNTIF(INDIRECT("Checklist!$A775"), "FALSE") = 1</formula>
    </cfRule>
  </conditionalFormatting>
  <conditionalFormatting sqref="N103">
    <cfRule type="expression" dxfId="3" priority="1585">
      <formula>COUNTIF(INDIRECT("Checklist!$A781"), "TRUE") = 1</formula>
    </cfRule>
    <cfRule type="expression" dxfId="4" priority="1586">
      <formula>COUNTIF(INDIRECT("Checklist!$A781"), "FALSE") = 1</formula>
    </cfRule>
  </conditionalFormatting>
  <conditionalFormatting sqref="N107">
    <cfRule type="expression" dxfId="3" priority="1659">
      <formula>COUNTIF(INDIRECT("Checklist!$A817"), "TRUE") = 1</formula>
    </cfRule>
    <cfRule type="expression" dxfId="4" priority="1660">
      <formula>COUNTIF(INDIRECT("Checklist!$A817"), "FALSE") = 1</formula>
    </cfRule>
  </conditionalFormatting>
  <conditionalFormatting sqref="N108">
    <cfRule type="expression" dxfId="3" priority="1671">
      <formula>COUNTIF(INDIRECT("Checklist!$A823"), "TRUE") = 1</formula>
    </cfRule>
    <cfRule type="expression" dxfId="4" priority="1672">
      <formula>COUNTIF(INDIRECT("Checklist!$A823"), "FALSE") = 1</formula>
    </cfRule>
  </conditionalFormatting>
  <conditionalFormatting sqref="N109">
    <cfRule type="expression" dxfId="3" priority="1683">
      <formula>COUNTIF(INDIRECT("Checklist!$A829"), "TRUE") = 1</formula>
    </cfRule>
    <cfRule type="expression" dxfId="4" priority="1684">
      <formula>COUNTIF(INDIRECT("Checklist!$A829"), "FALSE") = 1</formula>
    </cfRule>
  </conditionalFormatting>
  <conditionalFormatting sqref="N11">
    <cfRule type="expression" dxfId="3" priority="195">
      <formula>COUNTIF(INDIRECT("Checklist!$A97"), "TRUE") = 1</formula>
    </cfRule>
    <cfRule type="expression" dxfId="4" priority="196">
      <formula>COUNTIF(INDIRECT("Checklist!$A97"), "FALSE") = 1</formula>
    </cfRule>
  </conditionalFormatting>
  <conditionalFormatting sqref="N110">
    <cfRule type="expression" dxfId="3" priority="1695">
      <formula>COUNTIF(INDIRECT("Checklist!$A1225"), "TRUE") = 1</formula>
    </cfRule>
    <cfRule type="expression" dxfId="4" priority="1696">
      <formula>COUNTIF(INDIRECT("Checklist!$A1225"), "FALSE") = 1</formula>
    </cfRule>
  </conditionalFormatting>
  <conditionalFormatting sqref="N111">
    <cfRule type="expression" dxfId="3" priority="1707">
      <formula>COUNTIF(INDIRECT("Checklist!$A841"), "TRUE") = 1</formula>
    </cfRule>
    <cfRule type="expression" dxfId="4" priority="1708">
      <formula>COUNTIF(INDIRECT("Checklist!$A841"), "FALSE") = 1</formula>
    </cfRule>
  </conditionalFormatting>
  <conditionalFormatting sqref="N115">
    <cfRule type="expression" dxfId="3" priority="1781">
      <formula>COUNTIF(INDIRECT("Checklist!$A877"), "TRUE") = 1</formula>
    </cfRule>
    <cfRule type="expression" dxfId="4" priority="1782">
      <formula>COUNTIF(INDIRECT("Checklist!$A877"), "FALSE") = 1</formula>
    </cfRule>
  </conditionalFormatting>
  <conditionalFormatting sqref="N116">
    <cfRule type="expression" dxfId="3" priority="1793">
      <formula>COUNTIF(INDIRECT("Checklist!$A883"), "TRUE") = 1</formula>
    </cfRule>
    <cfRule type="expression" dxfId="4" priority="1794">
      <formula>COUNTIF(INDIRECT("Checklist!$A883"), "FALSE") = 1</formula>
    </cfRule>
  </conditionalFormatting>
  <conditionalFormatting sqref="N117">
    <cfRule type="expression" dxfId="3" priority="1805">
      <formula>COUNTIF(INDIRECT("Checklist!$A889"), "TRUE") = 1</formula>
    </cfRule>
    <cfRule type="expression" dxfId="4" priority="1806">
      <formula>COUNTIF(INDIRECT("Checklist!$A889"), "FALSE") = 1</formula>
    </cfRule>
  </conditionalFormatting>
  <conditionalFormatting sqref="N118">
    <cfRule type="expression" dxfId="3" priority="1817">
      <formula>COUNTIF(INDIRECT("Checklist!$A895"), "TRUE") = 1</formula>
    </cfRule>
    <cfRule type="expression" dxfId="4" priority="1818">
      <formula>COUNTIF(INDIRECT("Checklist!$A895"), "FALSE") = 1</formula>
    </cfRule>
  </conditionalFormatting>
  <conditionalFormatting sqref="N119">
    <cfRule type="expression" dxfId="3" priority="1829">
      <formula>COUNTIF(INDIRECT("Checklist!$A901"), "TRUE") = 1</formula>
    </cfRule>
    <cfRule type="expression" dxfId="4" priority="1830">
      <formula>COUNTIF(INDIRECT("Checklist!$A901"), "FALSE") = 1</formula>
    </cfRule>
  </conditionalFormatting>
  <conditionalFormatting sqref="N12">
    <cfRule type="expression" dxfId="3" priority="207">
      <formula>COUNTIF(INDIRECT("Checklist!$A103"), "TRUE") = 1</formula>
    </cfRule>
    <cfRule type="expression" dxfId="4" priority="208">
      <formula>COUNTIF(INDIRECT("Checklist!$A103"), "FALSE") = 1</formula>
    </cfRule>
  </conditionalFormatting>
  <conditionalFormatting sqref="N123">
    <cfRule type="expression" dxfId="3" priority="1903">
      <formula>COUNTIF(INDIRECT("Checklist!$A912"), "TRUE") = 1</formula>
    </cfRule>
    <cfRule type="expression" dxfId="4" priority="1904">
      <formula>COUNTIF(INDIRECT("Checklist!$A912"), "FALSE") = 1</formula>
    </cfRule>
  </conditionalFormatting>
  <conditionalFormatting sqref="N124">
    <cfRule type="expression" dxfId="3" priority="1915">
      <formula>COUNTIF(INDIRECT("Checklist!$A918"), "TRUE") = 1</formula>
    </cfRule>
    <cfRule type="expression" dxfId="4" priority="1916">
      <formula>COUNTIF(INDIRECT("Checklist!$A918"), "FALSE") = 1</formula>
    </cfRule>
  </conditionalFormatting>
  <conditionalFormatting sqref="N125">
    <cfRule type="expression" dxfId="3" priority="1927">
      <formula>COUNTIF(INDIRECT("Checklist!$A924"), "TRUE") = 1</formula>
    </cfRule>
    <cfRule type="expression" dxfId="4" priority="1928">
      <formula>COUNTIF(INDIRECT("Checklist!$A924"), "FALSE") = 1</formula>
    </cfRule>
  </conditionalFormatting>
  <conditionalFormatting sqref="N126">
    <cfRule type="expression" dxfId="3" priority="1939">
      <formula>COUNTIF(INDIRECT("Checklist!$A930"), "TRUE") = 1</formula>
    </cfRule>
    <cfRule type="expression" dxfId="4" priority="1940">
      <formula>COUNTIF(INDIRECT("Checklist!$A930"), "FALSE") = 1</formula>
    </cfRule>
  </conditionalFormatting>
  <conditionalFormatting sqref="N127">
    <cfRule type="expression" dxfId="3" priority="1951">
      <formula>COUNTIF(INDIRECT("Checklist!$A936"), "TRUE") = 1</formula>
    </cfRule>
    <cfRule type="expression" dxfId="4" priority="1952">
      <formula>COUNTIF(INDIRECT("Checklist!$A936"), "FALSE") = 1</formula>
    </cfRule>
  </conditionalFormatting>
  <conditionalFormatting sqref="N13">
    <cfRule type="expression" dxfId="3" priority="219">
      <formula>COUNTIF(INDIRECT("Checklist!$A109"), "TRUE") = 1</formula>
    </cfRule>
    <cfRule type="expression" dxfId="4" priority="220">
      <formula>COUNTIF(INDIRECT("Checklist!$A109"), "FALSE") = 1</formula>
    </cfRule>
  </conditionalFormatting>
  <conditionalFormatting sqref="N131">
    <cfRule type="expression" dxfId="3" priority="2025">
      <formula>COUNTIF(INDIRECT("Checklist!$A972"), "TRUE") = 1</formula>
    </cfRule>
    <cfRule type="expression" dxfId="4" priority="2026">
      <formula>COUNTIF(INDIRECT("Checklist!$A972"), "FALSE") = 1</formula>
    </cfRule>
  </conditionalFormatting>
  <conditionalFormatting sqref="N132">
    <cfRule type="expression" dxfId="3" priority="2037">
      <formula>COUNTIF(INDIRECT("Checklist!$A978"), "TRUE") = 1</formula>
    </cfRule>
    <cfRule type="expression" dxfId="4" priority="2038">
      <formula>COUNTIF(INDIRECT("Checklist!$A978"), "FALSE") = 1</formula>
    </cfRule>
  </conditionalFormatting>
  <conditionalFormatting sqref="N133">
    <cfRule type="expression" dxfId="3" priority="2049">
      <formula>COUNTIF(INDIRECT("Checklist!$A984"), "TRUE") = 1</formula>
    </cfRule>
    <cfRule type="expression" dxfId="4" priority="2050">
      <formula>COUNTIF(INDIRECT("Checklist!$A984"), "FALSE") = 1</formula>
    </cfRule>
  </conditionalFormatting>
  <conditionalFormatting sqref="N134">
    <cfRule type="expression" dxfId="3" priority="2061">
      <formula>COUNTIF(INDIRECT("Checklist!$A990"), "TRUE") = 1</formula>
    </cfRule>
    <cfRule type="expression" dxfId="4" priority="2062">
      <formula>COUNTIF(INDIRECT("Checklist!$A990"), "FALSE") = 1</formula>
    </cfRule>
  </conditionalFormatting>
  <conditionalFormatting sqref="N135">
    <cfRule type="expression" dxfId="3" priority="2073">
      <formula>COUNTIF(INDIRECT("Checklist!$A996"), "TRUE") = 1</formula>
    </cfRule>
    <cfRule type="expression" dxfId="4" priority="2074">
      <formula>COUNTIF(INDIRECT("Checklist!$A996"), "FALSE") = 1</formula>
    </cfRule>
  </conditionalFormatting>
  <conditionalFormatting sqref="N139">
    <cfRule type="expression" dxfId="3" priority="2147">
      <formula>COUNTIF(INDIRECT("Checklist!$A1013"), "TRUE") = 1</formula>
    </cfRule>
    <cfRule type="expression" dxfId="4" priority="2148">
      <formula>COUNTIF(INDIRECT("Checklist!$A1013"), "FALSE") = 1</formula>
    </cfRule>
  </conditionalFormatting>
  <conditionalFormatting sqref="N14">
    <cfRule type="expression" dxfId="3" priority="231">
      <formula>COUNTIF(INDIRECT("Checklist!$A115"), "TRUE") = 1</formula>
    </cfRule>
    <cfRule type="expression" dxfId="4" priority="232">
      <formula>COUNTIF(INDIRECT("Checklist!$A115"), "FALSE") = 1</formula>
    </cfRule>
  </conditionalFormatting>
  <conditionalFormatting sqref="N140">
    <cfRule type="expression" dxfId="3" priority="2159">
      <formula>COUNTIF(INDIRECT("Checklist!$None"), "TRUE") = 1</formula>
    </cfRule>
    <cfRule type="expression" dxfId="4" priority="2160">
      <formula>COUNTIF(INDIRECT("Checklist!$None"), "FALSE") = 1</formula>
    </cfRule>
  </conditionalFormatting>
  <conditionalFormatting sqref="N141">
    <cfRule type="expression" dxfId="3" priority="2171">
      <formula>COUNTIF(INDIRECT("Checklist!$None"), "TRUE") = 1</formula>
    </cfRule>
    <cfRule type="expression" dxfId="4" priority="2172">
      <formula>COUNTIF(INDIRECT("Checklist!$None"), "FALSE") = 1</formula>
    </cfRule>
  </conditionalFormatting>
  <conditionalFormatting sqref="N142">
    <cfRule type="expression" dxfId="3" priority="2183">
      <formula>COUNTIF(INDIRECT("Checklist!$None"), "TRUE") = 1</formula>
    </cfRule>
    <cfRule type="expression" dxfId="4" priority="2184">
      <formula>COUNTIF(INDIRECT("Checklist!$None"), "FALSE") = 1</formula>
    </cfRule>
  </conditionalFormatting>
  <conditionalFormatting sqref="N143">
    <cfRule type="expression" dxfId="3" priority="2195">
      <formula>COUNTIF(INDIRECT("Checklist!$None"), "TRUE") = 1</formula>
    </cfRule>
    <cfRule type="expression" dxfId="4" priority="2196">
      <formula>COUNTIF(INDIRECT("Checklist!$None"), "FALSE") = 1</formula>
    </cfRule>
  </conditionalFormatting>
  <conditionalFormatting sqref="N147">
    <cfRule type="expression" dxfId="3" priority="2269">
      <formula>COUNTIF(INDIRECT("Checklist!$None"), "TRUE") = 1</formula>
    </cfRule>
    <cfRule type="expression" dxfId="4" priority="2270">
      <formula>COUNTIF(INDIRECT("Checklist!$None"), "FALSE") = 1</formula>
    </cfRule>
  </conditionalFormatting>
  <conditionalFormatting sqref="N148">
    <cfRule type="expression" dxfId="3" priority="2281">
      <formula>COUNTIF(INDIRECT("Checklist!$None"), "TRUE") = 1</formula>
    </cfRule>
    <cfRule type="expression" dxfId="4" priority="2282">
      <formula>COUNTIF(INDIRECT("Checklist!$None"), "FALSE") = 1</formula>
    </cfRule>
  </conditionalFormatting>
  <conditionalFormatting sqref="N149">
    <cfRule type="expression" dxfId="3" priority="2293">
      <formula>COUNTIF(INDIRECT("Checklist!$None"), "TRUE") = 1</formula>
    </cfRule>
    <cfRule type="expression" dxfId="4" priority="2294">
      <formula>COUNTIF(INDIRECT("Checklist!$None"), "FALSE") = 1</formula>
    </cfRule>
  </conditionalFormatting>
  <conditionalFormatting sqref="N15">
    <cfRule type="expression" dxfId="3" priority="243">
      <formula>COUNTIF(INDIRECT("Checklist!$A121"), "TRUE") = 1</formula>
    </cfRule>
    <cfRule type="expression" dxfId="4" priority="244">
      <formula>COUNTIF(INDIRECT("Checklist!$A121"), "FALSE") = 1</formula>
    </cfRule>
  </conditionalFormatting>
  <conditionalFormatting sqref="N150">
    <cfRule type="expression" dxfId="3" priority="2305">
      <formula>COUNTIF(INDIRECT("Checklist!$A1057"), "TRUE") = 1</formula>
    </cfRule>
    <cfRule type="expression" dxfId="4" priority="2306">
      <formula>COUNTIF(INDIRECT("Checklist!$A1057"), "FALSE") = 1</formula>
    </cfRule>
  </conditionalFormatting>
  <conditionalFormatting sqref="N151">
    <cfRule type="expression" dxfId="3" priority="2317">
      <formula>COUNTIF(INDIRECT("Checklist!$None"), "TRUE") = 1</formula>
    </cfRule>
    <cfRule type="expression" dxfId="4" priority="2318">
      <formula>COUNTIF(INDIRECT("Checklist!$None"), "FALSE") = 1</formula>
    </cfRule>
  </conditionalFormatting>
  <conditionalFormatting sqref="N155">
    <cfRule type="expression" dxfId="3" priority="2391">
      <formula>COUNTIF(INDIRECT("Checklist!$None"), "TRUE") = 1</formula>
    </cfRule>
    <cfRule type="expression" dxfId="4" priority="2392">
      <formula>COUNTIF(INDIRECT("Checklist!$None"), "FALSE") = 1</formula>
    </cfRule>
  </conditionalFormatting>
  <conditionalFormatting sqref="N156">
    <cfRule type="expression" dxfId="3" priority="2403">
      <formula>COUNTIF(INDIRECT("Checklist!$None"), "TRUE") = 1</formula>
    </cfRule>
    <cfRule type="expression" dxfId="4" priority="2404">
      <formula>COUNTIF(INDIRECT("Checklist!$None"), "FALSE") = 1</formula>
    </cfRule>
  </conditionalFormatting>
  <conditionalFormatting sqref="N157">
    <cfRule type="expression" dxfId="3" priority="2415">
      <formula>COUNTIF(INDIRECT("Checklist!$None"), "TRUE") = 1</formula>
    </cfRule>
    <cfRule type="expression" dxfId="4" priority="2416">
      <formula>COUNTIF(INDIRECT("Checklist!$None"), "FALSE") = 1</formula>
    </cfRule>
  </conditionalFormatting>
  <conditionalFormatting sqref="N158">
    <cfRule type="expression" dxfId="3" priority="2427">
      <formula>COUNTIF(INDIRECT("Checklist!$None"), "TRUE") = 1</formula>
    </cfRule>
    <cfRule type="expression" dxfId="4" priority="2428">
      <formula>COUNTIF(INDIRECT("Checklist!$None"), "FALSE") = 1</formula>
    </cfRule>
  </conditionalFormatting>
  <conditionalFormatting sqref="N159">
    <cfRule type="expression" dxfId="3" priority="2439">
      <formula>COUNTIF(INDIRECT("Checklist!$None"), "TRUE") = 1</formula>
    </cfRule>
    <cfRule type="expression" dxfId="4" priority="2440">
      <formula>COUNTIF(INDIRECT("Checklist!$None"), "FALSE") = 1</formula>
    </cfRule>
  </conditionalFormatting>
  <conditionalFormatting sqref="N163">
    <cfRule type="expression" dxfId="3" priority="2513">
      <formula>COUNTIF(INDIRECT("Checklist!$A1106"), "TRUE") = 1</formula>
    </cfRule>
    <cfRule type="expression" dxfId="4" priority="2514">
      <formula>COUNTIF(INDIRECT("Checklist!$A1106"), "FALSE") = 1</formula>
    </cfRule>
  </conditionalFormatting>
  <conditionalFormatting sqref="N164">
    <cfRule type="expression" dxfId="3" priority="2525">
      <formula>COUNTIF(INDIRECT("Checklist!$A1112"), "TRUE") = 1</formula>
    </cfRule>
    <cfRule type="expression" dxfId="4" priority="2526">
      <formula>COUNTIF(INDIRECT("Checklist!$A1112"), "FALSE") = 1</formula>
    </cfRule>
  </conditionalFormatting>
  <conditionalFormatting sqref="N165">
    <cfRule type="expression" dxfId="3" priority="2537">
      <formula>COUNTIF(INDIRECT("Checklist!$A1118"), "TRUE") = 1</formula>
    </cfRule>
    <cfRule type="expression" dxfId="4" priority="2538">
      <formula>COUNTIF(INDIRECT("Checklist!$A1118"), "FALSE") = 1</formula>
    </cfRule>
  </conditionalFormatting>
  <conditionalFormatting sqref="N166">
    <cfRule type="expression" dxfId="3" priority="2549">
      <formula>COUNTIF(INDIRECT("Checklist!$None"), "TRUE") = 1</formula>
    </cfRule>
    <cfRule type="expression" dxfId="4" priority="2550">
      <formula>COUNTIF(INDIRECT("Checklist!$None"), "FALSE") = 1</formula>
    </cfRule>
  </conditionalFormatting>
  <conditionalFormatting sqref="N167">
    <cfRule type="expression" dxfId="3" priority="2561">
      <formula>COUNTIF(INDIRECT("Checklist!$None"), "TRUE") = 1</formula>
    </cfRule>
    <cfRule type="expression" dxfId="4" priority="2562">
      <formula>COUNTIF(INDIRECT("Checklist!$None"), "FALSE") = 1</formula>
    </cfRule>
  </conditionalFormatting>
  <conditionalFormatting sqref="N171">
    <cfRule type="expression" dxfId="3" priority="2635">
      <formula>COUNTIF(INDIRECT("Checklist!$None"), "TRUE") = 1</formula>
    </cfRule>
    <cfRule type="expression" dxfId="4" priority="2636">
      <formula>COUNTIF(INDIRECT("Checklist!$None"), "FALSE") = 1</formula>
    </cfRule>
  </conditionalFormatting>
  <conditionalFormatting sqref="N172">
    <cfRule type="expression" dxfId="3" priority="2647">
      <formula>COUNTIF(INDIRECT("Checklist!$None"), "TRUE") = 1</formula>
    </cfRule>
    <cfRule type="expression" dxfId="4" priority="2648">
      <formula>COUNTIF(INDIRECT("Checklist!$None"), "FALSE") = 1</formula>
    </cfRule>
  </conditionalFormatting>
  <conditionalFormatting sqref="N173">
    <cfRule type="expression" dxfId="3" priority="2659">
      <formula>COUNTIF(INDIRECT("Checklist!$None"), "TRUE") = 1</formula>
    </cfRule>
    <cfRule type="expression" dxfId="4" priority="2660">
      <formula>COUNTIF(INDIRECT("Checklist!$None"), "FALSE") = 1</formula>
    </cfRule>
  </conditionalFormatting>
  <conditionalFormatting sqref="N174">
    <cfRule type="expression" dxfId="3" priority="2671">
      <formula>COUNTIF(INDIRECT("Checklist!$None"), "TRUE") = 1</formula>
    </cfRule>
    <cfRule type="expression" dxfId="4" priority="2672">
      <formula>COUNTIF(INDIRECT("Checklist!$None"), "FALSE") = 1</formula>
    </cfRule>
  </conditionalFormatting>
  <conditionalFormatting sqref="N175">
    <cfRule type="expression" dxfId="3" priority="2683">
      <formula>COUNTIF(INDIRECT("Checklist!$None"), "TRUE") = 1</formula>
    </cfRule>
    <cfRule type="expression" dxfId="4" priority="2684">
      <formula>COUNTIF(INDIRECT("Checklist!$None"), "FALSE") = 1</formula>
    </cfRule>
  </conditionalFormatting>
  <conditionalFormatting sqref="N179">
    <cfRule type="expression" dxfId="3" priority="2757">
      <formula>COUNTIF(INDIRECT("Checklist!$A1172"), "TRUE") = 1</formula>
    </cfRule>
    <cfRule type="expression" dxfId="4" priority="2758">
      <formula>COUNTIF(INDIRECT("Checklist!$A1172"), "FALSE") = 1</formula>
    </cfRule>
  </conditionalFormatting>
  <conditionalFormatting sqref="N180">
    <cfRule type="expression" dxfId="3" priority="2769">
      <formula>COUNTIF(INDIRECT("Checklist!$A1178"), "TRUE") = 1</formula>
    </cfRule>
    <cfRule type="expression" dxfId="4" priority="2770">
      <formula>COUNTIF(INDIRECT("Checklist!$A1178"), "FALSE") = 1</formula>
    </cfRule>
  </conditionalFormatting>
  <conditionalFormatting sqref="N181">
    <cfRule type="expression" dxfId="3" priority="2781">
      <formula>COUNTIF(INDIRECT("Checklist!$A1184"), "TRUE") = 1</formula>
    </cfRule>
    <cfRule type="expression" dxfId="4" priority="2782">
      <formula>COUNTIF(INDIRECT("Checklist!$A1184"), "FALSE") = 1</formula>
    </cfRule>
  </conditionalFormatting>
  <conditionalFormatting sqref="N182">
    <cfRule type="expression" dxfId="3" priority="2793">
      <formula>COUNTIF(INDIRECT("Checklist!$A1190"), "TRUE") = 1</formula>
    </cfRule>
    <cfRule type="expression" dxfId="4" priority="2794">
      <formula>COUNTIF(INDIRECT("Checklist!$A1190"), "FALSE") = 1</formula>
    </cfRule>
  </conditionalFormatting>
  <conditionalFormatting sqref="N183">
    <cfRule type="expression" dxfId="3" priority="2805">
      <formula>COUNTIF(INDIRECT("Checklist!$None"), "TRUE") = 1</formula>
    </cfRule>
    <cfRule type="expression" dxfId="4" priority="2806">
      <formula>COUNTIF(INDIRECT("Checklist!$None"), "FALSE") = 1</formula>
    </cfRule>
  </conditionalFormatting>
  <conditionalFormatting sqref="N187">
    <cfRule type="expression" dxfId="3" priority="2879">
      <formula>COUNTIF(INDIRECT("Checklist!$None"), "TRUE") = 1</formula>
    </cfRule>
    <cfRule type="expression" dxfId="4" priority="2880">
      <formula>COUNTIF(INDIRECT("Checklist!$None"), "FALSE") = 1</formula>
    </cfRule>
  </conditionalFormatting>
  <conditionalFormatting sqref="N188">
    <cfRule type="expression" dxfId="3" priority="2891">
      <formula>COUNTIF(INDIRECT("Checklist!$None"), "TRUE") = 1</formula>
    </cfRule>
    <cfRule type="expression" dxfId="4" priority="2892">
      <formula>COUNTIF(INDIRECT("Checklist!$None"), "FALSE") = 1</formula>
    </cfRule>
  </conditionalFormatting>
  <conditionalFormatting sqref="N189">
    <cfRule type="expression" dxfId="3" priority="2903">
      <formula>COUNTIF(INDIRECT("Checklist!$None"), "TRUE") = 1</formula>
    </cfRule>
    <cfRule type="expression" dxfId="4" priority="2904">
      <formula>COUNTIF(INDIRECT("Checklist!$None"), "FALSE") = 1</formula>
    </cfRule>
  </conditionalFormatting>
  <conditionalFormatting sqref="N19">
    <cfRule type="expression" dxfId="3" priority="317">
      <formula>COUNTIF(INDIRECT("Checklist!$A157"), "TRUE") = 1</formula>
    </cfRule>
    <cfRule type="expression" dxfId="4" priority="318">
      <formula>COUNTIF(INDIRECT("Checklist!$A157"), "FALSE") = 1</formula>
    </cfRule>
  </conditionalFormatting>
  <conditionalFormatting sqref="N190">
    <cfRule type="expression" dxfId="3" priority="2915">
      <formula>COUNTIF(INDIRECT("Checklist!$None"), "TRUE") = 1</formula>
    </cfRule>
    <cfRule type="expression" dxfId="4" priority="2916">
      <formula>COUNTIF(INDIRECT("Checklist!$None"), "FALSE") = 1</formula>
    </cfRule>
  </conditionalFormatting>
  <conditionalFormatting sqref="N191">
    <cfRule type="expression" dxfId="3" priority="2927">
      <formula>COUNTIF(INDIRECT("Checklist!$None"), "TRUE") = 1</formula>
    </cfRule>
    <cfRule type="expression" dxfId="4" priority="2928">
      <formula>COUNTIF(INDIRECT("Checklist!$None"), "FALSE") = 1</formula>
    </cfRule>
  </conditionalFormatting>
  <conditionalFormatting sqref="N195">
    <cfRule type="expression" dxfId="3" priority="3001">
      <formula>COUNTIF(INDIRECT("Checklist!$None"), "TRUE") = 1</formula>
    </cfRule>
    <cfRule type="expression" dxfId="4" priority="3002">
      <formula>COUNTIF(INDIRECT("Checklist!$None"), "FALSE") = 1</formula>
    </cfRule>
  </conditionalFormatting>
  <conditionalFormatting sqref="N196">
    <cfRule type="expression" dxfId="3" priority="3013">
      <formula>COUNTIF(INDIRECT("Checklist!$None"), "TRUE") = 1</formula>
    </cfRule>
    <cfRule type="expression" dxfId="4" priority="3014">
      <formula>COUNTIF(INDIRECT("Checklist!$None"), "FALSE") = 1</formula>
    </cfRule>
  </conditionalFormatting>
  <conditionalFormatting sqref="N197">
    <cfRule type="expression" dxfId="3" priority="3025">
      <formula>COUNTIF(INDIRECT("Checklist!$None"), "TRUE") = 1</formula>
    </cfRule>
    <cfRule type="expression" dxfId="4" priority="3026">
      <formula>COUNTIF(INDIRECT("Checklist!$None"), "FALSE") = 1</formula>
    </cfRule>
  </conditionalFormatting>
  <conditionalFormatting sqref="N198">
    <cfRule type="expression" dxfId="3" priority="3037">
      <formula>COUNTIF(INDIRECT("Checklist!$None"), "TRUE") = 1</formula>
    </cfRule>
    <cfRule type="expression" dxfId="4" priority="3038">
      <formula>COUNTIF(INDIRECT("Checklist!$None"), "FALSE") = 1</formula>
    </cfRule>
  </conditionalFormatting>
  <conditionalFormatting sqref="N199">
    <cfRule type="expression" dxfId="3" priority="3049">
      <formula>COUNTIF(INDIRECT("Checklist!$None"), "TRUE") = 1</formula>
    </cfRule>
    <cfRule type="expression" dxfId="4" priority="3050">
      <formula>COUNTIF(INDIRECT("Checklist!$None"), "FALSE") = 1</formula>
    </cfRule>
  </conditionalFormatting>
  <conditionalFormatting sqref="N20">
    <cfRule type="expression" dxfId="3" priority="329">
      <formula>COUNTIF(INDIRECT("Checklist!$A163"), "TRUE") = 1</formula>
    </cfRule>
    <cfRule type="expression" dxfId="4" priority="330">
      <formula>COUNTIF(INDIRECT("Checklist!$A163"), "FALSE") = 1</formula>
    </cfRule>
  </conditionalFormatting>
  <conditionalFormatting sqref="N203">
    <cfRule type="expression" dxfId="3" priority="3123">
      <formula>COUNTIF(INDIRECT("Checklist!$A1263"), "TRUE") = 1</formula>
    </cfRule>
    <cfRule type="expression" dxfId="4" priority="3124">
      <formula>COUNTIF(INDIRECT("Checklist!$A1263"), "FALSE") = 1</formula>
    </cfRule>
  </conditionalFormatting>
  <conditionalFormatting sqref="N204">
    <cfRule type="expression" dxfId="3" priority="3135">
      <formula>COUNTIF(INDIRECT("Checklist!$A1269"), "TRUE") = 1</formula>
    </cfRule>
    <cfRule type="expression" dxfId="4" priority="3136">
      <formula>COUNTIF(INDIRECT("Checklist!$A1269"), "FALSE") = 1</formula>
    </cfRule>
  </conditionalFormatting>
  <conditionalFormatting sqref="N205">
    <cfRule type="expression" dxfId="3" priority="3147">
      <formula>COUNTIF(INDIRECT("Checklist!$A1275"), "TRUE") = 1</formula>
    </cfRule>
    <cfRule type="expression" dxfId="4" priority="3148">
      <formula>COUNTIF(INDIRECT("Checklist!$A1275"), "FALSE") = 1</formula>
    </cfRule>
  </conditionalFormatting>
  <conditionalFormatting sqref="N206">
    <cfRule type="expression" dxfId="3" priority="3159">
      <formula>COUNTIF(INDIRECT("Checklist!$None"), "TRUE") = 1</formula>
    </cfRule>
    <cfRule type="expression" dxfId="4" priority="3160">
      <formula>COUNTIF(INDIRECT("Checklist!$None"), "FALSE") = 1</formula>
    </cfRule>
  </conditionalFormatting>
  <conditionalFormatting sqref="N207">
    <cfRule type="expression" dxfId="3" priority="3171">
      <formula>COUNTIF(INDIRECT("Checklist!$None"), "TRUE") = 1</formula>
    </cfRule>
    <cfRule type="expression" dxfId="4" priority="3172">
      <formula>COUNTIF(INDIRECT("Checklist!$None"), "FALSE") = 1</formula>
    </cfRule>
  </conditionalFormatting>
  <conditionalFormatting sqref="N21">
    <cfRule type="expression" dxfId="3" priority="341">
      <formula>COUNTIF(INDIRECT("Checklist!$A169"), "TRUE") = 1</formula>
    </cfRule>
    <cfRule type="expression" dxfId="4" priority="342">
      <formula>COUNTIF(INDIRECT("Checklist!$A169"), "FALSE") = 1</formula>
    </cfRule>
  </conditionalFormatting>
  <conditionalFormatting sqref="N22">
    <cfRule type="expression" dxfId="3" priority="353">
      <formula>COUNTIF(INDIRECT("Checklist!$A175"), "TRUE") = 1</formula>
    </cfRule>
    <cfRule type="expression" dxfId="4" priority="354">
      <formula>COUNTIF(INDIRECT("Checklist!$A175"), "FALSE") = 1</formula>
    </cfRule>
  </conditionalFormatting>
  <conditionalFormatting sqref="N23">
    <cfRule type="expression" dxfId="3" priority="365">
      <formula>COUNTIF(INDIRECT("Checklist!$A181"), "TRUE") = 1</formula>
    </cfRule>
    <cfRule type="expression" dxfId="4" priority="366">
      <formula>COUNTIF(INDIRECT("Checklist!$A181"), "FALSE") = 1</formula>
    </cfRule>
  </conditionalFormatting>
  <conditionalFormatting sqref="N27">
    <cfRule type="expression" dxfId="3" priority="439">
      <formula>COUNTIF(INDIRECT("Checklist!$A217"), "TRUE") = 1</formula>
    </cfRule>
    <cfRule type="expression" dxfId="4" priority="440">
      <formula>COUNTIF(INDIRECT("Checklist!$A217"), "FALSE") = 1</formula>
    </cfRule>
  </conditionalFormatting>
  <conditionalFormatting sqref="N28">
    <cfRule type="expression" dxfId="3" priority="451">
      <formula>COUNTIF(INDIRECT("Checklist!$A223"), "TRUE") = 1</formula>
    </cfRule>
    <cfRule type="expression" dxfId="4" priority="452">
      <formula>COUNTIF(INDIRECT("Checklist!$A223"), "FALSE") = 1</formula>
    </cfRule>
  </conditionalFormatting>
  <conditionalFormatting sqref="N29">
    <cfRule type="expression" dxfId="3" priority="463">
      <formula>COUNTIF(INDIRECT("Checklist!$A229"), "TRUE") = 1</formula>
    </cfRule>
    <cfRule type="expression" dxfId="4" priority="464">
      <formula>COUNTIF(INDIRECT("Checklist!$A229"), "FALSE") = 1</formula>
    </cfRule>
  </conditionalFormatting>
  <conditionalFormatting sqref="N3">
    <cfRule type="expression" dxfId="3" priority="73">
      <formula>COUNTIF(INDIRECT("Checklist!$A37"), "TRUE") = 1</formula>
    </cfRule>
    <cfRule type="expression" dxfId="4" priority="74">
      <formula>COUNTIF(INDIRECT("Checklist!$A37"), "FALSE") = 1</formula>
    </cfRule>
  </conditionalFormatting>
  <conditionalFormatting sqref="N30">
    <cfRule type="expression" dxfId="3" priority="475">
      <formula>COUNTIF(INDIRECT("Checklist!$A235"), "TRUE") = 1</formula>
    </cfRule>
    <cfRule type="expression" dxfId="4" priority="476">
      <formula>COUNTIF(INDIRECT("Checklist!$A235"), "FALSE") = 1</formula>
    </cfRule>
  </conditionalFormatting>
  <conditionalFormatting sqref="N31">
    <cfRule type="expression" dxfId="3" priority="487">
      <formula>COUNTIF(INDIRECT("Checklist!$A241"), "TRUE") = 1</formula>
    </cfRule>
    <cfRule type="expression" dxfId="4" priority="488">
      <formula>COUNTIF(INDIRECT("Checklist!$A241"), "FALSE") = 1</formula>
    </cfRule>
  </conditionalFormatting>
  <conditionalFormatting sqref="N35">
    <cfRule type="expression" dxfId="3" priority="561">
      <formula>COUNTIF(INDIRECT("Checklist!$A277"), "TRUE") = 1</formula>
    </cfRule>
    <cfRule type="expression" dxfId="4" priority="562">
      <formula>COUNTIF(INDIRECT("Checklist!$A277"), "FALSE") = 1</formula>
    </cfRule>
  </conditionalFormatting>
  <conditionalFormatting sqref="N36">
    <cfRule type="expression" dxfId="3" priority="573">
      <formula>COUNTIF(INDIRECT("Checklist!$A283"), "TRUE") = 1</formula>
    </cfRule>
    <cfRule type="expression" dxfId="4" priority="574">
      <formula>COUNTIF(INDIRECT("Checklist!$A283"), "FALSE") = 1</formula>
    </cfRule>
  </conditionalFormatting>
  <conditionalFormatting sqref="N37">
    <cfRule type="expression" dxfId="3" priority="585">
      <formula>COUNTIF(INDIRECT("Checklist!$A289"), "TRUE") = 1</formula>
    </cfRule>
    <cfRule type="expression" dxfId="4" priority="586">
      <formula>COUNTIF(INDIRECT("Checklist!$A289"), "FALSE") = 1</formula>
    </cfRule>
  </conditionalFormatting>
  <conditionalFormatting sqref="N38">
    <cfRule type="expression" dxfId="3" priority="597">
      <formula>COUNTIF(INDIRECT("Checklist!$A295"), "TRUE") = 1</formula>
    </cfRule>
    <cfRule type="expression" dxfId="4" priority="598">
      <formula>COUNTIF(INDIRECT("Checklist!$A295"), "FALSE") = 1</formula>
    </cfRule>
  </conditionalFormatting>
  <conditionalFormatting sqref="N39">
    <cfRule type="expression" dxfId="3" priority="609">
      <formula>COUNTIF(INDIRECT("Checklist!$A301"), "TRUE") = 1</formula>
    </cfRule>
    <cfRule type="expression" dxfId="4" priority="610">
      <formula>COUNTIF(INDIRECT("Checklist!$A301"), "FALSE") = 1</formula>
    </cfRule>
  </conditionalFormatting>
  <conditionalFormatting sqref="N4">
    <cfRule type="expression" dxfId="3" priority="85">
      <formula>COUNTIF(INDIRECT("Checklist!$A43"), "TRUE") = 1</formula>
    </cfRule>
    <cfRule type="expression" dxfId="4" priority="86">
      <formula>COUNTIF(INDIRECT("Checklist!$A43"), "FALSE") = 1</formula>
    </cfRule>
  </conditionalFormatting>
  <conditionalFormatting sqref="N43">
    <cfRule type="expression" dxfId="3" priority="683">
      <formula>COUNTIF(INDIRECT("Checklist!$A337"), "TRUE") = 1</formula>
    </cfRule>
    <cfRule type="expression" dxfId="4" priority="684">
      <formula>COUNTIF(INDIRECT("Checklist!$A337"), "FALSE") = 1</formula>
    </cfRule>
  </conditionalFormatting>
  <conditionalFormatting sqref="N44">
    <cfRule type="expression" dxfId="3" priority="695">
      <formula>COUNTIF(INDIRECT("Checklist!$A343"), "TRUE") = 1</formula>
    </cfRule>
    <cfRule type="expression" dxfId="4" priority="696">
      <formula>COUNTIF(INDIRECT("Checklist!$A343"), "FALSE") = 1</formula>
    </cfRule>
  </conditionalFormatting>
  <conditionalFormatting sqref="N45">
    <cfRule type="expression" dxfId="3" priority="707">
      <formula>COUNTIF(INDIRECT("Checklist!$A349"), "TRUE") = 1</formula>
    </cfRule>
    <cfRule type="expression" dxfId="4" priority="708">
      <formula>COUNTIF(INDIRECT("Checklist!$A349"), "FALSE") = 1</formula>
    </cfRule>
  </conditionalFormatting>
  <conditionalFormatting sqref="N46">
    <cfRule type="expression" dxfId="3" priority="719">
      <formula>COUNTIF(INDIRECT("Checklist!$A355"), "TRUE") = 1</formula>
    </cfRule>
    <cfRule type="expression" dxfId="4" priority="720">
      <formula>COUNTIF(INDIRECT("Checklist!$A355"), "FALSE") = 1</formula>
    </cfRule>
  </conditionalFormatting>
  <conditionalFormatting sqref="N47">
    <cfRule type="expression" dxfId="3" priority="731">
      <formula>COUNTIF(INDIRECT("Checklist!$A361"), "TRUE") = 1</formula>
    </cfRule>
    <cfRule type="expression" dxfId="4" priority="732">
      <formula>COUNTIF(INDIRECT("Checklist!$A361"), "FALSE") = 1</formula>
    </cfRule>
  </conditionalFormatting>
  <conditionalFormatting sqref="N5">
    <cfRule type="expression" dxfId="3" priority="97">
      <formula>COUNTIF(INDIRECT("Checklist!$A49"), "TRUE") = 1</formula>
    </cfRule>
    <cfRule type="expression" dxfId="4" priority="98">
      <formula>COUNTIF(INDIRECT("Checklist!$A49"), "FALSE") = 1</formula>
    </cfRule>
  </conditionalFormatting>
  <conditionalFormatting sqref="N51">
    <cfRule type="expression" dxfId="3" priority="805">
      <formula>COUNTIF(INDIRECT("Checklist!$A397"), "TRUE") = 1</formula>
    </cfRule>
    <cfRule type="expression" dxfId="4" priority="806">
      <formula>COUNTIF(INDIRECT("Checklist!$A397"), "FALSE") = 1</formula>
    </cfRule>
  </conditionalFormatting>
  <conditionalFormatting sqref="N52">
    <cfRule type="expression" dxfId="3" priority="817">
      <formula>COUNTIF(INDIRECT("Checklist!$A403"), "TRUE") = 1</formula>
    </cfRule>
    <cfRule type="expression" dxfId="4" priority="818">
      <formula>COUNTIF(INDIRECT("Checklist!$A403"), "FALSE") = 1</formula>
    </cfRule>
  </conditionalFormatting>
  <conditionalFormatting sqref="N53">
    <cfRule type="expression" dxfId="3" priority="829">
      <formula>COUNTIF(INDIRECT("Checklist!$A409"), "TRUE") = 1</formula>
    </cfRule>
    <cfRule type="expression" dxfId="4" priority="830">
      <formula>COUNTIF(INDIRECT("Checklist!$A409"), "FALSE") = 1</formula>
    </cfRule>
  </conditionalFormatting>
  <conditionalFormatting sqref="N54">
    <cfRule type="expression" dxfId="3" priority="841">
      <formula>COUNTIF(INDIRECT("Checklist!$A415"), "TRUE") = 1</formula>
    </cfRule>
    <cfRule type="expression" dxfId="4" priority="842">
      <formula>COUNTIF(INDIRECT("Checklist!$A415"), "FALSE") = 1</formula>
    </cfRule>
  </conditionalFormatting>
  <conditionalFormatting sqref="N55">
    <cfRule type="expression" dxfId="3" priority="853">
      <formula>COUNTIF(INDIRECT("Checklist!$A421"), "TRUE") = 1</formula>
    </cfRule>
    <cfRule type="expression" dxfId="4" priority="854">
      <formula>COUNTIF(INDIRECT("Checklist!$A421"), "FALSE") = 1</formula>
    </cfRule>
  </conditionalFormatting>
  <conditionalFormatting sqref="N59">
    <cfRule type="expression" dxfId="3" priority="927">
      <formula>COUNTIF(INDIRECT("Checklist!$A457"), "TRUE") = 1</formula>
    </cfRule>
    <cfRule type="expression" dxfId="4" priority="928">
      <formula>COUNTIF(INDIRECT("Checklist!$A457"), "FALSE") = 1</formula>
    </cfRule>
  </conditionalFormatting>
  <conditionalFormatting sqref="N6">
    <cfRule type="expression" dxfId="3" priority="109">
      <formula>COUNTIF(INDIRECT("Checklist!$A55"), "TRUE") = 1</formula>
    </cfRule>
    <cfRule type="expression" dxfId="4" priority="110">
      <formula>COUNTIF(INDIRECT("Checklist!$A55"), "FALSE") = 1</formula>
    </cfRule>
  </conditionalFormatting>
  <conditionalFormatting sqref="N60">
    <cfRule type="expression" dxfId="3" priority="939">
      <formula>COUNTIF(INDIRECT("Checklist!$A463"), "TRUE") = 1</formula>
    </cfRule>
    <cfRule type="expression" dxfId="4" priority="940">
      <formula>COUNTIF(INDIRECT("Checklist!$A463"), "FALSE") = 1</formula>
    </cfRule>
  </conditionalFormatting>
  <conditionalFormatting sqref="N61">
    <cfRule type="expression" dxfId="3" priority="951">
      <formula>COUNTIF(INDIRECT("Checklist!$A469"), "TRUE") = 1</formula>
    </cfRule>
    <cfRule type="expression" dxfId="4" priority="952">
      <formula>COUNTIF(INDIRECT("Checklist!$A469"), "FALSE") = 1</formula>
    </cfRule>
  </conditionalFormatting>
  <conditionalFormatting sqref="N62">
    <cfRule type="expression" dxfId="3" priority="963">
      <formula>COUNTIF(INDIRECT("Checklist!$None"), "TRUE") = 1</formula>
    </cfRule>
    <cfRule type="expression" dxfId="4" priority="964">
      <formula>COUNTIF(INDIRECT("Checklist!$None"), "FALSE") = 1</formula>
    </cfRule>
  </conditionalFormatting>
  <conditionalFormatting sqref="N63">
    <cfRule type="expression" dxfId="3" priority="975">
      <formula>COUNTIF(INDIRECT("Checklist!$A481"), "TRUE") = 1</formula>
    </cfRule>
    <cfRule type="expression" dxfId="4" priority="976">
      <formula>COUNTIF(INDIRECT("Checklist!$A481"), "FALSE") = 1</formula>
    </cfRule>
  </conditionalFormatting>
  <conditionalFormatting sqref="N67">
    <cfRule type="expression" dxfId="3" priority="1049">
      <formula>COUNTIF(INDIRECT("Checklist!$A517"), "TRUE") = 1</formula>
    </cfRule>
    <cfRule type="expression" dxfId="4" priority="1050">
      <formula>COUNTIF(INDIRECT("Checklist!$A517"), "FALSE") = 1</formula>
    </cfRule>
  </conditionalFormatting>
  <conditionalFormatting sqref="N68">
    <cfRule type="expression" dxfId="3" priority="1061">
      <formula>COUNTIF(INDIRECT("Checklist!$A523"), "TRUE") = 1</formula>
    </cfRule>
    <cfRule type="expression" dxfId="4" priority="1062">
      <formula>COUNTIF(INDIRECT("Checklist!$A523"), "FALSE") = 1</formula>
    </cfRule>
  </conditionalFormatting>
  <conditionalFormatting sqref="N69">
    <cfRule type="expression" dxfId="3" priority="1073">
      <formula>COUNTIF(INDIRECT("Checklist!$A529"), "TRUE") = 1</formula>
    </cfRule>
    <cfRule type="expression" dxfId="4" priority="1074">
      <formula>COUNTIF(INDIRECT("Checklist!$A529"), "FALSE") = 1</formula>
    </cfRule>
  </conditionalFormatting>
  <conditionalFormatting sqref="N7">
    <cfRule type="expression" dxfId="3" priority="121">
      <formula>COUNTIF(INDIRECT("Checklist!$A61"), "TRUE") = 1</formula>
    </cfRule>
    <cfRule type="expression" dxfId="4" priority="122">
      <formula>COUNTIF(INDIRECT("Checklist!$A61"), "FALSE") = 1</formula>
    </cfRule>
  </conditionalFormatting>
  <conditionalFormatting sqref="N70">
    <cfRule type="expression" dxfId="3" priority="1085">
      <formula>COUNTIF(INDIRECT("Checklist!$A535"), "TRUE") = 1</formula>
    </cfRule>
    <cfRule type="expression" dxfId="4" priority="1086">
      <formula>COUNTIF(INDIRECT("Checklist!$A535"), "FALSE") = 1</formula>
    </cfRule>
  </conditionalFormatting>
  <conditionalFormatting sqref="N71">
    <cfRule type="expression" dxfId="3" priority="1097">
      <formula>COUNTIF(INDIRECT("Checklist!$A541"), "TRUE") = 1</formula>
    </cfRule>
    <cfRule type="expression" dxfId="4" priority="1098">
      <formula>COUNTIF(INDIRECT("Checklist!$A541"), "FALSE") = 1</formula>
    </cfRule>
  </conditionalFormatting>
  <conditionalFormatting sqref="N75">
    <cfRule type="expression" dxfId="3" priority="1171">
      <formula>COUNTIF(INDIRECT("Checklist!$A577"), "TRUE") = 1</formula>
    </cfRule>
    <cfRule type="expression" dxfId="4" priority="1172">
      <formula>COUNTIF(INDIRECT("Checklist!$A577"), "FALSE") = 1</formula>
    </cfRule>
  </conditionalFormatting>
  <conditionalFormatting sqref="N76">
    <cfRule type="expression" dxfId="3" priority="1183">
      <formula>COUNTIF(INDIRECT("Checklist!$A583"), "TRUE") = 1</formula>
    </cfRule>
    <cfRule type="expression" dxfId="4" priority="1184">
      <formula>COUNTIF(INDIRECT("Checklist!$A583"), "FALSE") = 1</formula>
    </cfRule>
  </conditionalFormatting>
  <conditionalFormatting sqref="N77">
    <cfRule type="expression" dxfId="3" priority="1195">
      <formula>COUNTIF(INDIRECT("Checklist!$A589"), "TRUE") = 1</formula>
    </cfRule>
    <cfRule type="expression" dxfId="4" priority="1196">
      <formula>COUNTIF(INDIRECT("Checklist!$A589"), "FALSE") = 1</formula>
    </cfRule>
  </conditionalFormatting>
  <conditionalFormatting sqref="N78">
    <cfRule type="expression" dxfId="3" priority="1207">
      <formula>COUNTIF(INDIRECT("Checklist!$A595"), "TRUE") = 1</formula>
    </cfRule>
    <cfRule type="expression" dxfId="4" priority="1208">
      <formula>COUNTIF(INDIRECT("Checklist!$A595"), "FALSE") = 1</formula>
    </cfRule>
  </conditionalFormatting>
  <conditionalFormatting sqref="N79">
    <cfRule type="expression" dxfId="3" priority="1219">
      <formula>COUNTIF(INDIRECT("Checklist!$A601"), "TRUE") = 1</formula>
    </cfRule>
    <cfRule type="expression" dxfId="4" priority="1220">
      <formula>COUNTIF(INDIRECT("Checklist!$A601"), "FALSE") = 1</formula>
    </cfRule>
  </conditionalFormatting>
  <conditionalFormatting sqref="N83">
    <cfRule type="expression" dxfId="3" priority="1293">
      <formula>COUNTIF(INDIRECT("Checklist!$A637"), "TRUE") = 1</formula>
    </cfRule>
    <cfRule type="expression" dxfId="4" priority="1294">
      <formula>COUNTIF(INDIRECT("Checklist!$A637"), "FALSE") = 1</formula>
    </cfRule>
  </conditionalFormatting>
  <conditionalFormatting sqref="N84">
    <cfRule type="expression" dxfId="3" priority="1305">
      <formula>COUNTIF(INDIRECT("Checklist!$A643"), "TRUE") = 1</formula>
    </cfRule>
    <cfRule type="expression" dxfId="4" priority="1306">
      <formula>COUNTIF(INDIRECT("Checklist!$A643"), "FALSE") = 1</formula>
    </cfRule>
  </conditionalFormatting>
  <conditionalFormatting sqref="N85">
    <cfRule type="expression" dxfId="3" priority="1317">
      <formula>COUNTIF(INDIRECT("Checklist!$A649"), "TRUE") = 1</formula>
    </cfRule>
    <cfRule type="expression" dxfId="4" priority="1318">
      <formula>COUNTIF(INDIRECT("Checklist!$A649"), "FALSE") = 1</formula>
    </cfRule>
  </conditionalFormatting>
  <conditionalFormatting sqref="N86">
    <cfRule type="expression" dxfId="3" priority="1329">
      <formula>COUNTIF(INDIRECT("Checklist!$A655"), "TRUE") = 1</formula>
    </cfRule>
    <cfRule type="expression" dxfId="4" priority="1330">
      <formula>COUNTIF(INDIRECT("Checklist!$A655"), "FALSE") = 1</formula>
    </cfRule>
  </conditionalFormatting>
  <conditionalFormatting sqref="N87">
    <cfRule type="expression" dxfId="3" priority="1341">
      <formula>COUNTIF(INDIRECT("Checklist!$A661"), "TRUE") = 1</formula>
    </cfRule>
    <cfRule type="expression" dxfId="4" priority="1342">
      <formula>COUNTIF(INDIRECT("Checklist!$A661"), "FALSE") = 1</formula>
    </cfRule>
  </conditionalFormatting>
  <conditionalFormatting sqref="N91">
    <cfRule type="expression" dxfId="3" priority="1415">
      <formula>COUNTIF(INDIRECT("Checklist!$A697"), "TRUE") = 1</formula>
    </cfRule>
    <cfRule type="expression" dxfId="4" priority="1416">
      <formula>COUNTIF(INDIRECT("Checklist!$A697"), "FALSE") = 1</formula>
    </cfRule>
  </conditionalFormatting>
  <conditionalFormatting sqref="N92">
    <cfRule type="expression" dxfId="3" priority="1427">
      <formula>COUNTIF(INDIRECT("Checklist!$A703"), "TRUE") = 1</formula>
    </cfRule>
    <cfRule type="expression" dxfId="4" priority="1428">
      <formula>COUNTIF(INDIRECT("Checklist!$A703"), "FALSE") = 1</formula>
    </cfRule>
  </conditionalFormatting>
  <conditionalFormatting sqref="N93">
    <cfRule type="expression" dxfId="3" priority="1439">
      <formula>COUNTIF(INDIRECT("Checklist!$A709"), "TRUE") = 1</formula>
    </cfRule>
    <cfRule type="expression" dxfId="4" priority="1440">
      <formula>COUNTIF(INDIRECT("Checklist!$A709"), "FALSE") = 1</formula>
    </cfRule>
  </conditionalFormatting>
  <conditionalFormatting sqref="N94">
    <cfRule type="expression" dxfId="3" priority="1451">
      <formula>COUNTIF(INDIRECT("Checklist!$A715"), "TRUE") = 1</formula>
    </cfRule>
    <cfRule type="expression" dxfId="4" priority="1452">
      <formula>COUNTIF(INDIRECT("Checklist!$A715"), "FALSE") = 1</formula>
    </cfRule>
  </conditionalFormatting>
  <conditionalFormatting sqref="N95">
    <cfRule type="expression" dxfId="3" priority="1463">
      <formula>COUNTIF(INDIRECT("Checklist!$A721"), "TRUE") = 1</formula>
    </cfRule>
    <cfRule type="expression" dxfId="4" priority="1464">
      <formula>COUNTIF(INDIRECT("Checklist!$A721"), "FALSE") = 1</formula>
    </cfRule>
  </conditionalFormatting>
  <conditionalFormatting sqref="N99">
    <cfRule type="expression" dxfId="3" priority="1537">
      <formula>COUNTIF(INDIRECT("Checklist!$A757"), "TRUE") = 1</formula>
    </cfRule>
    <cfRule type="expression" dxfId="4" priority="1538">
      <formula>COUNTIF(INDIRECT("Checklist!$A757"), "FALSE") = 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Boxes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2023-03-14T08:00:54Z</dcterms:created>
  <dcterms:modified xsi:type="dcterms:W3CDTF">2023-03-14T08:00:54Z</dcterms:modified>
</cp:coreProperties>
</file>